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lomé\Documents\Néosylva &amp; NéosylvaIF\"/>
    </mc:Choice>
  </mc:AlternateContent>
  <xr:revisionPtr revIDLastSave="0" documentId="8_{E38EEB2D-2939-4AD1-AD4C-FFCD6D1265B2}" xr6:coauthVersionLast="47" xr6:coauthVersionMax="47" xr10:uidLastSave="{00000000-0000-0000-0000-000000000000}"/>
  <bookViews>
    <workbookView xWindow="-120" yWindow="-120" windowWidth="29040" windowHeight="15840" xr2:uid="{6FD8604C-07E6-4132-B272-BEDE851C8D7C}"/>
  </bookViews>
  <sheets>
    <sheet name="Feuil1" sheetId="1" r:id="rId1"/>
    <sheet name="Feuil2" sheetId="2" r:id="rId2"/>
    <sheet name="Feuil3" sheetId="3" r:id="rId3"/>
    <sheet name="Feuil4" sheetId="4" r:id="rId4"/>
    <sheet name="Feuil5" sheetId="5" r:id="rId5"/>
    <sheet name="Feuil6" sheetId="6" r:id="rId6"/>
  </sheets>
  <externalReferences>
    <externalReference r:id="rId7"/>
  </externalReferences>
  <definedNames>
    <definedName name="Leq">[1]LISTES!$N$6</definedName>
    <definedName name="t_pan">[1]LISTES!$N$10</definedName>
    <definedName name="t_pap">[1]LISTES!$N$11</definedName>
    <definedName name="t_sciage">[1]LISTES!$N$9</definedName>
    <definedName name="Tactu">[1]LISTES!$N$13</definedName>
    <definedName name="tc">[1]LISTES!$N$3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P102" i="6" l="1"/>
  <c r="AM102" i="6"/>
  <c r="AL102" i="6"/>
  <c r="AK102" i="6"/>
  <c r="AJ102" i="6"/>
  <c r="AG102" i="6"/>
  <c r="AD102" i="6"/>
  <c r="AA102" i="6"/>
  <c r="Z102" i="6"/>
  <c r="Y102" i="6"/>
  <c r="W102" i="6"/>
  <c r="V102" i="6"/>
  <c r="Q102" i="6"/>
  <c r="P102" i="6"/>
  <c r="O102" i="6"/>
  <c r="AP101" i="6"/>
  <c r="AM101" i="6"/>
  <c r="AL101" i="6"/>
  <c r="AK101" i="6"/>
  <c r="AJ101" i="6"/>
  <c r="AG101" i="6"/>
  <c r="AD101" i="6"/>
  <c r="AA101" i="6"/>
  <c r="Z101" i="6"/>
  <c r="Y101" i="6"/>
  <c r="W101" i="6"/>
  <c r="V101" i="6"/>
  <c r="Q101" i="6"/>
  <c r="P101" i="6"/>
  <c r="O101" i="6"/>
  <c r="AP100" i="6"/>
  <c r="AM100" i="6"/>
  <c r="AL100" i="6"/>
  <c r="AK100" i="6"/>
  <c r="AJ100" i="6"/>
  <c r="AG100" i="6"/>
  <c r="AD100" i="6"/>
  <c r="AA100" i="6"/>
  <c r="Z100" i="6"/>
  <c r="Y100" i="6"/>
  <c r="W100" i="6"/>
  <c r="V100" i="6"/>
  <c r="Q100" i="6"/>
  <c r="P100" i="6"/>
  <c r="O100" i="6"/>
  <c r="AP99" i="6"/>
  <c r="AM99" i="6"/>
  <c r="AL99" i="6"/>
  <c r="AK99" i="6"/>
  <c r="AJ99" i="6"/>
  <c r="AG99" i="6"/>
  <c r="AD99" i="6"/>
  <c r="AA99" i="6"/>
  <c r="Z99" i="6"/>
  <c r="Y99" i="6"/>
  <c r="W99" i="6"/>
  <c r="V99" i="6"/>
  <c r="Q99" i="6"/>
  <c r="P99" i="6"/>
  <c r="O99" i="6"/>
  <c r="AP98" i="6"/>
  <c r="AM98" i="6"/>
  <c r="AL98" i="6"/>
  <c r="AK98" i="6"/>
  <c r="AJ98" i="6"/>
  <c r="AG98" i="6"/>
  <c r="AD98" i="6"/>
  <c r="AA98" i="6"/>
  <c r="Z98" i="6"/>
  <c r="Y98" i="6"/>
  <c r="W98" i="6"/>
  <c r="V98" i="6"/>
  <c r="Q98" i="6"/>
  <c r="P98" i="6"/>
  <c r="O98" i="6"/>
  <c r="AP97" i="6"/>
  <c r="AM97" i="6"/>
  <c r="AL97" i="6"/>
  <c r="AK97" i="6"/>
  <c r="AJ97" i="6"/>
  <c r="AG97" i="6"/>
  <c r="AD97" i="6"/>
  <c r="AA97" i="6"/>
  <c r="Z97" i="6"/>
  <c r="Y97" i="6"/>
  <c r="W97" i="6"/>
  <c r="V97" i="6"/>
  <c r="Q97" i="6"/>
  <c r="P97" i="6"/>
  <c r="O97" i="6"/>
  <c r="AP96" i="6"/>
  <c r="AM96" i="6"/>
  <c r="AL96" i="6"/>
  <c r="AK96" i="6"/>
  <c r="AJ96" i="6"/>
  <c r="AG96" i="6"/>
  <c r="AD96" i="6"/>
  <c r="AA96" i="6"/>
  <c r="Z96" i="6"/>
  <c r="Y96" i="6"/>
  <c r="W96" i="6"/>
  <c r="V96" i="6"/>
  <c r="Q96" i="6"/>
  <c r="P96" i="6"/>
  <c r="O96" i="6"/>
  <c r="AP95" i="6"/>
  <c r="AM95" i="6"/>
  <c r="AL95" i="6"/>
  <c r="AK95" i="6"/>
  <c r="AJ95" i="6"/>
  <c r="AG95" i="6"/>
  <c r="AD95" i="6"/>
  <c r="AA95" i="6"/>
  <c r="Z95" i="6"/>
  <c r="Y95" i="6"/>
  <c r="W95" i="6"/>
  <c r="V95" i="6"/>
  <c r="Q95" i="6"/>
  <c r="P95" i="6"/>
  <c r="O95" i="6"/>
  <c r="AP94" i="6"/>
  <c r="AM94" i="6"/>
  <c r="AL94" i="6"/>
  <c r="AK94" i="6"/>
  <c r="AJ94" i="6"/>
  <c r="AG94" i="6"/>
  <c r="AD94" i="6"/>
  <c r="AA94" i="6"/>
  <c r="Z94" i="6"/>
  <c r="Y94" i="6"/>
  <c r="W94" i="6"/>
  <c r="V94" i="6"/>
  <c r="Q94" i="6"/>
  <c r="P94" i="6"/>
  <c r="O94" i="6"/>
  <c r="AP93" i="6"/>
  <c r="AM93" i="6"/>
  <c r="AL93" i="6"/>
  <c r="AK93" i="6"/>
  <c r="AJ93" i="6"/>
  <c r="AG93" i="6"/>
  <c r="AD93" i="6"/>
  <c r="AA93" i="6"/>
  <c r="Z93" i="6"/>
  <c r="Y93" i="6"/>
  <c r="W93" i="6"/>
  <c r="V93" i="6"/>
  <c r="Q93" i="6"/>
  <c r="P93" i="6"/>
  <c r="O93" i="6"/>
  <c r="AP92" i="6"/>
  <c r="AM92" i="6"/>
  <c r="AL92" i="6"/>
  <c r="AK92" i="6"/>
  <c r="AJ92" i="6"/>
  <c r="AG92" i="6"/>
  <c r="AD92" i="6"/>
  <c r="AA92" i="6"/>
  <c r="Z92" i="6"/>
  <c r="Y92" i="6"/>
  <c r="W92" i="6"/>
  <c r="V92" i="6"/>
  <c r="Q92" i="6"/>
  <c r="P92" i="6"/>
  <c r="O92" i="6"/>
  <c r="AP91" i="6"/>
  <c r="AM91" i="6"/>
  <c r="AL91" i="6"/>
  <c r="AK91" i="6"/>
  <c r="AJ91" i="6"/>
  <c r="AG91" i="6"/>
  <c r="AD91" i="6"/>
  <c r="AA91" i="6"/>
  <c r="Z91" i="6"/>
  <c r="Y91" i="6"/>
  <c r="W91" i="6"/>
  <c r="V91" i="6"/>
  <c r="Q91" i="6"/>
  <c r="P91" i="6"/>
  <c r="O91" i="6"/>
  <c r="AP90" i="6"/>
  <c r="AM90" i="6"/>
  <c r="AL90" i="6"/>
  <c r="AK90" i="6"/>
  <c r="AJ90" i="6"/>
  <c r="AG90" i="6"/>
  <c r="AD90" i="6"/>
  <c r="AA90" i="6"/>
  <c r="Z90" i="6"/>
  <c r="Y90" i="6"/>
  <c r="W90" i="6"/>
  <c r="V90" i="6"/>
  <c r="Q90" i="6"/>
  <c r="P90" i="6"/>
  <c r="O90" i="6"/>
  <c r="AP89" i="6"/>
  <c r="AM89" i="6"/>
  <c r="AL89" i="6"/>
  <c r="AK89" i="6"/>
  <c r="AJ89" i="6"/>
  <c r="AG89" i="6"/>
  <c r="AD89" i="6"/>
  <c r="AA89" i="6"/>
  <c r="Z89" i="6"/>
  <c r="Y89" i="6"/>
  <c r="W89" i="6"/>
  <c r="V89" i="6"/>
  <c r="Q89" i="6"/>
  <c r="P89" i="6"/>
  <c r="O89" i="6"/>
  <c r="AP88" i="6"/>
  <c r="AM88" i="6"/>
  <c r="AL88" i="6"/>
  <c r="AK88" i="6"/>
  <c r="AJ88" i="6"/>
  <c r="AG88" i="6"/>
  <c r="AD88" i="6"/>
  <c r="AA88" i="6"/>
  <c r="Z88" i="6"/>
  <c r="Y88" i="6"/>
  <c r="W88" i="6"/>
  <c r="V88" i="6"/>
  <c r="Q88" i="6"/>
  <c r="P88" i="6"/>
  <c r="O88" i="6"/>
  <c r="AP87" i="6"/>
  <c r="AM87" i="6"/>
  <c r="AL87" i="6"/>
  <c r="AK87" i="6"/>
  <c r="AJ87" i="6"/>
  <c r="AG87" i="6"/>
  <c r="AD87" i="6"/>
  <c r="AA87" i="6"/>
  <c r="Z87" i="6"/>
  <c r="Y87" i="6"/>
  <c r="W87" i="6"/>
  <c r="V87" i="6"/>
  <c r="Q87" i="6"/>
  <c r="P87" i="6"/>
  <c r="O87" i="6"/>
  <c r="AP86" i="6"/>
  <c r="AM86" i="6"/>
  <c r="AL86" i="6"/>
  <c r="AK86" i="6"/>
  <c r="AJ86" i="6"/>
  <c r="AG86" i="6"/>
  <c r="AD86" i="6"/>
  <c r="AA86" i="6"/>
  <c r="Z86" i="6"/>
  <c r="Y86" i="6"/>
  <c r="W86" i="6"/>
  <c r="V86" i="6"/>
  <c r="Q86" i="6"/>
  <c r="P86" i="6"/>
  <c r="O86" i="6"/>
  <c r="AP85" i="6"/>
  <c r="AM85" i="6"/>
  <c r="AL85" i="6"/>
  <c r="AK85" i="6"/>
  <c r="AJ85" i="6"/>
  <c r="AG85" i="6"/>
  <c r="AD85" i="6"/>
  <c r="AA85" i="6"/>
  <c r="Z85" i="6"/>
  <c r="Y85" i="6"/>
  <c r="W85" i="6"/>
  <c r="V85" i="6"/>
  <c r="Q85" i="6"/>
  <c r="P85" i="6"/>
  <c r="O85" i="6"/>
  <c r="AP84" i="6"/>
  <c r="AM84" i="6"/>
  <c r="AL84" i="6"/>
  <c r="AK84" i="6"/>
  <c r="AJ84" i="6"/>
  <c r="AG84" i="6"/>
  <c r="AD84" i="6"/>
  <c r="AA84" i="6"/>
  <c r="Z84" i="6"/>
  <c r="Y84" i="6"/>
  <c r="W84" i="6"/>
  <c r="V84" i="6"/>
  <c r="Q84" i="6"/>
  <c r="P84" i="6"/>
  <c r="O84" i="6"/>
  <c r="AP83" i="6"/>
  <c r="AM83" i="6"/>
  <c r="AL83" i="6"/>
  <c r="AK83" i="6"/>
  <c r="AJ83" i="6"/>
  <c r="AG83" i="6"/>
  <c r="AD83" i="6"/>
  <c r="AA83" i="6"/>
  <c r="Z83" i="6"/>
  <c r="Y83" i="6"/>
  <c r="W83" i="6"/>
  <c r="V83" i="6"/>
  <c r="Q83" i="6"/>
  <c r="P83" i="6"/>
  <c r="O83" i="6"/>
  <c r="AP82" i="6"/>
  <c r="AM82" i="6"/>
  <c r="AL82" i="6"/>
  <c r="AK82" i="6"/>
  <c r="AJ82" i="6"/>
  <c r="AG82" i="6"/>
  <c r="AD82" i="6"/>
  <c r="AA82" i="6"/>
  <c r="Z82" i="6"/>
  <c r="Y82" i="6"/>
  <c r="W82" i="6"/>
  <c r="V82" i="6"/>
  <c r="Q82" i="6"/>
  <c r="P82" i="6"/>
  <c r="O82" i="6"/>
  <c r="AP81" i="6"/>
  <c r="AM81" i="6"/>
  <c r="AL81" i="6"/>
  <c r="AK81" i="6"/>
  <c r="AJ81" i="6"/>
  <c r="AG81" i="6"/>
  <c r="AD81" i="6"/>
  <c r="AA81" i="6"/>
  <c r="Z81" i="6"/>
  <c r="Y81" i="6"/>
  <c r="W81" i="6"/>
  <c r="V81" i="6"/>
  <c r="Q81" i="6"/>
  <c r="P81" i="6"/>
  <c r="O81" i="6"/>
  <c r="AP80" i="6"/>
  <c r="AM80" i="6"/>
  <c r="AL80" i="6"/>
  <c r="AK80" i="6"/>
  <c r="AJ80" i="6"/>
  <c r="AG80" i="6"/>
  <c r="AD80" i="6"/>
  <c r="AA80" i="6"/>
  <c r="Z80" i="6"/>
  <c r="Y80" i="6"/>
  <c r="W80" i="6"/>
  <c r="V80" i="6"/>
  <c r="Q80" i="6"/>
  <c r="P80" i="6"/>
  <c r="O80" i="6"/>
  <c r="AP79" i="6"/>
  <c r="AM79" i="6"/>
  <c r="AL79" i="6"/>
  <c r="AK79" i="6"/>
  <c r="AJ79" i="6"/>
  <c r="AG79" i="6"/>
  <c r="AD79" i="6"/>
  <c r="AA79" i="6"/>
  <c r="Z79" i="6"/>
  <c r="Y79" i="6"/>
  <c r="W79" i="6"/>
  <c r="V79" i="6"/>
  <c r="Q79" i="6"/>
  <c r="P79" i="6"/>
  <c r="O79" i="6"/>
  <c r="AP78" i="6"/>
  <c r="AM78" i="6"/>
  <c r="AL78" i="6"/>
  <c r="AK78" i="6"/>
  <c r="AJ78" i="6"/>
  <c r="AG78" i="6"/>
  <c r="AD78" i="6"/>
  <c r="AA78" i="6"/>
  <c r="Z78" i="6"/>
  <c r="Y78" i="6"/>
  <c r="W78" i="6"/>
  <c r="V78" i="6"/>
  <c r="Q78" i="6"/>
  <c r="P78" i="6"/>
  <c r="O78" i="6"/>
  <c r="AP77" i="6"/>
  <c r="AM77" i="6"/>
  <c r="AL77" i="6"/>
  <c r="AK77" i="6"/>
  <c r="AJ77" i="6"/>
  <c r="AG77" i="6"/>
  <c r="AD77" i="6"/>
  <c r="AA77" i="6"/>
  <c r="Z77" i="6"/>
  <c r="Y77" i="6"/>
  <c r="W77" i="6"/>
  <c r="V77" i="6"/>
  <c r="Q77" i="6"/>
  <c r="P77" i="6"/>
  <c r="O77" i="6"/>
  <c r="AP76" i="6"/>
  <c r="AM76" i="6"/>
  <c r="AL76" i="6"/>
  <c r="AK76" i="6"/>
  <c r="AJ76" i="6"/>
  <c r="AG76" i="6"/>
  <c r="AD76" i="6"/>
  <c r="AA76" i="6"/>
  <c r="Z76" i="6"/>
  <c r="Y76" i="6"/>
  <c r="W76" i="6"/>
  <c r="V76" i="6"/>
  <c r="Q76" i="6"/>
  <c r="P76" i="6"/>
  <c r="O76" i="6"/>
  <c r="AP75" i="6"/>
  <c r="AM75" i="6"/>
  <c r="AL75" i="6"/>
  <c r="AK75" i="6"/>
  <c r="AJ75" i="6"/>
  <c r="AG75" i="6"/>
  <c r="AD75" i="6"/>
  <c r="AA75" i="6"/>
  <c r="Z75" i="6"/>
  <c r="Y75" i="6"/>
  <c r="W75" i="6"/>
  <c r="V75" i="6"/>
  <c r="Q75" i="6"/>
  <c r="P75" i="6"/>
  <c r="O75" i="6"/>
  <c r="AP74" i="6"/>
  <c r="AM74" i="6"/>
  <c r="AL74" i="6"/>
  <c r="AK74" i="6"/>
  <c r="AJ74" i="6"/>
  <c r="AG74" i="6"/>
  <c r="AD74" i="6"/>
  <c r="AA74" i="6"/>
  <c r="Z74" i="6"/>
  <c r="Y74" i="6"/>
  <c r="W74" i="6"/>
  <c r="V74" i="6"/>
  <c r="Q74" i="6"/>
  <c r="P74" i="6"/>
  <c r="O74" i="6"/>
  <c r="AP73" i="6"/>
  <c r="AM73" i="6"/>
  <c r="AL73" i="6"/>
  <c r="AK73" i="6"/>
  <c r="AJ73" i="6"/>
  <c r="AG73" i="6"/>
  <c r="AD73" i="6"/>
  <c r="AA73" i="6"/>
  <c r="Z73" i="6"/>
  <c r="Y73" i="6"/>
  <c r="W73" i="6"/>
  <c r="V73" i="6"/>
  <c r="Q73" i="6"/>
  <c r="P73" i="6"/>
  <c r="O73" i="6"/>
  <c r="AP72" i="6"/>
  <c r="AM72" i="6"/>
  <c r="AL72" i="6"/>
  <c r="AK72" i="6"/>
  <c r="AJ72" i="6"/>
  <c r="AG72" i="6"/>
  <c r="AD72" i="6"/>
  <c r="AA72" i="6"/>
  <c r="Z72" i="6"/>
  <c r="Y72" i="6"/>
  <c r="W72" i="6"/>
  <c r="V72" i="6"/>
  <c r="Q72" i="6"/>
  <c r="P72" i="6"/>
  <c r="O72" i="6"/>
  <c r="AP71" i="6"/>
  <c r="AM71" i="6"/>
  <c r="AL71" i="6"/>
  <c r="AK71" i="6"/>
  <c r="AJ71" i="6"/>
  <c r="AG71" i="6"/>
  <c r="AD71" i="6"/>
  <c r="AA71" i="6"/>
  <c r="Z71" i="6"/>
  <c r="Y71" i="6"/>
  <c r="W71" i="6"/>
  <c r="V71" i="6"/>
  <c r="Q71" i="6"/>
  <c r="P71" i="6"/>
  <c r="O71" i="6"/>
  <c r="AP70" i="6"/>
  <c r="AM70" i="6"/>
  <c r="AL70" i="6"/>
  <c r="AK70" i="6"/>
  <c r="AJ70" i="6"/>
  <c r="AG70" i="6"/>
  <c r="AD70" i="6"/>
  <c r="AA70" i="6"/>
  <c r="Z70" i="6"/>
  <c r="Y70" i="6"/>
  <c r="W70" i="6"/>
  <c r="V70" i="6"/>
  <c r="Q70" i="6"/>
  <c r="P70" i="6"/>
  <c r="O70" i="6"/>
  <c r="AP69" i="6"/>
  <c r="AM69" i="6"/>
  <c r="AL69" i="6"/>
  <c r="AK69" i="6"/>
  <c r="AJ69" i="6"/>
  <c r="AG69" i="6"/>
  <c r="AD69" i="6"/>
  <c r="AA69" i="6"/>
  <c r="Z69" i="6"/>
  <c r="Y69" i="6"/>
  <c r="W69" i="6"/>
  <c r="V69" i="6"/>
  <c r="Q69" i="6"/>
  <c r="P69" i="6"/>
  <c r="O69" i="6"/>
  <c r="AP68" i="6"/>
  <c r="AM68" i="6"/>
  <c r="AL68" i="6"/>
  <c r="AK68" i="6"/>
  <c r="AJ68" i="6"/>
  <c r="AG68" i="6"/>
  <c r="AD68" i="6"/>
  <c r="AA68" i="6"/>
  <c r="Z68" i="6"/>
  <c r="Y68" i="6"/>
  <c r="W68" i="6"/>
  <c r="V68" i="6"/>
  <c r="Q68" i="6"/>
  <c r="P68" i="6"/>
  <c r="O68" i="6"/>
  <c r="AP67" i="6"/>
  <c r="AM67" i="6"/>
  <c r="AL67" i="6"/>
  <c r="AK67" i="6"/>
  <c r="AJ67" i="6"/>
  <c r="AG67" i="6"/>
  <c r="AD67" i="6"/>
  <c r="AA67" i="6"/>
  <c r="Z67" i="6"/>
  <c r="Y67" i="6"/>
  <c r="W67" i="6"/>
  <c r="V67" i="6"/>
  <c r="Q67" i="6"/>
  <c r="P67" i="6"/>
  <c r="O67" i="6"/>
  <c r="AP66" i="6"/>
  <c r="AM66" i="6"/>
  <c r="AL66" i="6"/>
  <c r="AK66" i="6"/>
  <c r="AJ66" i="6"/>
  <c r="AG66" i="6"/>
  <c r="AD66" i="6"/>
  <c r="AA66" i="6"/>
  <c r="Z66" i="6"/>
  <c r="Y66" i="6"/>
  <c r="W66" i="6"/>
  <c r="V66" i="6"/>
  <c r="Q66" i="6"/>
  <c r="P66" i="6"/>
  <c r="O66" i="6"/>
  <c r="AP65" i="6"/>
  <c r="AM65" i="6"/>
  <c r="AL65" i="6"/>
  <c r="AK65" i="6"/>
  <c r="AJ65" i="6"/>
  <c r="AG65" i="6"/>
  <c r="AD65" i="6"/>
  <c r="AA65" i="6"/>
  <c r="Z65" i="6"/>
  <c r="Y65" i="6"/>
  <c r="W65" i="6"/>
  <c r="V65" i="6"/>
  <c r="Q65" i="6"/>
  <c r="P65" i="6"/>
  <c r="O65" i="6"/>
  <c r="AP64" i="6"/>
  <c r="AM64" i="6"/>
  <c r="AL64" i="6"/>
  <c r="AK64" i="6"/>
  <c r="AJ64" i="6"/>
  <c r="AG64" i="6"/>
  <c r="AD64" i="6"/>
  <c r="AA64" i="6"/>
  <c r="Z64" i="6"/>
  <c r="Y64" i="6"/>
  <c r="W64" i="6"/>
  <c r="V64" i="6"/>
  <c r="Q64" i="6"/>
  <c r="P64" i="6"/>
  <c r="O64" i="6"/>
  <c r="AP63" i="6"/>
  <c r="AM63" i="6"/>
  <c r="AL63" i="6"/>
  <c r="AK63" i="6"/>
  <c r="AJ63" i="6"/>
  <c r="AG63" i="6"/>
  <c r="AD63" i="6"/>
  <c r="AA63" i="6"/>
  <c r="Z63" i="6"/>
  <c r="Y63" i="6"/>
  <c r="W63" i="6"/>
  <c r="V63" i="6"/>
  <c r="Q63" i="6"/>
  <c r="P63" i="6"/>
  <c r="O63" i="6"/>
  <c r="AL62" i="6"/>
  <c r="AK62" i="6"/>
  <c r="AJ62" i="6"/>
  <c r="AG62" i="6"/>
  <c r="AD62" i="6"/>
  <c r="W62" i="6"/>
  <c r="V62" i="6"/>
  <c r="Q62" i="6"/>
  <c r="AL61" i="6"/>
  <c r="AK61" i="6"/>
  <c r="AJ61" i="6"/>
  <c r="AG61" i="6"/>
  <c r="AD61" i="6"/>
  <c r="AA61" i="6"/>
  <c r="Z61" i="6"/>
  <c r="Y61" i="6"/>
  <c r="W61" i="6"/>
  <c r="V61" i="6"/>
  <c r="Q61" i="6"/>
  <c r="O61" i="6"/>
  <c r="AL60" i="6"/>
  <c r="AK60" i="6"/>
  <c r="AJ60" i="6"/>
  <c r="AG60" i="6"/>
  <c r="AD60" i="6"/>
  <c r="AA60" i="6"/>
  <c r="Z60" i="6"/>
  <c r="Y60" i="6"/>
  <c r="W60" i="6"/>
  <c r="V60" i="6"/>
  <c r="Q60" i="6"/>
  <c r="AL59" i="6"/>
  <c r="AK59" i="6"/>
  <c r="AJ59" i="6"/>
  <c r="AG59" i="6"/>
  <c r="AD59" i="6"/>
  <c r="AA59" i="6"/>
  <c r="Z59" i="6"/>
  <c r="Y59" i="6"/>
  <c r="W59" i="6"/>
  <c r="V59" i="6"/>
  <c r="Q59" i="6"/>
  <c r="AL58" i="6"/>
  <c r="AK58" i="6"/>
  <c r="AJ58" i="6"/>
  <c r="AG58" i="6"/>
  <c r="AD58" i="6"/>
  <c r="AA58" i="6"/>
  <c r="Z58" i="6"/>
  <c r="Y58" i="6"/>
  <c r="W58" i="6"/>
  <c r="V58" i="6"/>
  <c r="Q58" i="6"/>
  <c r="AL57" i="6"/>
  <c r="AK57" i="6"/>
  <c r="AJ57" i="6"/>
  <c r="AG57" i="6"/>
  <c r="AD57" i="6"/>
  <c r="AA57" i="6"/>
  <c r="Z57" i="6"/>
  <c r="Y57" i="6"/>
  <c r="W57" i="6"/>
  <c r="V57" i="6"/>
  <c r="Q57" i="6"/>
  <c r="AL56" i="6"/>
  <c r="AK56" i="6"/>
  <c r="AJ56" i="6"/>
  <c r="AG56" i="6"/>
  <c r="AD56" i="6"/>
  <c r="AA56" i="6"/>
  <c r="Z56" i="6"/>
  <c r="Y56" i="6"/>
  <c r="W56" i="6"/>
  <c r="V56" i="6"/>
  <c r="Q56" i="6"/>
  <c r="AL55" i="6"/>
  <c r="AK55" i="6"/>
  <c r="AJ55" i="6"/>
  <c r="AG55" i="6"/>
  <c r="AD55" i="6"/>
  <c r="AA55" i="6"/>
  <c r="Z55" i="6"/>
  <c r="Y55" i="6"/>
  <c r="W55" i="6"/>
  <c r="V55" i="6"/>
  <c r="Q55" i="6"/>
  <c r="AL54" i="6"/>
  <c r="AK54" i="6"/>
  <c r="AJ54" i="6"/>
  <c r="AG54" i="6"/>
  <c r="AD54" i="6"/>
  <c r="AA54" i="6"/>
  <c r="Z54" i="6"/>
  <c r="Y54" i="6"/>
  <c r="W54" i="6"/>
  <c r="V54" i="6"/>
  <c r="Q54" i="6"/>
  <c r="AL53" i="6"/>
  <c r="AK53" i="6"/>
  <c r="AJ53" i="6"/>
  <c r="AG53" i="6"/>
  <c r="AD53" i="6"/>
  <c r="AA53" i="6"/>
  <c r="Z53" i="6"/>
  <c r="Y53" i="6"/>
  <c r="W53" i="6"/>
  <c r="V53" i="6"/>
  <c r="Q53" i="6"/>
  <c r="AL52" i="6"/>
  <c r="AK52" i="6"/>
  <c r="AJ52" i="6"/>
  <c r="AG52" i="6"/>
  <c r="AD52" i="6"/>
  <c r="AA52" i="6"/>
  <c r="Z52" i="6"/>
  <c r="Y52" i="6"/>
  <c r="W52" i="6"/>
  <c r="V52" i="6"/>
  <c r="Q52" i="6"/>
  <c r="AL51" i="6"/>
  <c r="AK51" i="6"/>
  <c r="AJ51" i="6"/>
  <c r="AG51" i="6"/>
  <c r="AD51" i="6"/>
  <c r="AA51" i="6"/>
  <c r="Z51" i="6"/>
  <c r="Y51" i="6"/>
  <c r="W51" i="6"/>
  <c r="V51" i="6"/>
  <c r="Q51" i="6"/>
  <c r="AL50" i="6"/>
  <c r="AK50" i="6"/>
  <c r="AJ50" i="6"/>
  <c r="AG50" i="6"/>
  <c r="AD50" i="6"/>
  <c r="AA50" i="6"/>
  <c r="Z50" i="6"/>
  <c r="Y50" i="6"/>
  <c r="W50" i="6"/>
  <c r="V50" i="6"/>
  <c r="Q50" i="6"/>
  <c r="AL49" i="6"/>
  <c r="AK49" i="6"/>
  <c r="AJ49" i="6"/>
  <c r="AG49" i="6"/>
  <c r="AD49" i="6"/>
  <c r="AA49" i="6"/>
  <c r="Z49" i="6"/>
  <c r="Y49" i="6"/>
  <c r="W49" i="6"/>
  <c r="V49" i="6"/>
  <c r="Q49" i="6"/>
  <c r="AL48" i="6"/>
  <c r="AK48" i="6"/>
  <c r="AJ48" i="6"/>
  <c r="AG48" i="6"/>
  <c r="AD48" i="6"/>
  <c r="AA48" i="6"/>
  <c r="Z48" i="6"/>
  <c r="Y48" i="6"/>
  <c r="W48" i="6"/>
  <c r="V48" i="6"/>
  <c r="Q48" i="6"/>
  <c r="AL47" i="6"/>
  <c r="AK47" i="6"/>
  <c r="AJ47" i="6"/>
  <c r="AG47" i="6"/>
  <c r="AD47" i="6"/>
  <c r="AA47" i="6"/>
  <c r="Z47" i="6"/>
  <c r="Y47" i="6"/>
  <c r="W47" i="6"/>
  <c r="V47" i="6"/>
  <c r="Q47" i="6"/>
  <c r="AL46" i="6"/>
  <c r="AK46" i="6"/>
  <c r="AJ46" i="6"/>
  <c r="AG46" i="6"/>
  <c r="AD46" i="6"/>
  <c r="AA46" i="6"/>
  <c r="Z46" i="6"/>
  <c r="Y46" i="6"/>
  <c r="W46" i="6"/>
  <c r="V46" i="6"/>
  <c r="Q46" i="6"/>
  <c r="AL45" i="6"/>
  <c r="AK45" i="6"/>
  <c r="AJ45" i="6"/>
  <c r="AG45" i="6"/>
  <c r="AD45" i="6"/>
  <c r="AA45" i="6"/>
  <c r="Z45" i="6"/>
  <c r="Y45" i="6"/>
  <c r="W45" i="6"/>
  <c r="V45" i="6"/>
  <c r="Q45" i="6"/>
  <c r="AL44" i="6"/>
  <c r="AK44" i="6"/>
  <c r="AJ44" i="6"/>
  <c r="AG44" i="6"/>
  <c r="AD44" i="6"/>
  <c r="AA44" i="6"/>
  <c r="Z44" i="6"/>
  <c r="Y44" i="6"/>
  <c r="W44" i="6"/>
  <c r="V44" i="6"/>
  <c r="Q44" i="6"/>
  <c r="AL43" i="6"/>
  <c r="AK43" i="6"/>
  <c r="AJ43" i="6"/>
  <c r="AG43" i="6"/>
  <c r="AD43" i="6"/>
  <c r="AA43" i="6"/>
  <c r="Z43" i="6"/>
  <c r="Y43" i="6"/>
  <c r="W43" i="6"/>
  <c r="V43" i="6"/>
  <c r="Q43" i="6"/>
  <c r="AL42" i="6"/>
  <c r="AK42" i="6"/>
  <c r="AJ42" i="6"/>
  <c r="AG42" i="6"/>
  <c r="AD42" i="6"/>
  <c r="AA42" i="6"/>
  <c r="Z42" i="6"/>
  <c r="Y42" i="6"/>
  <c r="W42" i="6"/>
  <c r="V42" i="6"/>
  <c r="Q42" i="6"/>
  <c r="AL41" i="6"/>
  <c r="AK41" i="6"/>
  <c r="AJ41" i="6"/>
  <c r="AG41" i="6"/>
  <c r="AD41" i="6"/>
  <c r="AA41" i="6"/>
  <c r="Z41" i="6"/>
  <c r="Y41" i="6"/>
  <c r="W41" i="6"/>
  <c r="V41" i="6"/>
  <c r="Q41" i="6"/>
  <c r="AL40" i="6"/>
  <c r="AK40" i="6"/>
  <c r="AJ40" i="6"/>
  <c r="AG40" i="6"/>
  <c r="AD40" i="6"/>
  <c r="AA40" i="6"/>
  <c r="Z40" i="6"/>
  <c r="Y40" i="6"/>
  <c r="W40" i="6"/>
  <c r="V40" i="6"/>
  <c r="Q40" i="6"/>
  <c r="AL39" i="6"/>
  <c r="AK39" i="6"/>
  <c r="AJ39" i="6"/>
  <c r="AG39" i="6"/>
  <c r="AD39" i="6"/>
  <c r="AA39" i="6"/>
  <c r="Z39" i="6"/>
  <c r="Y39" i="6"/>
  <c r="W39" i="6"/>
  <c r="V39" i="6"/>
  <c r="Q39" i="6"/>
  <c r="AL38" i="6"/>
  <c r="AK38" i="6"/>
  <c r="AJ38" i="6"/>
  <c r="AG38" i="6"/>
  <c r="AD38" i="6"/>
  <c r="AA38" i="6"/>
  <c r="Z38" i="6"/>
  <c r="Y38" i="6"/>
  <c r="W38" i="6"/>
  <c r="V38" i="6"/>
  <c r="Q38" i="6"/>
  <c r="AL37" i="6"/>
  <c r="AK37" i="6"/>
  <c r="AJ37" i="6"/>
  <c r="AG37" i="6"/>
  <c r="AD37" i="6"/>
  <c r="AA37" i="6"/>
  <c r="Z37" i="6"/>
  <c r="Y37" i="6"/>
  <c r="W37" i="6"/>
  <c r="V37" i="6"/>
  <c r="Q37" i="6"/>
  <c r="AL36" i="6"/>
  <c r="AK36" i="6"/>
  <c r="AJ36" i="6"/>
  <c r="AG36" i="6"/>
  <c r="AD36" i="6"/>
  <c r="AA36" i="6"/>
  <c r="Z36" i="6"/>
  <c r="Y36" i="6"/>
  <c r="W36" i="6"/>
  <c r="V36" i="6"/>
  <c r="Q36" i="6"/>
  <c r="AL35" i="6"/>
  <c r="AK35" i="6"/>
  <c r="AJ35" i="6"/>
  <c r="AG35" i="6"/>
  <c r="AD35" i="6"/>
  <c r="AA35" i="6"/>
  <c r="Z35" i="6"/>
  <c r="Y35" i="6"/>
  <c r="W35" i="6"/>
  <c r="V35" i="6"/>
  <c r="Q35" i="6"/>
  <c r="AL34" i="6"/>
  <c r="AK34" i="6"/>
  <c r="AJ34" i="6"/>
  <c r="AG34" i="6"/>
  <c r="AD34" i="6"/>
  <c r="AA34" i="6"/>
  <c r="Z34" i="6"/>
  <c r="Y34" i="6"/>
  <c r="W34" i="6"/>
  <c r="V34" i="6"/>
  <c r="Q34" i="6"/>
  <c r="AL33" i="6"/>
  <c r="AK33" i="6"/>
  <c r="AJ33" i="6"/>
  <c r="AG33" i="6"/>
  <c r="AD33" i="6"/>
  <c r="AA33" i="6"/>
  <c r="Z33" i="6"/>
  <c r="Y33" i="6"/>
  <c r="W33" i="6"/>
  <c r="V33" i="6"/>
  <c r="Q33" i="6"/>
  <c r="AM32" i="6"/>
  <c r="AP32" i="6" s="1"/>
  <c r="AL32" i="6"/>
  <c r="AA32" i="6"/>
  <c r="Z32" i="6"/>
  <c r="AK32" i="6" s="1"/>
  <c r="Y32" i="6"/>
  <c r="W32" i="6"/>
  <c r="V32" i="6"/>
  <c r="Q32" i="6"/>
  <c r="AL31" i="6"/>
  <c r="AA31" i="6"/>
  <c r="Z31" i="6"/>
  <c r="Y31" i="6"/>
  <c r="W31" i="6"/>
  <c r="V31" i="6"/>
  <c r="Q31" i="6"/>
  <c r="AL30" i="6"/>
  <c r="AA30" i="6"/>
  <c r="Z30" i="6"/>
  <c r="Y30" i="6"/>
  <c r="AK30" i="6" s="1"/>
  <c r="W30" i="6"/>
  <c r="V30" i="6"/>
  <c r="Q30" i="6"/>
  <c r="AL29" i="6"/>
  <c r="AA29" i="6"/>
  <c r="Z29" i="6"/>
  <c r="Y29" i="6"/>
  <c r="W29" i="6"/>
  <c r="V29" i="6"/>
  <c r="Q29" i="6"/>
  <c r="AL28" i="6"/>
  <c r="AA28" i="6"/>
  <c r="Z28" i="6"/>
  <c r="Y28" i="6"/>
  <c r="W28" i="6"/>
  <c r="V28" i="6"/>
  <c r="Q28" i="6"/>
  <c r="H28" i="6"/>
  <c r="AM27" i="6"/>
  <c r="AP27" i="6" s="1"/>
  <c r="AL27" i="6"/>
  <c r="AA27" i="6"/>
  <c r="Z27" i="6"/>
  <c r="Y27" i="6"/>
  <c r="W27" i="6"/>
  <c r="V27" i="6"/>
  <c r="Q27" i="6"/>
  <c r="O27" i="6"/>
  <c r="P27" i="6" s="1"/>
  <c r="AL26" i="6"/>
  <c r="AA26" i="6"/>
  <c r="Z26" i="6"/>
  <c r="Y26" i="6"/>
  <c r="W26" i="6"/>
  <c r="V26" i="6"/>
  <c r="Q26" i="6"/>
  <c r="AL25" i="6"/>
  <c r="AA25" i="6"/>
  <c r="Z25" i="6"/>
  <c r="Y25" i="6"/>
  <c r="W25" i="6"/>
  <c r="V25" i="6"/>
  <c r="Q25" i="6"/>
  <c r="AL24" i="6"/>
  <c r="AA24" i="6"/>
  <c r="Z24" i="6"/>
  <c r="Y24" i="6"/>
  <c r="W24" i="6"/>
  <c r="V24" i="6"/>
  <c r="Q24" i="6"/>
  <c r="AL23" i="6"/>
  <c r="AA23" i="6"/>
  <c r="Z23" i="6"/>
  <c r="Y23" i="6"/>
  <c r="W23" i="6"/>
  <c r="V23" i="6"/>
  <c r="Q23" i="6"/>
  <c r="AL22" i="6"/>
  <c r="AA22" i="6"/>
  <c r="Z22" i="6"/>
  <c r="Y22" i="6"/>
  <c r="W22" i="6"/>
  <c r="V22" i="6"/>
  <c r="Q22" i="6"/>
  <c r="AL21" i="6"/>
  <c r="AA21" i="6"/>
  <c r="Z21" i="6"/>
  <c r="Y21" i="6"/>
  <c r="W21" i="6"/>
  <c r="V21" i="6"/>
  <c r="Q21" i="6"/>
  <c r="AL20" i="6"/>
  <c r="AA20" i="6"/>
  <c r="Z20" i="6"/>
  <c r="Y20" i="6"/>
  <c r="W20" i="6"/>
  <c r="V20" i="6"/>
  <c r="Q20" i="6"/>
  <c r="AL19" i="6"/>
  <c r="AA19" i="6"/>
  <c r="Z19" i="6"/>
  <c r="Y19" i="6"/>
  <c r="W19" i="6"/>
  <c r="V19" i="6"/>
  <c r="Q19" i="6"/>
  <c r="AM18" i="6"/>
  <c r="AP18" i="6" s="1"/>
  <c r="AL18" i="6"/>
  <c r="AA18" i="6"/>
  <c r="Z18" i="6"/>
  <c r="Y18" i="6"/>
  <c r="AK18" i="6" s="1"/>
  <c r="W18" i="6"/>
  <c r="V18" i="6"/>
  <c r="Q18" i="6"/>
  <c r="AL17" i="6"/>
  <c r="AA17" i="6"/>
  <c r="Z17" i="6"/>
  <c r="Y17" i="6"/>
  <c r="W17" i="6"/>
  <c r="V17" i="6"/>
  <c r="Q17" i="6"/>
  <c r="AL16" i="6"/>
  <c r="AK16" i="6"/>
  <c r="AA16" i="6"/>
  <c r="Z16" i="6"/>
  <c r="Y16" i="6"/>
  <c r="W16" i="6"/>
  <c r="V16" i="6"/>
  <c r="Q16" i="6"/>
  <c r="AL15" i="6"/>
  <c r="AA15" i="6"/>
  <c r="Z15" i="6"/>
  <c r="Y15" i="6"/>
  <c r="AK15" i="6" s="1"/>
  <c r="W15" i="6"/>
  <c r="V15" i="6"/>
  <c r="Q15" i="6"/>
  <c r="AL14" i="6"/>
  <c r="AA14" i="6"/>
  <c r="Z14" i="6"/>
  <c r="Y14" i="6"/>
  <c r="AK14" i="6" s="1"/>
  <c r="W14" i="6"/>
  <c r="V14" i="6"/>
  <c r="Q14" i="6"/>
  <c r="AL13" i="6"/>
  <c r="AA13" i="6"/>
  <c r="Z13" i="6"/>
  <c r="Y13" i="6"/>
  <c r="AK13" i="6" s="1"/>
  <c r="W13" i="6"/>
  <c r="V13" i="6"/>
  <c r="Q13" i="6"/>
  <c r="AL12" i="6"/>
  <c r="AA12" i="6"/>
  <c r="Z12" i="6"/>
  <c r="Y12" i="6"/>
  <c r="AK12" i="6" s="1"/>
  <c r="W12" i="6"/>
  <c r="V12" i="6"/>
  <c r="Q12" i="6"/>
  <c r="AL11" i="6"/>
  <c r="AK11" i="6"/>
  <c r="AA11" i="6"/>
  <c r="Z11" i="6"/>
  <c r="Y11" i="6"/>
  <c r="W11" i="6"/>
  <c r="V11" i="6"/>
  <c r="Q11" i="6"/>
  <c r="B11" i="6"/>
  <c r="AL10" i="6"/>
  <c r="AK10" i="6"/>
  <c r="AA10" i="6"/>
  <c r="Z10" i="6"/>
  <c r="Y10" i="6"/>
  <c r="W10" i="6"/>
  <c r="V10" i="6"/>
  <c r="Q10" i="6"/>
  <c r="AL9" i="6"/>
  <c r="AA9" i="6"/>
  <c r="Z9" i="6"/>
  <c r="Y9" i="6"/>
  <c r="W9" i="6"/>
  <c r="V9" i="6"/>
  <c r="Q9" i="6"/>
  <c r="AL8" i="6"/>
  <c r="AA8" i="6"/>
  <c r="Z8" i="6"/>
  <c r="Y8" i="6"/>
  <c r="AK8" i="6" s="1"/>
  <c r="W8" i="6"/>
  <c r="V8" i="6"/>
  <c r="Q8" i="6"/>
  <c r="AL7" i="6"/>
  <c r="AA7" i="6"/>
  <c r="Z7" i="6"/>
  <c r="Y7" i="6"/>
  <c r="W7" i="6"/>
  <c r="V7" i="6"/>
  <c r="Q7" i="6"/>
  <c r="AL6" i="6"/>
  <c r="AA6" i="6"/>
  <c r="Z6" i="6"/>
  <c r="Y6" i="6"/>
  <c r="AK6" i="6" s="1"/>
  <c r="W6" i="6"/>
  <c r="V6" i="6"/>
  <c r="Q6" i="6"/>
  <c r="O6" i="6"/>
  <c r="P6" i="6" s="1"/>
  <c r="AL5" i="6"/>
  <c r="AK5" i="6"/>
  <c r="AA5" i="6"/>
  <c r="Z5" i="6"/>
  <c r="Y5" i="6"/>
  <c r="W5" i="6"/>
  <c r="V5" i="6"/>
  <c r="Q5" i="6"/>
  <c r="AL4" i="6"/>
  <c r="AK4" i="6"/>
  <c r="AA4" i="6"/>
  <c r="Z4" i="6"/>
  <c r="Y4" i="6"/>
  <c r="W4" i="6"/>
  <c r="V4" i="6"/>
  <c r="Q4" i="6"/>
  <c r="AL3" i="6"/>
  <c r="AA3" i="6"/>
  <c r="AJ3" i="6" s="1"/>
  <c r="AJ4" i="6" s="1"/>
  <c r="AJ5" i="6" s="1"/>
  <c r="Z3" i="6"/>
  <c r="Y3" i="6"/>
  <c r="AK3" i="6" s="1"/>
  <c r="W3" i="6"/>
  <c r="V3" i="6"/>
  <c r="Q3" i="6"/>
  <c r="AM2" i="6"/>
  <c r="AP2" i="6" s="1"/>
  <c r="AL2" i="6"/>
  <c r="AK2" i="6"/>
  <c r="AJ2" i="6"/>
  <c r="AG2" i="6"/>
  <c r="AD2" i="6"/>
  <c r="AA2" i="6"/>
  <c r="Z2" i="6"/>
  <c r="Y2" i="6"/>
  <c r="W2" i="6"/>
  <c r="V2" i="6"/>
  <c r="Q2" i="6"/>
  <c r="AL107" i="5"/>
  <c r="AK107" i="5"/>
  <c r="AJ107" i="5"/>
  <c r="AG107" i="5"/>
  <c r="AD107" i="5"/>
  <c r="W107" i="5"/>
  <c r="V107" i="5"/>
  <c r="Q107" i="5"/>
  <c r="AL106" i="5"/>
  <c r="AK106" i="5"/>
  <c r="AJ106" i="5"/>
  <c r="AG106" i="5"/>
  <c r="AD106" i="5"/>
  <c r="AA106" i="5"/>
  <c r="Z106" i="5"/>
  <c r="Y106" i="5"/>
  <c r="W106" i="5"/>
  <c r="V106" i="5"/>
  <c r="Q106" i="5"/>
  <c r="AL105" i="5"/>
  <c r="AK105" i="5"/>
  <c r="AJ105" i="5"/>
  <c r="AG105" i="5"/>
  <c r="AD105" i="5"/>
  <c r="AA105" i="5"/>
  <c r="Z105" i="5"/>
  <c r="Y105" i="5"/>
  <c r="W105" i="5"/>
  <c r="V105" i="5"/>
  <c r="Q105" i="5"/>
  <c r="AL104" i="5"/>
  <c r="AK104" i="5"/>
  <c r="AJ104" i="5"/>
  <c r="AG104" i="5"/>
  <c r="AD104" i="5"/>
  <c r="AA104" i="5"/>
  <c r="Z104" i="5"/>
  <c r="Y104" i="5"/>
  <c r="W104" i="5"/>
  <c r="V104" i="5"/>
  <c r="Q104" i="5"/>
  <c r="AL103" i="5"/>
  <c r="AK103" i="5"/>
  <c r="AJ103" i="5"/>
  <c r="AG103" i="5"/>
  <c r="AD103" i="5"/>
  <c r="AA103" i="5"/>
  <c r="Z103" i="5"/>
  <c r="Y103" i="5"/>
  <c r="W103" i="5"/>
  <c r="V103" i="5"/>
  <c r="Q103" i="5"/>
  <c r="AL102" i="5"/>
  <c r="AK102" i="5"/>
  <c r="AJ102" i="5"/>
  <c r="AG102" i="5"/>
  <c r="AD102" i="5"/>
  <c r="AA102" i="5"/>
  <c r="Z102" i="5"/>
  <c r="Y102" i="5"/>
  <c r="W102" i="5"/>
  <c r="V102" i="5"/>
  <c r="Q102" i="5"/>
  <c r="AL101" i="5"/>
  <c r="AK101" i="5"/>
  <c r="AJ101" i="5"/>
  <c r="AG101" i="5"/>
  <c r="AD101" i="5"/>
  <c r="AA101" i="5"/>
  <c r="Z101" i="5"/>
  <c r="Y101" i="5"/>
  <c r="W101" i="5"/>
  <c r="V101" i="5"/>
  <c r="Q101" i="5"/>
  <c r="AL100" i="5"/>
  <c r="AK100" i="5"/>
  <c r="AJ100" i="5"/>
  <c r="AG100" i="5"/>
  <c r="AD100" i="5"/>
  <c r="AA100" i="5"/>
  <c r="Z100" i="5"/>
  <c r="Y100" i="5"/>
  <c r="W100" i="5"/>
  <c r="V100" i="5"/>
  <c r="Q100" i="5"/>
  <c r="AL99" i="5"/>
  <c r="AK99" i="5"/>
  <c r="AJ99" i="5"/>
  <c r="AG99" i="5"/>
  <c r="AD99" i="5"/>
  <c r="AA99" i="5"/>
  <c r="Z99" i="5"/>
  <c r="Y99" i="5"/>
  <c r="W99" i="5"/>
  <c r="V99" i="5"/>
  <c r="Q99" i="5"/>
  <c r="AL98" i="5"/>
  <c r="AK98" i="5"/>
  <c r="AJ98" i="5"/>
  <c r="AG98" i="5"/>
  <c r="AD98" i="5"/>
  <c r="AA98" i="5"/>
  <c r="Z98" i="5"/>
  <c r="Y98" i="5"/>
  <c r="W98" i="5"/>
  <c r="V98" i="5"/>
  <c r="Q98" i="5"/>
  <c r="AL97" i="5"/>
  <c r="AK97" i="5"/>
  <c r="AJ97" i="5"/>
  <c r="AG97" i="5"/>
  <c r="AD97" i="5"/>
  <c r="W97" i="5"/>
  <c r="V97" i="5"/>
  <c r="Q97" i="5"/>
  <c r="AL96" i="5"/>
  <c r="AK96" i="5"/>
  <c r="AJ96" i="5"/>
  <c r="AG96" i="5"/>
  <c r="AD96" i="5"/>
  <c r="AA96" i="5"/>
  <c r="Z96" i="5"/>
  <c r="Y96" i="5"/>
  <c r="W96" i="5"/>
  <c r="V96" i="5"/>
  <c r="Q96" i="5"/>
  <c r="AL95" i="5"/>
  <c r="AK95" i="5"/>
  <c r="AJ95" i="5"/>
  <c r="AG95" i="5"/>
  <c r="AD95" i="5"/>
  <c r="AA95" i="5"/>
  <c r="Z95" i="5"/>
  <c r="Y95" i="5"/>
  <c r="W95" i="5"/>
  <c r="V95" i="5"/>
  <c r="Q95" i="5"/>
  <c r="AL94" i="5"/>
  <c r="AK94" i="5"/>
  <c r="AJ94" i="5"/>
  <c r="AG94" i="5"/>
  <c r="AD94" i="5"/>
  <c r="AA94" i="5"/>
  <c r="Z94" i="5"/>
  <c r="Y94" i="5"/>
  <c r="W94" i="5"/>
  <c r="V94" i="5"/>
  <c r="Q94" i="5"/>
  <c r="AL93" i="5"/>
  <c r="AK93" i="5"/>
  <c r="AJ93" i="5"/>
  <c r="AG93" i="5"/>
  <c r="AD93" i="5"/>
  <c r="AA93" i="5"/>
  <c r="Z93" i="5"/>
  <c r="Y93" i="5"/>
  <c r="W93" i="5"/>
  <c r="V93" i="5"/>
  <c r="Q93" i="5"/>
  <c r="AL92" i="5"/>
  <c r="AK92" i="5"/>
  <c r="AJ92" i="5"/>
  <c r="AG92" i="5"/>
  <c r="AD92" i="5"/>
  <c r="AA92" i="5"/>
  <c r="Z92" i="5"/>
  <c r="Y92" i="5"/>
  <c r="W92" i="5"/>
  <c r="V92" i="5"/>
  <c r="Q92" i="5"/>
  <c r="AL91" i="5"/>
  <c r="AK91" i="5"/>
  <c r="AJ91" i="5"/>
  <c r="AG91" i="5"/>
  <c r="AD91" i="5"/>
  <c r="AA91" i="5"/>
  <c r="Z91" i="5"/>
  <c r="Y91" i="5"/>
  <c r="W91" i="5"/>
  <c r="V91" i="5"/>
  <c r="Q91" i="5"/>
  <c r="AL90" i="5"/>
  <c r="AK90" i="5"/>
  <c r="AJ90" i="5"/>
  <c r="AG90" i="5"/>
  <c r="AD90" i="5"/>
  <c r="AA90" i="5"/>
  <c r="Z90" i="5"/>
  <c r="Y90" i="5"/>
  <c r="W90" i="5"/>
  <c r="V90" i="5"/>
  <c r="Q90" i="5"/>
  <c r="AL89" i="5"/>
  <c r="AK89" i="5"/>
  <c r="AJ89" i="5"/>
  <c r="AG89" i="5"/>
  <c r="AD89" i="5"/>
  <c r="AA89" i="5"/>
  <c r="Z89" i="5"/>
  <c r="Y89" i="5"/>
  <c r="W89" i="5"/>
  <c r="V89" i="5"/>
  <c r="Q89" i="5"/>
  <c r="AL88" i="5"/>
  <c r="AK88" i="5"/>
  <c r="AJ88" i="5"/>
  <c r="AG88" i="5"/>
  <c r="AD88" i="5"/>
  <c r="W88" i="5"/>
  <c r="V88" i="5"/>
  <c r="Q88" i="5"/>
  <c r="AL87" i="5"/>
  <c r="AK87" i="5"/>
  <c r="AJ87" i="5"/>
  <c r="AG87" i="5"/>
  <c r="AD87" i="5"/>
  <c r="AA87" i="5"/>
  <c r="Z87" i="5"/>
  <c r="Y87" i="5"/>
  <c r="W87" i="5"/>
  <c r="V87" i="5"/>
  <c r="Q87" i="5"/>
  <c r="AL86" i="5"/>
  <c r="AK86" i="5"/>
  <c r="AJ86" i="5"/>
  <c r="AG86" i="5"/>
  <c r="AD86" i="5"/>
  <c r="AA86" i="5"/>
  <c r="Z86" i="5"/>
  <c r="Y86" i="5"/>
  <c r="W86" i="5"/>
  <c r="V86" i="5"/>
  <c r="Q86" i="5"/>
  <c r="AL85" i="5"/>
  <c r="AK85" i="5"/>
  <c r="AJ85" i="5"/>
  <c r="AG85" i="5"/>
  <c r="AD85" i="5"/>
  <c r="AA85" i="5"/>
  <c r="Z85" i="5"/>
  <c r="Y85" i="5"/>
  <c r="W85" i="5"/>
  <c r="V85" i="5"/>
  <c r="Q85" i="5"/>
  <c r="AL84" i="5"/>
  <c r="AK84" i="5"/>
  <c r="AJ84" i="5"/>
  <c r="AG84" i="5"/>
  <c r="AD84" i="5"/>
  <c r="AA84" i="5"/>
  <c r="Z84" i="5"/>
  <c r="Y84" i="5"/>
  <c r="W84" i="5"/>
  <c r="V84" i="5"/>
  <c r="Q84" i="5"/>
  <c r="AL83" i="5"/>
  <c r="AK83" i="5"/>
  <c r="AJ83" i="5"/>
  <c r="AG83" i="5"/>
  <c r="AD83" i="5"/>
  <c r="AA83" i="5"/>
  <c r="Z83" i="5"/>
  <c r="Y83" i="5"/>
  <c r="W83" i="5"/>
  <c r="V83" i="5"/>
  <c r="Q83" i="5"/>
  <c r="AL82" i="5"/>
  <c r="AK82" i="5"/>
  <c r="AJ82" i="5"/>
  <c r="AG82" i="5"/>
  <c r="AD82" i="5"/>
  <c r="AA82" i="5"/>
  <c r="Z82" i="5"/>
  <c r="Y82" i="5"/>
  <c r="W82" i="5"/>
  <c r="V82" i="5"/>
  <c r="Q82" i="5"/>
  <c r="AL81" i="5"/>
  <c r="AK81" i="5"/>
  <c r="AJ81" i="5"/>
  <c r="AG81" i="5"/>
  <c r="AD81" i="5"/>
  <c r="AA81" i="5"/>
  <c r="Z81" i="5"/>
  <c r="Y81" i="5"/>
  <c r="W81" i="5"/>
  <c r="V81" i="5"/>
  <c r="Q81" i="5"/>
  <c r="AL80" i="5"/>
  <c r="AK80" i="5"/>
  <c r="AJ80" i="5"/>
  <c r="AG80" i="5"/>
  <c r="AD80" i="5"/>
  <c r="AA80" i="5"/>
  <c r="Z80" i="5"/>
  <c r="Y80" i="5"/>
  <c r="W80" i="5"/>
  <c r="V80" i="5"/>
  <c r="Q80" i="5"/>
  <c r="AL79" i="5"/>
  <c r="AK79" i="5"/>
  <c r="AJ79" i="5"/>
  <c r="AG79" i="5"/>
  <c r="AD79" i="5"/>
  <c r="AA79" i="5"/>
  <c r="Z79" i="5"/>
  <c r="Y79" i="5"/>
  <c r="W79" i="5"/>
  <c r="V79" i="5"/>
  <c r="Q79" i="5"/>
  <c r="AL78" i="5"/>
  <c r="AK78" i="5"/>
  <c r="AJ78" i="5"/>
  <c r="AG78" i="5"/>
  <c r="AD78" i="5"/>
  <c r="W78" i="5"/>
  <c r="V78" i="5"/>
  <c r="Q78" i="5"/>
  <c r="AL77" i="5"/>
  <c r="AK77" i="5"/>
  <c r="AJ77" i="5"/>
  <c r="AG77" i="5"/>
  <c r="AD77" i="5"/>
  <c r="AA77" i="5"/>
  <c r="Z77" i="5"/>
  <c r="Y77" i="5"/>
  <c r="W77" i="5"/>
  <c r="V77" i="5"/>
  <c r="Q77" i="5"/>
  <c r="AL76" i="5"/>
  <c r="AK76" i="5"/>
  <c r="AJ76" i="5"/>
  <c r="AG76" i="5"/>
  <c r="AD76" i="5"/>
  <c r="AA76" i="5"/>
  <c r="Z76" i="5"/>
  <c r="Y76" i="5"/>
  <c r="W76" i="5"/>
  <c r="V76" i="5"/>
  <c r="Q76" i="5"/>
  <c r="AL75" i="5"/>
  <c r="AK75" i="5"/>
  <c r="AJ75" i="5"/>
  <c r="AG75" i="5"/>
  <c r="AD75" i="5"/>
  <c r="AA75" i="5"/>
  <c r="Z75" i="5"/>
  <c r="Y75" i="5"/>
  <c r="W75" i="5"/>
  <c r="V75" i="5"/>
  <c r="Q75" i="5"/>
  <c r="AL74" i="5"/>
  <c r="AK74" i="5"/>
  <c r="AJ74" i="5"/>
  <c r="AG74" i="5"/>
  <c r="AD74" i="5"/>
  <c r="AA74" i="5"/>
  <c r="Z74" i="5"/>
  <c r="Y74" i="5"/>
  <c r="W74" i="5"/>
  <c r="V74" i="5"/>
  <c r="Q74" i="5"/>
  <c r="AL73" i="5"/>
  <c r="AK73" i="5"/>
  <c r="AJ73" i="5"/>
  <c r="AG73" i="5"/>
  <c r="AD73" i="5"/>
  <c r="AA73" i="5"/>
  <c r="Z73" i="5"/>
  <c r="Y73" i="5"/>
  <c r="W73" i="5"/>
  <c r="V73" i="5"/>
  <c r="Q73" i="5"/>
  <c r="AL72" i="5"/>
  <c r="AK72" i="5"/>
  <c r="AJ72" i="5"/>
  <c r="AG72" i="5"/>
  <c r="AD72" i="5"/>
  <c r="AA72" i="5"/>
  <c r="Z72" i="5"/>
  <c r="Y72" i="5"/>
  <c r="W72" i="5"/>
  <c r="V72" i="5"/>
  <c r="Q72" i="5"/>
  <c r="AL71" i="5"/>
  <c r="AK71" i="5"/>
  <c r="AJ71" i="5"/>
  <c r="AG71" i="5"/>
  <c r="AD71" i="5"/>
  <c r="AA71" i="5"/>
  <c r="Z71" i="5"/>
  <c r="Y71" i="5"/>
  <c r="W71" i="5"/>
  <c r="V71" i="5"/>
  <c r="Q71" i="5"/>
  <c r="AL70" i="5"/>
  <c r="AK70" i="5"/>
  <c r="AJ70" i="5"/>
  <c r="AG70" i="5"/>
  <c r="AD70" i="5"/>
  <c r="AA70" i="5"/>
  <c r="Z70" i="5"/>
  <c r="Y70" i="5"/>
  <c r="W70" i="5"/>
  <c r="V70" i="5"/>
  <c r="Q70" i="5"/>
  <c r="AL69" i="5"/>
  <c r="AK69" i="5"/>
  <c r="AJ69" i="5"/>
  <c r="AG69" i="5"/>
  <c r="AD69" i="5"/>
  <c r="AA69" i="5"/>
  <c r="Z69" i="5"/>
  <c r="Y69" i="5"/>
  <c r="W69" i="5"/>
  <c r="V69" i="5"/>
  <c r="Q69" i="5"/>
  <c r="AL68" i="5"/>
  <c r="AK68" i="5"/>
  <c r="AJ68" i="5"/>
  <c r="AG68" i="5"/>
  <c r="AD68" i="5"/>
  <c r="W68" i="5"/>
  <c r="V68" i="5"/>
  <c r="Q68" i="5"/>
  <c r="AL67" i="5"/>
  <c r="AK67" i="5"/>
  <c r="AJ67" i="5"/>
  <c r="AG67" i="5"/>
  <c r="AD67" i="5"/>
  <c r="AA67" i="5"/>
  <c r="Z67" i="5"/>
  <c r="Y67" i="5"/>
  <c r="W67" i="5"/>
  <c r="V67" i="5"/>
  <c r="Q67" i="5"/>
  <c r="AL66" i="5"/>
  <c r="AK66" i="5"/>
  <c r="AJ66" i="5"/>
  <c r="AG66" i="5"/>
  <c r="AD66" i="5"/>
  <c r="AA66" i="5"/>
  <c r="Z66" i="5"/>
  <c r="Y66" i="5"/>
  <c r="W66" i="5"/>
  <c r="V66" i="5"/>
  <c r="Q66" i="5"/>
  <c r="AL65" i="5"/>
  <c r="AK65" i="5"/>
  <c r="AJ65" i="5"/>
  <c r="AG65" i="5"/>
  <c r="AD65" i="5"/>
  <c r="AA65" i="5"/>
  <c r="Z65" i="5"/>
  <c r="Y65" i="5"/>
  <c r="W65" i="5"/>
  <c r="V65" i="5"/>
  <c r="Q65" i="5"/>
  <c r="AL64" i="5"/>
  <c r="AK64" i="5"/>
  <c r="AJ64" i="5"/>
  <c r="AG64" i="5"/>
  <c r="AD64" i="5"/>
  <c r="AA64" i="5"/>
  <c r="Z64" i="5"/>
  <c r="Y64" i="5"/>
  <c r="W64" i="5"/>
  <c r="V64" i="5"/>
  <c r="Q64" i="5"/>
  <c r="AL63" i="5"/>
  <c r="AK63" i="5"/>
  <c r="AJ63" i="5"/>
  <c r="AG63" i="5"/>
  <c r="AD63" i="5"/>
  <c r="AA63" i="5"/>
  <c r="Z63" i="5"/>
  <c r="Y63" i="5"/>
  <c r="W63" i="5"/>
  <c r="V63" i="5"/>
  <c r="Q63" i="5"/>
  <c r="AL62" i="5"/>
  <c r="AK62" i="5"/>
  <c r="AJ62" i="5"/>
  <c r="AG62" i="5"/>
  <c r="AD62" i="5"/>
  <c r="AA62" i="5"/>
  <c r="Z62" i="5"/>
  <c r="Y62" i="5"/>
  <c r="W62" i="5"/>
  <c r="V62" i="5"/>
  <c r="Q62" i="5"/>
  <c r="AL61" i="5"/>
  <c r="AK61" i="5"/>
  <c r="AJ61" i="5"/>
  <c r="AG61" i="5"/>
  <c r="AD61" i="5"/>
  <c r="AA61" i="5"/>
  <c r="Z61" i="5"/>
  <c r="Y61" i="5"/>
  <c r="W61" i="5"/>
  <c r="V61" i="5"/>
  <c r="Q61" i="5"/>
  <c r="AL60" i="5"/>
  <c r="AK60" i="5"/>
  <c r="AJ60" i="5"/>
  <c r="AG60" i="5"/>
  <c r="AD60" i="5"/>
  <c r="AA60" i="5"/>
  <c r="Z60" i="5"/>
  <c r="Y60" i="5"/>
  <c r="W60" i="5"/>
  <c r="V60" i="5"/>
  <c r="Q60" i="5"/>
  <c r="AL59" i="5"/>
  <c r="AK59" i="5"/>
  <c r="AJ59" i="5"/>
  <c r="AG59" i="5"/>
  <c r="AD59" i="5"/>
  <c r="AA59" i="5"/>
  <c r="Z59" i="5"/>
  <c r="Y59" i="5"/>
  <c r="W59" i="5"/>
  <c r="V59" i="5"/>
  <c r="Q59" i="5"/>
  <c r="AL58" i="5"/>
  <c r="AK58" i="5"/>
  <c r="AJ58" i="5"/>
  <c r="AG58" i="5"/>
  <c r="AD58" i="5"/>
  <c r="W58" i="5"/>
  <c r="V58" i="5"/>
  <c r="Q58" i="5"/>
  <c r="AL57" i="5"/>
  <c r="AK57" i="5"/>
  <c r="AJ57" i="5"/>
  <c r="AG57" i="5"/>
  <c r="AD57" i="5"/>
  <c r="AA57" i="5"/>
  <c r="Z57" i="5"/>
  <c r="Y57" i="5"/>
  <c r="W57" i="5"/>
  <c r="V57" i="5"/>
  <c r="Q57" i="5"/>
  <c r="AL56" i="5"/>
  <c r="AK56" i="5"/>
  <c r="AJ56" i="5"/>
  <c r="AG56" i="5"/>
  <c r="AD56" i="5"/>
  <c r="AA56" i="5"/>
  <c r="Z56" i="5"/>
  <c r="Y56" i="5"/>
  <c r="W56" i="5"/>
  <c r="V56" i="5"/>
  <c r="Q56" i="5"/>
  <c r="AL55" i="5"/>
  <c r="AK55" i="5"/>
  <c r="AJ55" i="5"/>
  <c r="AG55" i="5"/>
  <c r="AD55" i="5"/>
  <c r="AA55" i="5"/>
  <c r="Z55" i="5"/>
  <c r="Y55" i="5"/>
  <c r="W55" i="5"/>
  <c r="V55" i="5"/>
  <c r="Q55" i="5"/>
  <c r="AL54" i="5"/>
  <c r="AK54" i="5"/>
  <c r="AJ54" i="5"/>
  <c r="AG54" i="5"/>
  <c r="AD54" i="5"/>
  <c r="AA54" i="5"/>
  <c r="Z54" i="5"/>
  <c r="Y54" i="5"/>
  <c r="W54" i="5"/>
  <c r="V54" i="5"/>
  <c r="Q54" i="5"/>
  <c r="AL53" i="5"/>
  <c r="AK53" i="5"/>
  <c r="AJ53" i="5"/>
  <c r="AG53" i="5"/>
  <c r="AD53" i="5"/>
  <c r="AA53" i="5"/>
  <c r="Z53" i="5"/>
  <c r="Y53" i="5"/>
  <c r="W53" i="5"/>
  <c r="V53" i="5"/>
  <c r="Q53" i="5"/>
  <c r="AL52" i="5"/>
  <c r="AK52" i="5"/>
  <c r="AJ52" i="5"/>
  <c r="AG52" i="5"/>
  <c r="AD52" i="5"/>
  <c r="AA52" i="5"/>
  <c r="Z52" i="5"/>
  <c r="Y52" i="5"/>
  <c r="W52" i="5"/>
  <c r="V52" i="5"/>
  <c r="Q52" i="5"/>
  <c r="AL51" i="5"/>
  <c r="AK51" i="5"/>
  <c r="AJ51" i="5"/>
  <c r="AG51" i="5"/>
  <c r="AD51" i="5"/>
  <c r="AA51" i="5"/>
  <c r="Z51" i="5"/>
  <c r="Y51" i="5"/>
  <c r="W51" i="5"/>
  <c r="V51" i="5"/>
  <c r="Q51" i="5"/>
  <c r="AL50" i="5"/>
  <c r="AK50" i="5"/>
  <c r="AJ50" i="5"/>
  <c r="AG50" i="5"/>
  <c r="AD50" i="5"/>
  <c r="AA50" i="5"/>
  <c r="Z50" i="5"/>
  <c r="Y50" i="5"/>
  <c r="W50" i="5"/>
  <c r="V50" i="5"/>
  <c r="Q50" i="5"/>
  <c r="AL49" i="5"/>
  <c r="AK49" i="5"/>
  <c r="AJ49" i="5"/>
  <c r="AG49" i="5"/>
  <c r="AD49" i="5"/>
  <c r="AA49" i="5"/>
  <c r="Z49" i="5"/>
  <c r="Y49" i="5"/>
  <c r="W49" i="5"/>
  <c r="V49" i="5"/>
  <c r="Q49" i="5"/>
  <c r="AL48" i="5"/>
  <c r="AK48" i="5"/>
  <c r="AJ48" i="5"/>
  <c r="AG48" i="5"/>
  <c r="AD48" i="5"/>
  <c r="W48" i="5"/>
  <c r="V48" i="5"/>
  <c r="Q48" i="5"/>
  <c r="AL47" i="5"/>
  <c r="AK47" i="5"/>
  <c r="AJ47" i="5"/>
  <c r="AG47" i="5"/>
  <c r="AD47" i="5"/>
  <c r="AA47" i="5"/>
  <c r="Z47" i="5"/>
  <c r="Y47" i="5"/>
  <c r="W47" i="5"/>
  <c r="V47" i="5"/>
  <c r="Q47" i="5"/>
  <c r="AL46" i="5"/>
  <c r="AK46" i="5"/>
  <c r="AJ46" i="5"/>
  <c r="AG46" i="5"/>
  <c r="AD46" i="5"/>
  <c r="AA46" i="5"/>
  <c r="Z46" i="5"/>
  <c r="Y46" i="5"/>
  <c r="W46" i="5"/>
  <c r="V46" i="5"/>
  <c r="Q46" i="5"/>
  <c r="AL45" i="5"/>
  <c r="AK45" i="5"/>
  <c r="AJ45" i="5"/>
  <c r="AG45" i="5"/>
  <c r="AD45" i="5"/>
  <c r="AA45" i="5"/>
  <c r="Z45" i="5"/>
  <c r="Y45" i="5"/>
  <c r="W45" i="5"/>
  <c r="V45" i="5"/>
  <c r="Q45" i="5"/>
  <c r="AL44" i="5"/>
  <c r="AK44" i="5"/>
  <c r="AJ44" i="5"/>
  <c r="AG44" i="5"/>
  <c r="AD44" i="5"/>
  <c r="AA44" i="5"/>
  <c r="Z44" i="5"/>
  <c r="Y44" i="5"/>
  <c r="W44" i="5"/>
  <c r="V44" i="5"/>
  <c r="Q44" i="5"/>
  <c r="AL43" i="5"/>
  <c r="AK43" i="5"/>
  <c r="AJ43" i="5"/>
  <c r="AG43" i="5"/>
  <c r="AD43" i="5"/>
  <c r="AA43" i="5"/>
  <c r="Z43" i="5"/>
  <c r="Y43" i="5"/>
  <c r="W43" i="5"/>
  <c r="V43" i="5"/>
  <c r="Q43" i="5"/>
  <c r="AL42" i="5"/>
  <c r="AK42" i="5"/>
  <c r="AJ42" i="5"/>
  <c r="AG42" i="5"/>
  <c r="AD42" i="5"/>
  <c r="AA42" i="5"/>
  <c r="Z42" i="5"/>
  <c r="Y42" i="5"/>
  <c r="W42" i="5"/>
  <c r="V42" i="5"/>
  <c r="Q42" i="5"/>
  <c r="AL41" i="5"/>
  <c r="AK41" i="5"/>
  <c r="AJ41" i="5"/>
  <c r="AG41" i="5"/>
  <c r="AD41" i="5"/>
  <c r="AA41" i="5"/>
  <c r="Z41" i="5"/>
  <c r="Y41" i="5"/>
  <c r="W41" i="5"/>
  <c r="V41" i="5"/>
  <c r="Q41" i="5"/>
  <c r="AL40" i="5"/>
  <c r="AK40" i="5"/>
  <c r="AJ40" i="5"/>
  <c r="AG40" i="5"/>
  <c r="AD40" i="5"/>
  <c r="AA40" i="5"/>
  <c r="Z40" i="5"/>
  <c r="Y40" i="5"/>
  <c r="W40" i="5"/>
  <c r="V40" i="5"/>
  <c r="Q40" i="5"/>
  <c r="AL39" i="5"/>
  <c r="AK39" i="5"/>
  <c r="AJ39" i="5"/>
  <c r="AG39" i="5"/>
  <c r="AD39" i="5"/>
  <c r="AA39" i="5"/>
  <c r="Z39" i="5"/>
  <c r="Y39" i="5"/>
  <c r="W39" i="5"/>
  <c r="V39" i="5"/>
  <c r="Q39" i="5"/>
  <c r="AL38" i="5"/>
  <c r="AK38" i="5"/>
  <c r="AJ38" i="5"/>
  <c r="AG38" i="5"/>
  <c r="AD38" i="5"/>
  <c r="AA38" i="5"/>
  <c r="Z38" i="5"/>
  <c r="Y38" i="5"/>
  <c r="W38" i="5"/>
  <c r="V38" i="5"/>
  <c r="Q38" i="5"/>
  <c r="AL37" i="5"/>
  <c r="AK37" i="5"/>
  <c r="AJ37" i="5"/>
  <c r="AG37" i="5"/>
  <c r="AD37" i="5"/>
  <c r="AA37" i="5"/>
  <c r="Z37" i="5"/>
  <c r="Y37" i="5"/>
  <c r="W37" i="5"/>
  <c r="V37" i="5"/>
  <c r="Q37" i="5"/>
  <c r="AL36" i="5"/>
  <c r="AK36" i="5"/>
  <c r="AJ36" i="5"/>
  <c r="AG36" i="5"/>
  <c r="AD36" i="5"/>
  <c r="AA36" i="5"/>
  <c r="Z36" i="5"/>
  <c r="Y36" i="5"/>
  <c r="W36" i="5"/>
  <c r="V36" i="5"/>
  <c r="Q36" i="5"/>
  <c r="AL35" i="5"/>
  <c r="AK35" i="5"/>
  <c r="AJ35" i="5"/>
  <c r="AG35" i="5"/>
  <c r="AD35" i="5"/>
  <c r="AA35" i="5"/>
  <c r="Z35" i="5"/>
  <c r="Y35" i="5"/>
  <c r="W35" i="5"/>
  <c r="V35" i="5"/>
  <c r="Q35" i="5"/>
  <c r="AL34" i="5"/>
  <c r="AK34" i="5"/>
  <c r="AJ34" i="5"/>
  <c r="AG34" i="5"/>
  <c r="AD34" i="5"/>
  <c r="AA34" i="5"/>
  <c r="Z34" i="5"/>
  <c r="Y34" i="5"/>
  <c r="W34" i="5"/>
  <c r="V34" i="5"/>
  <c r="Q34" i="5"/>
  <c r="AL33" i="5"/>
  <c r="AK33" i="5"/>
  <c r="AJ33" i="5"/>
  <c r="AG33" i="5"/>
  <c r="AD33" i="5"/>
  <c r="AA33" i="5"/>
  <c r="Z33" i="5"/>
  <c r="Y33" i="5"/>
  <c r="W33" i="5"/>
  <c r="V33" i="5"/>
  <c r="Q33" i="5"/>
  <c r="AL32" i="5"/>
  <c r="AA32" i="5"/>
  <c r="Z32" i="5"/>
  <c r="Y32" i="5"/>
  <c r="AK32" i="5" s="1"/>
  <c r="W32" i="5"/>
  <c r="V32" i="5"/>
  <c r="Q32" i="5"/>
  <c r="AL31" i="5"/>
  <c r="AA31" i="5"/>
  <c r="Z31" i="5"/>
  <c r="Y31" i="5"/>
  <c r="AK31" i="5" s="1"/>
  <c r="W31" i="5"/>
  <c r="V31" i="5"/>
  <c r="Q31" i="5"/>
  <c r="AL30" i="5"/>
  <c r="AA30" i="5"/>
  <c r="AK30" i="5" s="1"/>
  <c r="Z30" i="5"/>
  <c r="Y30" i="5"/>
  <c r="W30" i="5"/>
  <c r="V30" i="5"/>
  <c r="Q30" i="5"/>
  <c r="AL29" i="5"/>
  <c r="AA29" i="5"/>
  <c r="Z29" i="5"/>
  <c r="Y29" i="5"/>
  <c r="W29" i="5"/>
  <c r="V29" i="5"/>
  <c r="Q29" i="5"/>
  <c r="AL28" i="5"/>
  <c r="AA28" i="5"/>
  <c r="Z28" i="5"/>
  <c r="Y28" i="5"/>
  <c r="W28" i="5"/>
  <c r="V28" i="5"/>
  <c r="Q28" i="5"/>
  <c r="H28" i="5"/>
  <c r="AL27" i="5"/>
  <c r="AK27" i="5"/>
  <c r="AA27" i="5"/>
  <c r="Z27" i="5"/>
  <c r="Y27" i="5"/>
  <c r="W27" i="5"/>
  <c r="V27" i="5"/>
  <c r="Q27" i="5"/>
  <c r="AL26" i="5"/>
  <c r="AA26" i="5"/>
  <c r="Z26" i="5"/>
  <c r="Y26" i="5"/>
  <c r="W26" i="5"/>
  <c r="V26" i="5"/>
  <c r="Q26" i="5"/>
  <c r="AL25" i="5"/>
  <c r="AA25" i="5"/>
  <c r="Z25" i="5"/>
  <c r="Y25" i="5"/>
  <c r="W25" i="5"/>
  <c r="V25" i="5"/>
  <c r="Q25" i="5"/>
  <c r="AL24" i="5"/>
  <c r="AA24" i="5"/>
  <c r="Z24" i="5"/>
  <c r="Y24" i="5"/>
  <c r="W24" i="5"/>
  <c r="V24" i="5"/>
  <c r="Q24" i="5"/>
  <c r="AL23" i="5"/>
  <c r="AA23" i="5"/>
  <c r="Z23" i="5"/>
  <c r="Y23" i="5"/>
  <c r="W23" i="5"/>
  <c r="V23" i="5"/>
  <c r="Q23" i="5"/>
  <c r="AL22" i="5"/>
  <c r="AA22" i="5"/>
  <c r="Z22" i="5"/>
  <c r="Y22" i="5"/>
  <c r="W22" i="5"/>
  <c r="V22" i="5"/>
  <c r="Q22" i="5"/>
  <c r="AL21" i="5"/>
  <c r="AA21" i="5"/>
  <c r="Z21" i="5"/>
  <c r="Y21" i="5"/>
  <c r="W21" i="5"/>
  <c r="V21" i="5"/>
  <c r="Q21" i="5"/>
  <c r="AL20" i="5"/>
  <c r="AA20" i="5"/>
  <c r="Z20" i="5"/>
  <c r="Y20" i="5"/>
  <c r="W20" i="5"/>
  <c r="V20" i="5"/>
  <c r="Q20" i="5"/>
  <c r="AL19" i="5"/>
  <c r="AA19" i="5"/>
  <c r="Z19" i="5"/>
  <c r="Y19" i="5"/>
  <c r="W19" i="5"/>
  <c r="V19" i="5"/>
  <c r="Q19" i="5"/>
  <c r="AL18" i="5"/>
  <c r="AA18" i="5"/>
  <c r="Z18" i="5"/>
  <c r="Y18" i="5"/>
  <c r="AK18" i="5" s="1"/>
  <c r="W18" i="5"/>
  <c r="V18" i="5"/>
  <c r="Q18" i="5"/>
  <c r="AL17" i="5"/>
  <c r="AA17" i="5"/>
  <c r="Z17" i="5"/>
  <c r="Y17" i="5"/>
  <c r="AK17" i="5" s="1"/>
  <c r="W17" i="5"/>
  <c r="V17" i="5"/>
  <c r="Q17" i="5"/>
  <c r="AL16" i="5"/>
  <c r="AK16" i="5"/>
  <c r="AA16" i="5"/>
  <c r="Z16" i="5"/>
  <c r="Y16" i="5"/>
  <c r="W16" i="5"/>
  <c r="V16" i="5"/>
  <c r="Q16" i="5"/>
  <c r="AL15" i="5"/>
  <c r="AA15" i="5"/>
  <c r="Z15" i="5"/>
  <c r="Y15" i="5"/>
  <c r="AK15" i="5" s="1"/>
  <c r="W15" i="5"/>
  <c r="V15" i="5"/>
  <c r="Q15" i="5"/>
  <c r="AL14" i="5"/>
  <c r="AK14" i="5"/>
  <c r="AA14" i="5"/>
  <c r="Z14" i="5"/>
  <c r="Y14" i="5"/>
  <c r="W14" i="5"/>
  <c r="V14" i="5"/>
  <c r="Q14" i="5"/>
  <c r="AL13" i="5"/>
  <c r="AA13" i="5"/>
  <c r="Z13" i="5"/>
  <c r="Y13" i="5"/>
  <c r="AK13" i="5" s="1"/>
  <c r="W13" i="5"/>
  <c r="V13" i="5"/>
  <c r="Q13" i="5"/>
  <c r="AL12" i="5"/>
  <c r="AK12" i="5"/>
  <c r="AA12" i="5"/>
  <c r="Z12" i="5"/>
  <c r="Y12" i="5"/>
  <c r="W12" i="5"/>
  <c r="V12" i="5"/>
  <c r="Q12" i="5"/>
  <c r="AL11" i="5"/>
  <c r="AA11" i="5"/>
  <c r="Z11" i="5"/>
  <c r="Y11" i="5"/>
  <c r="AK11" i="5" s="1"/>
  <c r="W11" i="5"/>
  <c r="V11" i="5"/>
  <c r="Q11" i="5"/>
  <c r="B11" i="5"/>
  <c r="AM5" i="5" s="1"/>
  <c r="AP5" i="5" s="1"/>
  <c r="AM10" i="5"/>
  <c r="AP10" i="5" s="1"/>
  <c r="AL10" i="5"/>
  <c r="AA10" i="5"/>
  <c r="Z10" i="5"/>
  <c r="AK10" i="5" s="1"/>
  <c r="Y10" i="5"/>
  <c r="W10" i="5"/>
  <c r="V10" i="5"/>
  <c r="Q10" i="5"/>
  <c r="O10" i="5"/>
  <c r="AL9" i="5"/>
  <c r="AA9" i="5"/>
  <c r="AM9" i="5" s="1"/>
  <c r="AP9" i="5" s="1"/>
  <c r="Z9" i="5"/>
  <c r="Y9" i="5"/>
  <c r="AK9" i="5" s="1"/>
  <c r="W9" i="5"/>
  <c r="V9" i="5"/>
  <c r="Q9" i="5"/>
  <c r="AL8" i="5"/>
  <c r="AA8" i="5"/>
  <c r="Z8" i="5"/>
  <c r="Y8" i="5"/>
  <c r="AK8" i="5" s="1"/>
  <c r="W8" i="5"/>
  <c r="V8" i="5"/>
  <c r="Q8" i="5"/>
  <c r="AL7" i="5"/>
  <c r="AA7" i="5"/>
  <c r="Z7" i="5"/>
  <c r="Y7" i="5"/>
  <c r="W7" i="5"/>
  <c r="V7" i="5"/>
  <c r="Q7" i="5"/>
  <c r="O34" i="5"/>
  <c r="AL6" i="5"/>
  <c r="AA6" i="5"/>
  <c r="AM6" i="5" s="1"/>
  <c r="AP6" i="5" s="1"/>
  <c r="Z6" i="5"/>
  <c r="Y6" i="5"/>
  <c r="AK6" i="5" s="1"/>
  <c r="W6" i="5"/>
  <c r="V6" i="5"/>
  <c r="Q6" i="5"/>
  <c r="O6" i="5"/>
  <c r="P6" i="5" s="1"/>
  <c r="AL5" i="5"/>
  <c r="AK5" i="5"/>
  <c r="AA5" i="5"/>
  <c r="Z5" i="5"/>
  <c r="Y5" i="5"/>
  <c r="W5" i="5"/>
  <c r="V5" i="5"/>
  <c r="Q5" i="5"/>
  <c r="AL4" i="5"/>
  <c r="AK4" i="5"/>
  <c r="AD4" i="5"/>
  <c r="AA4" i="5"/>
  <c r="Z4" i="5"/>
  <c r="Y4" i="5"/>
  <c r="W4" i="5"/>
  <c r="V4" i="5"/>
  <c r="Q4" i="5"/>
  <c r="AL3" i="5"/>
  <c r="AD3" i="5"/>
  <c r="AA3" i="5"/>
  <c r="AJ3" i="5" s="1"/>
  <c r="Z3" i="5"/>
  <c r="Y3" i="5"/>
  <c r="AK3" i="5" s="1"/>
  <c r="W3" i="5"/>
  <c r="V3" i="5"/>
  <c r="Q3" i="5"/>
  <c r="AL2" i="5"/>
  <c r="AT32" i="5" s="1"/>
  <c r="AK2" i="5"/>
  <c r="AJ2" i="5"/>
  <c r="AG2" i="5"/>
  <c r="AD2" i="5"/>
  <c r="AA2" i="5"/>
  <c r="Z2" i="5"/>
  <c r="Y2" i="5"/>
  <c r="W2" i="5"/>
  <c r="V2" i="5"/>
  <c r="Q2" i="5"/>
  <c r="AP102" i="4"/>
  <c r="AM102" i="4"/>
  <c r="AL102" i="4"/>
  <c r="AK102" i="4"/>
  <c r="AJ102" i="4"/>
  <c r="AG102" i="4"/>
  <c r="AD102" i="4"/>
  <c r="AA102" i="4"/>
  <c r="Z102" i="4"/>
  <c r="Y102" i="4"/>
  <c r="W102" i="4"/>
  <c r="V102" i="4"/>
  <c r="Q102" i="4"/>
  <c r="P102" i="4"/>
  <c r="O102" i="4"/>
  <c r="AP101" i="4"/>
  <c r="AM101" i="4"/>
  <c r="AL101" i="4"/>
  <c r="AK101" i="4"/>
  <c r="AJ101" i="4"/>
  <c r="AG101" i="4"/>
  <c r="AD101" i="4"/>
  <c r="AA101" i="4"/>
  <c r="Z101" i="4"/>
  <c r="Y101" i="4"/>
  <c r="W101" i="4"/>
  <c r="V101" i="4"/>
  <c r="Q101" i="4"/>
  <c r="P101" i="4"/>
  <c r="O101" i="4"/>
  <c r="AP100" i="4"/>
  <c r="AM100" i="4"/>
  <c r="AL100" i="4"/>
  <c r="AK100" i="4"/>
  <c r="AJ100" i="4"/>
  <c r="AG100" i="4"/>
  <c r="AD100" i="4"/>
  <c r="AA100" i="4"/>
  <c r="Z100" i="4"/>
  <c r="Y100" i="4"/>
  <c r="W100" i="4"/>
  <c r="V100" i="4"/>
  <c r="Q100" i="4"/>
  <c r="P100" i="4"/>
  <c r="O100" i="4"/>
  <c r="AP99" i="4"/>
  <c r="AM99" i="4"/>
  <c r="AL99" i="4"/>
  <c r="AK99" i="4"/>
  <c r="AJ99" i="4"/>
  <c r="AG99" i="4"/>
  <c r="AD99" i="4"/>
  <c r="AA99" i="4"/>
  <c r="Z99" i="4"/>
  <c r="Y99" i="4"/>
  <c r="W99" i="4"/>
  <c r="V99" i="4"/>
  <c r="Q99" i="4"/>
  <c r="P99" i="4"/>
  <c r="O99" i="4"/>
  <c r="AP98" i="4"/>
  <c r="AM98" i="4"/>
  <c r="AL98" i="4"/>
  <c r="AK98" i="4"/>
  <c r="AJ98" i="4"/>
  <c r="AG98" i="4"/>
  <c r="AD98" i="4"/>
  <c r="AA98" i="4"/>
  <c r="Z98" i="4"/>
  <c r="Y98" i="4"/>
  <c r="W98" i="4"/>
  <c r="V98" i="4"/>
  <c r="Q98" i="4"/>
  <c r="P98" i="4"/>
  <c r="O98" i="4"/>
  <c r="AP97" i="4"/>
  <c r="AM97" i="4"/>
  <c r="AL97" i="4"/>
  <c r="AK97" i="4"/>
  <c r="AJ97" i="4"/>
  <c r="AG97" i="4"/>
  <c r="AD97" i="4"/>
  <c r="AA97" i="4"/>
  <c r="Z97" i="4"/>
  <c r="Y97" i="4"/>
  <c r="W97" i="4"/>
  <c r="V97" i="4"/>
  <c r="Q97" i="4"/>
  <c r="P97" i="4"/>
  <c r="O97" i="4"/>
  <c r="AP96" i="4"/>
  <c r="AM96" i="4"/>
  <c r="AL96" i="4"/>
  <c r="AK96" i="4"/>
  <c r="AJ96" i="4"/>
  <c r="AG96" i="4"/>
  <c r="AD96" i="4"/>
  <c r="AA96" i="4"/>
  <c r="Z96" i="4"/>
  <c r="Y96" i="4"/>
  <c r="W96" i="4"/>
  <c r="V96" i="4"/>
  <c r="Q96" i="4"/>
  <c r="P96" i="4"/>
  <c r="O96" i="4"/>
  <c r="AP95" i="4"/>
  <c r="AM95" i="4"/>
  <c r="AL95" i="4"/>
  <c r="AK95" i="4"/>
  <c r="AJ95" i="4"/>
  <c r="AG95" i="4"/>
  <c r="AD95" i="4"/>
  <c r="AA95" i="4"/>
  <c r="Z95" i="4"/>
  <c r="Y95" i="4"/>
  <c r="W95" i="4"/>
  <c r="V95" i="4"/>
  <c r="Q95" i="4"/>
  <c r="P95" i="4"/>
  <c r="O95" i="4"/>
  <c r="AP94" i="4"/>
  <c r="AM94" i="4"/>
  <c r="AL94" i="4"/>
  <c r="AK94" i="4"/>
  <c r="AJ94" i="4"/>
  <c r="AG94" i="4"/>
  <c r="AD94" i="4"/>
  <c r="AA94" i="4"/>
  <c r="Z94" i="4"/>
  <c r="Y94" i="4"/>
  <c r="W94" i="4"/>
  <c r="V94" i="4"/>
  <c r="Q94" i="4"/>
  <c r="P94" i="4"/>
  <c r="O94" i="4"/>
  <c r="AP93" i="4"/>
  <c r="AM93" i="4"/>
  <c r="AL93" i="4"/>
  <c r="AK93" i="4"/>
  <c r="AJ93" i="4"/>
  <c r="AG93" i="4"/>
  <c r="AD93" i="4"/>
  <c r="AA93" i="4"/>
  <c r="Z93" i="4"/>
  <c r="Y93" i="4"/>
  <c r="W93" i="4"/>
  <c r="V93" i="4"/>
  <c r="Q93" i="4"/>
  <c r="P93" i="4"/>
  <c r="O93" i="4"/>
  <c r="AP92" i="4"/>
  <c r="AM92" i="4"/>
  <c r="AL92" i="4"/>
  <c r="AK92" i="4"/>
  <c r="AJ92" i="4"/>
  <c r="AG92" i="4"/>
  <c r="AD92" i="4"/>
  <c r="AA92" i="4"/>
  <c r="Z92" i="4"/>
  <c r="Y92" i="4"/>
  <c r="W92" i="4"/>
  <c r="V92" i="4"/>
  <c r="Q92" i="4"/>
  <c r="P92" i="4"/>
  <c r="O92" i="4"/>
  <c r="AP91" i="4"/>
  <c r="AM91" i="4"/>
  <c r="AL91" i="4"/>
  <c r="AK91" i="4"/>
  <c r="AJ91" i="4"/>
  <c r="AG91" i="4"/>
  <c r="AD91" i="4"/>
  <c r="AA91" i="4"/>
  <c r="Z91" i="4"/>
  <c r="Y91" i="4"/>
  <c r="W91" i="4"/>
  <c r="V91" i="4"/>
  <c r="Q91" i="4"/>
  <c r="P91" i="4"/>
  <c r="O91" i="4"/>
  <c r="AP90" i="4"/>
  <c r="AM90" i="4"/>
  <c r="AL90" i="4"/>
  <c r="AK90" i="4"/>
  <c r="AJ90" i="4"/>
  <c r="AG90" i="4"/>
  <c r="AD90" i="4"/>
  <c r="AA90" i="4"/>
  <c r="Z90" i="4"/>
  <c r="Y90" i="4"/>
  <c r="W90" i="4"/>
  <c r="V90" i="4"/>
  <c r="Q90" i="4"/>
  <c r="P90" i="4"/>
  <c r="O90" i="4"/>
  <c r="AP89" i="4"/>
  <c r="AM89" i="4"/>
  <c r="AL89" i="4"/>
  <c r="AK89" i="4"/>
  <c r="AJ89" i="4"/>
  <c r="AG89" i="4"/>
  <c r="AD89" i="4"/>
  <c r="AA89" i="4"/>
  <c r="Z89" i="4"/>
  <c r="Y89" i="4"/>
  <c r="W89" i="4"/>
  <c r="V89" i="4"/>
  <c r="Q89" i="4"/>
  <c r="P89" i="4"/>
  <c r="O89" i="4"/>
  <c r="AP88" i="4"/>
  <c r="AM88" i="4"/>
  <c r="AL88" i="4"/>
  <c r="AK88" i="4"/>
  <c r="AJ88" i="4"/>
  <c r="AG88" i="4"/>
  <c r="AD88" i="4"/>
  <c r="AA88" i="4"/>
  <c r="Z88" i="4"/>
  <c r="Y88" i="4"/>
  <c r="W88" i="4"/>
  <c r="V88" i="4"/>
  <c r="Q88" i="4"/>
  <c r="P88" i="4"/>
  <c r="O88" i="4"/>
  <c r="AP87" i="4"/>
  <c r="AM87" i="4"/>
  <c r="AL87" i="4"/>
  <c r="AK87" i="4"/>
  <c r="AJ87" i="4"/>
  <c r="AG87" i="4"/>
  <c r="AD87" i="4"/>
  <c r="AA87" i="4"/>
  <c r="Z87" i="4"/>
  <c r="Y87" i="4"/>
  <c r="W87" i="4"/>
  <c r="V87" i="4"/>
  <c r="Q87" i="4"/>
  <c r="P87" i="4"/>
  <c r="O87" i="4"/>
  <c r="AP86" i="4"/>
  <c r="AM86" i="4"/>
  <c r="AL86" i="4"/>
  <c r="AK86" i="4"/>
  <c r="AJ86" i="4"/>
  <c r="AG86" i="4"/>
  <c r="AD86" i="4"/>
  <c r="AA86" i="4"/>
  <c r="Z86" i="4"/>
  <c r="Y86" i="4"/>
  <c r="W86" i="4"/>
  <c r="V86" i="4"/>
  <c r="Q86" i="4"/>
  <c r="P86" i="4"/>
  <c r="O86" i="4"/>
  <c r="AP85" i="4"/>
  <c r="AM85" i="4"/>
  <c r="AL85" i="4"/>
  <c r="AK85" i="4"/>
  <c r="AJ85" i="4"/>
  <c r="AG85" i="4"/>
  <c r="AD85" i="4"/>
  <c r="AA85" i="4"/>
  <c r="Z85" i="4"/>
  <c r="Y85" i="4"/>
  <c r="W85" i="4"/>
  <c r="V85" i="4"/>
  <c r="Q85" i="4"/>
  <c r="P85" i="4"/>
  <c r="O85" i="4"/>
  <c r="AP84" i="4"/>
  <c r="AM84" i="4"/>
  <c r="AL84" i="4"/>
  <c r="AK84" i="4"/>
  <c r="AJ84" i="4"/>
  <c r="AG84" i="4"/>
  <c r="AD84" i="4"/>
  <c r="AA84" i="4"/>
  <c r="Z84" i="4"/>
  <c r="Y84" i="4"/>
  <c r="W84" i="4"/>
  <c r="V84" i="4"/>
  <c r="Q84" i="4"/>
  <c r="P84" i="4"/>
  <c r="O84" i="4"/>
  <c r="AP83" i="4"/>
  <c r="AM83" i="4"/>
  <c r="AL83" i="4"/>
  <c r="AK83" i="4"/>
  <c r="AJ83" i="4"/>
  <c r="AG83" i="4"/>
  <c r="AD83" i="4"/>
  <c r="AA83" i="4"/>
  <c r="Z83" i="4"/>
  <c r="Y83" i="4"/>
  <c r="W83" i="4"/>
  <c r="V83" i="4"/>
  <c r="Q83" i="4"/>
  <c r="P83" i="4"/>
  <c r="O83" i="4"/>
  <c r="AP82" i="4"/>
  <c r="AM82" i="4"/>
  <c r="AL82" i="4"/>
  <c r="AK82" i="4"/>
  <c r="AJ82" i="4"/>
  <c r="AG82" i="4"/>
  <c r="AD82" i="4"/>
  <c r="AA82" i="4"/>
  <c r="Z82" i="4"/>
  <c r="Y82" i="4"/>
  <c r="W82" i="4"/>
  <c r="V82" i="4"/>
  <c r="Q82" i="4"/>
  <c r="P82" i="4"/>
  <c r="O82" i="4"/>
  <c r="AP81" i="4"/>
  <c r="AM81" i="4"/>
  <c r="AL81" i="4"/>
  <c r="AK81" i="4"/>
  <c r="AJ81" i="4"/>
  <c r="AG81" i="4"/>
  <c r="AD81" i="4"/>
  <c r="AA81" i="4"/>
  <c r="Z81" i="4"/>
  <c r="Y81" i="4"/>
  <c r="W81" i="4"/>
  <c r="V81" i="4"/>
  <c r="Q81" i="4"/>
  <c r="P81" i="4"/>
  <c r="O81" i="4"/>
  <c r="AP80" i="4"/>
  <c r="AM80" i="4"/>
  <c r="AL80" i="4"/>
  <c r="AK80" i="4"/>
  <c r="AJ80" i="4"/>
  <c r="AG80" i="4"/>
  <c r="AD80" i="4"/>
  <c r="AA80" i="4"/>
  <c r="Z80" i="4"/>
  <c r="Y80" i="4"/>
  <c r="W80" i="4"/>
  <c r="V80" i="4"/>
  <c r="Q80" i="4"/>
  <c r="P80" i="4"/>
  <c r="O80" i="4"/>
  <c r="AP79" i="4"/>
  <c r="AM79" i="4"/>
  <c r="AL79" i="4"/>
  <c r="AK79" i="4"/>
  <c r="AJ79" i="4"/>
  <c r="AG79" i="4"/>
  <c r="AD79" i="4"/>
  <c r="AA79" i="4"/>
  <c r="Z79" i="4"/>
  <c r="Y79" i="4"/>
  <c r="W79" i="4"/>
  <c r="V79" i="4"/>
  <c r="Q79" i="4"/>
  <c r="P79" i="4"/>
  <c r="O79" i="4"/>
  <c r="AP78" i="4"/>
  <c r="AM78" i="4"/>
  <c r="AL78" i="4"/>
  <c r="AK78" i="4"/>
  <c r="AJ78" i="4"/>
  <c r="AG78" i="4"/>
  <c r="AD78" i="4"/>
  <c r="AA78" i="4"/>
  <c r="Z78" i="4"/>
  <c r="Y78" i="4"/>
  <c r="W78" i="4"/>
  <c r="V78" i="4"/>
  <c r="Q78" i="4"/>
  <c r="P78" i="4"/>
  <c r="O78" i="4"/>
  <c r="AP77" i="4"/>
  <c r="AM77" i="4"/>
  <c r="AL77" i="4"/>
  <c r="AK77" i="4"/>
  <c r="AJ77" i="4"/>
  <c r="AG77" i="4"/>
  <c r="AD77" i="4"/>
  <c r="AA77" i="4"/>
  <c r="Z77" i="4"/>
  <c r="Y77" i="4"/>
  <c r="W77" i="4"/>
  <c r="V77" i="4"/>
  <c r="Q77" i="4"/>
  <c r="P77" i="4"/>
  <c r="O77" i="4"/>
  <c r="AP76" i="4"/>
  <c r="AM76" i="4"/>
  <c r="AL76" i="4"/>
  <c r="AK76" i="4"/>
  <c r="AJ76" i="4"/>
  <c r="AG76" i="4"/>
  <c r="AD76" i="4"/>
  <c r="AA76" i="4"/>
  <c r="Z76" i="4"/>
  <c r="Y76" i="4"/>
  <c r="W76" i="4"/>
  <c r="V76" i="4"/>
  <c r="Q76" i="4"/>
  <c r="P76" i="4"/>
  <c r="O76" i="4"/>
  <c r="AP75" i="4"/>
  <c r="AM75" i="4"/>
  <c r="AL75" i="4"/>
  <c r="AK75" i="4"/>
  <c r="AJ75" i="4"/>
  <c r="AG75" i="4"/>
  <c r="AD75" i="4"/>
  <c r="AA75" i="4"/>
  <c r="Z75" i="4"/>
  <c r="Y75" i="4"/>
  <c r="W75" i="4"/>
  <c r="V75" i="4"/>
  <c r="Q75" i="4"/>
  <c r="P75" i="4"/>
  <c r="O75" i="4"/>
  <c r="AP74" i="4"/>
  <c r="AM74" i="4"/>
  <c r="AL74" i="4"/>
  <c r="AK74" i="4"/>
  <c r="AJ74" i="4"/>
  <c r="AG74" i="4"/>
  <c r="AD74" i="4"/>
  <c r="AA74" i="4"/>
  <c r="Z74" i="4"/>
  <c r="Y74" i="4"/>
  <c r="W74" i="4"/>
  <c r="V74" i="4"/>
  <c r="Q74" i="4"/>
  <c r="P74" i="4"/>
  <c r="O74" i="4"/>
  <c r="AP73" i="4"/>
  <c r="AM73" i="4"/>
  <c r="AL73" i="4"/>
  <c r="AK73" i="4"/>
  <c r="AJ73" i="4"/>
  <c r="AG73" i="4"/>
  <c r="AD73" i="4"/>
  <c r="AA73" i="4"/>
  <c r="Z73" i="4"/>
  <c r="Y73" i="4"/>
  <c r="W73" i="4"/>
  <c r="V73" i="4"/>
  <c r="Q73" i="4"/>
  <c r="P73" i="4"/>
  <c r="O73" i="4"/>
  <c r="AP72" i="4"/>
  <c r="AM72" i="4"/>
  <c r="AL72" i="4"/>
  <c r="AK72" i="4"/>
  <c r="AJ72" i="4"/>
  <c r="AG72" i="4"/>
  <c r="AD72" i="4"/>
  <c r="AA72" i="4"/>
  <c r="Z72" i="4"/>
  <c r="Y72" i="4"/>
  <c r="W72" i="4"/>
  <c r="V72" i="4"/>
  <c r="Q72" i="4"/>
  <c r="P72" i="4"/>
  <c r="O72" i="4"/>
  <c r="AP71" i="4"/>
  <c r="AM71" i="4"/>
  <c r="AL71" i="4"/>
  <c r="AK71" i="4"/>
  <c r="AJ71" i="4"/>
  <c r="AG71" i="4"/>
  <c r="AD71" i="4"/>
  <c r="AA71" i="4"/>
  <c r="Z71" i="4"/>
  <c r="Y71" i="4"/>
  <c r="W71" i="4"/>
  <c r="V71" i="4"/>
  <c r="Q71" i="4"/>
  <c r="P71" i="4"/>
  <c r="O71" i="4"/>
  <c r="AP70" i="4"/>
  <c r="AM70" i="4"/>
  <c r="AL70" i="4"/>
  <c r="AK70" i="4"/>
  <c r="AJ70" i="4"/>
  <c r="AG70" i="4"/>
  <c r="AD70" i="4"/>
  <c r="AA70" i="4"/>
  <c r="Z70" i="4"/>
  <c r="Y70" i="4"/>
  <c r="W70" i="4"/>
  <c r="V70" i="4"/>
  <c r="Q70" i="4"/>
  <c r="P70" i="4"/>
  <c r="O70" i="4"/>
  <c r="AP69" i="4"/>
  <c r="AM69" i="4"/>
  <c r="AL69" i="4"/>
  <c r="AK69" i="4"/>
  <c r="AJ69" i="4"/>
  <c r="AG69" i="4"/>
  <c r="AD69" i="4"/>
  <c r="AA69" i="4"/>
  <c r="Z69" i="4"/>
  <c r="Y69" i="4"/>
  <c r="W69" i="4"/>
  <c r="V69" i="4"/>
  <c r="Q69" i="4"/>
  <c r="P69" i="4"/>
  <c r="O69" i="4"/>
  <c r="AP68" i="4"/>
  <c r="AM68" i="4"/>
  <c r="AL68" i="4"/>
  <c r="AK68" i="4"/>
  <c r="AJ68" i="4"/>
  <c r="AG68" i="4"/>
  <c r="AD68" i="4"/>
  <c r="AA68" i="4"/>
  <c r="Z68" i="4"/>
  <c r="Y68" i="4"/>
  <c r="W68" i="4"/>
  <c r="V68" i="4"/>
  <c r="Q68" i="4"/>
  <c r="P68" i="4"/>
  <c r="O68" i="4"/>
  <c r="AP67" i="4"/>
  <c r="AM67" i="4"/>
  <c r="AL67" i="4"/>
  <c r="AK67" i="4"/>
  <c r="AJ67" i="4"/>
  <c r="AG67" i="4"/>
  <c r="AD67" i="4"/>
  <c r="AA67" i="4"/>
  <c r="Z67" i="4"/>
  <c r="Y67" i="4"/>
  <c r="W67" i="4"/>
  <c r="V67" i="4"/>
  <c r="Q67" i="4"/>
  <c r="P67" i="4"/>
  <c r="O67" i="4"/>
  <c r="AP66" i="4"/>
  <c r="AM66" i="4"/>
  <c r="AL66" i="4"/>
  <c r="AK66" i="4"/>
  <c r="AJ66" i="4"/>
  <c r="AG66" i="4"/>
  <c r="AD66" i="4"/>
  <c r="AA66" i="4"/>
  <c r="Z66" i="4"/>
  <c r="Y66" i="4"/>
  <c r="W66" i="4"/>
  <c r="V66" i="4"/>
  <c r="Q66" i="4"/>
  <c r="P66" i="4"/>
  <c r="O66" i="4"/>
  <c r="AP65" i="4"/>
  <c r="AM65" i="4"/>
  <c r="AL65" i="4"/>
  <c r="AK65" i="4"/>
  <c r="AJ65" i="4"/>
  <c r="AG65" i="4"/>
  <c r="AD65" i="4"/>
  <c r="AA65" i="4"/>
  <c r="Z65" i="4"/>
  <c r="Y65" i="4"/>
  <c r="W65" i="4"/>
  <c r="V65" i="4"/>
  <c r="Q65" i="4"/>
  <c r="P65" i="4"/>
  <c r="O65" i="4"/>
  <c r="AP64" i="4"/>
  <c r="AM64" i="4"/>
  <c r="AL64" i="4"/>
  <c r="AK64" i="4"/>
  <c r="AJ64" i="4"/>
  <c r="AG64" i="4"/>
  <c r="AD64" i="4"/>
  <c r="AA64" i="4"/>
  <c r="Z64" i="4"/>
  <c r="Y64" i="4"/>
  <c r="W64" i="4"/>
  <c r="V64" i="4"/>
  <c r="Q64" i="4"/>
  <c r="P64" i="4"/>
  <c r="O64" i="4"/>
  <c r="AP63" i="4"/>
  <c r="AM63" i="4"/>
  <c r="AL63" i="4"/>
  <c r="AK63" i="4"/>
  <c r="AJ63" i="4"/>
  <c r="AG63" i="4"/>
  <c r="AD63" i="4"/>
  <c r="AA63" i="4"/>
  <c r="Z63" i="4"/>
  <c r="Y63" i="4"/>
  <c r="W63" i="4"/>
  <c r="V63" i="4"/>
  <c r="Q63" i="4"/>
  <c r="P63" i="4"/>
  <c r="O63" i="4"/>
  <c r="AL62" i="4"/>
  <c r="AK62" i="4"/>
  <c r="AJ62" i="4"/>
  <c r="AG62" i="4"/>
  <c r="AD62" i="4"/>
  <c r="W62" i="4"/>
  <c r="V62" i="4"/>
  <c r="Q62" i="4"/>
  <c r="AL61" i="4"/>
  <c r="AK61" i="4"/>
  <c r="AJ61" i="4"/>
  <c r="AG61" i="4"/>
  <c r="AD61" i="4"/>
  <c r="AA61" i="4"/>
  <c r="Z61" i="4"/>
  <c r="Y61" i="4"/>
  <c r="W61" i="4"/>
  <c r="V61" i="4"/>
  <c r="Q61" i="4"/>
  <c r="AL60" i="4"/>
  <c r="AK60" i="4"/>
  <c r="AJ60" i="4"/>
  <c r="AG60" i="4"/>
  <c r="AD60" i="4"/>
  <c r="AA60" i="4"/>
  <c r="Z60" i="4"/>
  <c r="Y60" i="4"/>
  <c r="W60" i="4"/>
  <c r="V60" i="4"/>
  <c r="Q60" i="4"/>
  <c r="AL59" i="4"/>
  <c r="AK59" i="4"/>
  <c r="AJ59" i="4"/>
  <c r="AG59" i="4"/>
  <c r="AD59" i="4"/>
  <c r="AA59" i="4"/>
  <c r="Z59" i="4"/>
  <c r="Y59" i="4"/>
  <c r="W59" i="4"/>
  <c r="V59" i="4"/>
  <c r="Q59" i="4"/>
  <c r="AL58" i="4"/>
  <c r="AK58" i="4"/>
  <c r="AJ58" i="4"/>
  <c r="AG58" i="4"/>
  <c r="AD58" i="4"/>
  <c r="AA58" i="4"/>
  <c r="Z58" i="4"/>
  <c r="Y58" i="4"/>
  <c r="W58" i="4"/>
  <c r="V58" i="4"/>
  <c r="Q58" i="4"/>
  <c r="AL57" i="4"/>
  <c r="AK57" i="4"/>
  <c r="AJ57" i="4"/>
  <c r="AG57" i="4"/>
  <c r="AD57" i="4"/>
  <c r="AA57" i="4"/>
  <c r="Z57" i="4"/>
  <c r="Y57" i="4"/>
  <c r="W57" i="4"/>
  <c r="V57" i="4"/>
  <c r="Q57" i="4"/>
  <c r="AL56" i="4"/>
  <c r="AK56" i="4"/>
  <c r="AJ56" i="4"/>
  <c r="AG56" i="4"/>
  <c r="AD56" i="4"/>
  <c r="AA56" i="4"/>
  <c r="Z56" i="4"/>
  <c r="Y56" i="4"/>
  <c r="W56" i="4"/>
  <c r="V56" i="4"/>
  <c r="Q56" i="4"/>
  <c r="AM55" i="4"/>
  <c r="AP55" i="4" s="1"/>
  <c r="AL55" i="4"/>
  <c r="AK55" i="4"/>
  <c r="AJ55" i="4"/>
  <c r="AG55" i="4"/>
  <c r="AD55" i="4"/>
  <c r="AA55" i="4"/>
  <c r="Z55" i="4"/>
  <c r="Y55" i="4"/>
  <c r="W55" i="4"/>
  <c r="V55" i="4"/>
  <c r="Q55" i="4"/>
  <c r="AL54" i="4"/>
  <c r="AK54" i="4"/>
  <c r="AJ54" i="4"/>
  <c r="AG54" i="4"/>
  <c r="AD54" i="4"/>
  <c r="AA54" i="4"/>
  <c r="Z54" i="4"/>
  <c r="Y54" i="4"/>
  <c r="W54" i="4"/>
  <c r="V54" i="4"/>
  <c r="Q54" i="4"/>
  <c r="AL53" i="4"/>
  <c r="AK53" i="4"/>
  <c r="AJ53" i="4"/>
  <c r="AG53" i="4"/>
  <c r="AD53" i="4"/>
  <c r="AA53" i="4"/>
  <c r="Z53" i="4"/>
  <c r="Y53" i="4"/>
  <c r="W53" i="4"/>
  <c r="V53" i="4"/>
  <c r="Q53" i="4"/>
  <c r="AL52" i="4"/>
  <c r="AK52" i="4"/>
  <c r="AJ52" i="4"/>
  <c r="AG52" i="4"/>
  <c r="AD52" i="4"/>
  <c r="AA52" i="4"/>
  <c r="Z52" i="4"/>
  <c r="Y52" i="4"/>
  <c r="W52" i="4"/>
  <c r="V52" i="4"/>
  <c r="Q52" i="4"/>
  <c r="AL51" i="4"/>
  <c r="AK51" i="4"/>
  <c r="AJ51" i="4"/>
  <c r="AG51" i="4"/>
  <c r="AD51" i="4"/>
  <c r="AA51" i="4"/>
  <c r="Z51" i="4"/>
  <c r="Y51" i="4"/>
  <c r="W51" i="4"/>
  <c r="V51" i="4"/>
  <c r="Q51" i="4"/>
  <c r="AL50" i="4"/>
  <c r="AK50" i="4"/>
  <c r="AJ50" i="4"/>
  <c r="AG50" i="4"/>
  <c r="AD50" i="4"/>
  <c r="AA50" i="4"/>
  <c r="Z50" i="4"/>
  <c r="Y50" i="4"/>
  <c r="W50" i="4"/>
  <c r="V50" i="4"/>
  <c r="Q50" i="4"/>
  <c r="AL49" i="4"/>
  <c r="AK49" i="4"/>
  <c r="AJ49" i="4"/>
  <c r="AG49" i="4"/>
  <c r="AD49" i="4"/>
  <c r="AA49" i="4"/>
  <c r="Z49" i="4"/>
  <c r="Y49" i="4"/>
  <c r="W49" i="4"/>
  <c r="V49" i="4"/>
  <c r="Q49" i="4"/>
  <c r="AL48" i="4"/>
  <c r="AK48" i="4"/>
  <c r="AJ48" i="4"/>
  <c r="AG48" i="4"/>
  <c r="AD48" i="4"/>
  <c r="AA48" i="4"/>
  <c r="Z48" i="4"/>
  <c r="Y48" i="4"/>
  <c r="W48" i="4"/>
  <c r="V48" i="4"/>
  <c r="Q48" i="4"/>
  <c r="AL47" i="4"/>
  <c r="AK47" i="4"/>
  <c r="AJ47" i="4"/>
  <c r="AG47" i="4"/>
  <c r="AD47" i="4"/>
  <c r="AA47" i="4"/>
  <c r="Z47" i="4"/>
  <c r="Y47" i="4"/>
  <c r="W47" i="4"/>
  <c r="V47" i="4"/>
  <c r="Q47" i="4"/>
  <c r="AL46" i="4"/>
  <c r="AK46" i="4"/>
  <c r="AJ46" i="4"/>
  <c r="AG46" i="4"/>
  <c r="AD46" i="4"/>
  <c r="AA46" i="4"/>
  <c r="Z46" i="4"/>
  <c r="Y46" i="4"/>
  <c r="W46" i="4"/>
  <c r="V46" i="4"/>
  <c r="Q46" i="4"/>
  <c r="AL45" i="4"/>
  <c r="AK45" i="4"/>
  <c r="AJ45" i="4"/>
  <c r="AG45" i="4"/>
  <c r="AD45" i="4"/>
  <c r="AA45" i="4"/>
  <c r="Z45" i="4"/>
  <c r="Y45" i="4"/>
  <c r="W45" i="4"/>
  <c r="V45" i="4"/>
  <c r="Q45" i="4"/>
  <c r="AL44" i="4"/>
  <c r="AK44" i="4"/>
  <c r="AJ44" i="4"/>
  <c r="AG44" i="4"/>
  <c r="AD44" i="4"/>
  <c r="AA44" i="4"/>
  <c r="Z44" i="4"/>
  <c r="Y44" i="4"/>
  <c r="W44" i="4"/>
  <c r="V44" i="4"/>
  <c r="Q44" i="4"/>
  <c r="AL43" i="4"/>
  <c r="AK43" i="4"/>
  <c r="AJ43" i="4"/>
  <c r="AG43" i="4"/>
  <c r="AD43" i="4"/>
  <c r="AA43" i="4"/>
  <c r="Z43" i="4"/>
  <c r="Y43" i="4"/>
  <c r="W43" i="4"/>
  <c r="V43" i="4"/>
  <c r="Q43" i="4"/>
  <c r="AL42" i="4"/>
  <c r="AK42" i="4"/>
  <c r="AJ42" i="4"/>
  <c r="AG42" i="4"/>
  <c r="AD42" i="4"/>
  <c r="W42" i="4"/>
  <c r="V42" i="4"/>
  <c r="Q42" i="4"/>
  <c r="AL41" i="4"/>
  <c r="AK41" i="4"/>
  <c r="AJ41" i="4"/>
  <c r="AG41" i="4"/>
  <c r="AD41" i="4"/>
  <c r="AA41" i="4"/>
  <c r="Z41" i="4"/>
  <c r="Y41" i="4"/>
  <c r="W41" i="4"/>
  <c r="V41" i="4"/>
  <c r="Q41" i="4"/>
  <c r="AL40" i="4"/>
  <c r="AK40" i="4"/>
  <c r="AJ40" i="4"/>
  <c r="AG40" i="4"/>
  <c r="AD40" i="4"/>
  <c r="AA40" i="4"/>
  <c r="Z40" i="4"/>
  <c r="Y40" i="4"/>
  <c r="W40" i="4"/>
  <c r="V40" i="4"/>
  <c r="Q40" i="4"/>
  <c r="AM39" i="4"/>
  <c r="AP39" i="4" s="1"/>
  <c r="AL39" i="4"/>
  <c r="AK39" i="4"/>
  <c r="AJ39" i="4"/>
  <c r="AG39" i="4"/>
  <c r="AD39" i="4"/>
  <c r="AA39" i="4"/>
  <c r="Z39" i="4"/>
  <c r="Y39" i="4"/>
  <c r="W39" i="4"/>
  <c r="V39" i="4"/>
  <c r="Q39" i="4"/>
  <c r="AL38" i="4"/>
  <c r="AK38" i="4"/>
  <c r="AJ38" i="4"/>
  <c r="AG38" i="4"/>
  <c r="AD38" i="4"/>
  <c r="AA38" i="4"/>
  <c r="Z38" i="4"/>
  <c r="Y38" i="4"/>
  <c r="W38" i="4"/>
  <c r="V38" i="4"/>
  <c r="Q38" i="4"/>
  <c r="AL37" i="4"/>
  <c r="AK37" i="4"/>
  <c r="AJ37" i="4"/>
  <c r="AG37" i="4"/>
  <c r="AD37" i="4"/>
  <c r="AA37" i="4"/>
  <c r="Z37" i="4"/>
  <c r="Y37" i="4"/>
  <c r="W37" i="4"/>
  <c r="V37" i="4"/>
  <c r="Q37" i="4"/>
  <c r="AL36" i="4"/>
  <c r="AK36" i="4"/>
  <c r="AJ36" i="4"/>
  <c r="AG36" i="4"/>
  <c r="AD36" i="4"/>
  <c r="AA36" i="4"/>
  <c r="Z36" i="4"/>
  <c r="Y36" i="4"/>
  <c r="W36" i="4"/>
  <c r="V36" i="4"/>
  <c r="Q36" i="4"/>
  <c r="AL35" i="4"/>
  <c r="AK35" i="4"/>
  <c r="AJ35" i="4"/>
  <c r="AG35" i="4"/>
  <c r="AD35" i="4"/>
  <c r="AA35" i="4"/>
  <c r="Z35" i="4"/>
  <c r="Y35" i="4"/>
  <c r="W35" i="4"/>
  <c r="V35" i="4"/>
  <c r="Q35" i="4"/>
  <c r="AL34" i="4"/>
  <c r="AK34" i="4"/>
  <c r="AJ34" i="4"/>
  <c r="AG34" i="4"/>
  <c r="AD34" i="4"/>
  <c r="AA34" i="4"/>
  <c r="Z34" i="4"/>
  <c r="Y34" i="4"/>
  <c r="W34" i="4"/>
  <c r="V34" i="4"/>
  <c r="Q34" i="4"/>
  <c r="AL33" i="4"/>
  <c r="AK33" i="4"/>
  <c r="AJ33" i="4"/>
  <c r="AG33" i="4"/>
  <c r="AD33" i="4"/>
  <c r="AA33" i="4"/>
  <c r="Z33" i="4"/>
  <c r="Y33" i="4"/>
  <c r="W33" i="4"/>
  <c r="V33" i="4"/>
  <c r="Q33" i="4"/>
  <c r="AL32" i="4"/>
  <c r="W32" i="4"/>
  <c r="V32" i="4"/>
  <c r="Q32" i="4"/>
  <c r="O32" i="4"/>
  <c r="AL31" i="4"/>
  <c r="AK31" i="4"/>
  <c r="AA31" i="4"/>
  <c r="Z31" i="4"/>
  <c r="Y31" i="4"/>
  <c r="W31" i="4"/>
  <c r="V31" i="4"/>
  <c r="Q31" i="4"/>
  <c r="AL30" i="4"/>
  <c r="AA30" i="4"/>
  <c r="Z30" i="4"/>
  <c r="Y30" i="4"/>
  <c r="W30" i="4"/>
  <c r="V30" i="4"/>
  <c r="Q30" i="4"/>
  <c r="AM29" i="4"/>
  <c r="AP29" i="4" s="1"/>
  <c r="AL29" i="4"/>
  <c r="AA29" i="4"/>
  <c r="Z29" i="4"/>
  <c r="Y29" i="4"/>
  <c r="W29" i="4"/>
  <c r="V29" i="4"/>
  <c r="Q29" i="4"/>
  <c r="AL28" i="4"/>
  <c r="AK28" i="4"/>
  <c r="AA28" i="4"/>
  <c r="Z28" i="4"/>
  <c r="Y28" i="4"/>
  <c r="W28" i="4"/>
  <c r="V28" i="4"/>
  <c r="Q28" i="4"/>
  <c r="H28" i="4"/>
  <c r="AL27" i="4"/>
  <c r="AA27" i="4"/>
  <c r="Z27" i="4"/>
  <c r="Y27" i="4"/>
  <c r="W27" i="4"/>
  <c r="V27" i="4"/>
  <c r="Q27" i="4"/>
  <c r="AL26" i="4"/>
  <c r="AA26" i="4"/>
  <c r="Z26" i="4"/>
  <c r="Y26" i="4"/>
  <c r="W26" i="4"/>
  <c r="V26" i="4"/>
  <c r="Q26" i="4"/>
  <c r="AL25" i="4"/>
  <c r="AA25" i="4"/>
  <c r="Z25" i="4"/>
  <c r="Y25" i="4"/>
  <c r="W25" i="4"/>
  <c r="V25" i="4"/>
  <c r="Q25" i="4"/>
  <c r="O25" i="4"/>
  <c r="AL24" i="4"/>
  <c r="AK24" i="4"/>
  <c r="AA24" i="4"/>
  <c r="Z24" i="4"/>
  <c r="Y24" i="4"/>
  <c r="W24" i="4"/>
  <c r="V24" i="4"/>
  <c r="Q24" i="4"/>
  <c r="AL23" i="4"/>
  <c r="AA23" i="4"/>
  <c r="Z23" i="4"/>
  <c r="Y23" i="4"/>
  <c r="W23" i="4"/>
  <c r="V23" i="4"/>
  <c r="Q23" i="4"/>
  <c r="AL22" i="4"/>
  <c r="W22" i="4"/>
  <c r="V22" i="4"/>
  <c r="Q22" i="4"/>
  <c r="AL21" i="4"/>
  <c r="AA21" i="4"/>
  <c r="Z21" i="4"/>
  <c r="Y21" i="4"/>
  <c r="W21" i="4"/>
  <c r="V21" i="4"/>
  <c r="Q21" i="4"/>
  <c r="AL20" i="4"/>
  <c r="AA20" i="4"/>
  <c r="Z20" i="4"/>
  <c r="Y20" i="4"/>
  <c r="W20" i="4"/>
  <c r="V20" i="4"/>
  <c r="Q20" i="4"/>
  <c r="AL19" i="4"/>
  <c r="AA19" i="4"/>
  <c r="Z19" i="4"/>
  <c r="Y19" i="4"/>
  <c r="W19" i="4"/>
  <c r="V19" i="4"/>
  <c r="Q19" i="4"/>
  <c r="AL18" i="4"/>
  <c r="AA18" i="4"/>
  <c r="Z18" i="4"/>
  <c r="Y18" i="4"/>
  <c r="AK18" i="4" s="1"/>
  <c r="W18" i="4"/>
  <c r="V18" i="4"/>
  <c r="Q18" i="4"/>
  <c r="AL17" i="4"/>
  <c r="W17" i="4"/>
  <c r="V17" i="4"/>
  <c r="Q17" i="4"/>
  <c r="AL16" i="4"/>
  <c r="AK16" i="4"/>
  <c r="AA16" i="4"/>
  <c r="Z16" i="4"/>
  <c r="Y16" i="4"/>
  <c r="W16" i="4"/>
  <c r="V16" i="4"/>
  <c r="Q16" i="4"/>
  <c r="AL15" i="4"/>
  <c r="AA15" i="4"/>
  <c r="Z15" i="4"/>
  <c r="Y15" i="4"/>
  <c r="W15" i="4"/>
  <c r="V15" i="4"/>
  <c r="Q15" i="4"/>
  <c r="O15" i="4"/>
  <c r="AL14" i="4"/>
  <c r="AK14" i="4"/>
  <c r="AA14" i="4"/>
  <c r="Z14" i="4"/>
  <c r="Y14" i="4"/>
  <c r="W14" i="4"/>
  <c r="V14" i="4"/>
  <c r="Q14" i="4"/>
  <c r="AL13" i="4"/>
  <c r="AA13" i="4"/>
  <c r="Z13" i="4"/>
  <c r="Y13" i="4"/>
  <c r="W13" i="4"/>
  <c r="V13" i="4"/>
  <c r="Q13" i="4"/>
  <c r="AL12" i="4"/>
  <c r="AA12" i="4"/>
  <c r="Z12" i="4"/>
  <c r="Y12" i="4"/>
  <c r="W12" i="4"/>
  <c r="V12" i="4"/>
  <c r="Q12" i="4"/>
  <c r="AP11" i="4"/>
  <c r="AM11" i="4"/>
  <c r="AL11" i="4"/>
  <c r="AA11" i="4"/>
  <c r="Z11" i="4"/>
  <c r="Y11" i="4"/>
  <c r="AK11" i="4" s="1"/>
  <c r="W11" i="4"/>
  <c r="V11" i="4"/>
  <c r="Q11" i="4"/>
  <c r="O11" i="4"/>
  <c r="B11" i="4"/>
  <c r="AL10" i="4"/>
  <c r="AA10" i="4"/>
  <c r="Z10" i="4"/>
  <c r="AK10" i="4" s="1"/>
  <c r="Y10" i="4"/>
  <c r="W10" i="4"/>
  <c r="V10" i="4"/>
  <c r="Q10" i="4"/>
  <c r="O10" i="4"/>
  <c r="AM9" i="4"/>
  <c r="AP9" i="4" s="1"/>
  <c r="AL9" i="4"/>
  <c r="AA9" i="4"/>
  <c r="Z9" i="4"/>
  <c r="Y9" i="4"/>
  <c r="AK9" i="4" s="1"/>
  <c r="W9" i="4"/>
  <c r="V9" i="4"/>
  <c r="Q9" i="4"/>
  <c r="O9" i="4"/>
  <c r="P9" i="4" s="1"/>
  <c r="AL8" i="4"/>
  <c r="AA8" i="4"/>
  <c r="Z8" i="4"/>
  <c r="Y8" i="4"/>
  <c r="AK8" i="4" s="1"/>
  <c r="W8" i="4"/>
  <c r="V8" i="4"/>
  <c r="Q8" i="4"/>
  <c r="AL7" i="4"/>
  <c r="AA7" i="4"/>
  <c r="Z7" i="4"/>
  <c r="Y7" i="4"/>
  <c r="AK7" i="4" s="1"/>
  <c r="W7" i="4"/>
  <c r="V7" i="4"/>
  <c r="Q7" i="4"/>
  <c r="O53" i="4"/>
  <c r="AL6" i="4"/>
  <c r="AA6" i="4"/>
  <c r="Z6" i="4"/>
  <c r="Y6" i="4"/>
  <c r="AK6" i="4" s="1"/>
  <c r="W6" i="4"/>
  <c r="V6" i="4"/>
  <c r="Q6" i="4"/>
  <c r="O6" i="4"/>
  <c r="P6" i="4" s="1"/>
  <c r="AL5" i="4"/>
  <c r="AA5" i="4"/>
  <c r="Z5" i="4"/>
  <c r="AM5" i="4" s="1"/>
  <c r="AP5" i="4" s="1"/>
  <c r="Y5" i="4"/>
  <c r="W5" i="4"/>
  <c r="V5" i="4"/>
  <c r="Q5" i="4"/>
  <c r="O5" i="4"/>
  <c r="P5" i="4" s="1"/>
  <c r="AL4" i="4"/>
  <c r="AJ4" i="4"/>
  <c r="AA4" i="4"/>
  <c r="Z4" i="4"/>
  <c r="AM4" i="4" s="1"/>
  <c r="Y4" i="4"/>
  <c r="W4" i="4"/>
  <c r="V4" i="4"/>
  <c r="Q4" i="4"/>
  <c r="O4" i="4"/>
  <c r="P4" i="4" s="1"/>
  <c r="AL3" i="4"/>
  <c r="AJ3" i="4"/>
  <c r="AG3" i="4"/>
  <c r="AA3" i="4"/>
  <c r="Z3" i="4"/>
  <c r="Y3" i="4"/>
  <c r="AK3" i="4" s="1"/>
  <c r="W3" i="4"/>
  <c r="V3" i="4"/>
  <c r="Q3" i="4"/>
  <c r="O3" i="4"/>
  <c r="AL2" i="4"/>
  <c r="AJ2" i="4"/>
  <c r="AG2" i="4"/>
  <c r="AD2" i="4"/>
  <c r="AA2" i="4"/>
  <c r="Z2" i="4"/>
  <c r="AM2" i="4" s="1"/>
  <c r="Y2" i="4"/>
  <c r="W2" i="4"/>
  <c r="V2" i="4"/>
  <c r="Q2" i="4"/>
  <c r="O2" i="4"/>
  <c r="P2" i="4" s="1"/>
  <c r="AP102" i="3"/>
  <c r="AM102" i="3"/>
  <c r="AL102" i="3"/>
  <c r="AK102" i="3"/>
  <c r="AJ102" i="3"/>
  <c r="AG102" i="3"/>
  <c r="AD102" i="3"/>
  <c r="AA102" i="3"/>
  <c r="Z102" i="3"/>
  <c r="Y102" i="3"/>
  <c r="W102" i="3"/>
  <c r="V102" i="3"/>
  <c r="U102" i="3"/>
  <c r="T102" i="3"/>
  <c r="Q102" i="3"/>
  <c r="P102" i="3"/>
  <c r="O102" i="3"/>
  <c r="AP101" i="3"/>
  <c r="AM101" i="3"/>
  <c r="AL101" i="3"/>
  <c r="AK101" i="3"/>
  <c r="AJ101" i="3"/>
  <c r="AG101" i="3"/>
  <c r="AD101" i="3"/>
  <c r="AA101" i="3"/>
  <c r="Z101" i="3"/>
  <c r="Y101" i="3"/>
  <c r="W101" i="3"/>
  <c r="V101" i="3"/>
  <c r="U101" i="3"/>
  <c r="T101" i="3"/>
  <c r="Q101" i="3"/>
  <c r="P101" i="3"/>
  <c r="O101" i="3"/>
  <c r="AP100" i="3"/>
  <c r="AM100" i="3"/>
  <c r="AL100" i="3"/>
  <c r="AK100" i="3"/>
  <c r="AJ100" i="3"/>
  <c r="AG100" i="3"/>
  <c r="AD100" i="3"/>
  <c r="AA100" i="3"/>
  <c r="Z100" i="3"/>
  <c r="Y100" i="3"/>
  <c r="W100" i="3"/>
  <c r="V100" i="3"/>
  <c r="U100" i="3"/>
  <c r="T100" i="3"/>
  <c r="Q100" i="3"/>
  <c r="P100" i="3"/>
  <c r="O100" i="3"/>
  <c r="AP99" i="3"/>
  <c r="AM99" i="3"/>
  <c r="AL99" i="3"/>
  <c r="AK99" i="3"/>
  <c r="AJ99" i="3"/>
  <c r="AG99" i="3"/>
  <c r="AD99" i="3"/>
  <c r="AA99" i="3"/>
  <c r="Z99" i="3"/>
  <c r="Y99" i="3"/>
  <c r="W99" i="3"/>
  <c r="V99" i="3"/>
  <c r="U99" i="3"/>
  <c r="T99" i="3"/>
  <c r="Q99" i="3"/>
  <c r="P99" i="3"/>
  <c r="O99" i="3"/>
  <c r="AP98" i="3"/>
  <c r="AM98" i="3"/>
  <c r="AL98" i="3"/>
  <c r="AK98" i="3"/>
  <c r="AJ98" i="3"/>
  <c r="AG98" i="3"/>
  <c r="AD98" i="3"/>
  <c r="AA98" i="3"/>
  <c r="Z98" i="3"/>
  <c r="Y98" i="3"/>
  <c r="W98" i="3"/>
  <c r="V98" i="3"/>
  <c r="U98" i="3"/>
  <c r="T98" i="3"/>
  <c r="Q98" i="3"/>
  <c r="P98" i="3"/>
  <c r="O98" i="3"/>
  <c r="AP97" i="3"/>
  <c r="AM97" i="3"/>
  <c r="AL97" i="3"/>
  <c r="AK97" i="3"/>
  <c r="AJ97" i="3"/>
  <c r="AG97" i="3"/>
  <c r="AD97" i="3"/>
  <c r="AA97" i="3"/>
  <c r="Z97" i="3"/>
  <c r="Y97" i="3"/>
  <c r="W97" i="3"/>
  <c r="V97" i="3"/>
  <c r="U97" i="3"/>
  <c r="T97" i="3"/>
  <c r="Q97" i="3"/>
  <c r="P97" i="3"/>
  <c r="O97" i="3"/>
  <c r="AP96" i="3"/>
  <c r="AM96" i="3"/>
  <c r="AL96" i="3"/>
  <c r="AK96" i="3"/>
  <c r="AJ96" i="3"/>
  <c r="AG96" i="3"/>
  <c r="AD96" i="3"/>
  <c r="AA96" i="3"/>
  <c r="Z96" i="3"/>
  <c r="Y96" i="3"/>
  <c r="W96" i="3"/>
  <c r="V96" i="3"/>
  <c r="U96" i="3"/>
  <c r="T96" i="3"/>
  <c r="Q96" i="3"/>
  <c r="P96" i="3"/>
  <c r="O96" i="3"/>
  <c r="AP95" i="3"/>
  <c r="AM95" i="3"/>
  <c r="AL95" i="3"/>
  <c r="AK95" i="3"/>
  <c r="AJ95" i="3"/>
  <c r="AG95" i="3"/>
  <c r="AD95" i="3"/>
  <c r="AA95" i="3"/>
  <c r="Z95" i="3"/>
  <c r="Y95" i="3"/>
  <c r="W95" i="3"/>
  <c r="V95" i="3"/>
  <c r="U95" i="3"/>
  <c r="T95" i="3"/>
  <c r="Q95" i="3"/>
  <c r="P95" i="3"/>
  <c r="O95" i="3"/>
  <c r="AP94" i="3"/>
  <c r="AM94" i="3"/>
  <c r="AL94" i="3"/>
  <c r="AK94" i="3"/>
  <c r="AJ94" i="3"/>
  <c r="AG94" i="3"/>
  <c r="AD94" i="3"/>
  <c r="AA94" i="3"/>
  <c r="Z94" i="3"/>
  <c r="Y94" i="3"/>
  <c r="W94" i="3"/>
  <c r="V94" i="3"/>
  <c r="U94" i="3"/>
  <c r="T94" i="3"/>
  <c r="Q94" i="3"/>
  <c r="P94" i="3"/>
  <c r="O94" i="3"/>
  <c r="AP93" i="3"/>
  <c r="AM93" i="3"/>
  <c r="AL93" i="3"/>
  <c r="AK93" i="3"/>
  <c r="AJ93" i="3"/>
  <c r="AG93" i="3"/>
  <c r="AD93" i="3"/>
  <c r="AA93" i="3"/>
  <c r="Z93" i="3"/>
  <c r="Y93" i="3"/>
  <c r="W93" i="3"/>
  <c r="V93" i="3"/>
  <c r="U93" i="3"/>
  <c r="T93" i="3"/>
  <c r="Q93" i="3"/>
  <c r="P93" i="3"/>
  <c r="O93" i="3"/>
  <c r="AP92" i="3"/>
  <c r="AM92" i="3"/>
  <c r="AL92" i="3"/>
  <c r="AK92" i="3"/>
  <c r="AJ92" i="3"/>
  <c r="AG92" i="3"/>
  <c r="AD92" i="3"/>
  <c r="AA92" i="3"/>
  <c r="Z92" i="3"/>
  <c r="Y92" i="3"/>
  <c r="W92" i="3"/>
  <c r="V92" i="3"/>
  <c r="U92" i="3"/>
  <c r="T92" i="3"/>
  <c r="Q92" i="3"/>
  <c r="P92" i="3"/>
  <c r="O92" i="3"/>
  <c r="AP91" i="3"/>
  <c r="AM91" i="3"/>
  <c r="AL91" i="3"/>
  <c r="AK91" i="3"/>
  <c r="AJ91" i="3"/>
  <c r="AG91" i="3"/>
  <c r="AD91" i="3"/>
  <c r="AA91" i="3"/>
  <c r="Z91" i="3"/>
  <c r="Y91" i="3"/>
  <c r="W91" i="3"/>
  <c r="V91" i="3"/>
  <c r="U91" i="3"/>
  <c r="T91" i="3"/>
  <c r="Q91" i="3"/>
  <c r="P91" i="3"/>
  <c r="O91" i="3"/>
  <c r="AP90" i="3"/>
  <c r="AM90" i="3"/>
  <c r="AL90" i="3"/>
  <c r="AK90" i="3"/>
  <c r="AJ90" i="3"/>
  <c r="AG90" i="3"/>
  <c r="AD90" i="3"/>
  <c r="AA90" i="3"/>
  <c r="Z90" i="3"/>
  <c r="Y90" i="3"/>
  <c r="W90" i="3"/>
  <c r="V90" i="3"/>
  <c r="U90" i="3"/>
  <c r="T90" i="3"/>
  <c r="Q90" i="3"/>
  <c r="P90" i="3"/>
  <c r="O90" i="3"/>
  <c r="AP89" i="3"/>
  <c r="AM89" i="3"/>
  <c r="AL89" i="3"/>
  <c r="AK89" i="3"/>
  <c r="AJ89" i="3"/>
  <c r="AG89" i="3"/>
  <c r="AD89" i="3"/>
  <c r="AA89" i="3"/>
  <c r="Z89" i="3"/>
  <c r="Y89" i="3"/>
  <c r="W89" i="3"/>
  <c r="V89" i="3"/>
  <c r="U89" i="3"/>
  <c r="T89" i="3"/>
  <c r="Q89" i="3"/>
  <c r="P89" i="3"/>
  <c r="O89" i="3"/>
  <c r="AP88" i="3"/>
  <c r="AM88" i="3"/>
  <c r="AL88" i="3"/>
  <c r="AK88" i="3"/>
  <c r="AJ88" i="3"/>
  <c r="AG88" i="3"/>
  <c r="AD88" i="3"/>
  <c r="AA88" i="3"/>
  <c r="Z88" i="3"/>
  <c r="Y88" i="3"/>
  <c r="W88" i="3"/>
  <c r="V88" i="3"/>
  <c r="U88" i="3"/>
  <c r="T88" i="3"/>
  <c r="Q88" i="3"/>
  <c r="P88" i="3"/>
  <c r="O88" i="3"/>
  <c r="AP87" i="3"/>
  <c r="AM87" i="3"/>
  <c r="AL87" i="3"/>
  <c r="AK87" i="3"/>
  <c r="AJ87" i="3"/>
  <c r="AG87" i="3"/>
  <c r="AD87" i="3"/>
  <c r="AA87" i="3"/>
  <c r="Z87" i="3"/>
  <c r="Y87" i="3"/>
  <c r="W87" i="3"/>
  <c r="V87" i="3"/>
  <c r="U87" i="3"/>
  <c r="T87" i="3"/>
  <c r="Q87" i="3"/>
  <c r="P87" i="3"/>
  <c r="O87" i="3"/>
  <c r="AP86" i="3"/>
  <c r="AM86" i="3"/>
  <c r="AL86" i="3"/>
  <c r="AK86" i="3"/>
  <c r="AJ86" i="3"/>
  <c r="AG86" i="3"/>
  <c r="AD86" i="3"/>
  <c r="AA86" i="3"/>
  <c r="Z86" i="3"/>
  <c r="Y86" i="3"/>
  <c r="W86" i="3"/>
  <c r="V86" i="3"/>
  <c r="U86" i="3"/>
  <c r="T86" i="3"/>
  <c r="Q86" i="3"/>
  <c r="P86" i="3"/>
  <c r="O86" i="3"/>
  <c r="AP85" i="3"/>
  <c r="AM85" i="3"/>
  <c r="AL85" i="3"/>
  <c r="AK85" i="3"/>
  <c r="AJ85" i="3"/>
  <c r="AG85" i="3"/>
  <c r="AD85" i="3"/>
  <c r="AA85" i="3"/>
  <c r="Z85" i="3"/>
  <c r="Y85" i="3"/>
  <c r="W85" i="3"/>
  <c r="V85" i="3"/>
  <c r="U85" i="3"/>
  <c r="T85" i="3"/>
  <c r="Q85" i="3"/>
  <c r="P85" i="3"/>
  <c r="O85" i="3"/>
  <c r="AP84" i="3"/>
  <c r="AM84" i="3"/>
  <c r="AL84" i="3"/>
  <c r="AK84" i="3"/>
  <c r="AJ84" i="3"/>
  <c r="AG84" i="3"/>
  <c r="AD84" i="3"/>
  <c r="AA84" i="3"/>
  <c r="Z84" i="3"/>
  <c r="Y84" i="3"/>
  <c r="W84" i="3"/>
  <c r="V84" i="3"/>
  <c r="U84" i="3"/>
  <c r="T84" i="3"/>
  <c r="Q84" i="3"/>
  <c r="P84" i="3"/>
  <c r="O84" i="3"/>
  <c r="AP83" i="3"/>
  <c r="AM83" i="3"/>
  <c r="AL83" i="3"/>
  <c r="AK83" i="3"/>
  <c r="AJ83" i="3"/>
  <c r="AG83" i="3"/>
  <c r="AD83" i="3"/>
  <c r="AA83" i="3"/>
  <c r="Z83" i="3"/>
  <c r="Y83" i="3"/>
  <c r="W83" i="3"/>
  <c r="V83" i="3"/>
  <c r="U83" i="3"/>
  <c r="T83" i="3"/>
  <c r="Q83" i="3"/>
  <c r="P83" i="3"/>
  <c r="O83" i="3"/>
  <c r="AP82" i="3"/>
  <c r="AM82" i="3"/>
  <c r="AL82" i="3"/>
  <c r="AK82" i="3"/>
  <c r="AJ82" i="3"/>
  <c r="AG82" i="3"/>
  <c r="AD82" i="3"/>
  <c r="AA82" i="3"/>
  <c r="Z82" i="3"/>
  <c r="Y82" i="3"/>
  <c r="W82" i="3"/>
  <c r="V82" i="3"/>
  <c r="U82" i="3"/>
  <c r="T82" i="3"/>
  <c r="Q82" i="3"/>
  <c r="P82" i="3"/>
  <c r="O82" i="3"/>
  <c r="AP81" i="3"/>
  <c r="AM81" i="3"/>
  <c r="AL81" i="3"/>
  <c r="AK81" i="3"/>
  <c r="AJ81" i="3"/>
  <c r="AG81" i="3"/>
  <c r="AD81" i="3"/>
  <c r="AA81" i="3"/>
  <c r="Z81" i="3"/>
  <c r="Y81" i="3"/>
  <c r="W81" i="3"/>
  <c r="V81" i="3"/>
  <c r="U81" i="3"/>
  <c r="T81" i="3"/>
  <c r="Q81" i="3"/>
  <c r="P81" i="3"/>
  <c r="O81" i="3"/>
  <c r="AP80" i="3"/>
  <c r="AM80" i="3"/>
  <c r="AL80" i="3"/>
  <c r="AK80" i="3"/>
  <c r="AJ80" i="3"/>
  <c r="AG80" i="3"/>
  <c r="AD80" i="3"/>
  <c r="AA80" i="3"/>
  <c r="Z80" i="3"/>
  <c r="Y80" i="3"/>
  <c r="W80" i="3"/>
  <c r="V80" i="3"/>
  <c r="U80" i="3"/>
  <c r="T80" i="3"/>
  <c r="Q80" i="3"/>
  <c r="P80" i="3"/>
  <c r="O80" i="3"/>
  <c r="AP79" i="3"/>
  <c r="AM79" i="3"/>
  <c r="AL79" i="3"/>
  <c r="AK79" i="3"/>
  <c r="AJ79" i="3"/>
  <c r="AG79" i="3"/>
  <c r="AD79" i="3"/>
  <c r="AA79" i="3"/>
  <c r="Z79" i="3"/>
  <c r="Y79" i="3"/>
  <c r="W79" i="3"/>
  <c r="V79" i="3"/>
  <c r="U79" i="3"/>
  <c r="T79" i="3"/>
  <c r="Q79" i="3"/>
  <c r="P79" i="3"/>
  <c r="O79" i="3"/>
  <c r="AP78" i="3"/>
  <c r="AM78" i="3"/>
  <c r="AL78" i="3"/>
  <c r="AK78" i="3"/>
  <c r="AJ78" i="3"/>
  <c r="AG78" i="3"/>
  <c r="AD78" i="3"/>
  <c r="AA78" i="3"/>
  <c r="Z78" i="3"/>
  <c r="Y78" i="3"/>
  <c r="W78" i="3"/>
  <c r="V78" i="3"/>
  <c r="U78" i="3"/>
  <c r="T78" i="3"/>
  <c r="Q78" i="3"/>
  <c r="P78" i="3"/>
  <c r="O78" i="3"/>
  <c r="AP77" i="3"/>
  <c r="AM77" i="3"/>
  <c r="AL77" i="3"/>
  <c r="AK77" i="3"/>
  <c r="AJ77" i="3"/>
  <c r="AG77" i="3"/>
  <c r="AD77" i="3"/>
  <c r="AA77" i="3"/>
  <c r="Z77" i="3"/>
  <c r="Y77" i="3"/>
  <c r="W77" i="3"/>
  <c r="V77" i="3"/>
  <c r="U77" i="3"/>
  <c r="T77" i="3"/>
  <c r="Q77" i="3"/>
  <c r="P77" i="3"/>
  <c r="O77" i="3"/>
  <c r="AP76" i="3"/>
  <c r="AM76" i="3"/>
  <c r="AL76" i="3"/>
  <c r="AK76" i="3"/>
  <c r="AJ76" i="3"/>
  <c r="AG76" i="3"/>
  <c r="AD76" i="3"/>
  <c r="AA76" i="3"/>
  <c r="Z76" i="3"/>
  <c r="Y76" i="3"/>
  <c r="W76" i="3"/>
  <c r="V76" i="3"/>
  <c r="U76" i="3"/>
  <c r="T76" i="3"/>
  <c r="Q76" i="3"/>
  <c r="P76" i="3"/>
  <c r="O76" i="3"/>
  <c r="AP75" i="3"/>
  <c r="AM75" i="3"/>
  <c r="AL75" i="3"/>
  <c r="AK75" i="3"/>
  <c r="AJ75" i="3"/>
  <c r="AG75" i="3"/>
  <c r="AD75" i="3"/>
  <c r="AA75" i="3"/>
  <c r="Z75" i="3"/>
  <c r="Y75" i="3"/>
  <c r="W75" i="3"/>
  <c r="V75" i="3"/>
  <c r="U75" i="3"/>
  <c r="T75" i="3"/>
  <c r="Q75" i="3"/>
  <c r="P75" i="3"/>
  <c r="O75" i="3"/>
  <c r="AP74" i="3"/>
  <c r="AM74" i="3"/>
  <c r="AL74" i="3"/>
  <c r="AK74" i="3"/>
  <c r="AJ74" i="3"/>
  <c r="AG74" i="3"/>
  <c r="AD74" i="3"/>
  <c r="AA74" i="3"/>
  <c r="Z74" i="3"/>
  <c r="Y74" i="3"/>
  <c r="W74" i="3"/>
  <c r="V74" i="3"/>
  <c r="U74" i="3"/>
  <c r="T74" i="3"/>
  <c r="Q74" i="3"/>
  <c r="P74" i="3"/>
  <c r="O74" i="3"/>
  <c r="AP73" i="3"/>
  <c r="AM73" i="3"/>
  <c r="AL73" i="3"/>
  <c r="AK73" i="3"/>
  <c r="AJ73" i="3"/>
  <c r="AG73" i="3"/>
  <c r="AD73" i="3"/>
  <c r="AA73" i="3"/>
  <c r="Z73" i="3"/>
  <c r="Y73" i="3"/>
  <c r="W73" i="3"/>
  <c r="V73" i="3"/>
  <c r="U73" i="3"/>
  <c r="T73" i="3"/>
  <c r="Q73" i="3"/>
  <c r="P73" i="3"/>
  <c r="O73" i="3"/>
  <c r="AP72" i="3"/>
  <c r="AM72" i="3"/>
  <c r="AL72" i="3"/>
  <c r="AK72" i="3"/>
  <c r="AJ72" i="3"/>
  <c r="AG72" i="3"/>
  <c r="AD72" i="3"/>
  <c r="AA72" i="3"/>
  <c r="Z72" i="3"/>
  <c r="Y72" i="3"/>
  <c r="W72" i="3"/>
  <c r="V72" i="3"/>
  <c r="U72" i="3"/>
  <c r="T72" i="3"/>
  <c r="Q72" i="3"/>
  <c r="P72" i="3"/>
  <c r="O72" i="3"/>
  <c r="AP71" i="3"/>
  <c r="AM71" i="3"/>
  <c r="AL71" i="3"/>
  <c r="AK71" i="3"/>
  <c r="AJ71" i="3"/>
  <c r="AG71" i="3"/>
  <c r="AD71" i="3"/>
  <c r="AA71" i="3"/>
  <c r="Z71" i="3"/>
  <c r="Y71" i="3"/>
  <c r="W71" i="3"/>
  <c r="V71" i="3"/>
  <c r="U71" i="3"/>
  <c r="T71" i="3"/>
  <c r="Q71" i="3"/>
  <c r="P71" i="3"/>
  <c r="O71" i="3"/>
  <c r="AP70" i="3"/>
  <c r="AM70" i="3"/>
  <c r="AL70" i="3"/>
  <c r="AK70" i="3"/>
  <c r="AJ70" i="3"/>
  <c r="AG70" i="3"/>
  <c r="AD70" i="3"/>
  <c r="AA70" i="3"/>
  <c r="Z70" i="3"/>
  <c r="Y70" i="3"/>
  <c r="W70" i="3"/>
  <c r="V70" i="3"/>
  <c r="U70" i="3"/>
  <c r="T70" i="3"/>
  <c r="Q70" i="3"/>
  <c r="P70" i="3"/>
  <c r="O70" i="3"/>
  <c r="AP69" i="3"/>
  <c r="AM69" i="3"/>
  <c r="AL69" i="3"/>
  <c r="AK69" i="3"/>
  <c r="AJ69" i="3"/>
  <c r="AG69" i="3"/>
  <c r="AD69" i="3"/>
  <c r="AA69" i="3"/>
  <c r="Z69" i="3"/>
  <c r="Y69" i="3"/>
  <c r="W69" i="3"/>
  <c r="V69" i="3"/>
  <c r="U69" i="3"/>
  <c r="T69" i="3"/>
  <c r="Q69" i="3"/>
  <c r="P69" i="3"/>
  <c r="O69" i="3"/>
  <c r="AP68" i="3"/>
  <c r="AM68" i="3"/>
  <c r="AL68" i="3"/>
  <c r="AK68" i="3"/>
  <c r="AJ68" i="3"/>
  <c r="AG68" i="3"/>
  <c r="AD68" i="3"/>
  <c r="AA68" i="3"/>
  <c r="Z68" i="3"/>
  <c r="Y68" i="3"/>
  <c r="W68" i="3"/>
  <c r="V68" i="3"/>
  <c r="U68" i="3"/>
  <c r="T68" i="3"/>
  <c r="Q68" i="3"/>
  <c r="P68" i="3"/>
  <c r="O68" i="3"/>
  <c r="AP67" i="3"/>
  <c r="AM67" i="3"/>
  <c r="AL67" i="3"/>
  <c r="AK67" i="3"/>
  <c r="AJ67" i="3"/>
  <c r="AG67" i="3"/>
  <c r="AD67" i="3"/>
  <c r="AA67" i="3"/>
  <c r="Z67" i="3"/>
  <c r="Y67" i="3"/>
  <c r="W67" i="3"/>
  <c r="V67" i="3"/>
  <c r="U67" i="3"/>
  <c r="T67" i="3"/>
  <c r="Q67" i="3"/>
  <c r="P67" i="3"/>
  <c r="O67" i="3"/>
  <c r="AP66" i="3"/>
  <c r="AM66" i="3"/>
  <c r="AL66" i="3"/>
  <c r="AK66" i="3"/>
  <c r="AJ66" i="3"/>
  <c r="AG66" i="3"/>
  <c r="AD66" i="3"/>
  <c r="AA66" i="3"/>
  <c r="Z66" i="3"/>
  <c r="Y66" i="3"/>
  <c r="W66" i="3"/>
  <c r="V66" i="3"/>
  <c r="U66" i="3"/>
  <c r="T66" i="3"/>
  <c r="Q66" i="3"/>
  <c r="P66" i="3"/>
  <c r="O66" i="3"/>
  <c r="AP65" i="3"/>
  <c r="AM65" i="3"/>
  <c r="AL65" i="3"/>
  <c r="AK65" i="3"/>
  <c r="AJ65" i="3"/>
  <c r="AG65" i="3"/>
  <c r="AD65" i="3"/>
  <c r="AA65" i="3"/>
  <c r="Z65" i="3"/>
  <c r="Y65" i="3"/>
  <c r="W65" i="3"/>
  <c r="V65" i="3"/>
  <c r="U65" i="3"/>
  <c r="T65" i="3"/>
  <c r="Q65" i="3"/>
  <c r="P65" i="3"/>
  <c r="O65" i="3"/>
  <c r="AP64" i="3"/>
  <c r="AM64" i="3"/>
  <c r="AL64" i="3"/>
  <c r="AK64" i="3"/>
  <c r="AJ64" i="3"/>
  <c r="AG64" i="3"/>
  <c r="AD64" i="3"/>
  <c r="AA64" i="3"/>
  <c r="Z64" i="3"/>
  <c r="Y64" i="3"/>
  <c r="W64" i="3"/>
  <c r="V64" i="3"/>
  <c r="U64" i="3"/>
  <c r="T64" i="3"/>
  <c r="Q64" i="3"/>
  <c r="P64" i="3"/>
  <c r="O64" i="3"/>
  <c r="AP63" i="3"/>
  <c r="AM63" i="3"/>
  <c r="AL63" i="3"/>
  <c r="AK63" i="3"/>
  <c r="AJ63" i="3"/>
  <c r="AG63" i="3"/>
  <c r="AD63" i="3"/>
  <c r="AA63" i="3"/>
  <c r="Z63" i="3"/>
  <c r="Y63" i="3"/>
  <c r="W63" i="3"/>
  <c r="V63" i="3"/>
  <c r="U63" i="3"/>
  <c r="T63" i="3"/>
  <c r="Q63" i="3"/>
  <c r="P63" i="3"/>
  <c r="O63" i="3"/>
  <c r="AL62" i="3"/>
  <c r="AK62" i="3"/>
  <c r="AJ62" i="3"/>
  <c r="AG62" i="3"/>
  <c r="AD62" i="3"/>
  <c r="W62" i="3"/>
  <c r="V62" i="3"/>
  <c r="U62" i="3"/>
  <c r="T62" i="3"/>
  <c r="Q62" i="3"/>
  <c r="AM61" i="3"/>
  <c r="AP61" i="3" s="1"/>
  <c r="AL61" i="3"/>
  <c r="AK61" i="3"/>
  <c r="AJ61" i="3"/>
  <c r="AG61" i="3"/>
  <c r="AD61" i="3"/>
  <c r="AA61" i="3"/>
  <c r="Z61" i="3"/>
  <c r="Y61" i="3"/>
  <c r="W61" i="3"/>
  <c r="V61" i="3"/>
  <c r="U61" i="3"/>
  <c r="T61" i="3"/>
  <c r="Q61" i="3"/>
  <c r="AL60" i="3"/>
  <c r="AK60" i="3"/>
  <c r="AJ60" i="3"/>
  <c r="AG60" i="3"/>
  <c r="AD60" i="3"/>
  <c r="AA60" i="3"/>
  <c r="Z60" i="3"/>
  <c r="Y60" i="3"/>
  <c r="W60" i="3"/>
  <c r="V60" i="3"/>
  <c r="U60" i="3"/>
  <c r="T60" i="3"/>
  <c r="Q60" i="3"/>
  <c r="AM59" i="3"/>
  <c r="AP59" i="3" s="1"/>
  <c r="AL59" i="3"/>
  <c r="AK59" i="3"/>
  <c r="AJ59" i="3"/>
  <c r="AG59" i="3"/>
  <c r="AD59" i="3"/>
  <c r="AA59" i="3"/>
  <c r="Z59" i="3"/>
  <c r="Y59" i="3"/>
  <c r="W59" i="3"/>
  <c r="V59" i="3"/>
  <c r="U59" i="3"/>
  <c r="T59" i="3"/>
  <c r="Q59" i="3"/>
  <c r="O59" i="3"/>
  <c r="AL58" i="3"/>
  <c r="AK58" i="3"/>
  <c r="AJ58" i="3"/>
  <c r="AG58" i="3"/>
  <c r="AD58" i="3"/>
  <c r="AA58" i="3"/>
  <c r="Z58" i="3"/>
  <c r="Y58" i="3"/>
  <c r="W58" i="3"/>
  <c r="V58" i="3"/>
  <c r="U58" i="3"/>
  <c r="T58" i="3"/>
  <c r="Q58" i="3"/>
  <c r="AM57" i="3"/>
  <c r="AL57" i="3"/>
  <c r="AK57" i="3"/>
  <c r="AJ57" i="3"/>
  <c r="AG57" i="3"/>
  <c r="AD57" i="3"/>
  <c r="AA57" i="3"/>
  <c r="Z57" i="3"/>
  <c r="Y57" i="3"/>
  <c r="W57" i="3"/>
  <c r="V57" i="3"/>
  <c r="U57" i="3"/>
  <c r="T57" i="3"/>
  <c r="Q57" i="3"/>
  <c r="AL56" i="3"/>
  <c r="AK56" i="3"/>
  <c r="AJ56" i="3"/>
  <c r="AG56" i="3"/>
  <c r="AD56" i="3"/>
  <c r="AA56" i="3"/>
  <c r="Z56" i="3"/>
  <c r="Y56" i="3"/>
  <c r="W56" i="3"/>
  <c r="V56" i="3"/>
  <c r="U56" i="3"/>
  <c r="T56" i="3"/>
  <c r="Q56" i="3"/>
  <c r="AM55" i="3"/>
  <c r="AL55" i="3"/>
  <c r="AK55" i="3"/>
  <c r="AJ55" i="3"/>
  <c r="AG55" i="3"/>
  <c r="AD55" i="3"/>
  <c r="AA55" i="3"/>
  <c r="Z55" i="3"/>
  <c r="Y55" i="3"/>
  <c r="W55" i="3"/>
  <c r="V55" i="3"/>
  <c r="U55" i="3"/>
  <c r="T55" i="3"/>
  <c r="Q55" i="3"/>
  <c r="AL54" i="3"/>
  <c r="AK54" i="3"/>
  <c r="AJ54" i="3"/>
  <c r="AG54" i="3"/>
  <c r="AD54" i="3"/>
  <c r="AA54" i="3"/>
  <c r="Z54" i="3"/>
  <c r="Y54" i="3"/>
  <c r="W54" i="3"/>
  <c r="V54" i="3"/>
  <c r="U54" i="3"/>
  <c r="T54" i="3"/>
  <c r="Q54" i="3"/>
  <c r="AM53" i="3"/>
  <c r="AP53" i="3" s="1"/>
  <c r="AL53" i="3"/>
  <c r="AK53" i="3"/>
  <c r="AJ53" i="3"/>
  <c r="AG53" i="3"/>
  <c r="AD53" i="3"/>
  <c r="AA53" i="3"/>
  <c r="Z53" i="3"/>
  <c r="Y53" i="3"/>
  <c r="W53" i="3"/>
  <c r="V53" i="3"/>
  <c r="U53" i="3"/>
  <c r="T53" i="3"/>
  <c r="Q53" i="3"/>
  <c r="O53" i="3"/>
  <c r="AL52" i="3"/>
  <c r="AK52" i="3"/>
  <c r="AJ52" i="3"/>
  <c r="AG52" i="3"/>
  <c r="AD52" i="3"/>
  <c r="AA52" i="3"/>
  <c r="Z52" i="3"/>
  <c r="Y52" i="3"/>
  <c r="W52" i="3"/>
  <c r="V52" i="3"/>
  <c r="U52" i="3"/>
  <c r="T52" i="3"/>
  <c r="Q52" i="3"/>
  <c r="AM51" i="3"/>
  <c r="AL51" i="3"/>
  <c r="AK51" i="3"/>
  <c r="AJ51" i="3"/>
  <c r="AG51" i="3"/>
  <c r="AD51" i="3"/>
  <c r="AA51" i="3"/>
  <c r="Z51" i="3"/>
  <c r="Y51" i="3"/>
  <c r="W51" i="3"/>
  <c r="V51" i="3"/>
  <c r="U51" i="3"/>
  <c r="T51" i="3"/>
  <c r="Q51" i="3"/>
  <c r="AL50" i="3"/>
  <c r="AK50" i="3"/>
  <c r="AJ50" i="3"/>
  <c r="AG50" i="3"/>
  <c r="AD50" i="3"/>
  <c r="AA50" i="3"/>
  <c r="Z50" i="3"/>
  <c r="Y50" i="3"/>
  <c r="W50" i="3"/>
  <c r="V50" i="3"/>
  <c r="U50" i="3"/>
  <c r="T50" i="3"/>
  <c r="Q50" i="3"/>
  <c r="AM49" i="3"/>
  <c r="AL49" i="3"/>
  <c r="AK49" i="3"/>
  <c r="AJ49" i="3"/>
  <c r="AG49" i="3"/>
  <c r="AD49" i="3"/>
  <c r="AA49" i="3"/>
  <c r="Z49" i="3"/>
  <c r="Y49" i="3"/>
  <c r="W49" i="3"/>
  <c r="V49" i="3"/>
  <c r="U49" i="3"/>
  <c r="T49" i="3"/>
  <c r="Q49" i="3"/>
  <c r="AL48" i="3"/>
  <c r="AK48" i="3"/>
  <c r="AJ48" i="3"/>
  <c r="AG48" i="3"/>
  <c r="AD48" i="3"/>
  <c r="AA48" i="3"/>
  <c r="Z48" i="3"/>
  <c r="Y48" i="3"/>
  <c r="W48" i="3"/>
  <c r="V48" i="3"/>
  <c r="U48" i="3"/>
  <c r="T48" i="3"/>
  <c r="Q48" i="3"/>
  <c r="AM47" i="3"/>
  <c r="AP47" i="3" s="1"/>
  <c r="AL47" i="3"/>
  <c r="AK47" i="3"/>
  <c r="AJ47" i="3"/>
  <c r="AG47" i="3"/>
  <c r="AD47" i="3"/>
  <c r="AA47" i="3"/>
  <c r="Z47" i="3"/>
  <c r="Y47" i="3"/>
  <c r="W47" i="3"/>
  <c r="V47" i="3"/>
  <c r="U47" i="3"/>
  <c r="T47" i="3"/>
  <c r="Q47" i="3"/>
  <c r="AL46" i="3"/>
  <c r="AK46" i="3"/>
  <c r="AJ46" i="3"/>
  <c r="AG46" i="3"/>
  <c r="AD46" i="3"/>
  <c r="AA46" i="3"/>
  <c r="Z46" i="3"/>
  <c r="Y46" i="3"/>
  <c r="W46" i="3"/>
  <c r="V46" i="3"/>
  <c r="U46" i="3"/>
  <c r="T46" i="3"/>
  <c r="Q46" i="3"/>
  <c r="AM45" i="3"/>
  <c r="AP45" i="3" s="1"/>
  <c r="AL45" i="3"/>
  <c r="AK45" i="3"/>
  <c r="AJ45" i="3"/>
  <c r="AG45" i="3"/>
  <c r="AD45" i="3"/>
  <c r="AA45" i="3"/>
  <c r="Z45" i="3"/>
  <c r="Y45" i="3"/>
  <c r="W45" i="3"/>
  <c r="V45" i="3"/>
  <c r="U45" i="3"/>
  <c r="T45" i="3"/>
  <c r="Q45" i="3"/>
  <c r="AL44" i="3"/>
  <c r="AK44" i="3"/>
  <c r="AJ44" i="3"/>
  <c r="AG44" i="3"/>
  <c r="AD44" i="3"/>
  <c r="AA44" i="3"/>
  <c r="Z44" i="3"/>
  <c r="Y44" i="3"/>
  <c r="W44" i="3"/>
  <c r="V44" i="3"/>
  <c r="U44" i="3"/>
  <c r="T44" i="3"/>
  <c r="Q44" i="3"/>
  <c r="AL43" i="3"/>
  <c r="AK43" i="3"/>
  <c r="AJ43" i="3"/>
  <c r="AG43" i="3"/>
  <c r="AD43" i="3"/>
  <c r="AA43" i="3"/>
  <c r="Z43" i="3"/>
  <c r="Y43" i="3"/>
  <c r="AM43" i="3" s="1"/>
  <c r="AP43" i="3" s="1"/>
  <c r="W43" i="3"/>
  <c r="V43" i="3"/>
  <c r="U43" i="3"/>
  <c r="T43" i="3"/>
  <c r="Q43" i="3"/>
  <c r="AL42" i="3"/>
  <c r="AK42" i="3"/>
  <c r="AJ42" i="3"/>
  <c r="AG42" i="3"/>
  <c r="AD42" i="3"/>
  <c r="W42" i="3"/>
  <c r="V42" i="3"/>
  <c r="U42" i="3"/>
  <c r="T42" i="3"/>
  <c r="Q42" i="3"/>
  <c r="AM41" i="3"/>
  <c r="AP41" i="3" s="1"/>
  <c r="AL41" i="3"/>
  <c r="AK41" i="3"/>
  <c r="AJ41" i="3"/>
  <c r="AG41" i="3"/>
  <c r="AD41" i="3"/>
  <c r="AA41" i="3"/>
  <c r="Z41" i="3"/>
  <c r="Y41" i="3"/>
  <c r="W41" i="3"/>
  <c r="V41" i="3"/>
  <c r="U41" i="3"/>
  <c r="T41" i="3"/>
  <c r="Q41" i="3"/>
  <c r="AL40" i="3"/>
  <c r="AK40" i="3"/>
  <c r="AJ40" i="3"/>
  <c r="AG40" i="3"/>
  <c r="AD40" i="3"/>
  <c r="AA40" i="3"/>
  <c r="Z40" i="3"/>
  <c r="Y40" i="3"/>
  <c r="W40" i="3"/>
  <c r="V40" i="3"/>
  <c r="U40" i="3"/>
  <c r="T40" i="3"/>
  <c r="Q40" i="3"/>
  <c r="AM39" i="3"/>
  <c r="AP39" i="3" s="1"/>
  <c r="AL39" i="3"/>
  <c r="AK39" i="3"/>
  <c r="AJ39" i="3"/>
  <c r="AG39" i="3"/>
  <c r="AD39" i="3"/>
  <c r="AA39" i="3"/>
  <c r="Z39" i="3"/>
  <c r="Y39" i="3"/>
  <c r="W39" i="3"/>
  <c r="V39" i="3"/>
  <c r="U39" i="3"/>
  <c r="T39" i="3"/>
  <c r="Q39" i="3"/>
  <c r="AL38" i="3"/>
  <c r="AK38" i="3"/>
  <c r="AJ38" i="3"/>
  <c r="AG38" i="3"/>
  <c r="AD38" i="3"/>
  <c r="AA38" i="3"/>
  <c r="Z38" i="3"/>
  <c r="Y38" i="3"/>
  <c r="W38" i="3"/>
  <c r="V38" i="3"/>
  <c r="U38" i="3"/>
  <c r="T38" i="3"/>
  <c r="Q38" i="3"/>
  <c r="AL37" i="3"/>
  <c r="AK37" i="3"/>
  <c r="AJ37" i="3"/>
  <c r="AG37" i="3"/>
  <c r="AD37" i="3"/>
  <c r="AA37" i="3"/>
  <c r="Z37" i="3"/>
  <c r="Y37" i="3"/>
  <c r="AM37" i="3" s="1"/>
  <c r="AP37" i="3" s="1"/>
  <c r="W37" i="3"/>
  <c r="V37" i="3"/>
  <c r="U37" i="3"/>
  <c r="T37" i="3"/>
  <c r="Q37" i="3"/>
  <c r="AL36" i="3"/>
  <c r="AK36" i="3"/>
  <c r="AJ36" i="3"/>
  <c r="AG36" i="3"/>
  <c r="AD36" i="3"/>
  <c r="AA36" i="3"/>
  <c r="Z36" i="3"/>
  <c r="Y36" i="3"/>
  <c r="W36" i="3"/>
  <c r="V36" i="3"/>
  <c r="U36" i="3"/>
  <c r="T36" i="3"/>
  <c r="Q36" i="3"/>
  <c r="AL35" i="3"/>
  <c r="AK35" i="3"/>
  <c r="AJ35" i="3"/>
  <c r="AG35" i="3"/>
  <c r="AD35" i="3"/>
  <c r="AA35" i="3"/>
  <c r="Z35" i="3"/>
  <c r="Y35" i="3"/>
  <c r="AM35" i="3" s="1"/>
  <c r="AP35" i="3" s="1"/>
  <c r="W35" i="3"/>
  <c r="V35" i="3"/>
  <c r="U35" i="3"/>
  <c r="T35" i="3"/>
  <c r="Q35" i="3"/>
  <c r="O35" i="3"/>
  <c r="AL34" i="3"/>
  <c r="AK34" i="3"/>
  <c r="AJ34" i="3"/>
  <c r="AG34" i="3"/>
  <c r="AD34" i="3"/>
  <c r="AA34" i="3"/>
  <c r="Z34" i="3"/>
  <c r="Y34" i="3"/>
  <c r="W34" i="3"/>
  <c r="V34" i="3"/>
  <c r="U34" i="3"/>
  <c r="T34" i="3"/>
  <c r="Q34" i="3"/>
  <c r="AL33" i="3"/>
  <c r="AK33" i="3"/>
  <c r="AJ33" i="3"/>
  <c r="AG33" i="3"/>
  <c r="AD33" i="3"/>
  <c r="AA33" i="3"/>
  <c r="Z33" i="3"/>
  <c r="Y33" i="3"/>
  <c r="W33" i="3"/>
  <c r="V33" i="3"/>
  <c r="U33" i="3"/>
  <c r="T33" i="3"/>
  <c r="Q33" i="3"/>
  <c r="AL32" i="3"/>
  <c r="B29" i="3"/>
  <c r="W32" i="3"/>
  <c r="V32" i="3"/>
  <c r="U32" i="3"/>
  <c r="T32" i="3"/>
  <c r="Q32" i="3"/>
  <c r="AM31" i="3"/>
  <c r="AP31" i="3" s="1"/>
  <c r="AL31" i="3"/>
  <c r="AK31" i="3"/>
  <c r="AA31" i="3"/>
  <c r="Z31" i="3"/>
  <c r="Y31" i="3"/>
  <c r="W31" i="3"/>
  <c r="V31" i="3"/>
  <c r="U31" i="3"/>
  <c r="T31" i="3"/>
  <c r="Q31" i="3"/>
  <c r="O31" i="3"/>
  <c r="AL30" i="3"/>
  <c r="AA30" i="3"/>
  <c r="Z30" i="3"/>
  <c r="Y30" i="3"/>
  <c r="W30" i="3"/>
  <c r="V30" i="3"/>
  <c r="U30" i="3"/>
  <c r="T30" i="3"/>
  <c r="Q30" i="3"/>
  <c r="AL29" i="3"/>
  <c r="AA29" i="3"/>
  <c r="Z29" i="3"/>
  <c r="Y29" i="3"/>
  <c r="W29" i="3"/>
  <c r="V29" i="3"/>
  <c r="U29" i="3"/>
  <c r="T29" i="3"/>
  <c r="Q29" i="3"/>
  <c r="O29" i="3"/>
  <c r="AM28" i="3"/>
  <c r="AP28" i="3" s="1"/>
  <c r="AL28" i="3"/>
  <c r="AK28" i="3"/>
  <c r="AA28" i="3"/>
  <c r="Z28" i="3"/>
  <c r="Y28" i="3"/>
  <c r="W28" i="3"/>
  <c r="V28" i="3"/>
  <c r="U28" i="3"/>
  <c r="T28" i="3"/>
  <c r="Q28" i="3"/>
  <c r="H28" i="3"/>
  <c r="AL27" i="3"/>
  <c r="AA27" i="3"/>
  <c r="Z27" i="3"/>
  <c r="Y27" i="3"/>
  <c r="AK27" i="3" s="1"/>
  <c r="W27" i="3"/>
  <c r="V27" i="3"/>
  <c r="U27" i="3"/>
  <c r="T27" i="3"/>
  <c r="Q27" i="3"/>
  <c r="AL26" i="3"/>
  <c r="AK26" i="3"/>
  <c r="AA26" i="3"/>
  <c r="Z26" i="3"/>
  <c r="Y26" i="3"/>
  <c r="W26" i="3"/>
  <c r="V26" i="3"/>
  <c r="U26" i="3"/>
  <c r="T26" i="3"/>
  <c r="Q26" i="3"/>
  <c r="AP25" i="3"/>
  <c r="AM25" i="3"/>
  <c r="AL25" i="3"/>
  <c r="AA25" i="3"/>
  <c r="Z25" i="3"/>
  <c r="Y25" i="3"/>
  <c r="W25" i="3"/>
  <c r="V25" i="3"/>
  <c r="U25" i="3"/>
  <c r="T25" i="3"/>
  <c r="Q25" i="3"/>
  <c r="AL24" i="3"/>
  <c r="AA24" i="3"/>
  <c r="Z24" i="3"/>
  <c r="AK24" i="3" s="1"/>
  <c r="Y24" i="3"/>
  <c r="W24" i="3"/>
  <c r="V24" i="3"/>
  <c r="U24" i="3"/>
  <c r="T24" i="3"/>
  <c r="Q24" i="3"/>
  <c r="AM23" i="3"/>
  <c r="AP23" i="3" s="1"/>
  <c r="AL23" i="3"/>
  <c r="AA23" i="3"/>
  <c r="Z23" i="3"/>
  <c r="Y23" i="3"/>
  <c r="W23" i="3"/>
  <c r="V23" i="3"/>
  <c r="U23" i="3"/>
  <c r="T23" i="3"/>
  <c r="Q23" i="3"/>
  <c r="AL22" i="3"/>
  <c r="W22" i="3"/>
  <c r="V22" i="3"/>
  <c r="U22" i="3"/>
  <c r="T22" i="3"/>
  <c r="Q22" i="3"/>
  <c r="AM21" i="3"/>
  <c r="AL21" i="3"/>
  <c r="AA21" i="3"/>
  <c r="Z21" i="3"/>
  <c r="Y21" i="3"/>
  <c r="W21" i="3"/>
  <c r="V21" i="3"/>
  <c r="U21" i="3"/>
  <c r="T21" i="3"/>
  <c r="Q21" i="3"/>
  <c r="AL20" i="3"/>
  <c r="AA20" i="3"/>
  <c r="Z20" i="3"/>
  <c r="Y20" i="3"/>
  <c r="W20" i="3"/>
  <c r="V20" i="3"/>
  <c r="U20" i="3"/>
  <c r="T20" i="3"/>
  <c r="Q20" i="3"/>
  <c r="AM19" i="3"/>
  <c r="AP19" i="3" s="1"/>
  <c r="AL19" i="3"/>
  <c r="AA19" i="3"/>
  <c r="Z19" i="3"/>
  <c r="Y19" i="3"/>
  <c r="W19" i="3"/>
  <c r="V19" i="3"/>
  <c r="U19" i="3"/>
  <c r="T19" i="3"/>
  <c r="Q19" i="3"/>
  <c r="AL18" i="3"/>
  <c r="AA18" i="3"/>
  <c r="Z18" i="3"/>
  <c r="Y18" i="3"/>
  <c r="AK18" i="3" s="1"/>
  <c r="W18" i="3"/>
  <c r="V18" i="3"/>
  <c r="U18" i="3"/>
  <c r="T18" i="3"/>
  <c r="Q18" i="3"/>
  <c r="AL17" i="3"/>
  <c r="W17" i="3"/>
  <c r="V17" i="3"/>
  <c r="U17" i="3"/>
  <c r="T17" i="3"/>
  <c r="Q17" i="3"/>
  <c r="AL16" i="3"/>
  <c r="AA16" i="3"/>
  <c r="Z16" i="3"/>
  <c r="Y16" i="3"/>
  <c r="W16" i="3"/>
  <c r="V16" i="3"/>
  <c r="U16" i="3"/>
  <c r="T16" i="3"/>
  <c r="Q16" i="3"/>
  <c r="AL15" i="3"/>
  <c r="AA15" i="3"/>
  <c r="Z15" i="3"/>
  <c r="Y15" i="3"/>
  <c r="W15" i="3"/>
  <c r="V15" i="3"/>
  <c r="U15" i="3"/>
  <c r="T15" i="3"/>
  <c r="Q15" i="3"/>
  <c r="AL14" i="3"/>
  <c r="AK14" i="3"/>
  <c r="AA14" i="3"/>
  <c r="Z14" i="3"/>
  <c r="Y14" i="3"/>
  <c r="W14" i="3"/>
  <c r="V14" i="3"/>
  <c r="U14" i="3"/>
  <c r="T14" i="3"/>
  <c r="Q14" i="3"/>
  <c r="AP13" i="3"/>
  <c r="AL13" i="3"/>
  <c r="AK13" i="3"/>
  <c r="AA13" i="3"/>
  <c r="Z13" i="3"/>
  <c r="Y13" i="3"/>
  <c r="AM13" i="3" s="1"/>
  <c r="W13" i="3"/>
  <c r="V13" i="3"/>
  <c r="U13" i="3"/>
  <c r="T13" i="3"/>
  <c r="Q13" i="3"/>
  <c r="AL12" i="3"/>
  <c r="AA12" i="3"/>
  <c r="Z12" i="3"/>
  <c r="Y12" i="3"/>
  <c r="W12" i="3"/>
  <c r="V12" i="3"/>
  <c r="U12" i="3"/>
  <c r="T12" i="3"/>
  <c r="Q12" i="3"/>
  <c r="AM11" i="3"/>
  <c r="AP11" i="3" s="1"/>
  <c r="AL11" i="3"/>
  <c r="AA11" i="3"/>
  <c r="AK11" i="3" s="1"/>
  <c r="Z11" i="3"/>
  <c r="Y11" i="3"/>
  <c r="W11" i="3"/>
  <c r="V11" i="3"/>
  <c r="U11" i="3"/>
  <c r="T11" i="3"/>
  <c r="Q11" i="3"/>
  <c r="B11" i="3"/>
  <c r="AL10" i="3"/>
  <c r="AA10" i="3"/>
  <c r="Z10" i="3"/>
  <c r="Y10" i="3"/>
  <c r="AM10" i="3" s="1"/>
  <c r="AP10" i="3" s="1"/>
  <c r="W10" i="3"/>
  <c r="V10" i="3"/>
  <c r="U10" i="3"/>
  <c r="T10" i="3"/>
  <c r="Q10" i="3"/>
  <c r="AL9" i="3"/>
  <c r="AK9" i="3"/>
  <c r="AA9" i="3"/>
  <c r="Z9" i="3"/>
  <c r="Y9" i="3"/>
  <c r="W9" i="3"/>
  <c r="V9" i="3"/>
  <c r="U9" i="3"/>
  <c r="T9" i="3"/>
  <c r="Q9" i="3"/>
  <c r="E9" i="3"/>
  <c r="AL8" i="3"/>
  <c r="AA8" i="3"/>
  <c r="Z8" i="3"/>
  <c r="Y8" i="3"/>
  <c r="AM8" i="3" s="1"/>
  <c r="AP8" i="3" s="1"/>
  <c r="W8" i="3"/>
  <c r="V8" i="3"/>
  <c r="U8" i="3"/>
  <c r="T8" i="3"/>
  <c r="Q8" i="3"/>
  <c r="AL7" i="3"/>
  <c r="AA7" i="3"/>
  <c r="Z7" i="3"/>
  <c r="Y7" i="3"/>
  <c r="AM7" i="3" s="1"/>
  <c r="AP7" i="3" s="1"/>
  <c r="W7" i="3"/>
  <c r="V7" i="3"/>
  <c r="U7" i="3"/>
  <c r="T7" i="3"/>
  <c r="Q7" i="3"/>
  <c r="O47" i="3"/>
  <c r="AM6" i="3"/>
  <c r="AP6" i="3" s="1"/>
  <c r="AL6" i="3"/>
  <c r="AK6" i="3"/>
  <c r="AA6" i="3"/>
  <c r="Z6" i="3"/>
  <c r="Y6" i="3"/>
  <c r="W6" i="3"/>
  <c r="V6" i="3"/>
  <c r="U6" i="3"/>
  <c r="T6" i="3"/>
  <c r="Q6" i="3"/>
  <c r="O6" i="3"/>
  <c r="AL5" i="3"/>
  <c r="AK5" i="3"/>
  <c r="AA5" i="3"/>
  <c r="Z5" i="3"/>
  <c r="Y5" i="3"/>
  <c r="AM5" i="3" s="1"/>
  <c r="W5" i="3"/>
  <c r="V5" i="3"/>
  <c r="U5" i="3"/>
  <c r="T5" i="3"/>
  <c r="Q5" i="3"/>
  <c r="AL4" i="3"/>
  <c r="AK4" i="3"/>
  <c r="AA4" i="3"/>
  <c r="Z4" i="3"/>
  <c r="Y4" i="3"/>
  <c r="AM4" i="3" s="1"/>
  <c r="W4" i="3"/>
  <c r="V4" i="3"/>
  <c r="U4" i="3"/>
  <c r="T4" i="3"/>
  <c r="Q4" i="3"/>
  <c r="AL3" i="3"/>
  <c r="AJ3" i="3"/>
  <c r="AJ4" i="3" s="1"/>
  <c r="AA3" i="3"/>
  <c r="Z3" i="3"/>
  <c r="AG3" i="3" s="1"/>
  <c r="Y3" i="3"/>
  <c r="AM3" i="3" s="1"/>
  <c r="AP3" i="3" s="1"/>
  <c r="W3" i="3"/>
  <c r="V3" i="3"/>
  <c r="U3" i="3"/>
  <c r="T3" i="3"/>
  <c r="Q3" i="3"/>
  <c r="AL2" i="3"/>
  <c r="AT32" i="3" s="1"/>
  <c r="AK2" i="3"/>
  <c r="AJ2" i="3"/>
  <c r="AG2" i="3"/>
  <c r="AD2" i="3"/>
  <c r="AA2" i="3"/>
  <c r="Z2" i="3"/>
  <c r="Y2" i="3"/>
  <c r="AM2" i="3" s="1"/>
  <c r="W2" i="3"/>
  <c r="V2" i="3"/>
  <c r="U2" i="3"/>
  <c r="T2" i="3"/>
  <c r="Q2" i="3"/>
  <c r="AP102" i="2"/>
  <c r="AM102" i="2"/>
  <c r="AL102" i="2"/>
  <c r="AK102" i="2"/>
  <c r="AJ102" i="2"/>
  <c r="AG102" i="2"/>
  <c r="AD102" i="2"/>
  <c r="AA102" i="2"/>
  <c r="Z102" i="2"/>
  <c r="Y102" i="2"/>
  <c r="W102" i="2"/>
  <c r="V102" i="2"/>
  <c r="U102" i="2"/>
  <c r="T102" i="2"/>
  <c r="Q102" i="2"/>
  <c r="P102" i="2"/>
  <c r="O102" i="2"/>
  <c r="AP101" i="2"/>
  <c r="AM101" i="2"/>
  <c r="AL101" i="2"/>
  <c r="AK101" i="2"/>
  <c r="AJ101" i="2"/>
  <c r="AG101" i="2"/>
  <c r="AD101" i="2"/>
  <c r="AA101" i="2"/>
  <c r="Z101" i="2"/>
  <c r="Y101" i="2"/>
  <c r="W101" i="2"/>
  <c r="V101" i="2"/>
  <c r="U101" i="2"/>
  <c r="T101" i="2"/>
  <c r="Q101" i="2"/>
  <c r="P101" i="2"/>
  <c r="O101" i="2"/>
  <c r="AP100" i="2"/>
  <c r="AM100" i="2"/>
  <c r="AL100" i="2"/>
  <c r="AK100" i="2"/>
  <c r="AJ100" i="2"/>
  <c r="AG100" i="2"/>
  <c r="AD100" i="2"/>
  <c r="AA100" i="2"/>
  <c r="Z100" i="2"/>
  <c r="Y100" i="2"/>
  <c r="W100" i="2"/>
  <c r="V100" i="2"/>
  <c r="U100" i="2"/>
  <c r="T100" i="2"/>
  <c r="Q100" i="2"/>
  <c r="P100" i="2"/>
  <c r="O100" i="2"/>
  <c r="AP99" i="2"/>
  <c r="AM99" i="2"/>
  <c r="AL99" i="2"/>
  <c r="AK99" i="2"/>
  <c r="AJ99" i="2"/>
  <c r="AG99" i="2"/>
  <c r="AD99" i="2"/>
  <c r="AA99" i="2"/>
  <c r="Z99" i="2"/>
  <c r="Y99" i="2"/>
  <c r="W99" i="2"/>
  <c r="V99" i="2"/>
  <c r="U99" i="2"/>
  <c r="T99" i="2"/>
  <c r="Q99" i="2"/>
  <c r="P99" i="2"/>
  <c r="O99" i="2"/>
  <c r="AP98" i="2"/>
  <c r="AM98" i="2"/>
  <c r="AL98" i="2"/>
  <c r="AK98" i="2"/>
  <c r="AJ98" i="2"/>
  <c r="AG98" i="2"/>
  <c r="AD98" i="2"/>
  <c r="AA98" i="2"/>
  <c r="Z98" i="2"/>
  <c r="Y98" i="2"/>
  <c r="W98" i="2"/>
  <c r="V98" i="2"/>
  <c r="U98" i="2"/>
  <c r="T98" i="2"/>
  <c r="Q98" i="2"/>
  <c r="P98" i="2"/>
  <c r="O98" i="2"/>
  <c r="AP97" i="2"/>
  <c r="AM97" i="2"/>
  <c r="AL97" i="2"/>
  <c r="AK97" i="2"/>
  <c r="AJ97" i="2"/>
  <c r="AG97" i="2"/>
  <c r="AD97" i="2"/>
  <c r="AA97" i="2"/>
  <c r="Z97" i="2"/>
  <c r="Y97" i="2"/>
  <c r="W97" i="2"/>
  <c r="V97" i="2"/>
  <c r="U97" i="2"/>
  <c r="T97" i="2"/>
  <c r="Q97" i="2"/>
  <c r="P97" i="2"/>
  <c r="O97" i="2"/>
  <c r="AP96" i="2"/>
  <c r="AM96" i="2"/>
  <c r="AL96" i="2"/>
  <c r="AK96" i="2"/>
  <c r="AJ96" i="2"/>
  <c r="AG96" i="2"/>
  <c r="AD96" i="2"/>
  <c r="AA96" i="2"/>
  <c r="Z96" i="2"/>
  <c r="Y96" i="2"/>
  <c r="W96" i="2"/>
  <c r="V96" i="2"/>
  <c r="U96" i="2"/>
  <c r="T96" i="2"/>
  <c r="Q96" i="2"/>
  <c r="P96" i="2"/>
  <c r="O96" i="2"/>
  <c r="AP95" i="2"/>
  <c r="AM95" i="2"/>
  <c r="AL95" i="2"/>
  <c r="AK95" i="2"/>
  <c r="AJ95" i="2"/>
  <c r="AG95" i="2"/>
  <c r="AD95" i="2"/>
  <c r="AA95" i="2"/>
  <c r="Z95" i="2"/>
  <c r="Y95" i="2"/>
  <c r="W95" i="2"/>
  <c r="V95" i="2"/>
  <c r="U95" i="2"/>
  <c r="T95" i="2"/>
  <c r="Q95" i="2"/>
  <c r="P95" i="2"/>
  <c r="O95" i="2"/>
  <c r="AP94" i="2"/>
  <c r="AM94" i="2"/>
  <c r="AL94" i="2"/>
  <c r="AK94" i="2"/>
  <c r="AJ94" i="2"/>
  <c r="AG94" i="2"/>
  <c r="AD94" i="2"/>
  <c r="AA94" i="2"/>
  <c r="Z94" i="2"/>
  <c r="Y94" i="2"/>
  <c r="W94" i="2"/>
  <c r="V94" i="2"/>
  <c r="U94" i="2"/>
  <c r="T94" i="2"/>
  <c r="Q94" i="2"/>
  <c r="P94" i="2"/>
  <c r="O94" i="2"/>
  <c r="AP93" i="2"/>
  <c r="AM93" i="2"/>
  <c r="AL93" i="2"/>
  <c r="AK93" i="2"/>
  <c r="AJ93" i="2"/>
  <c r="AG93" i="2"/>
  <c r="AD93" i="2"/>
  <c r="AA93" i="2"/>
  <c r="Z93" i="2"/>
  <c r="Y93" i="2"/>
  <c r="W93" i="2"/>
  <c r="V93" i="2"/>
  <c r="U93" i="2"/>
  <c r="T93" i="2"/>
  <c r="Q93" i="2"/>
  <c r="P93" i="2"/>
  <c r="O93" i="2"/>
  <c r="AP92" i="2"/>
  <c r="AM92" i="2"/>
  <c r="AL92" i="2"/>
  <c r="AK92" i="2"/>
  <c r="AJ92" i="2"/>
  <c r="AG92" i="2"/>
  <c r="AD92" i="2"/>
  <c r="AA92" i="2"/>
  <c r="Z92" i="2"/>
  <c r="Y92" i="2"/>
  <c r="W92" i="2"/>
  <c r="V92" i="2"/>
  <c r="U92" i="2"/>
  <c r="T92" i="2"/>
  <c r="Q92" i="2"/>
  <c r="P92" i="2"/>
  <c r="O92" i="2"/>
  <c r="AP91" i="2"/>
  <c r="AM91" i="2"/>
  <c r="AL91" i="2"/>
  <c r="AK91" i="2"/>
  <c r="AJ91" i="2"/>
  <c r="AG91" i="2"/>
  <c r="AD91" i="2"/>
  <c r="AA91" i="2"/>
  <c r="Z91" i="2"/>
  <c r="Y91" i="2"/>
  <c r="W91" i="2"/>
  <c r="V91" i="2"/>
  <c r="U91" i="2"/>
  <c r="T91" i="2"/>
  <c r="Q91" i="2"/>
  <c r="P91" i="2"/>
  <c r="O91" i="2"/>
  <c r="AP90" i="2"/>
  <c r="AM90" i="2"/>
  <c r="AL90" i="2"/>
  <c r="AK90" i="2"/>
  <c r="AJ90" i="2"/>
  <c r="AG90" i="2"/>
  <c r="AD90" i="2"/>
  <c r="AA90" i="2"/>
  <c r="Z90" i="2"/>
  <c r="Y90" i="2"/>
  <c r="W90" i="2"/>
  <c r="V90" i="2"/>
  <c r="U90" i="2"/>
  <c r="T90" i="2"/>
  <c r="Q90" i="2"/>
  <c r="P90" i="2"/>
  <c r="O90" i="2"/>
  <c r="AP89" i="2"/>
  <c r="AM89" i="2"/>
  <c r="AL89" i="2"/>
  <c r="AK89" i="2"/>
  <c r="AJ89" i="2"/>
  <c r="AG89" i="2"/>
  <c r="AD89" i="2"/>
  <c r="AA89" i="2"/>
  <c r="Z89" i="2"/>
  <c r="Y89" i="2"/>
  <c r="W89" i="2"/>
  <c r="V89" i="2"/>
  <c r="U89" i="2"/>
  <c r="T89" i="2"/>
  <c r="Q89" i="2"/>
  <c r="P89" i="2"/>
  <c r="O89" i="2"/>
  <c r="AP88" i="2"/>
  <c r="AM88" i="2"/>
  <c r="AL88" i="2"/>
  <c r="AK88" i="2"/>
  <c r="AJ88" i="2"/>
  <c r="AG88" i="2"/>
  <c r="AD88" i="2"/>
  <c r="AA88" i="2"/>
  <c r="Z88" i="2"/>
  <c r="Y88" i="2"/>
  <c r="W88" i="2"/>
  <c r="V88" i="2"/>
  <c r="U88" i="2"/>
  <c r="T88" i="2"/>
  <c r="Q88" i="2"/>
  <c r="P88" i="2"/>
  <c r="O88" i="2"/>
  <c r="AP87" i="2"/>
  <c r="AM87" i="2"/>
  <c r="AL87" i="2"/>
  <c r="AK87" i="2"/>
  <c r="AJ87" i="2"/>
  <c r="AG87" i="2"/>
  <c r="AD87" i="2"/>
  <c r="AA87" i="2"/>
  <c r="Z87" i="2"/>
  <c r="Y87" i="2"/>
  <c r="W87" i="2"/>
  <c r="V87" i="2"/>
  <c r="U87" i="2"/>
  <c r="T87" i="2"/>
  <c r="Q87" i="2"/>
  <c r="P87" i="2"/>
  <c r="O87" i="2"/>
  <c r="AP86" i="2"/>
  <c r="AM86" i="2"/>
  <c r="AL86" i="2"/>
  <c r="AK86" i="2"/>
  <c r="AJ86" i="2"/>
  <c r="AG86" i="2"/>
  <c r="AD86" i="2"/>
  <c r="AA86" i="2"/>
  <c r="Z86" i="2"/>
  <c r="Y86" i="2"/>
  <c r="W86" i="2"/>
  <c r="V86" i="2"/>
  <c r="U86" i="2"/>
  <c r="T86" i="2"/>
  <c r="Q86" i="2"/>
  <c r="P86" i="2"/>
  <c r="O86" i="2"/>
  <c r="AP85" i="2"/>
  <c r="AM85" i="2"/>
  <c r="AL85" i="2"/>
  <c r="AK85" i="2"/>
  <c r="AJ85" i="2"/>
  <c r="AG85" i="2"/>
  <c r="AD85" i="2"/>
  <c r="AA85" i="2"/>
  <c r="Z85" i="2"/>
  <c r="Y85" i="2"/>
  <c r="W85" i="2"/>
  <c r="V85" i="2"/>
  <c r="U85" i="2"/>
  <c r="T85" i="2"/>
  <c r="Q85" i="2"/>
  <c r="P85" i="2"/>
  <c r="O85" i="2"/>
  <c r="AP84" i="2"/>
  <c r="AM84" i="2"/>
  <c r="AL84" i="2"/>
  <c r="AK84" i="2"/>
  <c r="AJ84" i="2"/>
  <c r="AG84" i="2"/>
  <c r="AD84" i="2"/>
  <c r="AA84" i="2"/>
  <c r="Z84" i="2"/>
  <c r="Y84" i="2"/>
  <c r="W84" i="2"/>
  <c r="V84" i="2"/>
  <c r="U84" i="2"/>
  <c r="T84" i="2"/>
  <c r="Q84" i="2"/>
  <c r="P84" i="2"/>
  <c r="O84" i="2"/>
  <c r="AP83" i="2"/>
  <c r="AM83" i="2"/>
  <c r="AL83" i="2"/>
  <c r="AK83" i="2"/>
  <c r="AJ83" i="2"/>
  <c r="AG83" i="2"/>
  <c r="AD83" i="2"/>
  <c r="AA83" i="2"/>
  <c r="Z83" i="2"/>
  <c r="Y83" i="2"/>
  <c r="W83" i="2"/>
  <c r="V83" i="2"/>
  <c r="U83" i="2"/>
  <c r="T83" i="2"/>
  <c r="Q83" i="2"/>
  <c r="P83" i="2"/>
  <c r="O83" i="2"/>
  <c r="AP82" i="2"/>
  <c r="AM82" i="2"/>
  <c r="AL82" i="2"/>
  <c r="AK82" i="2"/>
  <c r="AJ82" i="2"/>
  <c r="AG82" i="2"/>
  <c r="AD82" i="2"/>
  <c r="AA82" i="2"/>
  <c r="Z82" i="2"/>
  <c r="Y82" i="2"/>
  <c r="W82" i="2"/>
  <c r="V82" i="2"/>
  <c r="U82" i="2"/>
  <c r="T82" i="2"/>
  <c r="Q82" i="2"/>
  <c r="P82" i="2"/>
  <c r="O82" i="2"/>
  <c r="AP81" i="2"/>
  <c r="AM81" i="2"/>
  <c r="AL81" i="2"/>
  <c r="AK81" i="2"/>
  <c r="AJ81" i="2"/>
  <c r="AG81" i="2"/>
  <c r="AD81" i="2"/>
  <c r="AA81" i="2"/>
  <c r="Z81" i="2"/>
  <c r="Y81" i="2"/>
  <c r="W81" i="2"/>
  <c r="V81" i="2"/>
  <c r="U81" i="2"/>
  <c r="T81" i="2"/>
  <c r="Q81" i="2"/>
  <c r="P81" i="2"/>
  <c r="O81" i="2"/>
  <c r="AP80" i="2"/>
  <c r="AM80" i="2"/>
  <c r="AL80" i="2"/>
  <c r="AK80" i="2"/>
  <c r="AJ80" i="2"/>
  <c r="AG80" i="2"/>
  <c r="AD80" i="2"/>
  <c r="AA80" i="2"/>
  <c r="Z80" i="2"/>
  <c r="Y80" i="2"/>
  <c r="W80" i="2"/>
  <c r="V80" i="2"/>
  <c r="U80" i="2"/>
  <c r="T80" i="2"/>
  <c r="Q80" i="2"/>
  <c r="P80" i="2"/>
  <c r="O80" i="2"/>
  <c r="AP79" i="2"/>
  <c r="AM79" i="2"/>
  <c r="AL79" i="2"/>
  <c r="AK79" i="2"/>
  <c r="AJ79" i="2"/>
  <c r="AG79" i="2"/>
  <c r="AD79" i="2"/>
  <c r="AA79" i="2"/>
  <c r="Z79" i="2"/>
  <c r="Y79" i="2"/>
  <c r="W79" i="2"/>
  <c r="V79" i="2"/>
  <c r="U79" i="2"/>
  <c r="T79" i="2"/>
  <c r="Q79" i="2"/>
  <c r="P79" i="2"/>
  <c r="O79" i="2"/>
  <c r="AP78" i="2"/>
  <c r="AM78" i="2"/>
  <c r="AL78" i="2"/>
  <c r="AK78" i="2"/>
  <c r="AJ78" i="2"/>
  <c r="AG78" i="2"/>
  <c r="AD78" i="2"/>
  <c r="AA78" i="2"/>
  <c r="Z78" i="2"/>
  <c r="Y78" i="2"/>
  <c r="W78" i="2"/>
  <c r="V78" i="2"/>
  <c r="U78" i="2"/>
  <c r="T78" i="2"/>
  <c r="Q78" i="2"/>
  <c r="P78" i="2"/>
  <c r="O78" i="2"/>
  <c r="AP77" i="2"/>
  <c r="AM77" i="2"/>
  <c r="AL77" i="2"/>
  <c r="AK77" i="2"/>
  <c r="AJ77" i="2"/>
  <c r="AG77" i="2"/>
  <c r="AD77" i="2"/>
  <c r="AA77" i="2"/>
  <c r="Z77" i="2"/>
  <c r="Y77" i="2"/>
  <c r="W77" i="2"/>
  <c r="V77" i="2"/>
  <c r="U77" i="2"/>
  <c r="T77" i="2"/>
  <c r="Q77" i="2"/>
  <c r="P77" i="2"/>
  <c r="O77" i="2"/>
  <c r="AP76" i="2"/>
  <c r="AM76" i="2"/>
  <c r="AL76" i="2"/>
  <c r="AK76" i="2"/>
  <c r="AJ76" i="2"/>
  <c r="AG76" i="2"/>
  <c r="AD76" i="2"/>
  <c r="AA76" i="2"/>
  <c r="Z76" i="2"/>
  <c r="Y76" i="2"/>
  <c r="W76" i="2"/>
  <c r="V76" i="2"/>
  <c r="U76" i="2"/>
  <c r="T76" i="2"/>
  <c r="Q76" i="2"/>
  <c r="P76" i="2"/>
  <c r="O76" i="2"/>
  <c r="AP75" i="2"/>
  <c r="AM75" i="2"/>
  <c r="AL75" i="2"/>
  <c r="AK75" i="2"/>
  <c r="AJ75" i="2"/>
  <c r="AG75" i="2"/>
  <c r="AD75" i="2"/>
  <c r="AA75" i="2"/>
  <c r="Z75" i="2"/>
  <c r="Y75" i="2"/>
  <c r="W75" i="2"/>
  <c r="V75" i="2"/>
  <c r="U75" i="2"/>
  <c r="T75" i="2"/>
  <c r="Q75" i="2"/>
  <c r="P75" i="2"/>
  <c r="O75" i="2"/>
  <c r="AP74" i="2"/>
  <c r="AM74" i="2"/>
  <c r="AL74" i="2"/>
  <c r="AK74" i="2"/>
  <c r="AJ74" i="2"/>
  <c r="AG74" i="2"/>
  <c r="AD74" i="2"/>
  <c r="AA74" i="2"/>
  <c r="Z74" i="2"/>
  <c r="Y74" i="2"/>
  <c r="W74" i="2"/>
  <c r="V74" i="2"/>
  <c r="U74" i="2"/>
  <c r="T74" i="2"/>
  <c r="Q74" i="2"/>
  <c r="P74" i="2"/>
  <c r="O74" i="2"/>
  <c r="AP73" i="2"/>
  <c r="AM73" i="2"/>
  <c r="AL73" i="2"/>
  <c r="AK73" i="2"/>
  <c r="AJ73" i="2"/>
  <c r="AG73" i="2"/>
  <c r="AD73" i="2"/>
  <c r="AA73" i="2"/>
  <c r="Z73" i="2"/>
  <c r="Y73" i="2"/>
  <c r="W73" i="2"/>
  <c r="V73" i="2"/>
  <c r="U73" i="2"/>
  <c r="T73" i="2"/>
  <c r="Q73" i="2"/>
  <c r="P73" i="2"/>
  <c r="O73" i="2"/>
  <c r="AP72" i="2"/>
  <c r="AM72" i="2"/>
  <c r="AL72" i="2"/>
  <c r="AK72" i="2"/>
  <c r="AJ72" i="2"/>
  <c r="AG72" i="2"/>
  <c r="AD72" i="2"/>
  <c r="AA72" i="2"/>
  <c r="Z72" i="2"/>
  <c r="Y72" i="2"/>
  <c r="W72" i="2"/>
  <c r="V72" i="2"/>
  <c r="U72" i="2"/>
  <c r="T72" i="2"/>
  <c r="Q72" i="2"/>
  <c r="P72" i="2"/>
  <c r="O72" i="2"/>
  <c r="AP71" i="2"/>
  <c r="AM71" i="2"/>
  <c r="AL71" i="2"/>
  <c r="AK71" i="2"/>
  <c r="AJ71" i="2"/>
  <c r="AG71" i="2"/>
  <c r="AD71" i="2"/>
  <c r="AA71" i="2"/>
  <c r="Z71" i="2"/>
  <c r="Y71" i="2"/>
  <c r="W71" i="2"/>
  <c r="V71" i="2"/>
  <c r="U71" i="2"/>
  <c r="T71" i="2"/>
  <c r="Q71" i="2"/>
  <c r="P71" i="2"/>
  <c r="O71" i="2"/>
  <c r="AP70" i="2"/>
  <c r="AM70" i="2"/>
  <c r="AL70" i="2"/>
  <c r="AK70" i="2"/>
  <c r="AJ70" i="2"/>
  <c r="AG70" i="2"/>
  <c r="AD70" i="2"/>
  <c r="AA70" i="2"/>
  <c r="Z70" i="2"/>
  <c r="Y70" i="2"/>
  <c r="W70" i="2"/>
  <c r="V70" i="2"/>
  <c r="U70" i="2"/>
  <c r="T70" i="2"/>
  <c r="Q70" i="2"/>
  <c r="P70" i="2"/>
  <c r="O70" i="2"/>
  <c r="AP69" i="2"/>
  <c r="AM69" i="2"/>
  <c r="AL69" i="2"/>
  <c r="AK69" i="2"/>
  <c r="AJ69" i="2"/>
  <c r="AG69" i="2"/>
  <c r="AD69" i="2"/>
  <c r="AA69" i="2"/>
  <c r="Z69" i="2"/>
  <c r="Y69" i="2"/>
  <c r="W69" i="2"/>
  <c r="V69" i="2"/>
  <c r="U69" i="2"/>
  <c r="T69" i="2"/>
  <c r="Q69" i="2"/>
  <c r="P69" i="2"/>
  <c r="O69" i="2"/>
  <c r="AP68" i="2"/>
  <c r="AM68" i="2"/>
  <c r="AL68" i="2"/>
  <c r="AK68" i="2"/>
  <c r="AJ68" i="2"/>
  <c r="AG68" i="2"/>
  <c r="AD68" i="2"/>
  <c r="AA68" i="2"/>
  <c r="Z68" i="2"/>
  <c r="Y68" i="2"/>
  <c r="W68" i="2"/>
  <c r="V68" i="2"/>
  <c r="U68" i="2"/>
  <c r="T68" i="2"/>
  <c r="Q68" i="2"/>
  <c r="P68" i="2"/>
  <c r="O68" i="2"/>
  <c r="AP67" i="2"/>
  <c r="AM67" i="2"/>
  <c r="AL67" i="2"/>
  <c r="AK67" i="2"/>
  <c r="AJ67" i="2"/>
  <c r="AG67" i="2"/>
  <c r="AD67" i="2"/>
  <c r="AA67" i="2"/>
  <c r="Z67" i="2"/>
  <c r="Y67" i="2"/>
  <c r="W67" i="2"/>
  <c r="V67" i="2"/>
  <c r="U67" i="2"/>
  <c r="T67" i="2"/>
  <c r="Q67" i="2"/>
  <c r="P67" i="2"/>
  <c r="O67" i="2"/>
  <c r="AP66" i="2"/>
  <c r="AM66" i="2"/>
  <c r="AL66" i="2"/>
  <c r="AK66" i="2"/>
  <c r="AJ66" i="2"/>
  <c r="AG66" i="2"/>
  <c r="AD66" i="2"/>
  <c r="AA66" i="2"/>
  <c r="Z66" i="2"/>
  <c r="Y66" i="2"/>
  <c r="W66" i="2"/>
  <c r="V66" i="2"/>
  <c r="U66" i="2"/>
  <c r="T66" i="2"/>
  <c r="Q66" i="2"/>
  <c r="P66" i="2"/>
  <c r="O66" i="2"/>
  <c r="AP65" i="2"/>
  <c r="AM65" i="2"/>
  <c r="AL65" i="2"/>
  <c r="AK65" i="2"/>
  <c r="AJ65" i="2"/>
  <c r="AG65" i="2"/>
  <c r="AD65" i="2"/>
  <c r="AA65" i="2"/>
  <c r="Z65" i="2"/>
  <c r="Y65" i="2"/>
  <c r="W65" i="2"/>
  <c r="V65" i="2"/>
  <c r="U65" i="2"/>
  <c r="T65" i="2"/>
  <c r="Q65" i="2"/>
  <c r="P65" i="2"/>
  <c r="O65" i="2"/>
  <c r="AP64" i="2"/>
  <c r="AM64" i="2"/>
  <c r="AL64" i="2"/>
  <c r="AK64" i="2"/>
  <c r="AJ64" i="2"/>
  <c r="AG64" i="2"/>
  <c r="AD64" i="2"/>
  <c r="AA64" i="2"/>
  <c r="Z64" i="2"/>
  <c r="Y64" i="2"/>
  <c r="W64" i="2"/>
  <c r="V64" i="2"/>
  <c r="U64" i="2"/>
  <c r="T64" i="2"/>
  <c r="Q64" i="2"/>
  <c r="P64" i="2"/>
  <c r="O64" i="2"/>
  <c r="AP63" i="2"/>
  <c r="AM63" i="2"/>
  <c r="AL63" i="2"/>
  <c r="AK63" i="2"/>
  <c r="AJ63" i="2"/>
  <c r="AG63" i="2"/>
  <c r="AD63" i="2"/>
  <c r="AA63" i="2"/>
  <c r="Z63" i="2"/>
  <c r="Y63" i="2"/>
  <c r="W63" i="2"/>
  <c r="V63" i="2"/>
  <c r="U63" i="2"/>
  <c r="T63" i="2"/>
  <c r="Q63" i="2"/>
  <c r="P63" i="2"/>
  <c r="O63" i="2"/>
  <c r="AL62" i="2"/>
  <c r="AK62" i="2"/>
  <c r="AJ62" i="2"/>
  <c r="AG62" i="2"/>
  <c r="AD62" i="2"/>
  <c r="W62" i="2"/>
  <c r="V62" i="2"/>
  <c r="U62" i="2"/>
  <c r="T62" i="2"/>
  <c r="Q62" i="2"/>
  <c r="AM61" i="2"/>
  <c r="AP61" i="2" s="1"/>
  <c r="AL61" i="2"/>
  <c r="AK61" i="2"/>
  <c r="AJ61" i="2"/>
  <c r="AG61" i="2"/>
  <c r="AD61" i="2"/>
  <c r="AA61" i="2"/>
  <c r="Z61" i="2"/>
  <c r="Y61" i="2"/>
  <c r="W61" i="2"/>
  <c r="V61" i="2"/>
  <c r="U61" i="2"/>
  <c r="T61" i="2"/>
  <c r="Q61" i="2"/>
  <c r="AL60" i="2"/>
  <c r="AK60" i="2"/>
  <c r="AJ60" i="2"/>
  <c r="AG60" i="2"/>
  <c r="AD60" i="2"/>
  <c r="AA60" i="2"/>
  <c r="Z60" i="2"/>
  <c r="Y60" i="2"/>
  <c r="W60" i="2"/>
  <c r="V60" i="2"/>
  <c r="U60" i="2"/>
  <c r="T60" i="2"/>
  <c r="Q60" i="2"/>
  <c r="AM59" i="2"/>
  <c r="AP59" i="2" s="1"/>
  <c r="AL59" i="2"/>
  <c r="AK59" i="2"/>
  <c r="AJ59" i="2"/>
  <c r="AG59" i="2"/>
  <c r="AD59" i="2"/>
  <c r="AA59" i="2"/>
  <c r="Z59" i="2"/>
  <c r="Y59" i="2"/>
  <c r="W59" i="2"/>
  <c r="V59" i="2"/>
  <c r="U59" i="2"/>
  <c r="T59" i="2"/>
  <c r="Q59" i="2"/>
  <c r="AL58" i="2"/>
  <c r="AK58" i="2"/>
  <c r="AJ58" i="2"/>
  <c r="AG58" i="2"/>
  <c r="AD58" i="2"/>
  <c r="AA58" i="2"/>
  <c r="Z58" i="2"/>
  <c r="Y58" i="2"/>
  <c r="W58" i="2"/>
  <c r="V58" i="2"/>
  <c r="U58" i="2"/>
  <c r="T58" i="2"/>
  <c r="Q58" i="2"/>
  <c r="AM57" i="2"/>
  <c r="AP57" i="2" s="1"/>
  <c r="AL57" i="2"/>
  <c r="AK57" i="2"/>
  <c r="AJ57" i="2"/>
  <c r="AG57" i="2"/>
  <c r="AD57" i="2"/>
  <c r="AA57" i="2"/>
  <c r="Z57" i="2"/>
  <c r="Y57" i="2"/>
  <c r="W57" i="2"/>
  <c r="V57" i="2"/>
  <c r="U57" i="2"/>
  <c r="T57" i="2"/>
  <c r="Q57" i="2"/>
  <c r="AL56" i="2"/>
  <c r="AK56" i="2"/>
  <c r="AJ56" i="2"/>
  <c r="AG56" i="2"/>
  <c r="AD56" i="2"/>
  <c r="AA56" i="2"/>
  <c r="Z56" i="2"/>
  <c r="Y56" i="2"/>
  <c r="W56" i="2"/>
  <c r="V56" i="2"/>
  <c r="U56" i="2"/>
  <c r="T56" i="2"/>
  <c r="Q56" i="2"/>
  <c r="AM55" i="2"/>
  <c r="AL55" i="2"/>
  <c r="AK55" i="2"/>
  <c r="AJ55" i="2"/>
  <c r="AG55" i="2"/>
  <c r="AD55" i="2"/>
  <c r="AA55" i="2"/>
  <c r="Z55" i="2"/>
  <c r="Y55" i="2"/>
  <c r="W55" i="2"/>
  <c r="V55" i="2"/>
  <c r="U55" i="2"/>
  <c r="T55" i="2"/>
  <c r="Q55" i="2"/>
  <c r="AL54" i="2"/>
  <c r="AK54" i="2"/>
  <c r="AJ54" i="2"/>
  <c r="AG54" i="2"/>
  <c r="AD54" i="2"/>
  <c r="AA54" i="2"/>
  <c r="Z54" i="2"/>
  <c r="Y54" i="2"/>
  <c r="W54" i="2"/>
  <c r="V54" i="2"/>
  <c r="U54" i="2"/>
  <c r="T54" i="2"/>
  <c r="Q54" i="2"/>
  <c r="AM53" i="2"/>
  <c r="AP53" i="2" s="1"/>
  <c r="AL53" i="2"/>
  <c r="AK53" i="2"/>
  <c r="AJ53" i="2"/>
  <c r="AG53" i="2"/>
  <c r="AD53" i="2"/>
  <c r="AA53" i="2"/>
  <c r="Z53" i="2"/>
  <c r="Y53" i="2"/>
  <c r="W53" i="2"/>
  <c r="V53" i="2"/>
  <c r="U53" i="2"/>
  <c r="T53" i="2"/>
  <c r="Q53" i="2"/>
  <c r="AL52" i="2"/>
  <c r="AK52" i="2"/>
  <c r="AJ52" i="2"/>
  <c r="AG52" i="2"/>
  <c r="AD52" i="2"/>
  <c r="AA52" i="2"/>
  <c r="Z52" i="2"/>
  <c r="Y52" i="2"/>
  <c r="W52" i="2"/>
  <c r="V52" i="2"/>
  <c r="U52" i="2"/>
  <c r="T52" i="2"/>
  <c r="Q52" i="2"/>
  <c r="AM51" i="2"/>
  <c r="AL51" i="2"/>
  <c r="AK51" i="2"/>
  <c r="AJ51" i="2"/>
  <c r="AG51" i="2"/>
  <c r="AD51" i="2"/>
  <c r="AA51" i="2"/>
  <c r="Z51" i="2"/>
  <c r="Y51" i="2"/>
  <c r="W51" i="2"/>
  <c r="V51" i="2"/>
  <c r="U51" i="2"/>
  <c r="T51" i="2"/>
  <c r="Q51" i="2"/>
  <c r="AL50" i="2"/>
  <c r="AK50" i="2"/>
  <c r="AJ50" i="2"/>
  <c r="AG50" i="2"/>
  <c r="AD50" i="2"/>
  <c r="AA50" i="2"/>
  <c r="Z50" i="2"/>
  <c r="Y50" i="2"/>
  <c r="W50" i="2"/>
  <c r="V50" i="2"/>
  <c r="U50" i="2"/>
  <c r="T50" i="2"/>
  <c r="Q50" i="2"/>
  <c r="AM49" i="2"/>
  <c r="AP49" i="2" s="1"/>
  <c r="AL49" i="2"/>
  <c r="AK49" i="2"/>
  <c r="AJ49" i="2"/>
  <c r="AG49" i="2"/>
  <c r="AD49" i="2"/>
  <c r="AA49" i="2"/>
  <c r="Z49" i="2"/>
  <c r="Y49" i="2"/>
  <c r="W49" i="2"/>
  <c r="V49" i="2"/>
  <c r="U49" i="2"/>
  <c r="T49" i="2"/>
  <c r="Q49" i="2"/>
  <c r="AL48" i="2"/>
  <c r="AK48" i="2"/>
  <c r="AJ48" i="2"/>
  <c r="AG48" i="2"/>
  <c r="AD48" i="2"/>
  <c r="AA48" i="2"/>
  <c r="Z48" i="2"/>
  <c r="Y48" i="2"/>
  <c r="W48" i="2"/>
  <c r="V48" i="2"/>
  <c r="U48" i="2"/>
  <c r="T48" i="2"/>
  <c r="Q48" i="2"/>
  <c r="AM47" i="2"/>
  <c r="AP47" i="2" s="1"/>
  <c r="AL47" i="2"/>
  <c r="AK47" i="2"/>
  <c r="AJ47" i="2"/>
  <c r="AG47" i="2"/>
  <c r="AD47" i="2"/>
  <c r="AA47" i="2"/>
  <c r="Z47" i="2"/>
  <c r="Y47" i="2"/>
  <c r="W47" i="2"/>
  <c r="V47" i="2"/>
  <c r="U47" i="2"/>
  <c r="T47" i="2"/>
  <c r="Q47" i="2"/>
  <c r="AL46" i="2"/>
  <c r="AK46" i="2"/>
  <c r="AJ46" i="2"/>
  <c r="AG46" i="2"/>
  <c r="AD46" i="2"/>
  <c r="AA46" i="2"/>
  <c r="Z46" i="2"/>
  <c r="Y46" i="2"/>
  <c r="W46" i="2"/>
  <c r="V46" i="2"/>
  <c r="U46" i="2"/>
  <c r="T46" i="2"/>
  <c r="Q46" i="2"/>
  <c r="AM45" i="2"/>
  <c r="AP45" i="2" s="1"/>
  <c r="AL45" i="2"/>
  <c r="AK45" i="2"/>
  <c r="AJ45" i="2"/>
  <c r="AG45" i="2"/>
  <c r="AD45" i="2"/>
  <c r="AA45" i="2"/>
  <c r="Z45" i="2"/>
  <c r="Y45" i="2"/>
  <c r="W45" i="2"/>
  <c r="V45" i="2"/>
  <c r="U45" i="2"/>
  <c r="T45" i="2"/>
  <c r="Q45" i="2"/>
  <c r="AL44" i="2"/>
  <c r="AK44" i="2"/>
  <c r="AJ44" i="2"/>
  <c r="AG44" i="2"/>
  <c r="AD44" i="2"/>
  <c r="AA44" i="2"/>
  <c r="Z44" i="2"/>
  <c r="Y44" i="2"/>
  <c r="W44" i="2"/>
  <c r="V44" i="2"/>
  <c r="U44" i="2"/>
  <c r="T44" i="2"/>
  <c r="Q44" i="2"/>
  <c r="AM43" i="2"/>
  <c r="AP43" i="2" s="1"/>
  <c r="AL43" i="2"/>
  <c r="AK43" i="2"/>
  <c r="AJ43" i="2"/>
  <c r="AG43" i="2"/>
  <c r="AD43" i="2"/>
  <c r="AA43" i="2"/>
  <c r="Z43" i="2"/>
  <c r="Y43" i="2"/>
  <c r="W43" i="2"/>
  <c r="V43" i="2"/>
  <c r="U43" i="2"/>
  <c r="T43" i="2"/>
  <c r="Q43" i="2"/>
  <c r="AL42" i="2"/>
  <c r="AK42" i="2"/>
  <c r="AJ42" i="2"/>
  <c r="AG42" i="2"/>
  <c r="AD42" i="2"/>
  <c r="W42" i="2"/>
  <c r="V42" i="2"/>
  <c r="U42" i="2"/>
  <c r="T42" i="2"/>
  <c r="Q42" i="2"/>
  <c r="AM41" i="2"/>
  <c r="AP41" i="2" s="1"/>
  <c r="AL41" i="2"/>
  <c r="AK41" i="2"/>
  <c r="AJ41" i="2"/>
  <c r="AG41" i="2"/>
  <c r="AD41" i="2"/>
  <c r="AA41" i="2"/>
  <c r="Z41" i="2"/>
  <c r="Y41" i="2"/>
  <c r="W41" i="2"/>
  <c r="V41" i="2"/>
  <c r="U41" i="2"/>
  <c r="T41" i="2"/>
  <c r="Q41" i="2"/>
  <c r="AL40" i="2"/>
  <c r="AK40" i="2"/>
  <c r="AJ40" i="2"/>
  <c r="AG40" i="2"/>
  <c r="AD40" i="2"/>
  <c r="AA40" i="2"/>
  <c r="Z40" i="2"/>
  <c r="Y40" i="2"/>
  <c r="W40" i="2"/>
  <c r="V40" i="2"/>
  <c r="U40" i="2"/>
  <c r="T40" i="2"/>
  <c r="Q40" i="2"/>
  <c r="AM39" i="2"/>
  <c r="AL39" i="2"/>
  <c r="AK39" i="2"/>
  <c r="AJ39" i="2"/>
  <c r="AG39" i="2"/>
  <c r="AD39" i="2"/>
  <c r="AA39" i="2"/>
  <c r="Z39" i="2"/>
  <c r="Y39" i="2"/>
  <c r="W39" i="2"/>
  <c r="V39" i="2"/>
  <c r="U39" i="2"/>
  <c r="T39" i="2"/>
  <c r="Q39" i="2"/>
  <c r="AL38" i="2"/>
  <c r="AK38" i="2"/>
  <c r="AJ38" i="2"/>
  <c r="AG38" i="2"/>
  <c r="AD38" i="2"/>
  <c r="AA38" i="2"/>
  <c r="Z38" i="2"/>
  <c r="Y38" i="2"/>
  <c r="W38" i="2"/>
  <c r="V38" i="2"/>
  <c r="U38" i="2"/>
  <c r="T38" i="2"/>
  <c r="Q38" i="2"/>
  <c r="AM37" i="2"/>
  <c r="AP37" i="2" s="1"/>
  <c r="AL37" i="2"/>
  <c r="AK37" i="2"/>
  <c r="AJ37" i="2"/>
  <c r="AG37" i="2"/>
  <c r="AD37" i="2"/>
  <c r="AA37" i="2"/>
  <c r="Z37" i="2"/>
  <c r="Y37" i="2"/>
  <c r="W37" i="2"/>
  <c r="V37" i="2"/>
  <c r="U37" i="2"/>
  <c r="T37" i="2"/>
  <c r="Q37" i="2"/>
  <c r="AL36" i="2"/>
  <c r="AK36" i="2"/>
  <c r="AJ36" i="2"/>
  <c r="AG36" i="2"/>
  <c r="AD36" i="2"/>
  <c r="AA36" i="2"/>
  <c r="Z36" i="2"/>
  <c r="Y36" i="2"/>
  <c r="W36" i="2"/>
  <c r="V36" i="2"/>
  <c r="U36" i="2"/>
  <c r="T36" i="2"/>
  <c r="Q36" i="2"/>
  <c r="AM35" i="2"/>
  <c r="AP35" i="2" s="1"/>
  <c r="AL35" i="2"/>
  <c r="AK35" i="2"/>
  <c r="AJ35" i="2"/>
  <c r="AG35" i="2"/>
  <c r="AD35" i="2"/>
  <c r="AA35" i="2"/>
  <c r="Z35" i="2"/>
  <c r="Y35" i="2"/>
  <c r="W35" i="2"/>
  <c r="V35" i="2"/>
  <c r="U35" i="2"/>
  <c r="T35" i="2"/>
  <c r="Q35" i="2"/>
  <c r="AM34" i="2"/>
  <c r="AL34" i="2"/>
  <c r="AK34" i="2"/>
  <c r="AJ34" i="2"/>
  <c r="AG34" i="2"/>
  <c r="AD34" i="2"/>
  <c r="AA34" i="2"/>
  <c r="Z34" i="2"/>
  <c r="Y34" i="2"/>
  <c r="W34" i="2"/>
  <c r="V34" i="2"/>
  <c r="U34" i="2"/>
  <c r="T34" i="2"/>
  <c r="Q34" i="2"/>
  <c r="AL33" i="2"/>
  <c r="AK33" i="2"/>
  <c r="AJ33" i="2"/>
  <c r="AG33" i="2"/>
  <c r="AD33" i="2"/>
  <c r="AA33" i="2"/>
  <c r="Z33" i="2"/>
  <c r="Y33" i="2"/>
  <c r="W33" i="2"/>
  <c r="V33" i="2"/>
  <c r="U33" i="2"/>
  <c r="T33" i="2"/>
  <c r="Q33" i="2"/>
  <c r="AL32" i="2"/>
  <c r="B29" i="2"/>
  <c r="W32" i="2"/>
  <c r="V32" i="2"/>
  <c r="U32" i="2"/>
  <c r="T32" i="2"/>
  <c r="Q32" i="2"/>
  <c r="AL31" i="2"/>
  <c r="AK31" i="2"/>
  <c r="AA31" i="2"/>
  <c r="Z31" i="2"/>
  <c r="Y31" i="2"/>
  <c r="W31" i="2"/>
  <c r="V31" i="2"/>
  <c r="U31" i="2"/>
  <c r="T31" i="2"/>
  <c r="Q31" i="2"/>
  <c r="AL30" i="2"/>
  <c r="AA30" i="2"/>
  <c r="Z30" i="2"/>
  <c r="Y30" i="2"/>
  <c r="W30" i="2"/>
  <c r="V30" i="2"/>
  <c r="U30" i="2"/>
  <c r="T30" i="2"/>
  <c r="Q30" i="2"/>
  <c r="AM29" i="2"/>
  <c r="AL29" i="2"/>
  <c r="AA29" i="2"/>
  <c r="Z29" i="2"/>
  <c r="Y29" i="2"/>
  <c r="AK29" i="2" s="1"/>
  <c r="W29" i="2"/>
  <c r="V29" i="2"/>
  <c r="U29" i="2"/>
  <c r="T29" i="2"/>
  <c r="Q29" i="2"/>
  <c r="AL28" i="2"/>
  <c r="AK28" i="2"/>
  <c r="AA28" i="2"/>
  <c r="Z28" i="2"/>
  <c r="Y28" i="2"/>
  <c r="W28" i="2"/>
  <c r="V28" i="2"/>
  <c r="U28" i="2"/>
  <c r="T28" i="2"/>
  <c r="Q28" i="2"/>
  <c r="H28" i="2"/>
  <c r="AL27" i="2"/>
  <c r="AK27" i="2"/>
  <c r="AA27" i="2"/>
  <c r="Z27" i="2"/>
  <c r="Y27" i="2"/>
  <c r="W27" i="2"/>
  <c r="V27" i="2"/>
  <c r="U27" i="2"/>
  <c r="T27" i="2"/>
  <c r="Q27" i="2"/>
  <c r="AL26" i="2"/>
  <c r="AA26" i="2"/>
  <c r="Z26" i="2"/>
  <c r="Y26" i="2"/>
  <c r="W26" i="2"/>
  <c r="V26" i="2"/>
  <c r="U26" i="2"/>
  <c r="T26" i="2"/>
  <c r="Q26" i="2"/>
  <c r="AM25" i="2"/>
  <c r="AP25" i="2" s="1"/>
  <c r="AL25" i="2"/>
  <c r="AA25" i="2"/>
  <c r="Z25" i="2"/>
  <c r="Y25" i="2"/>
  <c r="AK25" i="2" s="1"/>
  <c r="W25" i="2"/>
  <c r="V25" i="2"/>
  <c r="U25" i="2"/>
  <c r="T25" i="2"/>
  <c r="Q25" i="2"/>
  <c r="AL24" i="2"/>
  <c r="AA24" i="2"/>
  <c r="Z24" i="2"/>
  <c r="Y24" i="2"/>
  <c r="W24" i="2"/>
  <c r="V24" i="2"/>
  <c r="U24" i="2"/>
  <c r="T24" i="2"/>
  <c r="Q24" i="2"/>
  <c r="AM23" i="2"/>
  <c r="AL23" i="2"/>
  <c r="AA23" i="2"/>
  <c r="Z23" i="2"/>
  <c r="Y23" i="2"/>
  <c r="AK23" i="2" s="1"/>
  <c r="W23" i="2"/>
  <c r="V23" i="2"/>
  <c r="U23" i="2"/>
  <c r="T23" i="2"/>
  <c r="Q23" i="2"/>
  <c r="AL22" i="2"/>
  <c r="W22" i="2"/>
  <c r="V22" i="2"/>
  <c r="U22" i="2"/>
  <c r="T22" i="2"/>
  <c r="Q22" i="2"/>
  <c r="AM21" i="2"/>
  <c r="AP21" i="2" s="1"/>
  <c r="AL21" i="2"/>
  <c r="AA21" i="2"/>
  <c r="Z21" i="2"/>
  <c r="Y21" i="2"/>
  <c r="AK21" i="2" s="1"/>
  <c r="W21" i="2"/>
  <c r="V21" i="2"/>
  <c r="U21" i="2"/>
  <c r="T21" i="2"/>
  <c r="Q21" i="2"/>
  <c r="AL20" i="2"/>
  <c r="AA20" i="2"/>
  <c r="Z20" i="2"/>
  <c r="Y20" i="2"/>
  <c r="W20" i="2"/>
  <c r="V20" i="2"/>
  <c r="U20" i="2"/>
  <c r="T20" i="2"/>
  <c r="Q20" i="2"/>
  <c r="AL19" i="2"/>
  <c r="AA19" i="2"/>
  <c r="Z19" i="2"/>
  <c r="Y19" i="2"/>
  <c r="AK19" i="2" s="1"/>
  <c r="W19" i="2"/>
  <c r="V19" i="2"/>
  <c r="U19" i="2"/>
  <c r="T19" i="2"/>
  <c r="Q19" i="2"/>
  <c r="AM18" i="2"/>
  <c r="AL18" i="2"/>
  <c r="AK18" i="2"/>
  <c r="AA18" i="2"/>
  <c r="Z18" i="2"/>
  <c r="Y18" i="2"/>
  <c r="W18" i="2"/>
  <c r="V18" i="2"/>
  <c r="U18" i="2"/>
  <c r="T18" i="2"/>
  <c r="Q18" i="2"/>
  <c r="AL17" i="2"/>
  <c r="W17" i="2"/>
  <c r="V17" i="2"/>
  <c r="U17" i="2"/>
  <c r="T17" i="2"/>
  <c r="Q17" i="2"/>
  <c r="AL16" i="2"/>
  <c r="AA16" i="2"/>
  <c r="Z16" i="2"/>
  <c r="Y16" i="2"/>
  <c r="W16" i="2"/>
  <c r="V16" i="2"/>
  <c r="U16" i="2"/>
  <c r="T16" i="2"/>
  <c r="Q16" i="2"/>
  <c r="AL15" i="2"/>
  <c r="AA15" i="2"/>
  <c r="Z15" i="2"/>
  <c r="AK15" i="2" s="1"/>
  <c r="Y15" i="2"/>
  <c r="W15" i="2"/>
  <c r="V15" i="2"/>
  <c r="U15" i="2"/>
  <c r="T15" i="2"/>
  <c r="Q15" i="2"/>
  <c r="AL14" i="2"/>
  <c r="AK14" i="2"/>
  <c r="AA14" i="2"/>
  <c r="Z14" i="2"/>
  <c r="Y14" i="2"/>
  <c r="AM14" i="2" s="1"/>
  <c r="AP14" i="2" s="1"/>
  <c r="W14" i="2"/>
  <c r="V14" i="2"/>
  <c r="U14" i="2"/>
  <c r="T14" i="2"/>
  <c r="Q14" i="2"/>
  <c r="AL13" i="2"/>
  <c r="AA13" i="2"/>
  <c r="Z13" i="2"/>
  <c r="Y13" i="2"/>
  <c r="AM13" i="2" s="1"/>
  <c r="AP13" i="2" s="1"/>
  <c r="W13" i="2"/>
  <c r="V13" i="2"/>
  <c r="U13" i="2"/>
  <c r="T13" i="2"/>
  <c r="Q13" i="2"/>
  <c r="AL12" i="2"/>
  <c r="AA12" i="2"/>
  <c r="Z12" i="2"/>
  <c r="Y12" i="2"/>
  <c r="W12" i="2"/>
  <c r="V12" i="2"/>
  <c r="U12" i="2"/>
  <c r="T12" i="2"/>
  <c r="Q12" i="2"/>
  <c r="AL11" i="2"/>
  <c r="AA11" i="2"/>
  <c r="Z11" i="2"/>
  <c r="Y11" i="2"/>
  <c r="AM11" i="2" s="1"/>
  <c r="AP11" i="2" s="1"/>
  <c r="W11" i="2"/>
  <c r="V11" i="2"/>
  <c r="U11" i="2"/>
  <c r="T11" i="2"/>
  <c r="Q11" i="2"/>
  <c r="B11" i="2"/>
  <c r="AL10" i="2"/>
  <c r="AA10" i="2"/>
  <c r="Z10" i="2"/>
  <c r="Y10" i="2"/>
  <c r="W10" i="2"/>
  <c r="V10" i="2"/>
  <c r="U10" i="2"/>
  <c r="T10" i="2"/>
  <c r="Q10" i="2"/>
  <c r="AL9" i="2"/>
  <c r="AK9" i="2"/>
  <c r="AA9" i="2"/>
  <c r="Z9" i="2"/>
  <c r="AM9" i="2" s="1"/>
  <c r="AP9" i="2" s="1"/>
  <c r="Y9" i="2"/>
  <c r="W9" i="2"/>
  <c r="V9" i="2"/>
  <c r="U9" i="2"/>
  <c r="T9" i="2"/>
  <c r="Q9" i="2"/>
  <c r="E9" i="2"/>
  <c r="AL8" i="2"/>
  <c r="AA8" i="2"/>
  <c r="Z8" i="2"/>
  <c r="Y8" i="2"/>
  <c r="AK8" i="2" s="1"/>
  <c r="W8" i="2"/>
  <c r="V8" i="2"/>
  <c r="U8" i="2"/>
  <c r="T8" i="2"/>
  <c r="Q8" i="2"/>
  <c r="AM7" i="2"/>
  <c r="AP7" i="2" s="1"/>
  <c r="AL7" i="2"/>
  <c r="AK7" i="2"/>
  <c r="AA7" i="2"/>
  <c r="Z7" i="2"/>
  <c r="Y7" i="2"/>
  <c r="W7" i="2"/>
  <c r="V7" i="2"/>
  <c r="U7" i="2"/>
  <c r="T7" i="2"/>
  <c r="Q7" i="2"/>
  <c r="O57" i="2"/>
  <c r="AM6" i="2"/>
  <c r="AL6" i="2"/>
  <c r="AA6" i="2"/>
  <c r="AK6" i="2" s="1"/>
  <c r="Z6" i="2"/>
  <c r="Y6" i="2"/>
  <c r="W6" i="2"/>
  <c r="V6" i="2"/>
  <c r="U6" i="2"/>
  <c r="T6" i="2"/>
  <c r="Q6" i="2"/>
  <c r="AL5" i="2"/>
  <c r="AK5" i="2"/>
  <c r="AA5" i="2"/>
  <c r="AM5" i="2" s="1"/>
  <c r="AP5" i="2" s="1"/>
  <c r="Z5" i="2"/>
  <c r="Y5" i="2"/>
  <c r="W5" i="2"/>
  <c r="V5" i="2"/>
  <c r="U5" i="2"/>
  <c r="T5" i="2"/>
  <c r="Q5" i="2"/>
  <c r="AL4" i="2"/>
  <c r="AA4" i="2"/>
  <c r="Z4" i="2"/>
  <c r="Y4" i="2"/>
  <c r="AM4" i="2" s="1"/>
  <c r="AP4" i="2" s="1"/>
  <c r="W4" i="2"/>
  <c r="V4" i="2"/>
  <c r="U4" i="2"/>
  <c r="T4" i="2"/>
  <c r="Q4" i="2"/>
  <c r="AM3" i="2"/>
  <c r="AP3" i="2" s="1"/>
  <c r="AL3" i="2"/>
  <c r="AK3" i="2"/>
  <c r="AA3" i="2"/>
  <c r="AJ3" i="2" s="1"/>
  <c r="Z3" i="2"/>
  <c r="Y3" i="2"/>
  <c r="W3" i="2"/>
  <c r="V3" i="2"/>
  <c r="U3" i="2"/>
  <c r="T3" i="2"/>
  <c r="Q3" i="2"/>
  <c r="AL2" i="2"/>
  <c r="AJ2" i="2"/>
  <c r="AG2" i="2"/>
  <c r="AD2" i="2"/>
  <c r="AA2" i="2"/>
  <c r="Z2" i="2"/>
  <c r="Y2" i="2"/>
  <c r="AM2" i="2" s="1"/>
  <c r="AP2" i="2" s="1"/>
  <c r="W2" i="2"/>
  <c r="V2" i="2"/>
  <c r="U2" i="2"/>
  <c r="T2" i="2"/>
  <c r="Q2" i="2"/>
  <c r="AP102" i="1"/>
  <c r="AM102" i="1"/>
  <c r="AL102" i="1"/>
  <c r="AK102" i="1"/>
  <c r="AJ102" i="1"/>
  <c r="AG102" i="1"/>
  <c r="AD102" i="1"/>
  <c r="AA102" i="1"/>
  <c r="Z102" i="1"/>
  <c r="Y102" i="1"/>
  <c r="W102" i="1"/>
  <c r="V102" i="1"/>
  <c r="Q102" i="1"/>
  <c r="P102" i="1"/>
  <c r="O102" i="1"/>
  <c r="AP101" i="1"/>
  <c r="AM101" i="1"/>
  <c r="AL101" i="1"/>
  <c r="AK101" i="1"/>
  <c r="AJ101" i="1"/>
  <c r="AG101" i="1"/>
  <c r="AD101" i="1"/>
  <c r="AA101" i="1"/>
  <c r="Z101" i="1"/>
  <c r="Y101" i="1"/>
  <c r="W101" i="1"/>
  <c r="V101" i="1"/>
  <c r="Q101" i="1"/>
  <c r="P101" i="1"/>
  <c r="O101" i="1"/>
  <c r="AP100" i="1"/>
  <c r="AM100" i="1"/>
  <c r="AL100" i="1"/>
  <c r="AK100" i="1"/>
  <c r="AJ100" i="1"/>
  <c r="AG100" i="1"/>
  <c r="AD100" i="1"/>
  <c r="AA100" i="1"/>
  <c r="Z100" i="1"/>
  <c r="Y100" i="1"/>
  <c r="W100" i="1"/>
  <c r="V100" i="1"/>
  <c r="Q100" i="1"/>
  <c r="P100" i="1"/>
  <c r="O100" i="1"/>
  <c r="AP99" i="1"/>
  <c r="AM99" i="1"/>
  <c r="AL99" i="1"/>
  <c r="AK99" i="1"/>
  <c r="AJ99" i="1"/>
  <c r="AG99" i="1"/>
  <c r="AD99" i="1"/>
  <c r="AA99" i="1"/>
  <c r="Z99" i="1"/>
  <c r="Y99" i="1"/>
  <c r="W99" i="1"/>
  <c r="V99" i="1"/>
  <c r="Q99" i="1"/>
  <c r="P99" i="1"/>
  <c r="O99" i="1"/>
  <c r="AP98" i="1"/>
  <c r="AM98" i="1"/>
  <c r="AL98" i="1"/>
  <c r="AK98" i="1"/>
  <c r="AJ98" i="1"/>
  <c r="AG98" i="1"/>
  <c r="AD98" i="1"/>
  <c r="AA98" i="1"/>
  <c r="Z98" i="1"/>
  <c r="Y98" i="1"/>
  <c r="W98" i="1"/>
  <c r="V98" i="1"/>
  <c r="Q98" i="1"/>
  <c r="P98" i="1"/>
  <c r="O98" i="1"/>
  <c r="AP97" i="1"/>
  <c r="AM97" i="1"/>
  <c r="AL97" i="1"/>
  <c r="AK97" i="1"/>
  <c r="AJ97" i="1"/>
  <c r="AG97" i="1"/>
  <c r="AD97" i="1"/>
  <c r="AA97" i="1"/>
  <c r="Z97" i="1"/>
  <c r="Y97" i="1"/>
  <c r="W97" i="1"/>
  <c r="V97" i="1"/>
  <c r="Q97" i="1"/>
  <c r="P97" i="1"/>
  <c r="O97" i="1"/>
  <c r="AP96" i="1"/>
  <c r="AM96" i="1"/>
  <c r="AL96" i="1"/>
  <c r="AK96" i="1"/>
  <c r="AJ96" i="1"/>
  <c r="AG96" i="1"/>
  <c r="AD96" i="1"/>
  <c r="AA96" i="1"/>
  <c r="Z96" i="1"/>
  <c r="Y96" i="1"/>
  <c r="W96" i="1"/>
  <c r="V96" i="1"/>
  <c r="Q96" i="1"/>
  <c r="P96" i="1"/>
  <c r="O96" i="1"/>
  <c r="AP95" i="1"/>
  <c r="AM95" i="1"/>
  <c r="AL95" i="1"/>
  <c r="AK95" i="1"/>
  <c r="AJ95" i="1"/>
  <c r="AG95" i="1"/>
  <c r="AD95" i="1"/>
  <c r="AA95" i="1"/>
  <c r="Z95" i="1"/>
  <c r="Y95" i="1"/>
  <c r="W95" i="1"/>
  <c r="V95" i="1"/>
  <c r="Q95" i="1"/>
  <c r="P95" i="1"/>
  <c r="O95" i="1"/>
  <c r="AP94" i="1"/>
  <c r="AM94" i="1"/>
  <c r="AL94" i="1"/>
  <c r="AK94" i="1"/>
  <c r="AJ94" i="1"/>
  <c r="AG94" i="1"/>
  <c r="AD94" i="1"/>
  <c r="AA94" i="1"/>
  <c r="Z94" i="1"/>
  <c r="Y94" i="1"/>
  <c r="W94" i="1"/>
  <c r="V94" i="1"/>
  <c r="Q94" i="1"/>
  <c r="P94" i="1"/>
  <c r="O94" i="1"/>
  <c r="AP93" i="1"/>
  <c r="AM93" i="1"/>
  <c r="AL93" i="1"/>
  <c r="AK93" i="1"/>
  <c r="AJ93" i="1"/>
  <c r="AG93" i="1"/>
  <c r="AD93" i="1"/>
  <c r="AA93" i="1"/>
  <c r="Z93" i="1"/>
  <c r="Y93" i="1"/>
  <c r="W93" i="1"/>
  <c r="V93" i="1"/>
  <c r="Q93" i="1"/>
  <c r="P93" i="1"/>
  <c r="O93" i="1"/>
  <c r="AP92" i="1"/>
  <c r="AM92" i="1"/>
  <c r="AL92" i="1"/>
  <c r="AK92" i="1"/>
  <c r="AJ92" i="1"/>
  <c r="AG92" i="1"/>
  <c r="AD92" i="1"/>
  <c r="AA92" i="1"/>
  <c r="Z92" i="1"/>
  <c r="Y92" i="1"/>
  <c r="W92" i="1"/>
  <c r="V92" i="1"/>
  <c r="Q92" i="1"/>
  <c r="P92" i="1"/>
  <c r="O92" i="1"/>
  <c r="AP91" i="1"/>
  <c r="AM91" i="1"/>
  <c r="AL91" i="1"/>
  <c r="AK91" i="1"/>
  <c r="AJ91" i="1"/>
  <c r="AG91" i="1"/>
  <c r="AD91" i="1"/>
  <c r="AA91" i="1"/>
  <c r="Z91" i="1"/>
  <c r="Y91" i="1"/>
  <c r="W91" i="1"/>
  <c r="V91" i="1"/>
  <c r="Q91" i="1"/>
  <c r="P91" i="1"/>
  <c r="O91" i="1"/>
  <c r="AP90" i="1"/>
  <c r="AM90" i="1"/>
  <c r="AL90" i="1"/>
  <c r="AK90" i="1"/>
  <c r="AJ90" i="1"/>
  <c r="AG90" i="1"/>
  <c r="AD90" i="1"/>
  <c r="AA90" i="1"/>
  <c r="Z90" i="1"/>
  <c r="Y90" i="1"/>
  <c r="W90" i="1"/>
  <c r="V90" i="1"/>
  <c r="Q90" i="1"/>
  <c r="P90" i="1"/>
  <c r="O90" i="1"/>
  <c r="AP89" i="1"/>
  <c r="AM89" i="1"/>
  <c r="AL89" i="1"/>
  <c r="AK89" i="1"/>
  <c r="AJ89" i="1"/>
  <c r="AG89" i="1"/>
  <c r="AD89" i="1"/>
  <c r="AA89" i="1"/>
  <c r="Z89" i="1"/>
  <c r="Y89" i="1"/>
  <c r="W89" i="1"/>
  <c r="V89" i="1"/>
  <c r="Q89" i="1"/>
  <c r="P89" i="1"/>
  <c r="O89" i="1"/>
  <c r="AP88" i="1"/>
  <c r="AM88" i="1"/>
  <c r="AL88" i="1"/>
  <c r="AK88" i="1"/>
  <c r="AJ88" i="1"/>
  <c r="AG88" i="1"/>
  <c r="AD88" i="1"/>
  <c r="AA88" i="1"/>
  <c r="Z88" i="1"/>
  <c r="Y88" i="1"/>
  <c r="W88" i="1"/>
  <c r="V88" i="1"/>
  <c r="Q88" i="1"/>
  <c r="P88" i="1"/>
  <c r="O88" i="1"/>
  <c r="AP87" i="1"/>
  <c r="AM87" i="1"/>
  <c r="AL87" i="1"/>
  <c r="AK87" i="1"/>
  <c r="AJ87" i="1"/>
  <c r="AG87" i="1"/>
  <c r="AD87" i="1"/>
  <c r="AA87" i="1"/>
  <c r="Z87" i="1"/>
  <c r="Y87" i="1"/>
  <c r="W87" i="1"/>
  <c r="V87" i="1"/>
  <c r="Q87" i="1"/>
  <c r="P87" i="1"/>
  <c r="O87" i="1"/>
  <c r="AP86" i="1"/>
  <c r="AM86" i="1"/>
  <c r="AL86" i="1"/>
  <c r="AK86" i="1"/>
  <c r="AJ86" i="1"/>
  <c r="AG86" i="1"/>
  <c r="AD86" i="1"/>
  <c r="AA86" i="1"/>
  <c r="Z86" i="1"/>
  <c r="Y86" i="1"/>
  <c r="W86" i="1"/>
  <c r="V86" i="1"/>
  <c r="Q86" i="1"/>
  <c r="P86" i="1"/>
  <c r="O86" i="1"/>
  <c r="AP85" i="1"/>
  <c r="AM85" i="1"/>
  <c r="AL85" i="1"/>
  <c r="AK85" i="1"/>
  <c r="AJ85" i="1"/>
  <c r="AG85" i="1"/>
  <c r="AD85" i="1"/>
  <c r="AA85" i="1"/>
  <c r="Z85" i="1"/>
  <c r="Y85" i="1"/>
  <c r="W85" i="1"/>
  <c r="V85" i="1"/>
  <c r="Q85" i="1"/>
  <c r="P85" i="1"/>
  <c r="O85" i="1"/>
  <c r="AP84" i="1"/>
  <c r="AM84" i="1"/>
  <c r="AL84" i="1"/>
  <c r="AK84" i="1"/>
  <c r="AJ84" i="1"/>
  <c r="AG84" i="1"/>
  <c r="AD84" i="1"/>
  <c r="AA84" i="1"/>
  <c r="Z84" i="1"/>
  <c r="Y84" i="1"/>
  <c r="W84" i="1"/>
  <c r="V84" i="1"/>
  <c r="Q84" i="1"/>
  <c r="P84" i="1"/>
  <c r="O84" i="1"/>
  <c r="AP83" i="1"/>
  <c r="AM83" i="1"/>
  <c r="AL83" i="1"/>
  <c r="AK83" i="1"/>
  <c r="AJ83" i="1"/>
  <c r="AG83" i="1"/>
  <c r="AD83" i="1"/>
  <c r="AA83" i="1"/>
  <c r="Z83" i="1"/>
  <c r="Y83" i="1"/>
  <c r="W83" i="1"/>
  <c r="V83" i="1"/>
  <c r="Q83" i="1"/>
  <c r="P83" i="1"/>
  <c r="O83" i="1"/>
  <c r="AP82" i="1"/>
  <c r="AM82" i="1"/>
  <c r="AL82" i="1"/>
  <c r="AK82" i="1"/>
  <c r="AJ82" i="1"/>
  <c r="AG82" i="1"/>
  <c r="AD82" i="1"/>
  <c r="AA82" i="1"/>
  <c r="Z82" i="1"/>
  <c r="Y82" i="1"/>
  <c r="W82" i="1"/>
  <c r="V82" i="1"/>
  <c r="Q82" i="1"/>
  <c r="P82" i="1"/>
  <c r="O82" i="1"/>
  <c r="AP81" i="1"/>
  <c r="AM81" i="1"/>
  <c r="AL81" i="1"/>
  <c r="AK81" i="1"/>
  <c r="AJ81" i="1"/>
  <c r="AG81" i="1"/>
  <c r="AD81" i="1"/>
  <c r="AA81" i="1"/>
  <c r="Z81" i="1"/>
  <c r="Y81" i="1"/>
  <c r="W81" i="1"/>
  <c r="V81" i="1"/>
  <c r="Q81" i="1"/>
  <c r="P81" i="1"/>
  <c r="O81" i="1"/>
  <c r="AP80" i="1"/>
  <c r="AM80" i="1"/>
  <c r="AL80" i="1"/>
  <c r="AK80" i="1"/>
  <c r="AJ80" i="1"/>
  <c r="AG80" i="1"/>
  <c r="AD80" i="1"/>
  <c r="AA80" i="1"/>
  <c r="Z80" i="1"/>
  <c r="Y80" i="1"/>
  <c r="W80" i="1"/>
  <c r="V80" i="1"/>
  <c r="Q80" i="1"/>
  <c r="P80" i="1"/>
  <c r="O80" i="1"/>
  <c r="AP79" i="1"/>
  <c r="AM79" i="1"/>
  <c r="AL79" i="1"/>
  <c r="AK79" i="1"/>
  <c r="AJ79" i="1"/>
  <c r="AG79" i="1"/>
  <c r="AD79" i="1"/>
  <c r="AA79" i="1"/>
  <c r="Z79" i="1"/>
  <c r="Y79" i="1"/>
  <c r="W79" i="1"/>
  <c r="V79" i="1"/>
  <c r="Q79" i="1"/>
  <c r="P79" i="1"/>
  <c r="O79" i="1"/>
  <c r="AP78" i="1"/>
  <c r="AM78" i="1"/>
  <c r="AL78" i="1"/>
  <c r="AK78" i="1"/>
  <c r="AJ78" i="1"/>
  <c r="AG78" i="1"/>
  <c r="AD78" i="1"/>
  <c r="AA78" i="1"/>
  <c r="Z78" i="1"/>
  <c r="Y78" i="1"/>
  <c r="W78" i="1"/>
  <c r="V78" i="1"/>
  <c r="Q78" i="1"/>
  <c r="P78" i="1"/>
  <c r="O78" i="1"/>
  <c r="AP77" i="1"/>
  <c r="AM77" i="1"/>
  <c r="AL77" i="1"/>
  <c r="AK77" i="1"/>
  <c r="AJ77" i="1"/>
  <c r="AG77" i="1"/>
  <c r="AD77" i="1"/>
  <c r="AA77" i="1"/>
  <c r="Z77" i="1"/>
  <c r="Y77" i="1"/>
  <c r="W77" i="1"/>
  <c r="V77" i="1"/>
  <c r="Q77" i="1"/>
  <c r="P77" i="1"/>
  <c r="O77" i="1"/>
  <c r="AP76" i="1"/>
  <c r="AM76" i="1"/>
  <c r="AL76" i="1"/>
  <c r="AK76" i="1"/>
  <c r="AJ76" i="1"/>
  <c r="AG76" i="1"/>
  <c r="AD76" i="1"/>
  <c r="AA76" i="1"/>
  <c r="Z76" i="1"/>
  <c r="Y76" i="1"/>
  <c r="W76" i="1"/>
  <c r="V76" i="1"/>
  <c r="Q76" i="1"/>
  <c r="P76" i="1"/>
  <c r="O76" i="1"/>
  <c r="AP75" i="1"/>
  <c r="AM75" i="1"/>
  <c r="AL75" i="1"/>
  <c r="AK75" i="1"/>
  <c r="AJ75" i="1"/>
  <c r="AG75" i="1"/>
  <c r="AD75" i="1"/>
  <c r="AA75" i="1"/>
  <c r="Z75" i="1"/>
  <c r="Y75" i="1"/>
  <c r="W75" i="1"/>
  <c r="V75" i="1"/>
  <c r="Q75" i="1"/>
  <c r="P75" i="1"/>
  <c r="O75" i="1"/>
  <c r="AP74" i="1"/>
  <c r="AM74" i="1"/>
  <c r="AL74" i="1"/>
  <c r="AK74" i="1"/>
  <c r="AJ74" i="1"/>
  <c r="AG74" i="1"/>
  <c r="AD74" i="1"/>
  <c r="AA74" i="1"/>
  <c r="Z74" i="1"/>
  <c r="Y74" i="1"/>
  <c r="W74" i="1"/>
  <c r="V74" i="1"/>
  <c r="Q74" i="1"/>
  <c r="P74" i="1"/>
  <c r="O74" i="1"/>
  <c r="AP73" i="1"/>
  <c r="AM73" i="1"/>
  <c r="AL73" i="1"/>
  <c r="AK73" i="1"/>
  <c r="AJ73" i="1"/>
  <c r="AG73" i="1"/>
  <c r="AD73" i="1"/>
  <c r="AA73" i="1"/>
  <c r="Z73" i="1"/>
  <c r="Y73" i="1"/>
  <c r="W73" i="1"/>
  <c r="V73" i="1"/>
  <c r="Q73" i="1"/>
  <c r="P73" i="1"/>
  <c r="O73" i="1"/>
  <c r="AL72" i="1"/>
  <c r="AK72" i="1"/>
  <c r="AJ72" i="1"/>
  <c r="AG72" i="1"/>
  <c r="AD72" i="1"/>
  <c r="W72" i="1"/>
  <c r="V72" i="1"/>
  <c r="Q72" i="1"/>
  <c r="AL71" i="1"/>
  <c r="AK71" i="1"/>
  <c r="AJ71" i="1"/>
  <c r="AG71" i="1"/>
  <c r="AD71" i="1"/>
  <c r="AA71" i="1"/>
  <c r="Z71" i="1"/>
  <c r="Y71" i="1"/>
  <c r="W71" i="1"/>
  <c r="V71" i="1"/>
  <c r="Q71" i="1"/>
  <c r="AL70" i="1"/>
  <c r="AK70" i="1"/>
  <c r="AJ70" i="1"/>
  <c r="AG70" i="1"/>
  <c r="AD70" i="1"/>
  <c r="AA70" i="1"/>
  <c r="Z70" i="1"/>
  <c r="Y70" i="1"/>
  <c r="W70" i="1"/>
  <c r="V70" i="1"/>
  <c r="Q70" i="1"/>
  <c r="AL69" i="1"/>
  <c r="AK69" i="1"/>
  <c r="AJ69" i="1"/>
  <c r="AG69" i="1"/>
  <c r="AD69" i="1"/>
  <c r="W69" i="1"/>
  <c r="V69" i="1"/>
  <c r="Q69" i="1"/>
  <c r="AL68" i="1"/>
  <c r="AK68" i="1"/>
  <c r="AJ68" i="1"/>
  <c r="AG68" i="1"/>
  <c r="AD68" i="1"/>
  <c r="AA68" i="1"/>
  <c r="Z68" i="1"/>
  <c r="Y68" i="1"/>
  <c r="W68" i="1"/>
  <c r="V68" i="1"/>
  <c r="Q68" i="1"/>
  <c r="AL67" i="1"/>
  <c r="AK67" i="1"/>
  <c r="AJ67" i="1"/>
  <c r="AG67" i="1"/>
  <c r="AD67" i="1"/>
  <c r="AA67" i="1"/>
  <c r="Z67" i="1"/>
  <c r="Y67" i="1"/>
  <c r="W67" i="1"/>
  <c r="V67" i="1"/>
  <c r="Q67" i="1"/>
  <c r="AL66" i="1"/>
  <c r="AK66" i="1"/>
  <c r="AJ66" i="1"/>
  <c r="AG66" i="1"/>
  <c r="AD66" i="1"/>
  <c r="W66" i="1"/>
  <c r="V66" i="1"/>
  <c r="Q66" i="1"/>
  <c r="AL65" i="1"/>
  <c r="AK65" i="1"/>
  <c r="AJ65" i="1"/>
  <c r="AG65" i="1"/>
  <c r="AD65" i="1"/>
  <c r="AA65" i="1"/>
  <c r="Z65" i="1"/>
  <c r="Y65" i="1"/>
  <c r="W65" i="1"/>
  <c r="V65" i="1"/>
  <c r="Q65" i="1"/>
  <c r="AL64" i="1"/>
  <c r="AK64" i="1"/>
  <c r="AJ64" i="1"/>
  <c r="AG64" i="1"/>
  <c r="AD64" i="1"/>
  <c r="AA64" i="1"/>
  <c r="Z64" i="1"/>
  <c r="Y64" i="1"/>
  <c r="W64" i="1"/>
  <c r="V64" i="1"/>
  <c r="Q64" i="1"/>
  <c r="AL63" i="1"/>
  <c r="AK63" i="1"/>
  <c r="AJ63" i="1"/>
  <c r="AG63" i="1"/>
  <c r="AD63" i="1"/>
  <c r="AA63" i="1"/>
  <c r="Z63" i="1"/>
  <c r="Y63" i="1"/>
  <c r="W63" i="1"/>
  <c r="V63" i="1"/>
  <c r="Q63" i="1"/>
  <c r="AL62" i="1"/>
  <c r="AK62" i="1"/>
  <c r="AJ62" i="1"/>
  <c r="AG62" i="1"/>
  <c r="AD62" i="1"/>
  <c r="AA62" i="1"/>
  <c r="Z62" i="1"/>
  <c r="Y62" i="1"/>
  <c r="W62" i="1"/>
  <c r="V62" i="1"/>
  <c r="Q62" i="1"/>
  <c r="AL61" i="1"/>
  <c r="AK61" i="1"/>
  <c r="AJ61" i="1"/>
  <c r="AG61" i="1"/>
  <c r="AD61" i="1"/>
  <c r="AA61" i="1"/>
  <c r="Z61" i="1"/>
  <c r="Y61" i="1"/>
  <c r="W61" i="1"/>
  <c r="V61" i="1"/>
  <c r="Q61" i="1"/>
  <c r="AL60" i="1"/>
  <c r="AK60" i="1"/>
  <c r="AJ60" i="1"/>
  <c r="AG60" i="1"/>
  <c r="AD60" i="1"/>
  <c r="AA60" i="1"/>
  <c r="Z60" i="1"/>
  <c r="Y60" i="1"/>
  <c r="W60" i="1"/>
  <c r="V60" i="1"/>
  <c r="Q60" i="1"/>
  <c r="AL59" i="1"/>
  <c r="AK59" i="1"/>
  <c r="AJ59" i="1"/>
  <c r="AG59" i="1"/>
  <c r="AD59" i="1"/>
  <c r="AA59" i="1"/>
  <c r="Z59" i="1"/>
  <c r="Y59" i="1"/>
  <c r="W59" i="1"/>
  <c r="V59" i="1"/>
  <c r="Q59" i="1"/>
  <c r="AL58" i="1"/>
  <c r="AK58" i="1"/>
  <c r="AJ58" i="1"/>
  <c r="AG58" i="1"/>
  <c r="AD58" i="1"/>
  <c r="AA58" i="1"/>
  <c r="Z58" i="1"/>
  <c r="Y58" i="1"/>
  <c r="W58" i="1"/>
  <c r="V58" i="1"/>
  <c r="Q58" i="1"/>
  <c r="AL57" i="1"/>
  <c r="AK57" i="1"/>
  <c r="AJ57" i="1"/>
  <c r="AG57" i="1"/>
  <c r="AD57" i="1"/>
  <c r="AA57" i="1"/>
  <c r="Z57" i="1"/>
  <c r="Y57" i="1"/>
  <c r="W57" i="1"/>
  <c r="V57" i="1"/>
  <c r="Q57" i="1"/>
  <c r="AL56" i="1"/>
  <c r="AK56" i="1"/>
  <c r="AJ56" i="1"/>
  <c r="AG56" i="1"/>
  <c r="AD56" i="1"/>
  <c r="AA56" i="1"/>
  <c r="Z56" i="1"/>
  <c r="Y56" i="1"/>
  <c r="W56" i="1"/>
  <c r="V56" i="1"/>
  <c r="Q56" i="1"/>
  <c r="AL55" i="1"/>
  <c r="AK55" i="1"/>
  <c r="AJ55" i="1"/>
  <c r="AG55" i="1"/>
  <c r="AD55" i="1"/>
  <c r="AA55" i="1"/>
  <c r="Z55" i="1"/>
  <c r="Y55" i="1"/>
  <c r="W55" i="1"/>
  <c r="V55" i="1"/>
  <c r="Q55" i="1"/>
  <c r="AL54" i="1"/>
  <c r="AK54" i="1"/>
  <c r="AJ54" i="1"/>
  <c r="AG54" i="1"/>
  <c r="AD54" i="1"/>
  <c r="AA54" i="1"/>
  <c r="Z54" i="1"/>
  <c r="Y54" i="1"/>
  <c r="W54" i="1"/>
  <c r="V54" i="1"/>
  <c r="Q54" i="1"/>
  <c r="AL53" i="1"/>
  <c r="AK53" i="1"/>
  <c r="AJ53" i="1"/>
  <c r="AG53" i="1"/>
  <c r="AD53" i="1"/>
  <c r="AA53" i="1"/>
  <c r="Z53" i="1"/>
  <c r="Y53" i="1"/>
  <c r="W53" i="1"/>
  <c r="V53" i="1"/>
  <c r="Q53" i="1"/>
  <c r="AL52" i="1"/>
  <c r="AK52" i="1"/>
  <c r="AJ52" i="1"/>
  <c r="AG52" i="1"/>
  <c r="AD52" i="1"/>
  <c r="W52" i="1"/>
  <c r="V52" i="1"/>
  <c r="Q52" i="1"/>
  <c r="AL51" i="1"/>
  <c r="AK51" i="1"/>
  <c r="AJ51" i="1"/>
  <c r="AG51" i="1"/>
  <c r="AD51" i="1"/>
  <c r="AA51" i="1"/>
  <c r="Z51" i="1"/>
  <c r="Y51" i="1"/>
  <c r="W51" i="1"/>
  <c r="V51" i="1"/>
  <c r="Q51" i="1"/>
  <c r="AL50" i="1"/>
  <c r="AK50" i="1"/>
  <c r="AJ50" i="1"/>
  <c r="AG50" i="1"/>
  <c r="AD50" i="1"/>
  <c r="AA50" i="1"/>
  <c r="Z50" i="1"/>
  <c r="Y50" i="1"/>
  <c r="W50" i="1"/>
  <c r="V50" i="1"/>
  <c r="Q50" i="1"/>
  <c r="AL49" i="1"/>
  <c r="AK49" i="1"/>
  <c r="AJ49" i="1"/>
  <c r="AG49" i="1"/>
  <c r="AD49" i="1"/>
  <c r="AA49" i="1"/>
  <c r="Z49" i="1"/>
  <c r="Y49" i="1"/>
  <c r="W49" i="1"/>
  <c r="V49" i="1"/>
  <c r="Q49" i="1"/>
  <c r="AL48" i="1"/>
  <c r="AK48" i="1"/>
  <c r="AJ48" i="1"/>
  <c r="AG48" i="1"/>
  <c r="AD48" i="1"/>
  <c r="AA48" i="1"/>
  <c r="Z48" i="1"/>
  <c r="Y48" i="1"/>
  <c r="W48" i="1"/>
  <c r="V48" i="1"/>
  <c r="Q48" i="1"/>
  <c r="AL47" i="1"/>
  <c r="AK47" i="1"/>
  <c r="AJ47" i="1"/>
  <c r="AG47" i="1"/>
  <c r="AD47" i="1"/>
  <c r="AA47" i="1"/>
  <c r="Z47" i="1"/>
  <c r="Y47" i="1"/>
  <c r="W47" i="1"/>
  <c r="V47" i="1"/>
  <c r="Q47" i="1"/>
  <c r="AL46" i="1"/>
  <c r="AK46" i="1"/>
  <c r="AJ46" i="1"/>
  <c r="AG46" i="1"/>
  <c r="AD46" i="1"/>
  <c r="AA46" i="1"/>
  <c r="Z46" i="1"/>
  <c r="Y46" i="1"/>
  <c r="W46" i="1"/>
  <c r="V46" i="1"/>
  <c r="Q46" i="1"/>
  <c r="AL45" i="1"/>
  <c r="AK45" i="1"/>
  <c r="AJ45" i="1"/>
  <c r="AG45" i="1"/>
  <c r="AD45" i="1"/>
  <c r="AA45" i="1"/>
  <c r="Z45" i="1"/>
  <c r="Y45" i="1"/>
  <c r="W45" i="1"/>
  <c r="V45" i="1"/>
  <c r="Q45" i="1"/>
  <c r="AL44" i="1"/>
  <c r="AK44" i="1"/>
  <c r="AJ44" i="1"/>
  <c r="AG44" i="1"/>
  <c r="AD44" i="1"/>
  <c r="AA44" i="1"/>
  <c r="Z44" i="1"/>
  <c r="Y44" i="1"/>
  <c r="W44" i="1"/>
  <c r="V44" i="1"/>
  <c r="Q44" i="1"/>
  <c r="AL43" i="1"/>
  <c r="AK43" i="1"/>
  <c r="AJ43" i="1"/>
  <c r="AG43" i="1"/>
  <c r="AD43" i="1"/>
  <c r="AA43" i="1"/>
  <c r="Z43" i="1"/>
  <c r="Y43" i="1"/>
  <c r="W43" i="1"/>
  <c r="V43" i="1"/>
  <c r="Q43" i="1"/>
  <c r="AL42" i="1"/>
  <c r="AK42" i="1"/>
  <c r="AJ42" i="1"/>
  <c r="AG42" i="1"/>
  <c r="AD42" i="1"/>
  <c r="AA42" i="1"/>
  <c r="Z42" i="1"/>
  <c r="Y42" i="1"/>
  <c r="W42" i="1"/>
  <c r="V42" i="1"/>
  <c r="Q42" i="1"/>
  <c r="AM41" i="1"/>
  <c r="AP41" i="1" s="1"/>
  <c r="AL41" i="1"/>
  <c r="AK41" i="1"/>
  <c r="AJ41" i="1"/>
  <c r="AG41" i="1"/>
  <c r="AD41" i="1"/>
  <c r="AA41" i="1"/>
  <c r="Z41" i="1"/>
  <c r="Y41" i="1"/>
  <c r="W41" i="1"/>
  <c r="V41" i="1"/>
  <c r="Q41" i="1"/>
  <c r="AL40" i="1"/>
  <c r="AK40" i="1"/>
  <c r="AJ40" i="1"/>
  <c r="AG40" i="1"/>
  <c r="AD40" i="1"/>
  <c r="W40" i="1"/>
  <c r="V40" i="1"/>
  <c r="Q40" i="1"/>
  <c r="AL39" i="1"/>
  <c r="AK39" i="1"/>
  <c r="AJ39" i="1"/>
  <c r="AG39" i="1"/>
  <c r="AD39" i="1"/>
  <c r="AA39" i="1"/>
  <c r="Z39" i="1"/>
  <c r="Y39" i="1"/>
  <c r="W39" i="1"/>
  <c r="V39" i="1"/>
  <c r="Q39" i="1"/>
  <c r="AL38" i="1"/>
  <c r="AK38" i="1"/>
  <c r="AJ38" i="1"/>
  <c r="AG38" i="1"/>
  <c r="AD38" i="1"/>
  <c r="AA38" i="1"/>
  <c r="Z38" i="1"/>
  <c r="Y38" i="1"/>
  <c r="W38" i="1"/>
  <c r="V38" i="1"/>
  <c r="Q38" i="1"/>
  <c r="AL37" i="1"/>
  <c r="AK37" i="1"/>
  <c r="AJ37" i="1"/>
  <c r="AG37" i="1"/>
  <c r="AD37" i="1"/>
  <c r="AA37" i="1"/>
  <c r="Z37" i="1"/>
  <c r="Y37" i="1"/>
  <c r="W37" i="1"/>
  <c r="V37" i="1"/>
  <c r="Q37" i="1"/>
  <c r="AL36" i="1"/>
  <c r="AK36" i="1"/>
  <c r="AJ36" i="1"/>
  <c r="AG36" i="1"/>
  <c r="AD36" i="1"/>
  <c r="AA36" i="1"/>
  <c r="Z36" i="1"/>
  <c r="Y36" i="1"/>
  <c r="W36" i="1"/>
  <c r="V36" i="1"/>
  <c r="Q36" i="1"/>
  <c r="AL35" i="1"/>
  <c r="AK35" i="1"/>
  <c r="AJ35" i="1"/>
  <c r="AG35" i="1"/>
  <c r="AD35" i="1"/>
  <c r="AA35" i="1"/>
  <c r="Z35" i="1"/>
  <c r="Y35" i="1"/>
  <c r="W35" i="1"/>
  <c r="V35" i="1"/>
  <c r="Q35" i="1"/>
  <c r="AL34" i="1"/>
  <c r="AK34" i="1"/>
  <c r="AJ34" i="1"/>
  <c r="AG34" i="1"/>
  <c r="AD34" i="1"/>
  <c r="AA34" i="1"/>
  <c r="Z34" i="1"/>
  <c r="Y34" i="1"/>
  <c r="W34" i="1"/>
  <c r="V34" i="1"/>
  <c r="Q34" i="1"/>
  <c r="AL33" i="1"/>
  <c r="AK33" i="1"/>
  <c r="AJ33" i="1"/>
  <c r="AG33" i="1"/>
  <c r="AD33" i="1"/>
  <c r="AA33" i="1"/>
  <c r="Z33" i="1"/>
  <c r="Y33" i="1"/>
  <c r="W33" i="1"/>
  <c r="V33" i="1"/>
  <c r="Q33" i="1"/>
  <c r="AL32" i="1"/>
  <c r="AA32" i="1"/>
  <c r="Z32" i="1"/>
  <c r="AK32" i="1" s="1"/>
  <c r="Y32" i="1"/>
  <c r="W32" i="1"/>
  <c r="V32" i="1"/>
  <c r="Q32" i="1"/>
  <c r="AL31" i="1"/>
  <c r="AK31" i="1"/>
  <c r="AA31" i="1"/>
  <c r="Z31" i="1"/>
  <c r="Y31" i="1"/>
  <c r="W31" i="1"/>
  <c r="V31" i="1"/>
  <c r="Q31" i="1"/>
  <c r="AL30" i="1"/>
  <c r="AA30" i="1"/>
  <c r="Z30" i="1"/>
  <c r="Y30" i="1"/>
  <c r="W30" i="1"/>
  <c r="V30" i="1"/>
  <c r="Q30" i="1"/>
  <c r="AL29" i="1"/>
  <c r="W29" i="1"/>
  <c r="V29" i="1"/>
  <c r="Q29" i="1"/>
  <c r="AL28" i="1"/>
  <c r="AK28" i="1"/>
  <c r="AA28" i="1"/>
  <c r="Z28" i="1"/>
  <c r="Y28" i="1"/>
  <c r="W28" i="1"/>
  <c r="V28" i="1"/>
  <c r="Q28" i="1"/>
  <c r="H28" i="1"/>
  <c r="AL27" i="1"/>
  <c r="AA27" i="1"/>
  <c r="Z27" i="1"/>
  <c r="Y27" i="1"/>
  <c r="W27" i="1"/>
  <c r="V27" i="1"/>
  <c r="Q27" i="1"/>
  <c r="AL26" i="1"/>
  <c r="AA26" i="1"/>
  <c r="Z26" i="1"/>
  <c r="Y26" i="1"/>
  <c r="W26" i="1"/>
  <c r="V26" i="1"/>
  <c r="Q26" i="1"/>
  <c r="AM25" i="1"/>
  <c r="AP25" i="1" s="1"/>
  <c r="AL25" i="1"/>
  <c r="AK25" i="1"/>
  <c r="AA25" i="1"/>
  <c r="Z25" i="1"/>
  <c r="Y25" i="1"/>
  <c r="W25" i="1"/>
  <c r="V25" i="1"/>
  <c r="Q25" i="1"/>
  <c r="AL24" i="1"/>
  <c r="AA24" i="1"/>
  <c r="Z24" i="1"/>
  <c r="Y24" i="1"/>
  <c r="W24" i="1"/>
  <c r="V24" i="1"/>
  <c r="Q24" i="1"/>
  <c r="AL23" i="1"/>
  <c r="AA23" i="1"/>
  <c r="Z23" i="1"/>
  <c r="Y23" i="1"/>
  <c r="AK23" i="1" s="1"/>
  <c r="W23" i="1"/>
  <c r="V23" i="1"/>
  <c r="Q23" i="1"/>
  <c r="AL22" i="1"/>
  <c r="AA22" i="1"/>
  <c r="Z22" i="1"/>
  <c r="Y22" i="1"/>
  <c r="W22" i="1"/>
  <c r="V22" i="1"/>
  <c r="Q22" i="1"/>
  <c r="AM21" i="1"/>
  <c r="AP21" i="1" s="1"/>
  <c r="AL21" i="1"/>
  <c r="AK21" i="1"/>
  <c r="AA21" i="1"/>
  <c r="Z21" i="1"/>
  <c r="Y21" i="1"/>
  <c r="W21" i="1"/>
  <c r="V21" i="1"/>
  <c r="U21" i="1"/>
  <c r="Q21" i="1"/>
  <c r="AL20" i="1"/>
  <c r="W20" i="1"/>
  <c r="V20" i="1"/>
  <c r="Q20" i="1"/>
  <c r="AL19" i="1"/>
  <c r="AA19" i="1"/>
  <c r="Z19" i="1"/>
  <c r="Y19" i="1"/>
  <c r="AK19" i="1" s="1"/>
  <c r="W19" i="1"/>
  <c r="V19" i="1"/>
  <c r="Q19" i="1"/>
  <c r="AL18" i="1"/>
  <c r="AA18" i="1"/>
  <c r="Z18" i="1"/>
  <c r="Y18" i="1"/>
  <c r="AM18" i="1" s="1"/>
  <c r="AP18" i="1" s="1"/>
  <c r="W18" i="1"/>
  <c r="V18" i="1"/>
  <c r="Q18" i="1"/>
  <c r="AL17" i="1"/>
  <c r="AA17" i="1"/>
  <c r="Z17" i="1"/>
  <c r="Y17" i="1"/>
  <c r="AK17" i="1" s="1"/>
  <c r="W17" i="1"/>
  <c r="V17" i="1"/>
  <c r="Q17" i="1"/>
  <c r="AL16" i="1"/>
  <c r="AA16" i="1"/>
  <c r="Z16" i="1"/>
  <c r="Y16" i="1"/>
  <c r="W16" i="1"/>
  <c r="V16" i="1"/>
  <c r="Q16" i="1"/>
  <c r="AL15" i="1"/>
  <c r="AK15" i="1"/>
  <c r="AA15" i="1"/>
  <c r="Z15" i="1"/>
  <c r="Y15" i="1"/>
  <c r="AM15" i="1" s="1"/>
  <c r="AP15" i="1" s="1"/>
  <c r="W15" i="1"/>
  <c r="V15" i="1"/>
  <c r="T15" i="1"/>
  <c r="Q15" i="1"/>
  <c r="AL14" i="1"/>
  <c r="AA14" i="1"/>
  <c r="Z14" i="1"/>
  <c r="Y14" i="1"/>
  <c r="W14" i="1"/>
  <c r="V14" i="1"/>
  <c r="Q14" i="1"/>
  <c r="AL13" i="1"/>
  <c r="W13" i="1"/>
  <c r="V13" i="1"/>
  <c r="T13" i="1"/>
  <c r="Q13" i="1"/>
  <c r="AL12" i="1"/>
  <c r="AK12" i="1"/>
  <c r="AA12" i="1"/>
  <c r="Z12" i="1"/>
  <c r="Y12" i="1"/>
  <c r="W12" i="1"/>
  <c r="V12" i="1"/>
  <c r="U12" i="1"/>
  <c r="Q12" i="1"/>
  <c r="AL11" i="1"/>
  <c r="AA11" i="1"/>
  <c r="Z11" i="1"/>
  <c r="Y11" i="1"/>
  <c r="AM11" i="1" s="1"/>
  <c r="W11" i="1"/>
  <c r="V11" i="1"/>
  <c r="Q11" i="1"/>
  <c r="E11" i="1"/>
  <c r="T68" i="1" s="1"/>
  <c r="B11" i="1"/>
  <c r="AM23" i="1" s="1"/>
  <c r="AP23" i="1" s="1"/>
  <c r="AM10" i="1"/>
  <c r="AP10" i="1" s="1"/>
  <c r="AL10" i="1"/>
  <c r="AA10" i="1"/>
  <c r="Z10" i="1"/>
  <c r="AK10" i="1" s="1"/>
  <c r="Y10" i="1"/>
  <c r="W10" i="1"/>
  <c r="V10" i="1"/>
  <c r="T10" i="1"/>
  <c r="Q10" i="1"/>
  <c r="O10" i="1"/>
  <c r="AL9" i="1"/>
  <c r="AA9" i="1"/>
  <c r="Z9" i="1"/>
  <c r="Y9" i="1"/>
  <c r="AM9" i="1" s="1"/>
  <c r="AP9" i="1" s="1"/>
  <c r="W9" i="1"/>
  <c r="V9" i="1"/>
  <c r="Q9" i="1"/>
  <c r="AL8" i="1"/>
  <c r="AK8" i="1"/>
  <c r="AA8" i="1"/>
  <c r="Z8" i="1"/>
  <c r="Y8" i="1"/>
  <c r="W8" i="1"/>
  <c r="V8" i="1"/>
  <c r="U8" i="1"/>
  <c r="Q8" i="1"/>
  <c r="AL7" i="1"/>
  <c r="AA7" i="1"/>
  <c r="Z7" i="1"/>
  <c r="Y7" i="1"/>
  <c r="AM7" i="1" s="1"/>
  <c r="AP7" i="1" s="1"/>
  <c r="W7" i="1"/>
  <c r="V7" i="1"/>
  <c r="Q7" i="1"/>
  <c r="AL6" i="1"/>
  <c r="AA6" i="1"/>
  <c r="Z6" i="1"/>
  <c r="AM6" i="1" s="1"/>
  <c r="AP6" i="1" s="1"/>
  <c r="Y6" i="1"/>
  <c r="W6" i="1"/>
  <c r="V6" i="1"/>
  <c r="U6" i="1"/>
  <c r="Q6" i="1"/>
  <c r="O6" i="1"/>
  <c r="P6" i="1" s="1"/>
  <c r="AL5" i="1"/>
  <c r="AA5" i="1"/>
  <c r="Z5" i="1"/>
  <c r="Y5" i="1"/>
  <c r="AM5" i="1" s="1"/>
  <c r="AP5" i="1" s="1"/>
  <c r="W5" i="1"/>
  <c r="V5" i="1"/>
  <c r="Q5" i="1"/>
  <c r="AL4" i="1"/>
  <c r="AA4" i="1"/>
  <c r="Z4" i="1"/>
  <c r="Y4" i="1"/>
  <c r="AM4" i="1" s="1"/>
  <c r="AP4" i="1" s="1"/>
  <c r="W4" i="1"/>
  <c r="V4" i="1"/>
  <c r="Q4" i="1"/>
  <c r="AM3" i="1"/>
  <c r="AP3" i="1" s="1"/>
  <c r="AL3" i="1"/>
  <c r="AJ3" i="1"/>
  <c r="AG3" i="1"/>
  <c r="AD3" i="1"/>
  <c r="AA3" i="1"/>
  <c r="Z3" i="1"/>
  <c r="AK3" i="1" s="1"/>
  <c r="Y3" i="1"/>
  <c r="W3" i="1"/>
  <c r="V3" i="1"/>
  <c r="U3" i="1"/>
  <c r="T3" i="1"/>
  <c r="Q3" i="1"/>
  <c r="O3" i="1"/>
  <c r="AL2" i="1"/>
  <c r="AT32" i="1" s="1"/>
  <c r="AJ2" i="1"/>
  <c r="AG2" i="1"/>
  <c r="AD2" i="1"/>
  <c r="AA2" i="1"/>
  <c r="Z2" i="1"/>
  <c r="Y2" i="1"/>
  <c r="AM2" i="1" s="1"/>
  <c r="W2" i="1"/>
  <c r="V2" i="1"/>
  <c r="Q2" i="1"/>
  <c r="AJ6" i="6" l="1"/>
  <c r="P61" i="6"/>
  <c r="Y62" i="6"/>
  <c r="AM60" i="6"/>
  <c r="AP60" i="6" s="1"/>
  <c r="AM58" i="6"/>
  <c r="AP58" i="6" s="1"/>
  <c r="AM61" i="6"/>
  <c r="AP61" i="6" s="1"/>
  <c r="AM30" i="6"/>
  <c r="AP30" i="6" s="1"/>
  <c r="AM33" i="6"/>
  <c r="AP33" i="6" s="1"/>
  <c r="AM15" i="6"/>
  <c r="AP15" i="6" s="1"/>
  <c r="AM13" i="6"/>
  <c r="AP13" i="6" s="1"/>
  <c r="AM57" i="6"/>
  <c r="AP57" i="6" s="1"/>
  <c r="AM56" i="6"/>
  <c r="AP56" i="6" s="1"/>
  <c r="AM55" i="6"/>
  <c r="AP55" i="6" s="1"/>
  <c r="AM54" i="6"/>
  <c r="AP54" i="6" s="1"/>
  <c r="AM53" i="6"/>
  <c r="AP53" i="6" s="1"/>
  <c r="AM52" i="6"/>
  <c r="AP52" i="6" s="1"/>
  <c r="AM51" i="6"/>
  <c r="AP51" i="6" s="1"/>
  <c r="AM50" i="6"/>
  <c r="AP50" i="6" s="1"/>
  <c r="AM49" i="6"/>
  <c r="AP49" i="6" s="1"/>
  <c r="AM48" i="6"/>
  <c r="AP48" i="6" s="1"/>
  <c r="AM47" i="6"/>
  <c r="AP47" i="6" s="1"/>
  <c r="AM46" i="6"/>
  <c r="AP46" i="6" s="1"/>
  <c r="AM45" i="6"/>
  <c r="AP45" i="6" s="1"/>
  <c r="AM44" i="6"/>
  <c r="AP44" i="6" s="1"/>
  <c r="AM43" i="6"/>
  <c r="AP43" i="6" s="1"/>
  <c r="AM42" i="6"/>
  <c r="AP42" i="6" s="1"/>
  <c r="AM41" i="6"/>
  <c r="AP41" i="6" s="1"/>
  <c r="AM40" i="6"/>
  <c r="AP40" i="6" s="1"/>
  <c r="AM38" i="6"/>
  <c r="AP38" i="6" s="1"/>
  <c r="AM36" i="6"/>
  <c r="AP36" i="6" s="1"/>
  <c r="AM26" i="6"/>
  <c r="AP26" i="6" s="1"/>
  <c r="AM24" i="6"/>
  <c r="AP24" i="6" s="1"/>
  <c r="AM22" i="6"/>
  <c r="AP22" i="6" s="1"/>
  <c r="AM20" i="6"/>
  <c r="AP20" i="6" s="1"/>
  <c r="AM34" i="6"/>
  <c r="AP34" i="6" s="1"/>
  <c r="AM16" i="6"/>
  <c r="AP16" i="6" s="1"/>
  <c r="AM14" i="6"/>
  <c r="AP14" i="6" s="1"/>
  <c r="AM12" i="6"/>
  <c r="AP12" i="6" s="1"/>
  <c r="AM39" i="6"/>
  <c r="AP39" i="6" s="1"/>
  <c r="AM37" i="6"/>
  <c r="AP37" i="6" s="1"/>
  <c r="AM35" i="6"/>
  <c r="AP35" i="6" s="1"/>
  <c r="AM29" i="6"/>
  <c r="AP29" i="6" s="1"/>
  <c r="AM25" i="6"/>
  <c r="AP25" i="6" s="1"/>
  <c r="AM17" i="6"/>
  <c r="AP17" i="6" s="1"/>
  <c r="AK25" i="6"/>
  <c r="O32" i="6"/>
  <c r="AT32" i="6"/>
  <c r="Z62" i="6"/>
  <c r="E11" i="6"/>
  <c r="AM11" i="6"/>
  <c r="AP11" i="6" s="1"/>
  <c r="O41" i="6"/>
  <c r="O43" i="6"/>
  <c r="O45" i="6"/>
  <c r="O47" i="6"/>
  <c r="O49" i="6"/>
  <c r="O51" i="6"/>
  <c r="O53" i="6"/>
  <c r="O55" i="6"/>
  <c r="O57" i="6"/>
  <c r="O2" i="6"/>
  <c r="O4" i="6"/>
  <c r="AM4" i="6"/>
  <c r="AP4" i="6" s="1"/>
  <c r="O5" i="6"/>
  <c r="AM5" i="6"/>
  <c r="AP5" i="6" s="1"/>
  <c r="AA62" i="6"/>
  <c r="AK7" i="6"/>
  <c r="H27" i="6" s="1"/>
  <c r="H35" i="6" s="1"/>
  <c r="AM9" i="6"/>
  <c r="AP9" i="6" s="1"/>
  <c r="O11" i="6"/>
  <c r="O19" i="6"/>
  <c r="AK19" i="6"/>
  <c r="O21" i="6"/>
  <c r="AK21" i="6"/>
  <c r="O23" i="6"/>
  <c r="AK23" i="6"/>
  <c r="AK26" i="6"/>
  <c r="AD3" i="6"/>
  <c r="AD4" i="6" s="1"/>
  <c r="AM6" i="6"/>
  <c r="AP6" i="6" s="1"/>
  <c r="O62" i="6"/>
  <c r="O60" i="6"/>
  <c r="O59" i="6"/>
  <c r="O30" i="6"/>
  <c r="O33" i="6"/>
  <c r="O15" i="6"/>
  <c r="O13" i="6"/>
  <c r="O40" i="6"/>
  <c r="O38" i="6"/>
  <c r="O36" i="6"/>
  <c r="O26" i="6"/>
  <c r="O24" i="6"/>
  <c r="O22" i="6"/>
  <c r="O20" i="6"/>
  <c r="O34" i="6"/>
  <c r="O16" i="6"/>
  <c r="O14" i="6"/>
  <c r="O12" i="6"/>
  <c r="O39" i="6"/>
  <c r="O37" i="6"/>
  <c r="O35" i="6"/>
  <c r="O29" i="6"/>
  <c r="O25" i="6"/>
  <c r="O9" i="6"/>
  <c r="O28" i="6"/>
  <c r="AM59" i="6"/>
  <c r="AP59" i="6" s="1"/>
  <c r="O7" i="6"/>
  <c r="AM7" i="6"/>
  <c r="AP7" i="6" s="1"/>
  <c r="O17" i="6"/>
  <c r="O18" i="6"/>
  <c r="AM19" i="6"/>
  <c r="AP19" i="6" s="1"/>
  <c r="AM21" i="6"/>
  <c r="AP21" i="6" s="1"/>
  <c r="AM23" i="6"/>
  <c r="AP23" i="6" s="1"/>
  <c r="O31" i="6"/>
  <c r="O8" i="6"/>
  <c r="AM8" i="6"/>
  <c r="AP8" i="6" s="1"/>
  <c r="AK9" i="6"/>
  <c r="AM10" i="6"/>
  <c r="AP10" i="6" s="1"/>
  <c r="AK17" i="6"/>
  <c r="AK27" i="6"/>
  <c r="AK29" i="6"/>
  <c r="O42" i="6"/>
  <c r="O44" i="6"/>
  <c r="O46" i="6"/>
  <c r="O48" i="6"/>
  <c r="O50" i="6"/>
  <c r="O52" i="6"/>
  <c r="O54" i="6"/>
  <c r="O56" i="6"/>
  <c r="O58" i="6"/>
  <c r="O3" i="6"/>
  <c r="AG3" i="6"/>
  <c r="AM3" i="6"/>
  <c r="AP3" i="6" s="1"/>
  <c r="O10" i="6"/>
  <c r="AK20" i="6"/>
  <c r="AK22" i="6"/>
  <c r="AK24" i="6"/>
  <c r="AK28" i="6"/>
  <c r="AM28" i="6"/>
  <c r="AP28" i="6" s="1"/>
  <c r="AM31" i="6"/>
  <c r="AP31" i="6" s="1"/>
  <c r="AK31" i="6"/>
  <c r="AD5" i="5"/>
  <c r="AJ4" i="5"/>
  <c r="AJ5" i="5" s="1"/>
  <c r="AJ6" i="5" s="1"/>
  <c r="AJ7" i="5" s="1"/>
  <c r="AJ8" i="5" s="1"/>
  <c r="AJ9" i="5" s="1"/>
  <c r="AJ10" i="5" s="1"/>
  <c r="AJ11" i="5" s="1"/>
  <c r="AJ12" i="5" s="1"/>
  <c r="AJ13" i="5" s="1"/>
  <c r="AJ14" i="5" s="1"/>
  <c r="AJ15" i="5" s="1"/>
  <c r="AJ16" i="5" s="1"/>
  <c r="AJ17" i="5" s="1"/>
  <c r="AJ18" i="5" s="1"/>
  <c r="AJ19" i="5" s="1"/>
  <c r="AJ20" i="5" s="1"/>
  <c r="AJ21" i="5" s="1"/>
  <c r="AJ22" i="5" s="1"/>
  <c r="AJ23" i="5" s="1"/>
  <c r="AJ24" i="5" s="1"/>
  <c r="AJ25" i="5" s="1"/>
  <c r="AJ26" i="5" s="1"/>
  <c r="AJ27" i="5" s="1"/>
  <c r="AJ28" i="5" s="1"/>
  <c r="AJ29" i="5" s="1"/>
  <c r="AJ30" i="5" s="1"/>
  <c r="AJ31" i="5" s="1"/>
  <c r="AJ32" i="5" s="1"/>
  <c r="AG3" i="5"/>
  <c r="P34" i="5"/>
  <c r="O3" i="5"/>
  <c r="AM3" i="5"/>
  <c r="AP3" i="5" s="1"/>
  <c r="O17" i="5"/>
  <c r="AM17" i="5"/>
  <c r="AP17" i="5" s="1"/>
  <c r="AK19" i="5"/>
  <c r="AK21" i="5"/>
  <c r="AK23" i="5"/>
  <c r="AM25" i="5"/>
  <c r="AP25" i="5" s="1"/>
  <c r="AK26" i="5"/>
  <c r="O27" i="5"/>
  <c r="O30" i="5"/>
  <c r="AK29" i="5"/>
  <c r="O31" i="5"/>
  <c r="P10" i="5"/>
  <c r="O19" i="5"/>
  <c r="AM19" i="5"/>
  <c r="AP19" i="5" s="1"/>
  <c r="O21" i="5"/>
  <c r="AM21" i="5"/>
  <c r="AP21" i="5" s="1"/>
  <c r="O23" i="5"/>
  <c r="AM23" i="5"/>
  <c r="AP23" i="5" s="1"/>
  <c r="O25" i="5"/>
  <c r="AM26" i="5"/>
  <c r="AP26" i="5" s="1"/>
  <c r="O32" i="5"/>
  <c r="O12" i="5"/>
  <c r="AM12" i="5"/>
  <c r="AP12" i="5" s="1"/>
  <c r="O14" i="5"/>
  <c r="AM14" i="5"/>
  <c r="AP14" i="5" s="1"/>
  <c r="O16" i="5"/>
  <c r="AM16" i="5"/>
  <c r="AP16" i="5" s="1"/>
  <c r="AM28" i="5"/>
  <c r="AP28" i="5" s="1"/>
  <c r="AM34" i="5"/>
  <c r="AP34" i="5" s="1"/>
  <c r="O2" i="5"/>
  <c r="AM2" i="5"/>
  <c r="AP2" i="5" s="1"/>
  <c r="O4" i="5"/>
  <c r="AM4" i="5"/>
  <c r="AP4" i="5" s="1"/>
  <c r="O5" i="5"/>
  <c r="AK7" i="5"/>
  <c r="H27" i="5" s="1"/>
  <c r="H35" i="5" s="1"/>
  <c r="AK20" i="5"/>
  <c r="AK22" i="5"/>
  <c r="AK24" i="5"/>
  <c r="O26" i="5"/>
  <c r="O107" i="5"/>
  <c r="O105" i="5"/>
  <c r="O103" i="5"/>
  <c r="O101" i="5"/>
  <c r="O99" i="5"/>
  <c r="O97" i="5"/>
  <c r="O95" i="5"/>
  <c r="O93" i="5"/>
  <c r="O91" i="5"/>
  <c r="O89" i="5"/>
  <c r="O87" i="5"/>
  <c r="O85" i="5"/>
  <c r="O83" i="5"/>
  <c r="O81" i="5"/>
  <c r="O79" i="5"/>
  <c r="O77" i="5"/>
  <c r="O75" i="5"/>
  <c r="O73" i="5"/>
  <c r="O71" i="5"/>
  <c r="O69" i="5"/>
  <c r="O67" i="5"/>
  <c r="O65" i="5"/>
  <c r="O63" i="5"/>
  <c r="O61" i="5"/>
  <c r="O59" i="5"/>
  <c r="O57" i="5"/>
  <c r="O55" i="5"/>
  <c r="O106" i="5"/>
  <c r="O104" i="5"/>
  <c r="O102" i="5"/>
  <c r="O100" i="5"/>
  <c r="O98" i="5"/>
  <c r="O96" i="5"/>
  <c r="O94" i="5"/>
  <c r="O92" i="5"/>
  <c r="O90" i="5"/>
  <c r="O88" i="5"/>
  <c r="O86" i="5"/>
  <c r="O84" i="5"/>
  <c r="O82" i="5"/>
  <c r="O80" i="5"/>
  <c r="O78" i="5"/>
  <c r="O76" i="5"/>
  <c r="O74" i="5"/>
  <c r="O72" i="5"/>
  <c r="O70" i="5"/>
  <c r="O68" i="5"/>
  <c r="O66" i="5"/>
  <c r="O64" i="5"/>
  <c r="O62" i="5"/>
  <c r="O60" i="5"/>
  <c r="O58" i="5"/>
  <c r="O56" i="5"/>
  <c r="O53" i="5"/>
  <c r="O51" i="5"/>
  <c r="O49" i="5"/>
  <c r="O47" i="5"/>
  <c r="O45" i="5"/>
  <c r="O43" i="5"/>
  <c r="O41" i="5"/>
  <c r="O39" i="5"/>
  <c r="O37" i="5"/>
  <c r="O35" i="5"/>
  <c r="O29" i="5"/>
  <c r="O33" i="5"/>
  <c r="O54" i="5"/>
  <c r="O52" i="5"/>
  <c r="O50" i="5"/>
  <c r="O48" i="5"/>
  <c r="O46" i="5"/>
  <c r="O44" i="5"/>
  <c r="O42" i="5"/>
  <c r="O40" i="5"/>
  <c r="O38" i="5"/>
  <c r="O36" i="5"/>
  <c r="O9" i="5"/>
  <c r="AM105" i="5"/>
  <c r="AP105" i="5" s="1"/>
  <c r="AM103" i="5"/>
  <c r="AP103" i="5" s="1"/>
  <c r="AM101" i="5"/>
  <c r="AP101" i="5" s="1"/>
  <c r="AM99" i="5"/>
  <c r="AP99" i="5" s="1"/>
  <c r="AM95" i="5"/>
  <c r="AP95" i="5" s="1"/>
  <c r="AM93" i="5"/>
  <c r="AP93" i="5" s="1"/>
  <c r="AM91" i="5"/>
  <c r="AP91" i="5" s="1"/>
  <c r="AM89" i="5"/>
  <c r="AP89" i="5" s="1"/>
  <c r="AM87" i="5"/>
  <c r="AP87" i="5" s="1"/>
  <c r="AM85" i="5"/>
  <c r="AP85" i="5" s="1"/>
  <c r="AM83" i="5"/>
  <c r="AP83" i="5" s="1"/>
  <c r="AM81" i="5"/>
  <c r="AP81" i="5" s="1"/>
  <c r="AM79" i="5"/>
  <c r="AP79" i="5" s="1"/>
  <c r="AM77" i="5"/>
  <c r="AP77" i="5" s="1"/>
  <c r="AM75" i="5"/>
  <c r="AP75" i="5" s="1"/>
  <c r="AM73" i="5"/>
  <c r="AP73" i="5" s="1"/>
  <c r="AM71" i="5"/>
  <c r="AP71" i="5" s="1"/>
  <c r="AM69" i="5"/>
  <c r="AP69" i="5" s="1"/>
  <c r="AM67" i="5"/>
  <c r="AP67" i="5" s="1"/>
  <c r="AM65" i="5"/>
  <c r="AP65" i="5" s="1"/>
  <c r="AM63" i="5"/>
  <c r="AP63" i="5" s="1"/>
  <c r="AM61" i="5"/>
  <c r="AP61" i="5" s="1"/>
  <c r="AM59" i="5"/>
  <c r="AP59" i="5" s="1"/>
  <c r="AM57" i="5"/>
  <c r="AP57" i="5" s="1"/>
  <c r="AM55" i="5"/>
  <c r="AP55" i="5" s="1"/>
  <c r="AM106" i="5"/>
  <c r="AP106" i="5" s="1"/>
  <c r="AM104" i="5"/>
  <c r="AP104" i="5" s="1"/>
  <c r="AM102" i="5"/>
  <c r="AP102" i="5" s="1"/>
  <c r="AM100" i="5"/>
  <c r="AP100" i="5" s="1"/>
  <c r="AM98" i="5"/>
  <c r="AP98" i="5" s="1"/>
  <c r="AM96" i="5"/>
  <c r="AP96" i="5" s="1"/>
  <c r="AM94" i="5"/>
  <c r="AP94" i="5" s="1"/>
  <c r="AM92" i="5"/>
  <c r="AP92" i="5" s="1"/>
  <c r="AM90" i="5"/>
  <c r="AP90" i="5" s="1"/>
  <c r="AM86" i="5"/>
  <c r="AP86" i="5" s="1"/>
  <c r="AM84" i="5"/>
  <c r="AP84" i="5" s="1"/>
  <c r="AM82" i="5"/>
  <c r="AP82" i="5" s="1"/>
  <c r="AM80" i="5"/>
  <c r="AP80" i="5" s="1"/>
  <c r="AM76" i="5"/>
  <c r="AP76" i="5" s="1"/>
  <c r="AM74" i="5"/>
  <c r="AP74" i="5" s="1"/>
  <c r="AM72" i="5"/>
  <c r="AP72" i="5" s="1"/>
  <c r="AM70" i="5"/>
  <c r="AP70" i="5" s="1"/>
  <c r="AM66" i="5"/>
  <c r="AP66" i="5" s="1"/>
  <c r="AM64" i="5"/>
  <c r="AP64" i="5" s="1"/>
  <c r="AM62" i="5"/>
  <c r="AP62" i="5" s="1"/>
  <c r="AM60" i="5"/>
  <c r="AP60" i="5" s="1"/>
  <c r="AM56" i="5"/>
  <c r="AP56" i="5" s="1"/>
  <c r="AM54" i="5"/>
  <c r="AP54" i="5" s="1"/>
  <c r="AM53" i="5"/>
  <c r="AP53" i="5" s="1"/>
  <c r="AM51" i="5"/>
  <c r="AP51" i="5" s="1"/>
  <c r="AM49" i="5"/>
  <c r="AP49" i="5" s="1"/>
  <c r="AM47" i="5"/>
  <c r="AP47" i="5" s="1"/>
  <c r="AM45" i="5"/>
  <c r="AP45" i="5" s="1"/>
  <c r="AM43" i="5"/>
  <c r="AP43" i="5" s="1"/>
  <c r="AM41" i="5"/>
  <c r="AP41" i="5" s="1"/>
  <c r="AM39" i="5"/>
  <c r="AP39" i="5" s="1"/>
  <c r="AM37" i="5"/>
  <c r="AP37" i="5" s="1"/>
  <c r="AM35" i="5"/>
  <c r="AP35" i="5" s="1"/>
  <c r="AM29" i="5"/>
  <c r="AP29" i="5" s="1"/>
  <c r="AM33" i="5"/>
  <c r="AP33" i="5" s="1"/>
  <c r="AM52" i="5"/>
  <c r="AP52" i="5" s="1"/>
  <c r="AM50" i="5"/>
  <c r="AP50" i="5" s="1"/>
  <c r="AM46" i="5"/>
  <c r="AP46" i="5" s="1"/>
  <c r="AM44" i="5"/>
  <c r="AP44" i="5" s="1"/>
  <c r="AM42" i="5"/>
  <c r="AP42" i="5" s="1"/>
  <c r="AM40" i="5"/>
  <c r="AP40" i="5" s="1"/>
  <c r="AM38" i="5"/>
  <c r="AP38" i="5" s="1"/>
  <c r="AM36" i="5"/>
  <c r="AP36" i="5" s="1"/>
  <c r="O18" i="5"/>
  <c r="AM18" i="5"/>
  <c r="AP18" i="5" s="1"/>
  <c r="O28" i="5"/>
  <c r="O7" i="5"/>
  <c r="AM7" i="5"/>
  <c r="AP7" i="5" s="1"/>
  <c r="E11" i="5"/>
  <c r="O20" i="5"/>
  <c r="AM20" i="5"/>
  <c r="AP20" i="5" s="1"/>
  <c r="O22" i="5"/>
  <c r="AM22" i="5"/>
  <c r="AP22" i="5" s="1"/>
  <c r="O24" i="5"/>
  <c r="AM24" i="5"/>
  <c r="AP24" i="5" s="1"/>
  <c r="AK25" i="5"/>
  <c r="AM30" i="5"/>
  <c r="AP30" i="5" s="1"/>
  <c r="AM31" i="5"/>
  <c r="AP31" i="5" s="1"/>
  <c r="AM32" i="5"/>
  <c r="AP32" i="5" s="1"/>
  <c r="O8" i="5"/>
  <c r="AM8" i="5"/>
  <c r="AP8" i="5" s="1"/>
  <c r="O11" i="5"/>
  <c r="AM11" i="5"/>
  <c r="AP11" i="5" s="1"/>
  <c r="O13" i="5"/>
  <c r="AM13" i="5"/>
  <c r="AP13" i="5" s="1"/>
  <c r="O15" i="5"/>
  <c r="AM15" i="5"/>
  <c r="AP15" i="5" s="1"/>
  <c r="AM27" i="5"/>
  <c r="AP27" i="5" s="1"/>
  <c r="AK28" i="5"/>
  <c r="AP4" i="4"/>
  <c r="P53" i="4"/>
  <c r="AJ8" i="4"/>
  <c r="AJ9" i="4"/>
  <c r="AJ10" i="4" s="1"/>
  <c r="AJ11" i="4" s="1"/>
  <c r="AJ12" i="4" s="1"/>
  <c r="AJ13" i="4" s="1"/>
  <c r="AJ14" i="4" s="1"/>
  <c r="AJ15" i="4" s="1"/>
  <c r="AJ16" i="4" s="1"/>
  <c r="AJ17" i="4" s="1"/>
  <c r="AJ18" i="4" s="1"/>
  <c r="AJ19" i="4" s="1"/>
  <c r="AJ20" i="4" s="1"/>
  <c r="AJ21" i="4" s="1"/>
  <c r="AJ22" i="4" s="1"/>
  <c r="AJ23" i="4" s="1"/>
  <c r="AJ24" i="4" s="1"/>
  <c r="AJ25" i="4" s="1"/>
  <c r="AJ26" i="4" s="1"/>
  <c r="AJ27" i="4" s="1"/>
  <c r="AJ28" i="4" s="1"/>
  <c r="AJ29" i="4" s="1"/>
  <c r="AJ30" i="4" s="1"/>
  <c r="AJ31" i="4" s="1"/>
  <c r="AJ32" i="4" s="1"/>
  <c r="AJ5" i="4"/>
  <c r="AJ6" i="4" s="1"/>
  <c r="AJ7" i="4" s="1"/>
  <c r="P25" i="4"/>
  <c r="AM3" i="4"/>
  <c r="AP3" i="4" s="1"/>
  <c r="Z62" i="4"/>
  <c r="Y62" i="4"/>
  <c r="AM62" i="4" s="1"/>
  <c r="AP62" i="4" s="1"/>
  <c r="Z42" i="4"/>
  <c r="Y22" i="4"/>
  <c r="Y42" i="4"/>
  <c r="Y32" i="4"/>
  <c r="Z17" i="4"/>
  <c r="AA62" i="4"/>
  <c r="AK20" i="4"/>
  <c r="AM28" i="4"/>
  <c r="AP28" i="4" s="1"/>
  <c r="AK29" i="4"/>
  <c r="AM31" i="4"/>
  <c r="AP31" i="4" s="1"/>
  <c r="P3" i="4"/>
  <c r="AM60" i="4"/>
  <c r="AP60" i="4" s="1"/>
  <c r="AM58" i="4"/>
  <c r="AP58" i="4" s="1"/>
  <c r="AM56" i="4"/>
  <c r="AP56" i="4" s="1"/>
  <c r="AM54" i="4"/>
  <c r="AP54" i="4" s="1"/>
  <c r="AM52" i="4"/>
  <c r="AP52" i="4" s="1"/>
  <c r="AM50" i="4"/>
  <c r="AP50" i="4" s="1"/>
  <c r="AM48" i="4"/>
  <c r="AP48" i="4" s="1"/>
  <c r="AM46" i="4"/>
  <c r="AP46" i="4" s="1"/>
  <c r="AM44" i="4"/>
  <c r="AP44" i="4" s="1"/>
  <c r="AM40" i="4"/>
  <c r="AP40" i="4" s="1"/>
  <c r="AM61" i="4"/>
  <c r="AP61" i="4" s="1"/>
  <c r="AM49" i="4"/>
  <c r="AP49" i="4" s="1"/>
  <c r="AM30" i="4"/>
  <c r="AP30" i="4" s="1"/>
  <c r="AM47" i="4"/>
  <c r="AP47" i="4" s="1"/>
  <c r="AM33" i="4"/>
  <c r="AP33" i="4" s="1"/>
  <c r="AM57" i="4"/>
  <c r="AP57" i="4" s="1"/>
  <c r="AM45" i="4"/>
  <c r="AP45" i="4" s="1"/>
  <c r="AM38" i="4"/>
  <c r="AP38" i="4" s="1"/>
  <c r="AM36" i="4"/>
  <c r="AP36" i="4" s="1"/>
  <c r="AM26" i="4"/>
  <c r="AP26" i="4" s="1"/>
  <c r="AM24" i="4"/>
  <c r="AP24" i="4" s="1"/>
  <c r="AM20" i="4"/>
  <c r="AP20" i="4" s="1"/>
  <c r="E11" i="4"/>
  <c r="AM7" i="4"/>
  <c r="AP7" i="4" s="1"/>
  <c r="AM43" i="4"/>
  <c r="AP43" i="4" s="1"/>
  <c r="AM27" i="4"/>
  <c r="AP27" i="4" s="1"/>
  <c r="AM18" i="4"/>
  <c r="AP18" i="4" s="1"/>
  <c r="AM59" i="4"/>
  <c r="AP59" i="4" s="1"/>
  <c r="AM34" i="4"/>
  <c r="AP34" i="4" s="1"/>
  <c r="AM16" i="4"/>
  <c r="AP16" i="4" s="1"/>
  <c r="AM14" i="4"/>
  <c r="AP14" i="4" s="1"/>
  <c r="AM12" i="4"/>
  <c r="AP12" i="4" s="1"/>
  <c r="AM53" i="4"/>
  <c r="AP53" i="4" s="1"/>
  <c r="AM37" i="4"/>
  <c r="AP37" i="4" s="1"/>
  <c r="AM35" i="4"/>
  <c r="AP35" i="4" s="1"/>
  <c r="O13" i="4"/>
  <c r="AK13" i="4"/>
  <c r="AK15" i="4"/>
  <c r="O19" i="4"/>
  <c r="AM19" i="4"/>
  <c r="AP19" i="4" s="1"/>
  <c r="AK21" i="4"/>
  <c r="AK27" i="4"/>
  <c r="Z32" i="4"/>
  <c r="AK2" i="4"/>
  <c r="AK4" i="4"/>
  <c r="AK5" i="4"/>
  <c r="AK23" i="4"/>
  <c r="B27" i="4"/>
  <c r="AK19" i="4"/>
  <c r="AT32" i="4"/>
  <c r="AA32" i="4"/>
  <c r="AA42" i="4"/>
  <c r="AM42" i="4" s="1"/>
  <c r="AP42" i="4" s="1"/>
  <c r="P10" i="4"/>
  <c r="P11" i="4"/>
  <c r="P15" i="4"/>
  <c r="Y17" i="4"/>
  <c r="AM21" i="4"/>
  <c r="AP21" i="4" s="1"/>
  <c r="Z22" i="4"/>
  <c r="O29" i="4"/>
  <c r="P32" i="4"/>
  <c r="AM41" i="4"/>
  <c r="AP41" i="4" s="1"/>
  <c r="O57" i="4"/>
  <c r="AG4" i="4"/>
  <c r="AM8" i="4"/>
  <c r="AP8" i="4" s="1"/>
  <c r="AA17" i="4"/>
  <c r="O21" i="4"/>
  <c r="AA22" i="4"/>
  <c r="AM23" i="4"/>
  <c r="AP23" i="4" s="1"/>
  <c r="AK25" i="4"/>
  <c r="AK30" i="4"/>
  <c r="O47" i="4"/>
  <c r="AP2" i="4"/>
  <c r="AD3" i="4"/>
  <c r="AD4" i="4" s="1"/>
  <c r="AM6" i="4"/>
  <c r="AP6" i="4" s="1"/>
  <c r="O62" i="4"/>
  <c r="O60" i="4"/>
  <c r="O58" i="4"/>
  <c r="O56" i="4"/>
  <c r="O54" i="4"/>
  <c r="O52" i="4"/>
  <c r="O50" i="4"/>
  <c r="O48" i="4"/>
  <c r="O46" i="4"/>
  <c r="O44" i="4"/>
  <c r="O42" i="4"/>
  <c r="O40" i="4"/>
  <c r="O45" i="4"/>
  <c r="O30" i="4"/>
  <c r="O17" i="4"/>
  <c r="O43" i="4"/>
  <c r="O33" i="4"/>
  <c r="O59" i="4"/>
  <c r="O41" i="4"/>
  <c r="O38" i="4"/>
  <c r="O36" i="4"/>
  <c r="O26" i="4"/>
  <c r="O24" i="4"/>
  <c r="O22" i="4"/>
  <c r="O20" i="4"/>
  <c r="O27" i="4"/>
  <c r="O18" i="4"/>
  <c r="O61" i="4"/>
  <c r="O55" i="4"/>
  <c r="O51" i="4"/>
  <c r="O34" i="4"/>
  <c r="O16" i="4"/>
  <c r="O14" i="4"/>
  <c r="O12" i="4"/>
  <c r="O49" i="4"/>
  <c r="O39" i="4"/>
  <c r="O37" i="4"/>
  <c r="O35" i="4"/>
  <c r="O8" i="4"/>
  <c r="AM13" i="4"/>
  <c r="AP13" i="4" s="1"/>
  <c r="AM15" i="4"/>
  <c r="AP15" i="4" s="1"/>
  <c r="O23" i="4"/>
  <c r="AK26" i="4"/>
  <c r="O7" i="4"/>
  <c r="AM10" i="4"/>
  <c r="AP10" i="4" s="1"/>
  <c r="AK12" i="4"/>
  <c r="AM25" i="4"/>
  <c r="AP25" i="4" s="1"/>
  <c r="O28" i="4"/>
  <c r="O31" i="4"/>
  <c r="AM51" i="4"/>
  <c r="AP51" i="4" s="1"/>
  <c r="AP2" i="3"/>
  <c r="P47" i="3"/>
  <c r="AP4" i="3"/>
  <c r="AJ5" i="3"/>
  <c r="AJ6" i="3" s="1"/>
  <c r="AJ7" i="3" s="1"/>
  <c r="AJ8" i="3" s="1"/>
  <c r="AJ9" i="3" s="1"/>
  <c r="AJ10" i="3" s="1"/>
  <c r="AJ11" i="3" s="1"/>
  <c r="AJ12" i="3" s="1"/>
  <c r="AJ13" i="3" s="1"/>
  <c r="AJ14" i="3" s="1"/>
  <c r="AJ15" i="3" s="1"/>
  <c r="AJ16" i="3" s="1"/>
  <c r="AJ17" i="3" s="1"/>
  <c r="AJ18" i="3" s="1"/>
  <c r="AJ19" i="3" s="1"/>
  <c r="AJ20" i="3" s="1"/>
  <c r="AJ21" i="3" s="1"/>
  <c r="AJ22" i="3" s="1"/>
  <c r="AJ23" i="3" s="1"/>
  <c r="AJ24" i="3" s="1"/>
  <c r="AJ25" i="3" s="1"/>
  <c r="AJ26" i="3" s="1"/>
  <c r="AJ27" i="3" s="1"/>
  <c r="AJ28" i="3" s="1"/>
  <c r="AJ29" i="3" s="1"/>
  <c r="AJ30" i="3" s="1"/>
  <c r="AJ31" i="3" s="1"/>
  <c r="AJ32" i="3" s="1"/>
  <c r="AP5" i="3"/>
  <c r="AK29" i="3"/>
  <c r="P31" i="3"/>
  <c r="P53" i="3"/>
  <c r="AP57" i="3"/>
  <c r="O2" i="3"/>
  <c r="O4" i="3"/>
  <c r="AG4" i="3"/>
  <c r="O5" i="3"/>
  <c r="AK7" i="3"/>
  <c r="O11" i="3"/>
  <c r="AK16" i="3"/>
  <c r="O21" i="3"/>
  <c r="AK21" i="3"/>
  <c r="O28" i="3"/>
  <c r="AM29" i="3"/>
  <c r="AP29" i="3" s="1"/>
  <c r="AP51" i="3"/>
  <c r="Z62" i="3"/>
  <c r="Z42" i="3"/>
  <c r="Y62" i="3"/>
  <c r="Y42" i="3"/>
  <c r="Y22" i="3"/>
  <c r="AA32" i="3"/>
  <c r="Y32" i="3"/>
  <c r="Z17" i="3"/>
  <c r="AA17" i="3"/>
  <c r="AK12" i="3"/>
  <c r="B30" i="3"/>
  <c r="O30" i="3"/>
  <c r="O17" i="3"/>
  <c r="O33" i="3"/>
  <c r="O15" i="3"/>
  <c r="O62" i="3"/>
  <c r="O60" i="3"/>
  <c r="O58" i="3"/>
  <c r="O56" i="3"/>
  <c r="O54" i="3"/>
  <c r="O52" i="3"/>
  <c r="O50" i="3"/>
  <c r="O48" i="3"/>
  <c r="O46" i="3"/>
  <c r="O44" i="3"/>
  <c r="O42" i="3"/>
  <c r="O40" i="3"/>
  <c r="O38" i="3"/>
  <c r="O36" i="3"/>
  <c r="O26" i="3"/>
  <c r="O24" i="3"/>
  <c r="O22" i="3"/>
  <c r="O20" i="3"/>
  <c r="O27" i="3"/>
  <c r="O18" i="3"/>
  <c r="O34" i="3"/>
  <c r="O16" i="3"/>
  <c r="O14" i="3"/>
  <c r="AK8" i="3"/>
  <c r="O9" i="3"/>
  <c r="AK10" i="3"/>
  <c r="O41" i="3"/>
  <c r="AA42" i="3"/>
  <c r="O57" i="3"/>
  <c r="AD3" i="3"/>
  <c r="AK3" i="3"/>
  <c r="P6" i="3"/>
  <c r="O7" i="3"/>
  <c r="O19" i="3"/>
  <c r="AK19" i="3"/>
  <c r="O51" i="3"/>
  <c r="AP55" i="3"/>
  <c r="AA62" i="3"/>
  <c r="P35" i="3"/>
  <c r="P59" i="3"/>
  <c r="O8" i="3"/>
  <c r="AM9" i="3"/>
  <c r="AP9" i="3" s="1"/>
  <c r="O12" i="3"/>
  <c r="O13" i="3"/>
  <c r="AK15" i="3"/>
  <c r="AP21" i="3"/>
  <c r="O25" i="3"/>
  <c r="AK25" i="3"/>
  <c r="O32" i="3"/>
  <c r="O39" i="3"/>
  <c r="O45" i="3"/>
  <c r="AP49" i="3"/>
  <c r="O61" i="3"/>
  <c r="O3" i="3"/>
  <c r="O10" i="3"/>
  <c r="Z22" i="3"/>
  <c r="AK30" i="3"/>
  <c r="Z32" i="3"/>
  <c r="O55" i="3"/>
  <c r="P29" i="3"/>
  <c r="AM12" i="3"/>
  <c r="AP12" i="3" s="1"/>
  <c r="Y17" i="3"/>
  <c r="AM17" i="3" s="1"/>
  <c r="AP17" i="3" s="1"/>
  <c r="AK20" i="3"/>
  <c r="AA22" i="3"/>
  <c r="O23" i="3"/>
  <c r="AK23" i="3"/>
  <c r="O37" i="3"/>
  <c r="O43" i="3"/>
  <c r="O49" i="3"/>
  <c r="AM14" i="3"/>
  <c r="AP14" i="3" s="1"/>
  <c r="AM16" i="3"/>
  <c r="AP16" i="3" s="1"/>
  <c r="AM34" i="3"/>
  <c r="AP34" i="3" s="1"/>
  <c r="AM18" i="3"/>
  <c r="AP18" i="3" s="1"/>
  <c r="AM27" i="3"/>
  <c r="AP27" i="3" s="1"/>
  <c r="AM20" i="3"/>
  <c r="AP20" i="3" s="1"/>
  <c r="AM22" i="3"/>
  <c r="AP22" i="3" s="1"/>
  <c r="AM24" i="3"/>
  <c r="AP24" i="3" s="1"/>
  <c r="AM26" i="3"/>
  <c r="AP26" i="3" s="1"/>
  <c r="AM36" i="3"/>
  <c r="AP36" i="3" s="1"/>
  <c r="AM38" i="3"/>
  <c r="AP38" i="3" s="1"/>
  <c r="AM40" i="3"/>
  <c r="AP40" i="3" s="1"/>
  <c r="AM42" i="3"/>
  <c r="AP42" i="3" s="1"/>
  <c r="AM44" i="3"/>
  <c r="AP44" i="3" s="1"/>
  <c r="AM46" i="3"/>
  <c r="AP46" i="3" s="1"/>
  <c r="AM48" i="3"/>
  <c r="AP48" i="3" s="1"/>
  <c r="AM50" i="3"/>
  <c r="AP50" i="3" s="1"/>
  <c r="AM52" i="3"/>
  <c r="AP52" i="3" s="1"/>
  <c r="AM54" i="3"/>
  <c r="AP54" i="3" s="1"/>
  <c r="AM56" i="3"/>
  <c r="AP56" i="3" s="1"/>
  <c r="AM58" i="3"/>
  <c r="AP58" i="3" s="1"/>
  <c r="AM60" i="3"/>
  <c r="AP60" i="3" s="1"/>
  <c r="AM62" i="3"/>
  <c r="AP62" i="3" s="1"/>
  <c r="AM15" i="3"/>
  <c r="AP15" i="3" s="1"/>
  <c r="AM33" i="3"/>
  <c r="AP33" i="3" s="1"/>
  <c r="AM30" i="3"/>
  <c r="AP30" i="3" s="1"/>
  <c r="AP6" i="2"/>
  <c r="P57" i="2"/>
  <c r="AJ4" i="2"/>
  <c r="O37" i="2"/>
  <c r="AK4" i="2"/>
  <c r="O6" i="2"/>
  <c r="AM10" i="2"/>
  <c r="AP10" i="2" s="1"/>
  <c r="O16" i="2"/>
  <c r="AM19" i="2"/>
  <c r="AP19" i="2" s="1"/>
  <c r="AP23" i="2"/>
  <c r="O35" i="2"/>
  <c r="O47" i="2"/>
  <c r="O7" i="2"/>
  <c r="AK30" i="2"/>
  <c r="AK2" i="2"/>
  <c r="O5" i="2"/>
  <c r="O9" i="2"/>
  <c r="AK11" i="2"/>
  <c r="AK12" i="2"/>
  <c r="AK16" i="2"/>
  <c r="O34" i="2"/>
  <c r="O45" i="2"/>
  <c r="O61" i="2"/>
  <c r="O39" i="2"/>
  <c r="O3" i="2"/>
  <c r="AT32" i="2"/>
  <c r="O10" i="2"/>
  <c r="O15" i="2"/>
  <c r="O18" i="2"/>
  <c r="O43" i="2"/>
  <c r="O59" i="2"/>
  <c r="O19" i="2"/>
  <c r="AG3" i="2"/>
  <c r="AG4" i="2" s="1"/>
  <c r="AG5" i="2" s="1"/>
  <c r="AG6" i="2" s="1"/>
  <c r="AG7" i="2" s="1"/>
  <c r="AG8" i="2" s="1"/>
  <c r="AG9" i="2" s="1"/>
  <c r="AG10" i="2" s="1"/>
  <c r="AG11" i="2" s="1"/>
  <c r="AG12" i="2" s="1"/>
  <c r="AG13" i="2" s="1"/>
  <c r="AG14" i="2" s="1"/>
  <c r="AG15" i="2" s="1"/>
  <c r="AG16" i="2" s="1"/>
  <c r="O49" i="2"/>
  <c r="O2" i="2"/>
  <c r="O4" i="2"/>
  <c r="AK10" i="2"/>
  <c r="AM12" i="2"/>
  <c r="AP12" i="2" s="1"/>
  <c r="AM15" i="2"/>
  <c r="AP15" i="2" s="1"/>
  <c r="AM16" i="2"/>
  <c r="AP16" i="2" s="1"/>
  <c r="O25" i="2"/>
  <c r="AP55" i="2"/>
  <c r="O32" i="2"/>
  <c r="O30" i="2"/>
  <c r="O17" i="2"/>
  <c r="O8" i="2"/>
  <c r="O33" i="2"/>
  <c r="O62" i="2"/>
  <c r="O60" i="2"/>
  <c r="O58" i="2"/>
  <c r="O56" i="2"/>
  <c r="O54" i="2"/>
  <c r="O52" i="2"/>
  <c r="O50" i="2"/>
  <c r="O48" i="2"/>
  <c r="O46" i="2"/>
  <c r="O44" i="2"/>
  <c r="O42" i="2"/>
  <c r="O40" i="2"/>
  <c r="O38" i="2"/>
  <c r="O36" i="2"/>
  <c r="O26" i="2"/>
  <c r="O24" i="2"/>
  <c r="O22" i="2"/>
  <c r="O20" i="2"/>
  <c r="O27" i="2"/>
  <c r="O31" i="2"/>
  <c r="O28" i="2"/>
  <c r="O51" i="2"/>
  <c r="AP34" i="2"/>
  <c r="B30" i="2"/>
  <c r="AD3" i="2"/>
  <c r="O14" i="2"/>
  <c r="O29" i="2"/>
  <c r="O55" i="2"/>
  <c r="O12" i="2"/>
  <c r="AK13" i="2"/>
  <c r="O23" i="2"/>
  <c r="O11" i="2"/>
  <c r="O13" i="2"/>
  <c r="AP18" i="2"/>
  <c r="O21" i="2"/>
  <c r="AP29" i="2"/>
  <c r="AP39" i="2"/>
  <c r="O41" i="2"/>
  <c r="AP51" i="2"/>
  <c r="O53" i="2"/>
  <c r="AK20" i="2"/>
  <c r="AK24" i="2"/>
  <c r="AK26" i="2"/>
  <c r="AM28" i="2"/>
  <c r="AP28" i="2" s="1"/>
  <c r="AM31" i="2"/>
  <c r="AP31" i="2" s="1"/>
  <c r="AM27" i="2"/>
  <c r="AP27" i="2" s="1"/>
  <c r="AM20" i="2"/>
  <c r="AP20" i="2" s="1"/>
  <c r="AM24" i="2"/>
  <c r="AP24" i="2" s="1"/>
  <c r="AM26" i="2"/>
  <c r="AP26" i="2" s="1"/>
  <c r="AM36" i="2"/>
  <c r="AP36" i="2" s="1"/>
  <c r="AM38" i="2"/>
  <c r="AP38" i="2" s="1"/>
  <c r="AM40" i="2"/>
  <c r="AP40" i="2" s="1"/>
  <c r="AM44" i="2"/>
  <c r="AP44" i="2" s="1"/>
  <c r="AM46" i="2"/>
  <c r="AP46" i="2" s="1"/>
  <c r="AM48" i="2"/>
  <c r="AP48" i="2" s="1"/>
  <c r="AM50" i="2"/>
  <c r="AP50" i="2" s="1"/>
  <c r="AM52" i="2"/>
  <c r="AP52" i="2" s="1"/>
  <c r="AM54" i="2"/>
  <c r="AP54" i="2" s="1"/>
  <c r="AM56" i="2"/>
  <c r="AP56" i="2" s="1"/>
  <c r="AM58" i="2"/>
  <c r="AP58" i="2" s="1"/>
  <c r="AM60" i="2"/>
  <c r="AP60" i="2" s="1"/>
  <c r="AM33" i="2"/>
  <c r="AP33" i="2" s="1"/>
  <c r="AM8" i="2"/>
  <c r="AP8" i="2" s="1"/>
  <c r="AM30" i="2"/>
  <c r="AP30" i="2" s="1"/>
  <c r="AP11" i="1"/>
  <c r="AG4" i="1"/>
  <c r="AG5" i="1" s="1"/>
  <c r="AJ4" i="1"/>
  <c r="AJ5" i="1" s="1"/>
  <c r="AP2" i="1"/>
  <c r="O72" i="1"/>
  <c r="O70" i="1"/>
  <c r="O68" i="1"/>
  <c r="O66" i="1"/>
  <c r="O64" i="1"/>
  <c r="O62" i="1"/>
  <c r="O60" i="1"/>
  <c r="O58" i="1"/>
  <c r="O56" i="1"/>
  <c r="O54" i="1"/>
  <c r="O52" i="1"/>
  <c r="O50" i="1"/>
  <c r="O48" i="1"/>
  <c r="O46" i="1"/>
  <c r="O44" i="1"/>
  <c r="O71" i="1"/>
  <c r="O69" i="1"/>
  <c r="O67" i="1"/>
  <c r="O65" i="1"/>
  <c r="O63" i="1"/>
  <c r="O61" i="1"/>
  <c r="O59" i="1"/>
  <c r="O57" i="1"/>
  <c r="O55" i="1"/>
  <c r="O53" i="1"/>
  <c r="O51" i="1"/>
  <c r="O49" i="1"/>
  <c r="O47" i="1"/>
  <c r="O45" i="1"/>
  <c r="O30" i="1"/>
  <c r="O33" i="1"/>
  <c r="O42" i="1"/>
  <c r="O40" i="1"/>
  <c r="O38" i="1"/>
  <c r="O36" i="1"/>
  <c r="O26" i="1"/>
  <c r="O24" i="1"/>
  <c r="O22" i="1"/>
  <c r="O20" i="1"/>
  <c r="O27" i="1"/>
  <c r="O31" i="1"/>
  <c r="O28" i="1"/>
  <c r="O34" i="1"/>
  <c r="O16" i="1"/>
  <c r="O14" i="1"/>
  <c r="O32" i="1"/>
  <c r="B30" i="1"/>
  <c r="O8" i="1"/>
  <c r="AM8" i="1"/>
  <c r="AP8" i="1" s="1"/>
  <c r="T12" i="1"/>
  <c r="O18" i="1"/>
  <c r="O19" i="1"/>
  <c r="T21" i="1"/>
  <c r="O23" i="1"/>
  <c r="AM35" i="1"/>
  <c r="AP35" i="1" s="1"/>
  <c r="AM37" i="1"/>
  <c r="AP37" i="1" s="1"/>
  <c r="AM39" i="1"/>
  <c r="AP39" i="1" s="1"/>
  <c r="O25" i="1"/>
  <c r="O29" i="1"/>
  <c r="T60" i="1"/>
  <c r="T2" i="1"/>
  <c r="P3" i="1"/>
  <c r="T4" i="1"/>
  <c r="AD4" i="1"/>
  <c r="T5" i="1"/>
  <c r="T9" i="1"/>
  <c r="P10" i="1"/>
  <c r="U13" i="1"/>
  <c r="T14" i="1"/>
  <c r="U15" i="1"/>
  <c r="AK16" i="1"/>
  <c r="AK27" i="1"/>
  <c r="AK14" i="1"/>
  <c r="AK30" i="1"/>
  <c r="U2" i="1"/>
  <c r="AK2" i="1"/>
  <c r="U4" i="1"/>
  <c r="AK4" i="1"/>
  <c r="U5" i="1"/>
  <c r="AK5" i="1"/>
  <c r="T6" i="1"/>
  <c r="U9" i="1"/>
  <c r="AK9" i="1"/>
  <c r="O12" i="1"/>
  <c r="U14" i="1"/>
  <c r="T16" i="1"/>
  <c r="T19" i="1"/>
  <c r="AK22" i="1"/>
  <c r="T23" i="1"/>
  <c r="T28" i="1"/>
  <c r="O41" i="1"/>
  <c r="O43" i="1"/>
  <c r="T7" i="1"/>
  <c r="T11" i="1"/>
  <c r="U16" i="1"/>
  <c r="T17" i="1"/>
  <c r="AM17" i="1"/>
  <c r="AP17" i="1" s="1"/>
  <c r="T18" i="1"/>
  <c r="U19" i="1"/>
  <c r="U20" i="1"/>
  <c r="U23" i="1"/>
  <c r="U25" i="1"/>
  <c r="U28" i="1"/>
  <c r="AK6" i="1"/>
  <c r="O2" i="1"/>
  <c r="O4" i="1"/>
  <c r="O5" i="1"/>
  <c r="U7" i="1"/>
  <c r="AK7" i="1"/>
  <c r="T8" i="1"/>
  <c r="O9" i="1"/>
  <c r="AM70" i="1"/>
  <c r="AP70" i="1" s="1"/>
  <c r="AM68" i="1"/>
  <c r="AP68" i="1" s="1"/>
  <c r="AM64" i="1"/>
  <c r="AP64" i="1" s="1"/>
  <c r="AM62" i="1"/>
  <c r="AP62" i="1" s="1"/>
  <c r="AM60" i="1"/>
  <c r="AP60" i="1" s="1"/>
  <c r="AM58" i="1"/>
  <c r="AP58" i="1" s="1"/>
  <c r="AM56" i="1"/>
  <c r="AP56" i="1" s="1"/>
  <c r="AM54" i="1"/>
  <c r="AP54" i="1" s="1"/>
  <c r="AM50" i="1"/>
  <c r="AP50" i="1" s="1"/>
  <c r="AM48" i="1"/>
  <c r="AP48" i="1" s="1"/>
  <c r="AM46" i="1"/>
  <c r="AP46" i="1" s="1"/>
  <c r="AM44" i="1"/>
  <c r="AP44" i="1" s="1"/>
  <c r="AM71" i="1"/>
  <c r="AP71" i="1" s="1"/>
  <c r="AM67" i="1"/>
  <c r="AP67" i="1" s="1"/>
  <c r="AM65" i="1"/>
  <c r="AP65" i="1" s="1"/>
  <c r="AM63" i="1"/>
  <c r="AP63" i="1" s="1"/>
  <c r="AM61" i="1"/>
  <c r="AP61" i="1" s="1"/>
  <c r="AM59" i="1"/>
  <c r="AP59" i="1" s="1"/>
  <c r="AM57" i="1"/>
  <c r="AP57" i="1" s="1"/>
  <c r="AM55" i="1"/>
  <c r="AP55" i="1" s="1"/>
  <c r="AM53" i="1"/>
  <c r="AP53" i="1" s="1"/>
  <c r="AM51" i="1"/>
  <c r="AP51" i="1" s="1"/>
  <c r="AM49" i="1"/>
  <c r="AP49" i="1" s="1"/>
  <c r="AM47" i="1"/>
  <c r="AP47" i="1" s="1"/>
  <c r="AM45" i="1"/>
  <c r="AP45" i="1" s="1"/>
  <c r="AM43" i="1"/>
  <c r="AP43" i="1" s="1"/>
  <c r="AM30" i="1"/>
  <c r="AP30" i="1" s="1"/>
  <c r="AM33" i="1"/>
  <c r="AP33" i="1" s="1"/>
  <c r="AM42" i="1"/>
  <c r="AP42" i="1" s="1"/>
  <c r="AM38" i="1"/>
  <c r="AP38" i="1" s="1"/>
  <c r="AM36" i="1"/>
  <c r="AP36" i="1" s="1"/>
  <c r="AM26" i="1"/>
  <c r="AP26" i="1" s="1"/>
  <c r="AM24" i="1"/>
  <c r="AP24" i="1" s="1"/>
  <c r="AM22" i="1"/>
  <c r="AP22" i="1" s="1"/>
  <c r="AM27" i="1"/>
  <c r="AP27" i="1" s="1"/>
  <c r="AM31" i="1"/>
  <c r="AP31" i="1" s="1"/>
  <c r="AM28" i="1"/>
  <c r="AP28" i="1" s="1"/>
  <c r="AM34" i="1"/>
  <c r="AP34" i="1" s="1"/>
  <c r="AM16" i="1"/>
  <c r="AP16" i="1" s="1"/>
  <c r="AM14" i="1"/>
  <c r="AP14" i="1" s="1"/>
  <c r="AM12" i="1"/>
  <c r="AP12" i="1" s="1"/>
  <c r="AM32" i="1"/>
  <c r="AP32" i="1" s="1"/>
  <c r="U11" i="1"/>
  <c r="AK11" i="1"/>
  <c r="O13" i="1"/>
  <c r="O15" i="1"/>
  <c r="AM19" i="1"/>
  <c r="AP19" i="1" s="1"/>
  <c r="O21" i="1"/>
  <c r="AK24" i="1"/>
  <c r="U31" i="1"/>
  <c r="O35" i="1"/>
  <c r="O37" i="1"/>
  <c r="O39" i="1"/>
  <c r="T64" i="1"/>
  <c r="U101" i="1"/>
  <c r="U99" i="1"/>
  <c r="U97" i="1"/>
  <c r="U95" i="1"/>
  <c r="U93" i="1"/>
  <c r="U91" i="1"/>
  <c r="U89" i="1"/>
  <c r="U87" i="1"/>
  <c r="U85" i="1"/>
  <c r="U83" i="1"/>
  <c r="U81" i="1"/>
  <c r="U79" i="1"/>
  <c r="U77" i="1"/>
  <c r="U75" i="1"/>
  <c r="U73" i="1"/>
  <c r="U71" i="1"/>
  <c r="U69" i="1"/>
  <c r="U67" i="1"/>
  <c r="U65" i="1"/>
  <c r="U63" i="1"/>
  <c r="U61" i="1"/>
  <c r="U59" i="1"/>
  <c r="U57" i="1"/>
  <c r="U55" i="1"/>
  <c r="U53" i="1"/>
  <c r="U51" i="1"/>
  <c r="U49" i="1"/>
  <c r="U47" i="1"/>
  <c r="T101" i="1"/>
  <c r="T99" i="1"/>
  <c r="T97" i="1"/>
  <c r="T95" i="1"/>
  <c r="T93" i="1"/>
  <c r="T91" i="1"/>
  <c r="T89" i="1"/>
  <c r="T87" i="1"/>
  <c r="T85" i="1"/>
  <c r="T83" i="1"/>
  <c r="T81" i="1"/>
  <c r="T79" i="1"/>
  <c r="T77" i="1"/>
  <c r="T75" i="1"/>
  <c r="T73" i="1"/>
  <c r="T71" i="1"/>
  <c r="T69" i="1"/>
  <c r="T67" i="1"/>
  <c r="T65" i="1"/>
  <c r="T63" i="1"/>
  <c r="T61" i="1"/>
  <c r="T59" i="1"/>
  <c r="T57" i="1"/>
  <c r="T55" i="1"/>
  <c r="T53" i="1"/>
  <c r="T51" i="1"/>
  <c r="T49" i="1"/>
  <c r="T47" i="1"/>
  <c r="U102" i="1"/>
  <c r="U100" i="1"/>
  <c r="U98" i="1"/>
  <c r="U96" i="1"/>
  <c r="U94" i="1"/>
  <c r="U92" i="1"/>
  <c r="U90" i="1"/>
  <c r="U88" i="1"/>
  <c r="U86" i="1"/>
  <c r="U84" i="1"/>
  <c r="U82" i="1"/>
  <c r="U80" i="1"/>
  <c r="U78" i="1"/>
  <c r="U76" i="1"/>
  <c r="U74" i="1"/>
  <c r="U72" i="1"/>
  <c r="U70" i="1"/>
  <c r="U68" i="1"/>
  <c r="T100" i="1"/>
  <c r="T96" i="1"/>
  <c r="T92" i="1"/>
  <c r="T88" i="1"/>
  <c r="T84" i="1"/>
  <c r="T80" i="1"/>
  <c r="T76" i="1"/>
  <c r="T50" i="1"/>
  <c r="T46" i="1"/>
  <c r="T45" i="1"/>
  <c r="U44" i="1"/>
  <c r="U41" i="1"/>
  <c r="U39" i="1"/>
  <c r="U37" i="1"/>
  <c r="U35" i="1"/>
  <c r="T34" i="1"/>
  <c r="U29" i="1"/>
  <c r="T72" i="1"/>
  <c r="T70" i="1"/>
  <c r="U62" i="1"/>
  <c r="U58" i="1"/>
  <c r="U54" i="1"/>
  <c r="T44" i="1"/>
  <c r="U43" i="1"/>
  <c r="T41" i="1"/>
  <c r="T39" i="1"/>
  <c r="T37" i="1"/>
  <c r="T35" i="1"/>
  <c r="U32" i="1"/>
  <c r="T29" i="1"/>
  <c r="T25" i="1"/>
  <c r="T62" i="1"/>
  <c r="T58" i="1"/>
  <c r="T54" i="1"/>
  <c r="T43" i="1"/>
  <c r="T32" i="1"/>
  <c r="U30" i="1"/>
  <c r="U17" i="1"/>
  <c r="U66" i="1"/>
  <c r="U52" i="1"/>
  <c r="U48" i="1"/>
  <c r="U33" i="1"/>
  <c r="T30" i="1"/>
  <c r="T102" i="1"/>
  <c r="T98" i="1"/>
  <c r="T94" i="1"/>
  <c r="T90" i="1"/>
  <c r="T86" i="1"/>
  <c r="T82" i="1"/>
  <c r="T78" i="1"/>
  <c r="T74" i="1"/>
  <c r="T66" i="1"/>
  <c r="T52" i="1"/>
  <c r="T48" i="1"/>
  <c r="U42" i="1"/>
  <c r="U40" i="1"/>
  <c r="U38" i="1"/>
  <c r="U36" i="1"/>
  <c r="T33" i="1"/>
  <c r="U26" i="1"/>
  <c r="U24" i="1"/>
  <c r="U64" i="1"/>
  <c r="U60" i="1"/>
  <c r="U56" i="1"/>
  <c r="T42" i="1"/>
  <c r="T40" i="1"/>
  <c r="T38" i="1"/>
  <c r="T36" i="1"/>
  <c r="U27" i="1"/>
  <c r="T26" i="1"/>
  <c r="T24" i="1"/>
  <c r="T22" i="1"/>
  <c r="T20" i="1"/>
  <c r="U18" i="1"/>
  <c r="U50" i="1"/>
  <c r="U46" i="1"/>
  <c r="U45" i="1"/>
  <c r="U34" i="1"/>
  <c r="T31" i="1"/>
  <c r="B29" i="1"/>
  <c r="T56" i="1"/>
  <c r="O7" i="1"/>
  <c r="U10" i="1"/>
  <c r="O11" i="1"/>
  <c r="O17" i="1"/>
  <c r="AK18" i="1"/>
  <c r="U22" i="1"/>
  <c r="AK26" i="1"/>
  <c r="T27" i="1"/>
  <c r="AM62" i="6" l="1"/>
  <c r="AP62" i="6" s="1"/>
  <c r="B17" i="6" s="1"/>
  <c r="B19" i="6" s="1"/>
  <c r="AD5" i="6"/>
  <c r="AD6" i="6" s="1"/>
  <c r="AD7" i="6" s="1"/>
  <c r="AD8" i="6" s="1"/>
  <c r="AD9" i="6" s="1"/>
  <c r="AD10" i="6" s="1"/>
  <c r="AD11" i="6" s="1"/>
  <c r="AD12" i="6" s="1"/>
  <c r="AD13" i="6" s="1"/>
  <c r="AD14" i="6" s="1"/>
  <c r="AD15" i="6" s="1"/>
  <c r="AD16" i="6" s="1"/>
  <c r="AD17" i="6" s="1"/>
  <c r="AD18" i="6" s="1"/>
  <c r="AD19" i="6" s="1"/>
  <c r="AD20" i="6" s="1"/>
  <c r="AD21" i="6" s="1"/>
  <c r="AD22" i="6" s="1"/>
  <c r="AD23" i="6" s="1"/>
  <c r="AD24" i="6" s="1"/>
  <c r="AD25" i="6" s="1"/>
  <c r="AD26" i="6" s="1"/>
  <c r="AD27" i="6" s="1"/>
  <c r="AD28" i="6" s="1"/>
  <c r="AD29" i="6" s="1"/>
  <c r="AD30" i="6" s="1"/>
  <c r="AD31" i="6" s="1"/>
  <c r="AD32" i="6" s="1"/>
  <c r="E28" i="6"/>
  <c r="AG4" i="6"/>
  <c r="AG5" i="6" s="1"/>
  <c r="AG6" i="6" s="1"/>
  <c r="AG7" i="6" s="1"/>
  <c r="AG8" i="6" s="1"/>
  <c r="AG9" i="6" s="1"/>
  <c r="AG10" i="6" s="1"/>
  <c r="AG11" i="6" s="1"/>
  <c r="AG12" i="6" s="1"/>
  <c r="AG13" i="6" s="1"/>
  <c r="AG14" i="6" s="1"/>
  <c r="AG15" i="6" s="1"/>
  <c r="AG16" i="6" s="1"/>
  <c r="AG17" i="6" s="1"/>
  <c r="AG18" i="6" s="1"/>
  <c r="AG19" i="6" s="1"/>
  <c r="AG20" i="6" s="1"/>
  <c r="AG21" i="6" s="1"/>
  <c r="AG22" i="6" s="1"/>
  <c r="AG23" i="6" s="1"/>
  <c r="AG24" i="6" s="1"/>
  <c r="AG25" i="6" s="1"/>
  <c r="AG26" i="6" s="1"/>
  <c r="AG27" i="6" s="1"/>
  <c r="AG28" i="6" s="1"/>
  <c r="AG29" i="6" s="1"/>
  <c r="AG30" i="6" s="1"/>
  <c r="AG31" i="6" s="1"/>
  <c r="AG32" i="6" s="1"/>
  <c r="P45" i="6"/>
  <c r="P50" i="6"/>
  <c r="P25" i="6"/>
  <c r="P16" i="6"/>
  <c r="P36" i="6"/>
  <c r="P59" i="6"/>
  <c r="P19" i="6"/>
  <c r="P2" i="6"/>
  <c r="P43" i="6"/>
  <c r="P48" i="6"/>
  <c r="P8" i="6"/>
  <c r="P34" i="6"/>
  <c r="P38" i="6"/>
  <c r="P60" i="6"/>
  <c r="P57" i="6"/>
  <c r="P41" i="6"/>
  <c r="U101" i="6"/>
  <c r="U99" i="6"/>
  <c r="U97" i="6"/>
  <c r="U95" i="6"/>
  <c r="U93" i="6"/>
  <c r="U91" i="6"/>
  <c r="U89" i="6"/>
  <c r="U87" i="6"/>
  <c r="U85" i="6"/>
  <c r="U83" i="6"/>
  <c r="U81" i="6"/>
  <c r="T101" i="6"/>
  <c r="T99" i="6"/>
  <c r="T97" i="6"/>
  <c r="T95" i="6"/>
  <c r="T93" i="6"/>
  <c r="T91" i="6"/>
  <c r="T89" i="6"/>
  <c r="T87" i="6"/>
  <c r="T85" i="6"/>
  <c r="T83" i="6"/>
  <c r="T81" i="6"/>
  <c r="T79" i="6"/>
  <c r="T77" i="6"/>
  <c r="T75" i="6"/>
  <c r="T73" i="6"/>
  <c r="T71" i="6"/>
  <c r="T69" i="6"/>
  <c r="T67" i="6"/>
  <c r="T65" i="6"/>
  <c r="T63" i="6"/>
  <c r="T61" i="6"/>
  <c r="T59" i="6"/>
  <c r="T57" i="6"/>
  <c r="T55" i="6"/>
  <c r="T53" i="6"/>
  <c r="T51" i="6"/>
  <c r="T49" i="6"/>
  <c r="T47" i="6"/>
  <c r="T45" i="6"/>
  <c r="T43" i="6"/>
  <c r="T41" i="6"/>
  <c r="U102" i="6"/>
  <c r="U100" i="6"/>
  <c r="U98" i="6"/>
  <c r="U96" i="6"/>
  <c r="U94" i="6"/>
  <c r="U92" i="6"/>
  <c r="U90" i="6"/>
  <c r="U88" i="6"/>
  <c r="U86" i="6"/>
  <c r="U84" i="6"/>
  <c r="U82" i="6"/>
  <c r="U80" i="6"/>
  <c r="U78" i="6"/>
  <c r="U76" i="6"/>
  <c r="U74" i="6"/>
  <c r="U72" i="6"/>
  <c r="U70" i="6"/>
  <c r="U68" i="6"/>
  <c r="T102" i="6"/>
  <c r="T100" i="6"/>
  <c r="T98" i="6"/>
  <c r="T96" i="6"/>
  <c r="T94" i="6"/>
  <c r="T92" i="6"/>
  <c r="T90" i="6"/>
  <c r="T88" i="6"/>
  <c r="T86" i="6"/>
  <c r="T84" i="6"/>
  <c r="T82" i="6"/>
  <c r="T80" i="6"/>
  <c r="T78" i="6"/>
  <c r="T76" i="6"/>
  <c r="T74" i="6"/>
  <c r="T72" i="6"/>
  <c r="T70" i="6"/>
  <c r="T68" i="6"/>
  <c r="T66" i="6"/>
  <c r="T64" i="6"/>
  <c r="T62" i="6"/>
  <c r="T60" i="6"/>
  <c r="T58" i="6"/>
  <c r="T56" i="6"/>
  <c r="T54" i="6"/>
  <c r="T52" i="6"/>
  <c r="T50" i="6"/>
  <c r="T48" i="6"/>
  <c r="T46" i="6"/>
  <c r="T44" i="6"/>
  <c r="T42" i="6"/>
  <c r="U39" i="6"/>
  <c r="U37" i="6"/>
  <c r="U35" i="6"/>
  <c r="T34" i="6"/>
  <c r="U29" i="6"/>
  <c r="U75" i="6"/>
  <c r="U65" i="6"/>
  <c r="U61" i="6"/>
  <c r="T39" i="6"/>
  <c r="T37" i="6"/>
  <c r="T35" i="6"/>
  <c r="U32" i="6"/>
  <c r="T29" i="6"/>
  <c r="T25" i="6"/>
  <c r="T23" i="6"/>
  <c r="T21" i="6"/>
  <c r="T19" i="6"/>
  <c r="U69" i="6"/>
  <c r="T32" i="6"/>
  <c r="U30" i="6"/>
  <c r="U17" i="6"/>
  <c r="U79" i="6"/>
  <c r="U64" i="6"/>
  <c r="U62" i="6"/>
  <c r="U58" i="6"/>
  <c r="U57" i="6"/>
  <c r="U56" i="6"/>
  <c r="U55" i="6"/>
  <c r="U54" i="6"/>
  <c r="U53" i="6"/>
  <c r="U52" i="6"/>
  <c r="U51" i="6"/>
  <c r="U50" i="6"/>
  <c r="U49" i="6"/>
  <c r="U48" i="6"/>
  <c r="U47" i="6"/>
  <c r="U46" i="6"/>
  <c r="U45" i="6"/>
  <c r="U44" i="6"/>
  <c r="U43" i="6"/>
  <c r="U42" i="6"/>
  <c r="U41" i="6"/>
  <c r="U33" i="6"/>
  <c r="U67" i="6"/>
  <c r="U63" i="6"/>
  <c r="U59" i="6"/>
  <c r="T40" i="6"/>
  <c r="T38" i="6"/>
  <c r="T36" i="6"/>
  <c r="U27" i="6"/>
  <c r="T26" i="6"/>
  <c r="T24" i="6"/>
  <c r="T22" i="6"/>
  <c r="T20" i="6"/>
  <c r="U18" i="6"/>
  <c r="U77" i="6"/>
  <c r="U60" i="6"/>
  <c r="B29" i="6"/>
  <c r="U31" i="6"/>
  <c r="U28" i="6"/>
  <c r="T27" i="6"/>
  <c r="T30" i="6"/>
  <c r="U26" i="6"/>
  <c r="T11" i="6"/>
  <c r="U73" i="6"/>
  <c r="U23" i="6"/>
  <c r="U21" i="6"/>
  <c r="U19" i="6"/>
  <c r="T4" i="6"/>
  <c r="B30" i="6"/>
  <c r="T2" i="6"/>
  <c r="U66" i="6"/>
  <c r="U25" i="6"/>
  <c r="U10" i="6"/>
  <c r="U3" i="6"/>
  <c r="T33" i="6"/>
  <c r="T10" i="6"/>
  <c r="U8" i="6"/>
  <c r="T3" i="6"/>
  <c r="U11" i="6"/>
  <c r="U71" i="6"/>
  <c r="U36" i="6"/>
  <c r="U24" i="6"/>
  <c r="U22" i="6"/>
  <c r="U20" i="6"/>
  <c r="U16" i="6"/>
  <c r="U15" i="6"/>
  <c r="U14" i="6"/>
  <c r="U13" i="6"/>
  <c r="U12" i="6"/>
  <c r="E9" i="6"/>
  <c r="T8" i="6"/>
  <c r="U7" i="6"/>
  <c r="T5" i="6"/>
  <c r="U38" i="6"/>
  <c r="U34" i="6"/>
  <c r="T17" i="6"/>
  <c r="T16" i="6"/>
  <c r="T15" i="6"/>
  <c r="T14" i="6"/>
  <c r="T13" i="6"/>
  <c r="T12" i="6"/>
  <c r="U9" i="6"/>
  <c r="T7" i="6"/>
  <c r="U6" i="6"/>
  <c r="U40" i="6"/>
  <c r="T31" i="6"/>
  <c r="T28" i="6"/>
  <c r="T18" i="6"/>
  <c r="T9" i="6"/>
  <c r="T6" i="6"/>
  <c r="U5" i="6"/>
  <c r="U4" i="6"/>
  <c r="U2" i="6"/>
  <c r="P32" i="6"/>
  <c r="B27" i="6" s="1"/>
  <c r="B32" i="6" s="1"/>
  <c r="P9" i="6"/>
  <c r="P3" i="6"/>
  <c r="P46" i="6"/>
  <c r="P18" i="6"/>
  <c r="P28" i="6"/>
  <c r="P29" i="6"/>
  <c r="P40" i="6"/>
  <c r="P62" i="6"/>
  <c r="P55" i="6"/>
  <c r="AJ7" i="6"/>
  <c r="AJ8" i="6" s="1"/>
  <c r="AJ9" i="6" s="1"/>
  <c r="AJ10" i="6" s="1"/>
  <c r="AJ11" i="6" s="1"/>
  <c r="AJ12" i="6" s="1"/>
  <c r="AJ13" i="6" s="1"/>
  <c r="AJ14" i="6" s="1"/>
  <c r="AJ15" i="6" s="1"/>
  <c r="AJ16" i="6" s="1"/>
  <c r="AJ17" i="6" s="1"/>
  <c r="AJ18" i="6" s="1"/>
  <c r="AJ19" i="6" s="1"/>
  <c r="AJ20" i="6" s="1"/>
  <c r="AJ21" i="6" s="1"/>
  <c r="AJ22" i="6" s="1"/>
  <c r="AJ23" i="6" s="1"/>
  <c r="AJ24" i="6" s="1"/>
  <c r="AJ25" i="6" s="1"/>
  <c r="AJ26" i="6" s="1"/>
  <c r="AJ27" i="6" s="1"/>
  <c r="AJ28" i="6" s="1"/>
  <c r="AJ29" i="6" s="1"/>
  <c r="AJ30" i="6" s="1"/>
  <c r="AJ31" i="6" s="1"/>
  <c r="AJ32" i="6" s="1"/>
  <c r="P14" i="6"/>
  <c r="P44" i="6"/>
  <c r="P17" i="6"/>
  <c r="P35" i="6"/>
  <c r="P20" i="6"/>
  <c r="P13" i="6"/>
  <c r="P11" i="6"/>
  <c r="P5" i="6"/>
  <c r="P53" i="6"/>
  <c r="P58" i="6"/>
  <c r="P42" i="6"/>
  <c r="P31" i="6"/>
  <c r="P37" i="6"/>
  <c r="P22" i="6"/>
  <c r="P15" i="6"/>
  <c r="P23" i="6"/>
  <c r="P51" i="6"/>
  <c r="P52" i="6"/>
  <c r="P56" i="6"/>
  <c r="P39" i="6"/>
  <c r="P24" i="6"/>
  <c r="P33" i="6"/>
  <c r="P49" i="6"/>
  <c r="P10" i="6"/>
  <c r="P54" i="6"/>
  <c r="P7" i="6"/>
  <c r="P12" i="6"/>
  <c r="P26" i="6"/>
  <c r="P30" i="6"/>
  <c r="P21" i="6"/>
  <c r="P4" i="6"/>
  <c r="P47" i="6"/>
  <c r="P11" i="5"/>
  <c r="P7" i="5"/>
  <c r="P44" i="5"/>
  <c r="P35" i="5"/>
  <c r="P51" i="5"/>
  <c r="P68" i="5"/>
  <c r="P84" i="5"/>
  <c r="P100" i="5"/>
  <c r="P63" i="5"/>
  <c r="P79" i="5"/>
  <c r="P95" i="5"/>
  <c r="P19" i="5"/>
  <c r="Z107" i="5"/>
  <c r="Z97" i="5"/>
  <c r="Y107" i="5"/>
  <c r="AM107" i="5" s="1"/>
  <c r="AP107" i="5" s="1"/>
  <c r="Y97" i="5"/>
  <c r="AA88" i="5"/>
  <c r="AA78" i="5"/>
  <c r="AA68" i="5"/>
  <c r="AA58" i="5"/>
  <c r="Z88" i="5"/>
  <c r="Z78" i="5"/>
  <c r="Y88" i="5"/>
  <c r="AM88" i="5" s="1"/>
  <c r="AP88" i="5" s="1"/>
  <c r="Y78" i="5"/>
  <c r="AM78" i="5" s="1"/>
  <c r="AP78" i="5" s="1"/>
  <c r="AA107" i="5"/>
  <c r="AA97" i="5"/>
  <c r="Y58" i="5"/>
  <c r="AM58" i="5" s="1"/>
  <c r="AP58" i="5" s="1"/>
  <c r="AA48" i="5"/>
  <c r="Z48" i="5"/>
  <c r="Y48" i="5"/>
  <c r="AM48" i="5" s="1"/>
  <c r="AP48" i="5" s="1"/>
  <c r="Y68" i="5"/>
  <c r="Z58" i="5"/>
  <c r="Z68" i="5"/>
  <c r="P24" i="5"/>
  <c r="P46" i="5"/>
  <c r="P37" i="5"/>
  <c r="P53" i="5"/>
  <c r="P70" i="5"/>
  <c r="P86" i="5"/>
  <c r="P102" i="5"/>
  <c r="P65" i="5"/>
  <c r="P81" i="5"/>
  <c r="P97" i="5"/>
  <c r="P26" i="5"/>
  <c r="P4" i="5"/>
  <c r="P16" i="5"/>
  <c r="P29" i="5"/>
  <c r="P66" i="5"/>
  <c r="P98" i="5"/>
  <c r="P77" i="5"/>
  <c r="P8" i="5"/>
  <c r="P48" i="5"/>
  <c r="P39" i="5"/>
  <c r="P56" i="5"/>
  <c r="P72" i="5"/>
  <c r="P88" i="5"/>
  <c r="P104" i="5"/>
  <c r="P67" i="5"/>
  <c r="P83" i="5"/>
  <c r="P99" i="5"/>
  <c r="P25" i="5"/>
  <c r="P30" i="5"/>
  <c r="P49" i="5"/>
  <c r="P82" i="5"/>
  <c r="P61" i="5"/>
  <c r="P93" i="5"/>
  <c r="P12" i="5"/>
  <c r="P22" i="5"/>
  <c r="P9" i="5"/>
  <c r="P50" i="5"/>
  <c r="P41" i="5"/>
  <c r="P58" i="5"/>
  <c r="P74" i="5"/>
  <c r="P90" i="5"/>
  <c r="P106" i="5"/>
  <c r="P69" i="5"/>
  <c r="P85" i="5"/>
  <c r="P101" i="5"/>
  <c r="AG4" i="5"/>
  <c r="AG5" i="5" s="1"/>
  <c r="AG6" i="5" s="1"/>
  <c r="AG7" i="5" s="1"/>
  <c r="AG8" i="5" s="1"/>
  <c r="AG9" i="5" s="1"/>
  <c r="AG10" i="5" s="1"/>
  <c r="AG11" i="5" s="1"/>
  <c r="AG12" i="5" s="1"/>
  <c r="AG13" i="5" s="1"/>
  <c r="AG14" i="5" s="1"/>
  <c r="AG15" i="5" s="1"/>
  <c r="AG16" i="5" s="1"/>
  <c r="AG17" i="5" s="1"/>
  <c r="AG18" i="5" s="1"/>
  <c r="AG19" i="5" s="1"/>
  <c r="AG20" i="5" s="1"/>
  <c r="AG21" i="5" s="1"/>
  <c r="AG22" i="5" s="1"/>
  <c r="AG23" i="5" s="1"/>
  <c r="AG24" i="5" s="1"/>
  <c r="AG25" i="5" s="1"/>
  <c r="AG26" i="5" s="1"/>
  <c r="AG27" i="5" s="1"/>
  <c r="AG28" i="5" s="1"/>
  <c r="AG29" i="5" s="1"/>
  <c r="AG30" i="5" s="1"/>
  <c r="AG31" i="5" s="1"/>
  <c r="AG32" i="5" s="1"/>
  <c r="P15" i="5"/>
  <c r="P28" i="5"/>
  <c r="P36" i="5"/>
  <c r="P52" i="5"/>
  <c r="P43" i="5"/>
  <c r="P60" i="5"/>
  <c r="P76" i="5"/>
  <c r="P92" i="5"/>
  <c r="P55" i="5"/>
  <c r="P71" i="5"/>
  <c r="P87" i="5"/>
  <c r="P103" i="5"/>
  <c r="P2" i="5"/>
  <c r="P14" i="5"/>
  <c r="P23" i="5"/>
  <c r="P20" i="5"/>
  <c r="P18" i="5"/>
  <c r="P38" i="5"/>
  <c r="P54" i="5"/>
  <c r="P45" i="5"/>
  <c r="P62" i="5"/>
  <c r="P78" i="5"/>
  <c r="P94" i="5"/>
  <c r="P57" i="5"/>
  <c r="P73" i="5"/>
  <c r="P89" i="5"/>
  <c r="P105" i="5"/>
  <c r="P32" i="5"/>
  <c r="B27" i="5"/>
  <c r="P3" i="5"/>
  <c r="AD6" i="5"/>
  <c r="P42" i="5"/>
  <c r="P13" i="5"/>
  <c r="U106" i="5"/>
  <c r="U104" i="5"/>
  <c r="U102" i="5"/>
  <c r="U100" i="5"/>
  <c r="U98" i="5"/>
  <c r="U96" i="5"/>
  <c r="U94" i="5"/>
  <c r="U92" i="5"/>
  <c r="U90" i="5"/>
  <c r="U88" i="5"/>
  <c r="U86" i="5"/>
  <c r="U84" i="5"/>
  <c r="U82" i="5"/>
  <c r="U80" i="5"/>
  <c r="U78" i="5"/>
  <c r="U76" i="5"/>
  <c r="U74" i="5"/>
  <c r="U72" i="5"/>
  <c r="U70" i="5"/>
  <c r="U68" i="5"/>
  <c r="T106" i="5"/>
  <c r="T104" i="5"/>
  <c r="T102" i="5"/>
  <c r="T100" i="5"/>
  <c r="T98" i="5"/>
  <c r="T96" i="5"/>
  <c r="T94" i="5"/>
  <c r="T92" i="5"/>
  <c r="T90" i="5"/>
  <c r="T88" i="5"/>
  <c r="T86" i="5"/>
  <c r="T84" i="5"/>
  <c r="T82" i="5"/>
  <c r="T80" i="5"/>
  <c r="T78" i="5"/>
  <c r="T76" i="5"/>
  <c r="T74" i="5"/>
  <c r="T72" i="5"/>
  <c r="T70" i="5"/>
  <c r="T68" i="5"/>
  <c r="T66" i="5"/>
  <c r="U107" i="5"/>
  <c r="U105" i="5"/>
  <c r="U103" i="5"/>
  <c r="U101" i="5"/>
  <c r="U99" i="5"/>
  <c r="U97" i="5"/>
  <c r="U95" i="5"/>
  <c r="U93" i="5"/>
  <c r="U91" i="5"/>
  <c r="U89" i="5"/>
  <c r="U87" i="5"/>
  <c r="U85" i="5"/>
  <c r="U83" i="5"/>
  <c r="U81" i="5"/>
  <c r="U79" i="5"/>
  <c r="U77" i="5"/>
  <c r="U75" i="5"/>
  <c r="U73" i="5"/>
  <c r="U71" i="5"/>
  <c r="T103" i="5"/>
  <c r="T101" i="5"/>
  <c r="T99" i="5"/>
  <c r="T73" i="5"/>
  <c r="T67" i="5"/>
  <c r="T64" i="5"/>
  <c r="U63" i="5"/>
  <c r="T55" i="5"/>
  <c r="U54" i="5"/>
  <c r="T52" i="5"/>
  <c r="T50" i="5"/>
  <c r="T48" i="5"/>
  <c r="T46" i="5"/>
  <c r="T44" i="5"/>
  <c r="T42" i="5"/>
  <c r="T63" i="5"/>
  <c r="U62" i="5"/>
  <c r="T54" i="5"/>
  <c r="B29" i="5"/>
  <c r="U31" i="5"/>
  <c r="T71" i="5"/>
  <c r="T62" i="5"/>
  <c r="U61" i="5"/>
  <c r="T87" i="5"/>
  <c r="T61" i="5"/>
  <c r="U60" i="5"/>
  <c r="U53" i="5"/>
  <c r="U51" i="5"/>
  <c r="U49" i="5"/>
  <c r="U47" i="5"/>
  <c r="T85" i="5"/>
  <c r="U69" i="5"/>
  <c r="T60" i="5"/>
  <c r="U59" i="5"/>
  <c r="U58" i="5"/>
  <c r="T53" i="5"/>
  <c r="T51" i="5"/>
  <c r="T49" i="5"/>
  <c r="T47" i="5"/>
  <c r="T45" i="5"/>
  <c r="T43" i="5"/>
  <c r="T41" i="5"/>
  <c r="T39" i="5"/>
  <c r="T37" i="5"/>
  <c r="T35" i="5"/>
  <c r="U32" i="5"/>
  <c r="T29" i="5"/>
  <c r="T97" i="5"/>
  <c r="T95" i="5"/>
  <c r="T93" i="5"/>
  <c r="T91" i="5"/>
  <c r="T89" i="5"/>
  <c r="T83" i="5"/>
  <c r="T77" i="5"/>
  <c r="T69" i="5"/>
  <c r="T59" i="5"/>
  <c r="T58" i="5"/>
  <c r="U57" i="5"/>
  <c r="T105" i="5"/>
  <c r="T79" i="5"/>
  <c r="U67" i="5"/>
  <c r="U66" i="5"/>
  <c r="T65" i="5"/>
  <c r="U64" i="5"/>
  <c r="T56" i="5"/>
  <c r="U55" i="5"/>
  <c r="U52" i="5"/>
  <c r="U50" i="5"/>
  <c r="U48" i="5"/>
  <c r="U46" i="5"/>
  <c r="U44" i="5"/>
  <c r="U42" i="5"/>
  <c r="U40" i="5"/>
  <c r="U38" i="5"/>
  <c r="U36" i="5"/>
  <c r="T57" i="5"/>
  <c r="U45" i="5"/>
  <c r="U41" i="5"/>
  <c r="U37" i="5"/>
  <c r="T33" i="5"/>
  <c r="T25" i="5"/>
  <c r="T23" i="5"/>
  <c r="T21" i="5"/>
  <c r="T19" i="5"/>
  <c r="U10" i="5"/>
  <c r="T32" i="5"/>
  <c r="T31" i="5"/>
  <c r="U30" i="5"/>
  <c r="U27" i="5"/>
  <c r="U17" i="5"/>
  <c r="T10" i="5"/>
  <c r="U3" i="5"/>
  <c r="U65" i="5"/>
  <c r="T38" i="5"/>
  <c r="T30" i="5"/>
  <c r="T27" i="5"/>
  <c r="T17" i="5"/>
  <c r="U15" i="5"/>
  <c r="U13" i="5"/>
  <c r="U11" i="5"/>
  <c r="U8" i="5"/>
  <c r="B30" i="5"/>
  <c r="T3" i="5"/>
  <c r="T75" i="5"/>
  <c r="U56" i="5"/>
  <c r="U29" i="5"/>
  <c r="U24" i="5"/>
  <c r="U22" i="5"/>
  <c r="U20" i="5"/>
  <c r="T15" i="5"/>
  <c r="T13" i="5"/>
  <c r="T11" i="5"/>
  <c r="E9" i="5"/>
  <c r="T8" i="5"/>
  <c r="U7" i="5"/>
  <c r="T2" i="5"/>
  <c r="U39" i="5"/>
  <c r="U35" i="5"/>
  <c r="U28" i="5"/>
  <c r="T24" i="5"/>
  <c r="T22" i="5"/>
  <c r="T20" i="5"/>
  <c r="U18" i="5"/>
  <c r="U9" i="5"/>
  <c r="T7" i="5"/>
  <c r="U6" i="5"/>
  <c r="T5" i="5"/>
  <c r="T81" i="5"/>
  <c r="T28" i="5"/>
  <c r="T18" i="5"/>
  <c r="T9" i="5"/>
  <c r="T6" i="5"/>
  <c r="U5" i="5"/>
  <c r="U4" i="5"/>
  <c r="U2" i="5"/>
  <c r="T107" i="5"/>
  <c r="T40" i="5"/>
  <c r="T36" i="5"/>
  <c r="U34" i="5"/>
  <c r="U26" i="5"/>
  <c r="U16" i="5"/>
  <c r="U14" i="5"/>
  <c r="U12" i="5"/>
  <c r="T4" i="5"/>
  <c r="U43" i="5"/>
  <c r="T34" i="5"/>
  <c r="U33" i="5"/>
  <c r="T26" i="5"/>
  <c r="U25" i="5"/>
  <c r="U23" i="5"/>
  <c r="U21" i="5"/>
  <c r="U19" i="5"/>
  <c r="T16" i="5"/>
  <c r="T14" i="5"/>
  <c r="T12" i="5"/>
  <c r="P40" i="5"/>
  <c r="P33" i="5"/>
  <c r="P47" i="5"/>
  <c r="P64" i="5"/>
  <c r="P80" i="5"/>
  <c r="P96" i="5"/>
  <c r="P59" i="5"/>
  <c r="P75" i="5"/>
  <c r="P91" i="5"/>
  <c r="P107" i="5"/>
  <c r="P5" i="5"/>
  <c r="P21" i="5"/>
  <c r="P31" i="5"/>
  <c r="P27" i="5"/>
  <c r="P17" i="5"/>
  <c r="E29" i="5"/>
  <c r="AD5" i="4"/>
  <c r="AD6" i="4" s="1"/>
  <c r="AD7" i="4" s="1"/>
  <c r="AD8" i="4" s="1"/>
  <c r="AD9" i="4" s="1"/>
  <c r="AD10" i="4" s="1"/>
  <c r="AD11" i="4" s="1"/>
  <c r="AD12" i="4" s="1"/>
  <c r="AD13" i="4" s="1"/>
  <c r="AD14" i="4" s="1"/>
  <c r="AD15" i="4" s="1"/>
  <c r="AD16" i="4" s="1"/>
  <c r="AG5" i="4"/>
  <c r="AG6" i="4" s="1"/>
  <c r="AG7" i="4" s="1"/>
  <c r="AG8" i="4" s="1"/>
  <c r="AG9" i="4" s="1"/>
  <c r="AG10" i="4" s="1"/>
  <c r="AG11" i="4" s="1"/>
  <c r="AG12" i="4" s="1"/>
  <c r="AG13" i="4" s="1"/>
  <c r="AG14" i="4" s="1"/>
  <c r="AG15" i="4" s="1"/>
  <c r="AG16" i="4" s="1"/>
  <c r="AG17" i="4" s="1"/>
  <c r="AG18" i="4" s="1"/>
  <c r="AG19" i="4" s="1"/>
  <c r="AG20" i="4" s="1"/>
  <c r="AG21" i="4" s="1"/>
  <c r="AG22" i="4" s="1"/>
  <c r="AG23" i="4" s="1"/>
  <c r="AG24" i="4" s="1"/>
  <c r="AG25" i="4" s="1"/>
  <c r="AG26" i="4" s="1"/>
  <c r="AG27" i="4" s="1"/>
  <c r="AG28" i="4" s="1"/>
  <c r="AG29" i="4" s="1"/>
  <c r="AG30" i="4" s="1"/>
  <c r="AG31" i="4" s="1"/>
  <c r="AG32" i="4" s="1"/>
  <c r="E29" i="4"/>
  <c r="B17" i="4"/>
  <c r="B19" i="4" s="1"/>
  <c r="P19" i="4"/>
  <c r="P37" i="4"/>
  <c r="P36" i="4"/>
  <c r="P44" i="4"/>
  <c r="P60" i="4"/>
  <c r="P39" i="4"/>
  <c r="P46" i="4"/>
  <c r="P51" i="4"/>
  <c r="P27" i="4"/>
  <c r="P41" i="4"/>
  <c r="P17" i="4"/>
  <c r="P34" i="4"/>
  <c r="P62" i="4"/>
  <c r="P12" i="4"/>
  <c r="P55" i="4"/>
  <c r="P59" i="4"/>
  <c r="P30" i="4"/>
  <c r="P50" i="4"/>
  <c r="AK17" i="4"/>
  <c r="AK32" i="4"/>
  <c r="P38" i="4"/>
  <c r="P21" i="4"/>
  <c r="P28" i="4"/>
  <c r="P23" i="4"/>
  <c r="P61" i="4"/>
  <c r="P20" i="4"/>
  <c r="P52" i="4"/>
  <c r="H27" i="4"/>
  <c r="H35" i="4" s="1"/>
  <c r="U101" i="4"/>
  <c r="U99" i="4"/>
  <c r="U97" i="4"/>
  <c r="U95" i="4"/>
  <c r="U93" i="4"/>
  <c r="U91" i="4"/>
  <c r="U89" i="4"/>
  <c r="U87" i="4"/>
  <c r="U85" i="4"/>
  <c r="U83" i="4"/>
  <c r="U81" i="4"/>
  <c r="U79" i="4"/>
  <c r="U77" i="4"/>
  <c r="U75" i="4"/>
  <c r="U73" i="4"/>
  <c r="U71" i="4"/>
  <c r="U69" i="4"/>
  <c r="U67" i="4"/>
  <c r="U65" i="4"/>
  <c r="U63" i="4"/>
  <c r="U61" i="4"/>
  <c r="U59" i="4"/>
  <c r="U57" i="4"/>
  <c r="T101" i="4"/>
  <c r="T99" i="4"/>
  <c r="T97" i="4"/>
  <c r="T95" i="4"/>
  <c r="T93" i="4"/>
  <c r="T91" i="4"/>
  <c r="T89" i="4"/>
  <c r="T87" i="4"/>
  <c r="T85" i="4"/>
  <c r="T83" i="4"/>
  <c r="T81" i="4"/>
  <c r="T79" i="4"/>
  <c r="T77" i="4"/>
  <c r="T75" i="4"/>
  <c r="T73" i="4"/>
  <c r="T71" i="4"/>
  <c r="T69" i="4"/>
  <c r="T67" i="4"/>
  <c r="T65" i="4"/>
  <c r="T63" i="4"/>
  <c r="T61" i="4"/>
  <c r="T59" i="4"/>
  <c r="T57" i="4"/>
  <c r="T55" i="4"/>
  <c r="T53" i="4"/>
  <c r="T51" i="4"/>
  <c r="T49" i="4"/>
  <c r="T47" i="4"/>
  <c r="T45" i="4"/>
  <c r="T43" i="4"/>
  <c r="T41" i="4"/>
  <c r="U102" i="4"/>
  <c r="U100" i="4"/>
  <c r="U98" i="4"/>
  <c r="U96" i="4"/>
  <c r="U94" i="4"/>
  <c r="U92" i="4"/>
  <c r="U90" i="4"/>
  <c r="U88" i="4"/>
  <c r="U86" i="4"/>
  <c r="U84" i="4"/>
  <c r="U82" i="4"/>
  <c r="U80" i="4"/>
  <c r="U78" i="4"/>
  <c r="U76" i="4"/>
  <c r="U74" i="4"/>
  <c r="U72" i="4"/>
  <c r="U70" i="4"/>
  <c r="T100" i="4"/>
  <c r="T96" i="4"/>
  <c r="T92" i="4"/>
  <c r="T88" i="4"/>
  <c r="T84" i="4"/>
  <c r="T80" i="4"/>
  <c r="T76" i="4"/>
  <c r="T72" i="4"/>
  <c r="U68" i="4"/>
  <c r="U56" i="4"/>
  <c r="T54" i="4"/>
  <c r="U53" i="4"/>
  <c r="T52" i="4"/>
  <c r="U50" i="4"/>
  <c r="U37" i="4"/>
  <c r="U35" i="4"/>
  <c r="T34" i="4"/>
  <c r="U29" i="4"/>
  <c r="U25" i="4"/>
  <c r="U23" i="4"/>
  <c r="U21" i="4"/>
  <c r="U19" i="4"/>
  <c r="T16" i="4"/>
  <c r="T14" i="4"/>
  <c r="T68" i="4"/>
  <c r="U62" i="4"/>
  <c r="T56" i="4"/>
  <c r="U55" i="4"/>
  <c r="U51" i="4"/>
  <c r="T50" i="4"/>
  <c r="U48" i="4"/>
  <c r="U39" i="4"/>
  <c r="T37" i="4"/>
  <c r="T35" i="4"/>
  <c r="U32" i="4"/>
  <c r="T29" i="4"/>
  <c r="T25" i="4"/>
  <c r="T23" i="4"/>
  <c r="T21" i="4"/>
  <c r="U64" i="4"/>
  <c r="T62" i="4"/>
  <c r="U49" i="4"/>
  <c r="T48" i="4"/>
  <c r="U46" i="4"/>
  <c r="T39" i="4"/>
  <c r="T32" i="4"/>
  <c r="U30" i="4"/>
  <c r="U17" i="4"/>
  <c r="T10" i="4"/>
  <c r="T64" i="4"/>
  <c r="U58" i="4"/>
  <c r="U47" i="4"/>
  <c r="T46" i="4"/>
  <c r="U44" i="4"/>
  <c r="U33" i="4"/>
  <c r="T30" i="4"/>
  <c r="T17" i="4"/>
  <c r="U15" i="4"/>
  <c r="U13" i="4"/>
  <c r="U66" i="4"/>
  <c r="U43" i="4"/>
  <c r="T42" i="4"/>
  <c r="T38" i="4"/>
  <c r="T36" i="4"/>
  <c r="U27" i="4"/>
  <c r="T26" i="4"/>
  <c r="T24" i="4"/>
  <c r="T22" i="4"/>
  <c r="T20" i="4"/>
  <c r="U18" i="4"/>
  <c r="T66" i="4"/>
  <c r="U60" i="4"/>
  <c r="U41" i="4"/>
  <c r="U40" i="4"/>
  <c r="T94" i="4"/>
  <c r="T78" i="4"/>
  <c r="U45" i="4"/>
  <c r="T27" i="4"/>
  <c r="U20" i="4"/>
  <c r="T15" i="4"/>
  <c r="T11" i="4"/>
  <c r="T9" i="4"/>
  <c r="U3" i="4"/>
  <c r="U38" i="4"/>
  <c r="U36" i="4"/>
  <c r="T33" i="4"/>
  <c r="U16" i="4"/>
  <c r="U14" i="4"/>
  <c r="T13" i="4"/>
  <c r="T3" i="4"/>
  <c r="B30" i="4"/>
  <c r="T98" i="4"/>
  <c r="T82" i="4"/>
  <c r="U34" i="4"/>
  <c r="T19" i="4"/>
  <c r="U7" i="4"/>
  <c r="U2" i="4"/>
  <c r="U9" i="4"/>
  <c r="U54" i="4"/>
  <c r="U52" i="4"/>
  <c r="U26" i="4"/>
  <c r="U8" i="4"/>
  <c r="T7" i="4"/>
  <c r="U6" i="4"/>
  <c r="T102" i="4"/>
  <c r="T86" i="4"/>
  <c r="T70" i="4"/>
  <c r="T44" i="4"/>
  <c r="U31" i="4"/>
  <c r="U28" i="4"/>
  <c r="T8" i="4"/>
  <c r="T6" i="4"/>
  <c r="U5" i="4"/>
  <c r="U4" i="4"/>
  <c r="T58" i="4"/>
  <c r="T31" i="4"/>
  <c r="T28" i="4"/>
  <c r="U24" i="4"/>
  <c r="T18" i="4"/>
  <c r="U12" i="4"/>
  <c r="E9" i="4"/>
  <c r="T5" i="4"/>
  <c r="T4" i="4"/>
  <c r="T2" i="4"/>
  <c r="U11" i="4"/>
  <c r="T90" i="4"/>
  <c r="T74" i="4"/>
  <c r="T60" i="4"/>
  <c r="B29" i="4"/>
  <c r="B32" i="4" s="1"/>
  <c r="U22" i="4"/>
  <c r="T12" i="4"/>
  <c r="U42" i="4"/>
  <c r="T40" i="4"/>
  <c r="U10" i="4"/>
  <c r="P57" i="4"/>
  <c r="P14" i="4"/>
  <c r="P18" i="4"/>
  <c r="P22" i="4"/>
  <c r="P45" i="4"/>
  <c r="P54" i="4"/>
  <c r="P47" i="4"/>
  <c r="P29" i="4"/>
  <c r="P8" i="4"/>
  <c r="P24" i="4"/>
  <c r="P33" i="4"/>
  <c r="P40" i="4"/>
  <c r="P56" i="4"/>
  <c r="AM22" i="4"/>
  <c r="AP22" i="4" s="1"/>
  <c r="AK22" i="4"/>
  <c r="AM32" i="4"/>
  <c r="AP32" i="4" s="1"/>
  <c r="P31" i="4"/>
  <c r="P49" i="4"/>
  <c r="P48" i="4"/>
  <c r="P7" i="4"/>
  <c r="P35" i="4"/>
  <c r="P16" i="4"/>
  <c r="P26" i="4"/>
  <c r="P43" i="4"/>
  <c r="P42" i="4"/>
  <c r="P58" i="4"/>
  <c r="P13" i="4"/>
  <c r="AM17" i="4"/>
  <c r="AP17" i="4" s="1"/>
  <c r="AD4" i="3"/>
  <c r="AD5" i="3" s="1"/>
  <c r="AD6" i="3" s="1"/>
  <c r="AD7" i="3" s="1"/>
  <c r="AD8" i="3" s="1"/>
  <c r="AD9" i="3" s="1"/>
  <c r="AD10" i="3" s="1"/>
  <c r="AD11" i="3" s="1"/>
  <c r="AD12" i="3" s="1"/>
  <c r="AD13" i="3" s="1"/>
  <c r="AD14" i="3" s="1"/>
  <c r="AD15" i="3" s="1"/>
  <c r="AD16" i="3" s="1"/>
  <c r="AD17" i="3" s="1"/>
  <c r="AD18" i="3" s="1"/>
  <c r="AD19" i="3" s="1"/>
  <c r="AD20" i="3" s="1"/>
  <c r="AD21" i="3" s="1"/>
  <c r="AG5" i="3"/>
  <c r="AG6" i="3" s="1"/>
  <c r="AG7" i="3" s="1"/>
  <c r="AG8" i="3" s="1"/>
  <c r="AG9" i="3" s="1"/>
  <c r="AG10" i="3" s="1"/>
  <c r="AG11" i="3" s="1"/>
  <c r="AG12" i="3" s="1"/>
  <c r="AG13" i="3" s="1"/>
  <c r="AG14" i="3" s="1"/>
  <c r="AG15" i="3" s="1"/>
  <c r="AG16" i="3" s="1"/>
  <c r="AG17" i="3" s="1"/>
  <c r="AG18" i="3" s="1"/>
  <c r="AG19" i="3" s="1"/>
  <c r="AG20" i="3" s="1"/>
  <c r="AG21" i="3" s="1"/>
  <c r="AG22" i="3" s="1"/>
  <c r="AG23" i="3" s="1"/>
  <c r="AG24" i="3" s="1"/>
  <c r="AG25" i="3" s="1"/>
  <c r="AG26" i="3" s="1"/>
  <c r="AG27" i="3" s="1"/>
  <c r="AG28" i="3" s="1"/>
  <c r="AG29" i="3" s="1"/>
  <c r="AG30" i="3" s="1"/>
  <c r="AG31" i="3" s="1"/>
  <c r="AG32" i="3" s="1"/>
  <c r="P13" i="3"/>
  <c r="P61" i="3"/>
  <c r="P12" i="3"/>
  <c r="P57" i="3"/>
  <c r="P16" i="3"/>
  <c r="P36" i="3"/>
  <c r="P52" i="3"/>
  <c r="P17" i="3"/>
  <c r="AK32" i="3"/>
  <c r="AM32" i="3"/>
  <c r="AP32" i="3" s="1"/>
  <c r="B17" i="3" s="1"/>
  <c r="B19" i="3" s="1"/>
  <c r="P26" i="3"/>
  <c r="P33" i="3"/>
  <c r="P27" i="3"/>
  <c r="P38" i="3"/>
  <c r="P54" i="3"/>
  <c r="P30" i="3"/>
  <c r="AK17" i="3"/>
  <c r="H27" i="3" s="1"/>
  <c r="H35" i="3" s="1"/>
  <c r="P45" i="3"/>
  <c r="P25" i="3"/>
  <c r="P8" i="3"/>
  <c r="P51" i="3"/>
  <c r="P7" i="3"/>
  <c r="P41" i="3"/>
  <c r="P34" i="3"/>
  <c r="P40" i="3"/>
  <c r="P56" i="3"/>
  <c r="AK22" i="3"/>
  <c r="P28" i="3"/>
  <c r="P5" i="3"/>
  <c r="P49" i="3"/>
  <c r="P23" i="3"/>
  <c r="P39" i="3"/>
  <c r="P9" i="3"/>
  <c r="P18" i="3"/>
  <c r="P42" i="3"/>
  <c r="P58" i="3"/>
  <c r="P3" i="3"/>
  <c r="P50" i="3"/>
  <c r="P21" i="3"/>
  <c r="P43" i="3"/>
  <c r="P55" i="3"/>
  <c r="B27" i="3"/>
  <c r="B32" i="3" s="1"/>
  <c r="P32" i="3"/>
  <c r="P19" i="3"/>
  <c r="P20" i="3"/>
  <c r="P44" i="3"/>
  <c r="P60" i="3"/>
  <c r="P11" i="3"/>
  <c r="P4" i="3"/>
  <c r="P37" i="3"/>
  <c r="P10" i="3"/>
  <c r="P22" i="3"/>
  <c r="P46" i="3"/>
  <c r="P62" i="3"/>
  <c r="P14" i="3"/>
  <c r="P24" i="3"/>
  <c r="P48" i="3"/>
  <c r="P15" i="3"/>
  <c r="P2" i="3"/>
  <c r="E29" i="3"/>
  <c r="AJ5" i="2"/>
  <c r="AJ6" i="2" s="1"/>
  <c r="AJ7" i="2" s="1"/>
  <c r="AJ8" i="2" s="1"/>
  <c r="AJ9" i="2" s="1"/>
  <c r="AJ10" i="2" s="1"/>
  <c r="AJ11" i="2" s="1"/>
  <c r="AJ12" i="2" s="1"/>
  <c r="AJ13" i="2" s="1"/>
  <c r="AJ14" i="2" s="1"/>
  <c r="AJ15" i="2" s="1"/>
  <c r="AJ16" i="2" s="1"/>
  <c r="P21" i="2"/>
  <c r="P26" i="2"/>
  <c r="P50" i="2"/>
  <c r="P17" i="2"/>
  <c r="P2" i="2"/>
  <c r="P59" i="2"/>
  <c r="P15" i="2"/>
  <c r="P53" i="2"/>
  <c r="P36" i="2"/>
  <c r="P52" i="2"/>
  <c r="P30" i="2"/>
  <c r="P25" i="2"/>
  <c r="P49" i="2"/>
  <c r="P43" i="2"/>
  <c r="P61" i="2"/>
  <c r="P47" i="2"/>
  <c r="P6" i="2"/>
  <c r="AD4" i="2"/>
  <c r="AD5" i="2" s="1"/>
  <c r="AD6" i="2" s="1"/>
  <c r="AD7" i="2" s="1"/>
  <c r="AD8" i="2" s="1"/>
  <c r="AD9" i="2" s="1"/>
  <c r="AD10" i="2" s="1"/>
  <c r="AD11" i="2" s="1"/>
  <c r="AD12" i="2" s="1"/>
  <c r="AD13" i="2" s="1"/>
  <c r="AD14" i="2" s="1"/>
  <c r="AD15" i="2" s="1"/>
  <c r="AD16" i="2" s="1"/>
  <c r="P51" i="2"/>
  <c r="P27" i="2"/>
  <c r="P38" i="2"/>
  <c r="P54" i="2"/>
  <c r="P45" i="2"/>
  <c r="P5" i="2"/>
  <c r="P35" i="2"/>
  <c r="P37" i="2"/>
  <c r="P13" i="2"/>
  <c r="P40" i="2"/>
  <c r="P56" i="2"/>
  <c r="P34" i="2"/>
  <c r="P16" i="2"/>
  <c r="P41" i="2"/>
  <c r="P42" i="2"/>
  <c r="P58" i="2"/>
  <c r="B27" i="2"/>
  <c r="B32" i="2" s="1"/>
  <c r="P32" i="2"/>
  <c r="P10" i="2"/>
  <c r="P3" i="2"/>
  <c r="P23" i="2"/>
  <c r="P11" i="2"/>
  <c r="P12" i="2"/>
  <c r="P28" i="2"/>
  <c r="P20" i="2"/>
  <c r="P44" i="2"/>
  <c r="P60" i="2"/>
  <c r="P19" i="2"/>
  <c r="P39" i="2"/>
  <c r="P55" i="2"/>
  <c r="P31" i="2"/>
  <c r="P22" i="2"/>
  <c r="P46" i="2"/>
  <c r="P62" i="2"/>
  <c r="P33" i="2"/>
  <c r="P18" i="2"/>
  <c r="P9" i="2"/>
  <c r="P29" i="2"/>
  <c r="P14" i="2"/>
  <c r="P24" i="2"/>
  <c r="P48" i="2"/>
  <c r="P8" i="2"/>
  <c r="P4" i="2"/>
  <c r="Z62" i="2"/>
  <c r="Z42" i="2"/>
  <c r="Z22" i="2"/>
  <c r="Y62" i="2"/>
  <c r="Y42" i="2"/>
  <c r="Y22" i="2"/>
  <c r="AA32" i="2"/>
  <c r="Z32" i="2"/>
  <c r="AA17" i="2"/>
  <c r="Y17" i="2"/>
  <c r="AA42" i="2"/>
  <c r="Z17" i="2"/>
  <c r="AG17" i="2" s="1"/>
  <c r="AA62" i="2"/>
  <c r="Y32" i="2"/>
  <c r="AA22" i="2"/>
  <c r="P7" i="2"/>
  <c r="AD5" i="1"/>
  <c r="AD6" i="1" s="1"/>
  <c r="AD7" i="1" s="1"/>
  <c r="AD8" i="1" s="1"/>
  <c r="AD9" i="1" s="1"/>
  <c r="AD10" i="1" s="1"/>
  <c r="AD11" i="1" s="1"/>
  <c r="AD12" i="1" s="1"/>
  <c r="AJ6" i="1"/>
  <c r="AJ7" i="1" s="1"/>
  <c r="AJ8" i="1" s="1"/>
  <c r="AJ9" i="1" s="1"/>
  <c r="AJ10" i="1" s="1"/>
  <c r="AJ11" i="1" s="1"/>
  <c r="AJ12" i="1" s="1"/>
  <c r="AG6" i="1"/>
  <c r="AG7" i="1" s="1"/>
  <c r="AG8" i="1" s="1"/>
  <c r="AG9" i="1" s="1"/>
  <c r="AG10" i="1" s="1"/>
  <c r="AG11" i="1" s="1"/>
  <c r="AG12" i="1" s="1"/>
  <c r="P65" i="1"/>
  <c r="P39" i="1"/>
  <c r="P5" i="1"/>
  <c r="Z72" i="1"/>
  <c r="Z66" i="1"/>
  <c r="Y72" i="1"/>
  <c r="AM72" i="1" s="1"/>
  <c r="AP72" i="1" s="1"/>
  <c r="Y66" i="1"/>
  <c r="AM66" i="1" s="1"/>
  <c r="AP66" i="1" s="1"/>
  <c r="Y52" i="1"/>
  <c r="AA69" i="1"/>
  <c r="Z69" i="1"/>
  <c r="Y69" i="1"/>
  <c r="AA72" i="1"/>
  <c r="AA66" i="1"/>
  <c r="AA52" i="1"/>
  <c r="Z52" i="1"/>
  <c r="Y40" i="1"/>
  <c r="AA29" i="1"/>
  <c r="Z29" i="1"/>
  <c r="Y29" i="1"/>
  <c r="AA13" i="1"/>
  <c r="Z40" i="1"/>
  <c r="Z13" i="1"/>
  <c r="AA40" i="1"/>
  <c r="Y13" i="1"/>
  <c r="AA20" i="1"/>
  <c r="Z20" i="1"/>
  <c r="Y20" i="1"/>
  <c r="P25" i="1"/>
  <c r="P28" i="1"/>
  <c r="P22" i="1"/>
  <c r="P51" i="1"/>
  <c r="P67" i="1"/>
  <c r="P54" i="1"/>
  <c r="P70" i="1"/>
  <c r="P52" i="1"/>
  <c r="P37" i="1"/>
  <c r="P21" i="1"/>
  <c r="P4" i="1"/>
  <c r="P32" i="1"/>
  <c r="B27" i="1" s="1"/>
  <c r="B32" i="1" s="1"/>
  <c r="P31" i="1"/>
  <c r="P24" i="1"/>
  <c r="P53" i="1"/>
  <c r="P69" i="1"/>
  <c r="P56" i="1"/>
  <c r="P72" i="1"/>
  <c r="P34" i="1"/>
  <c r="P42" i="1"/>
  <c r="P68" i="1"/>
  <c r="P35" i="1"/>
  <c r="P9" i="1"/>
  <c r="P2" i="1"/>
  <c r="P26" i="1"/>
  <c r="P33" i="1"/>
  <c r="P55" i="1"/>
  <c r="P71" i="1"/>
  <c r="P58" i="1"/>
  <c r="P18" i="1"/>
  <c r="P7" i="1"/>
  <c r="P23" i="1"/>
  <c r="P14" i="1"/>
  <c r="P30" i="1"/>
  <c r="P57" i="1"/>
  <c r="P44" i="1"/>
  <c r="P60" i="1"/>
  <c r="P11" i="1"/>
  <c r="P29" i="1"/>
  <c r="P20" i="1"/>
  <c r="P17" i="1"/>
  <c r="P15" i="1"/>
  <c r="P43" i="1"/>
  <c r="P36" i="1"/>
  <c r="P59" i="1"/>
  <c r="P46" i="1"/>
  <c r="P62" i="1"/>
  <c r="P49" i="1"/>
  <c r="P41" i="1"/>
  <c r="P12" i="1"/>
  <c r="P8" i="1"/>
  <c r="P16" i="1"/>
  <c r="P38" i="1"/>
  <c r="P45" i="1"/>
  <c r="P61" i="1"/>
  <c r="P48" i="1"/>
  <c r="P64" i="1"/>
  <c r="P13" i="1"/>
  <c r="P19" i="1"/>
  <c r="P27" i="1"/>
  <c r="P40" i="1"/>
  <c r="P47" i="1"/>
  <c r="P63" i="1"/>
  <c r="P50" i="1"/>
  <c r="P66" i="1"/>
  <c r="B35" i="6" l="1"/>
  <c r="E29" i="6"/>
  <c r="B28" i="6"/>
  <c r="B33" i="6" s="1"/>
  <c r="E27" i="6"/>
  <c r="AD7" i="5"/>
  <c r="AD8" i="5" s="1"/>
  <c r="AD9" i="5" s="1"/>
  <c r="AD10" i="5" s="1"/>
  <c r="AD11" i="5" s="1"/>
  <c r="AD12" i="5" s="1"/>
  <c r="AD13" i="5" s="1"/>
  <c r="AD14" i="5" s="1"/>
  <c r="AD15" i="5" s="1"/>
  <c r="AD16" i="5" s="1"/>
  <c r="AD17" i="5" s="1"/>
  <c r="AD18" i="5" s="1"/>
  <c r="AD19" i="5" s="1"/>
  <c r="AD20" i="5" s="1"/>
  <c r="AD21" i="5" s="1"/>
  <c r="AD22" i="5" s="1"/>
  <c r="AD23" i="5" s="1"/>
  <c r="AD24" i="5" s="1"/>
  <c r="AD25" i="5" s="1"/>
  <c r="AD26" i="5" s="1"/>
  <c r="AD27" i="5" s="1"/>
  <c r="AD28" i="5" s="1"/>
  <c r="AD29" i="5" s="1"/>
  <c r="AD30" i="5" s="1"/>
  <c r="AD31" i="5" s="1"/>
  <c r="AD32" i="5" s="1"/>
  <c r="AM97" i="5"/>
  <c r="AP97" i="5" s="1"/>
  <c r="B28" i="5"/>
  <c r="B33" i="5" s="1"/>
  <c r="AM68" i="5"/>
  <c r="AP68" i="5" s="1"/>
  <c r="B17" i="5" s="1"/>
  <c r="B19" i="5" s="1"/>
  <c r="B32" i="5"/>
  <c r="E28" i="5"/>
  <c r="B28" i="4"/>
  <c r="B33" i="4" s="1"/>
  <c r="B35" i="4" s="1"/>
  <c r="E28" i="4"/>
  <c r="AD17" i="4"/>
  <c r="AD18" i="4" s="1"/>
  <c r="AD19" i="4" s="1"/>
  <c r="AD20" i="4" s="1"/>
  <c r="AD21" i="4" s="1"/>
  <c r="AD22" i="4" s="1"/>
  <c r="AD23" i="4" s="1"/>
  <c r="AD24" i="4" s="1"/>
  <c r="AD25" i="4" s="1"/>
  <c r="AD26" i="4" s="1"/>
  <c r="AD27" i="4" s="1"/>
  <c r="AD28" i="4" s="1"/>
  <c r="AD29" i="4" s="1"/>
  <c r="AD30" i="4" s="1"/>
  <c r="AD31" i="4" s="1"/>
  <c r="AD32" i="4" s="1"/>
  <c r="B28" i="3"/>
  <c r="B33" i="3" s="1"/>
  <c r="B35" i="3" s="1"/>
  <c r="E28" i="3"/>
  <c r="AD22" i="3"/>
  <c r="AD23" i="3" s="1"/>
  <c r="AD24" i="3" s="1"/>
  <c r="AD25" i="3" s="1"/>
  <c r="AD26" i="3" s="1"/>
  <c r="AD27" i="3" s="1"/>
  <c r="AD28" i="3" s="1"/>
  <c r="AD29" i="3" s="1"/>
  <c r="AD30" i="3" s="1"/>
  <c r="AD31" i="3" s="1"/>
  <c r="AD32" i="3" s="1"/>
  <c r="AG18" i="2"/>
  <c r="AG19" i="2" s="1"/>
  <c r="AG20" i="2" s="1"/>
  <c r="AG21" i="2" s="1"/>
  <c r="AG22" i="2" s="1"/>
  <c r="AG23" i="2" s="1"/>
  <c r="AG24" i="2" s="1"/>
  <c r="AG25" i="2" s="1"/>
  <c r="AG26" i="2" s="1"/>
  <c r="AG27" i="2" s="1"/>
  <c r="AG28" i="2" s="1"/>
  <c r="AG29" i="2" s="1"/>
  <c r="AG30" i="2" s="1"/>
  <c r="AG31" i="2" s="1"/>
  <c r="AG32" i="2" s="1"/>
  <c r="AK17" i="2"/>
  <c r="AM17" i="2"/>
  <c r="AP17" i="2" s="1"/>
  <c r="AD17" i="2"/>
  <c r="AD18" i="2" s="1"/>
  <c r="AD19" i="2" s="1"/>
  <c r="AD20" i="2" s="1"/>
  <c r="AD21" i="2" s="1"/>
  <c r="AD22" i="2" s="1"/>
  <c r="AD23" i="2" s="1"/>
  <c r="AD24" i="2" s="1"/>
  <c r="AD25" i="2" s="1"/>
  <c r="AD26" i="2" s="1"/>
  <c r="AD27" i="2" s="1"/>
  <c r="AD28" i="2" s="1"/>
  <c r="AD29" i="2" s="1"/>
  <c r="AD30" i="2" s="1"/>
  <c r="AD31" i="2" s="1"/>
  <c r="AD32" i="2" s="1"/>
  <c r="E27" i="2" s="1"/>
  <c r="B28" i="2"/>
  <c r="B33" i="2" s="1"/>
  <c r="AK32" i="2"/>
  <c r="AM32" i="2"/>
  <c r="AP32" i="2" s="1"/>
  <c r="AK22" i="2"/>
  <c r="AM22" i="2"/>
  <c r="AP22" i="2" s="1"/>
  <c r="AJ17" i="2"/>
  <c r="AJ18" i="2" s="1"/>
  <c r="AJ19" i="2" s="1"/>
  <c r="AJ20" i="2" s="1"/>
  <c r="AJ21" i="2" s="1"/>
  <c r="AJ22" i="2" s="1"/>
  <c r="AJ23" i="2" s="1"/>
  <c r="AJ24" i="2" s="1"/>
  <c r="AJ25" i="2" s="1"/>
  <c r="AJ26" i="2" s="1"/>
  <c r="AJ27" i="2" s="1"/>
  <c r="AJ28" i="2" s="1"/>
  <c r="AJ29" i="2" s="1"/>
  <c r="AJ30" i="2" s="1"/>
  <c r="AJ31" i="2" s="1"/>
  <c r="AJ32" i="2" s="1"/>
  <c r="AM42" i="2"/>
  <c r="AP42" i="2" s="1"/>
  <c r="AM62" i="2"/>
  <c r="AP62" i="2" s="1"/>
  <c r="B35" i="2"/>
  <c r="B28" i="1"/>
  <c r="B33" i="1" s="1"/>
  <c r="B35" i="1" s="1"/>
  <c r="AG13" i="1"/>
  <c r="AG14" i="1" s="1"/>
  <c r="AG15" i="1" s="1"/>
  <c r="AG16" i="1" s="1"/>
  <c r="AG17" i="1" s="1"/>
  <c r="AG18" i="1" s="1"/>
  <c r="AG19" i="1" s="1"/>
  <c r="AG20" i="1" s="1"/>
  <c r="AG21" i="1" s="1"/>
  <c r="AG22" i="1" s="1"/>
  <c r="AG23" i="1" s="1"/>
  <c r="AG24" i="1" s="1"/>
  <c r="AG25" i="1" s="1"/>
  <c r="AG26" i="1" s="1"/>
  <c r="AG27" i="1" s="1"/>
  <c r="AG28" i="1" s="1"/>
  <c r="AG29" i="1" s="1"/>
  <c r="AG30" i="1" s="1"/>
  <c r="AG31" i="1" s="1"/>
  <c r="AG32" i="1" s="1"/>
  <c r="AK20" i="1"/>
  <c r="AM20" i="1"/>
  <c r="AP20" i="1" s="1"/>
  <c r="AK29" i="1"/>
  <c r="AM29" i="1"/>
  <c r="AP29" i="1" s="1"/>
  <c r="AM69" i="1"/>
  <c r="AP69" i="1" s="1"/>
  <c r="E29" i="1"/>
  <c r="AJ13" i="1"/>
  <c r="AJ14" i="1" s="1"/>
  <c r="AJ15" i="1" s="1"/>
  <c r="AJ16" i="1" s="1"/>
  <c r="AJ17" i="1" s="1"/>
  <c r="AJ18" i="1" s="1"/>
  <c r="AJ19" i="1" s="1"/>
  <c r="AJ20" i="1" s="1"/>
  <c r="AJ21" i="1" s="1"/>
  <c r="AJ22" i="1" s="1"/>
  <c r="AJ23" i="1" s="1"/>
  <c r="AJ24" i="1" s="1"/>
  <c r="AJ25" i="1" s="1"/>
  <c r="AJ26" i="1" s="1"/>
  <c r="AJ27" i="1" s="1"/>
  <c r="AJ28" i="1" s="1"/>
  <c r="AJ29" i="1" s="1"/>
  <c r="AJ30" i="1" s="1"/>
  <c r="AJ31" i="1" s="1"/>
  <c r="AJ32" i="1" s="1"/>
  <c r="AK13" i="1"/>
  <c r="H27" i="1" s="1"/>
  <c r="H35" i="1" s="1"/>
  <c r="AD13" i="1"/>
  <c r="AM13" i="1"/>
  <c r="AP13" i="1" s="1"/>
  <c r="AM40" i="1"/>
  <c r="AP40" i="1" s="1"/>
  <c r="AM52" i="1"/>
  <c r="AP52" i="1" s="1"/>
  <c r="E35" i="6" l="1"/>
  <c r="B35" i="5"/>
  <c r="E27" i="5"/>
  <c r="E35" i="5" s="1"/>
  <c r="E27" i="4"/>
  <c r="E35" i="4" s="1"/>
  <c r="E27" i="3"/>
  <c r="E35" i="3" s="1"/>
  <c r="E35" i="2"/>
  <c r="E29" i="2"/>
  <c r="B17" i="2"/>
  <c r="B19" i="2" s="1"/>
  <c r="H27" i="2"/>
  <c r="H35" i="2" s="1"/>
  <c r="E28" i="2"/>
  <c r="AD14" i="1"/>
  <c r="AD15" i="1" s="1"/>
  <c r="AD16" i="1" s="1"/>
  <c r="AD17" i="1" s="1"/>
  <c r="AD18" i="1" s="1"/>
  <c r="AD19" i="1" s="1"/>
  <c r="AD20" i="1" s="1"/>
  <c r="AD21" i="1" s="1"/>
  <c r="AD22" i="1" s="1"/>
  <c r="AD23" i="1" s="1"/>
  <c r="AD24" i="1" s="1"/>
  <c r="AD25" i="1" s="1"/>
  <c r="AD26" i="1" s="1"/>
  <c r="AD27" i="1" s="1"/>
  <c r="AD28" i="1" s="1"/>
  <c r="AD29" i="1" s="1"/>
  <c r="AD30" i="1" s="1"/>
  <c r="AD31" i="1" s="1"/>
  <c r="AD32" i="1" s="1"/>
  <c r="E27" i="1" s="1"/>
  <c r="E35" i="1" s="1"/>
  <c r="B17" i="1"/>
  <c r="B19" i="1" s="1"/>
  <c r="E28" i="1"/>
</calcChain>
</file>

<file path=xl/sharedStrings.xml><?xml version="1.0" encoding="utf-8"?>
<sst xmlns="http://schemas.openxmlformats.org/spreadsheetml/2006/main" count="4912" uniqueCount="171">
  <si>
    <t>Ilot</t>
  </si>
  <si>
    <t>Age</t>
  </si>
  <si>
    <t>V_av</t>
  </si>
  <si>
    <t>V_prel</t>
  </si>
  <si>
    <t>V_ap</t>
  </si>
  <si>
    <t>BA</t>
  </si>
  <si>
    <t>BR</t>
  </si>
  <si>
    <t>SOL</t>
  </si>
  <si>
    <t>L</t>
  </si>
  <si>
    <t>Sprojet</t>
  </si>
  <si>
    <t>BAref</t>
  </si>
  <si>
    <t>BRref</t>
  </si>
  <si>
    <t>SOLref</t>
  </si>
  <si>
    <t>Lref</t>
  </si>
  <si>
    <t>Sref</t>
  </si>
  <si>
    <t>VBO</t>
  </si>
  <si>
    <t>VBI</t>
  </si>
  <si>
    <t>VBE</t>
  </si>
  <si>
    <t>FluxBO</t>
  </si>
  <si>
    <t>kBO</t>
  </si>
  <si>
    <t>C(n+1)BO</t>
  </si>
  <si>
    <t>FluxBI</t>
  </si>
  <si>
    <t>kBI</t>
  </si>
  <si>
    <t>C(n+1)BI</t>
  </si>
  <si>
    <t>FluxBE</t>
  </si>
  <si>
    <t>kBE</t>
  </si>
  <si>
    <t>C(n+1)BE</t>
  </si>
  <si>
    <t>Flux_m3</t>
  </si>
  <si>
    <t>Depenses</t>
  </si>
  <si>
    <t>Recettes</t>
  </si>
  <si>
    <t>DA</t>
  </si>
  <si>
    <t>RA</t>
  </si>
  <si>
    <t>BILANprojet</t>
  </si>
  <si>
    <t>Hypothèses produits</t>
  </si>
  <si>
    <t>Projet</t>
  </si>
  <si>
    <t>Référence</t>
  </si>
  <si>
    <t>Période</t>
  </si>
  <si>
    <t>%BO</t>
  </si>
  <si>
    <t>%BI</t>
  </si>
  <si>
    <t>%BE</t>
  </si>
  <si>
    <t>Essence</t>
  </si>
  <si>
    <t>Douglas</t>
  </si>
  <si>
    <t>Nature</t>
  </si>
  <si>
    <t>Poursuite de l'activité agricole</t>
  </si>
  <si>
    <t>P1</t>
  </si>
  <si>
    <t>Fertilité</t>
  </si>
  <si>
    <t>Moyenne</t>
  </si>
  <si>
    <t>Marge nette</t>
  </si>
  <si>
    <t>P2</t>
  </si>
  <si>
    <t>Type</t>
  </si>
  <si>
    <t>P3</t>
  </si>
  <si>
    <t>Infradensité</t>
  </si>
  <si>
    <t>P4</t>
  </si>
  <si>
    <t>FEB</t>
  </si>
  <si>
    <t>Coeff</t>
  </si>
  <si>
    <t>Volume</t>
  </si>
  <si>
    <t>Scénario économique</t>
  </si>
  <si>
    <t>Surface</t>
  </si>
  <si>
    <t>PU</t>
  </si>
  <si>
    <t>Sol</t>
  </si>
  <si>
    <t>Révolution R</t>
  </si>
  <si>
    <t>Révolution R'</t>
  </si>
  <si>
    <t>Frais de gestion</t>
  </si>
  <si>
    <t>Document 8</t>
  </si>
  <si>
    <t>Analyse économique de l'ilot</t>
  </si>
  <si>
    <t>Subventions</t>
  </si>
  <si>
    <t>VANprojet</t>
  </si>
  <si>
    <t>éventuelles</t>
  </si>
  <si>
    <t>VANref</t>
  </si>
  <si>
    <t>∆VAN</t>
  </si>
  <si>
    <t>Dépenses</t>
  </si>
  <si>
    <t>Année</t>
  </si>
  <si>
    <t>Opération</t>
  </si>
  <si>
    <t>Coût</t>
  </si>
  <si>
    <t>Prix</t>
  </si>
  <si>
    <t>Préparation</t>
  </si>
  <si>
    <t>BO</t>
  </si>
  <si>
    <t>MO</t>
  </si>
  <si>
    <t>BI</t>
  </si>
  <si>
    <t>Plantations</t>
  </si>
  <si>
    <t>BE</t>
  </si>
  <si>
    <t>Document 11</t>
  </si>
  <si>
    <t>Réductions d’émissions de l'ilot</t>
  </si>
  <si>
    <t>Protection</t>
  </si>
  <si>
    <t>Nettoyage 1</t>
  </si>
  <si>
    <t>Calcul REAforêt</t>
  </si>
  <si>
    <t>Calcul REAproduit</t>
  </si>
  <si>
    <t>Calcul REI substitution</t>
  </si>
  <si>
    <t>Nettoyage 2</t>
  </si>
  <si>
    <t>Sprojet_30</t>
  </si>
  <si>
    <t>C_BO</t>
  </si>
  <si>
    <t>Flux_m3_projet</t>
  </si>
  <si>
    <t>Nettoyage 3</t>
  </si>
  <si>
    <t>Sprojet_moy</t>
  </si>
  <si>
    <t>C_BI</t>
  </si>
  <si>
    <t>Flux_m3_ref</t>
  </si>
  <si>
    <t>Nettoyage 4</t>
  </si>
  <si>
    <t>Sref_30</t>
  </si>
  <si>
    <t>C_BE</t>
  </si>
  <si>
    <t>Tailles</t>
  </si>
  <si>
    <t>Sref_moy</t>
  </si>
  <si>
    <t>C_ref</t>
  </si>
  <si>
    <t>Elagage</t>
  </si>
  <si>
    <t>Eq5_1er_terme</t>
  </si>
  <si>
    <t>Eq5_2nd_terme</t>
  </si>
  <si>
    <t>REAforêt</t>
  </si>
  <si>
    <t>REAproduit</t>
  </si>
  <si>
    <t>REISubstitution</t>
  </si>
  <si>
    <t>Champ</t>
  </si>
  <si>
    <t>Unité</t>
  </si>
  <si>
    <t>Légende</t>
  </si>
  <si>
    <t>année</t>
  </si>
  <si>
    <t>Age du peuplement</t>
  </si>
  <si>
    <t>m3/ha</t>
  </si>
  <si>
    <t>Volume avant éclaircie</t>
  </si>
  <si>
    <t>Volume prélevé</t>
  </si>
  <si>
    <t>Volume après éclaircie</t>
  </si>
  <si>
    <t>tMS/ha</t>
  </si>
  <si>
    <t>Biomasse aérienne dans le scénario du projet (eq.13)</t>
  </si>
  <si>
    <t>Biomasse racinaire dans le scénario du projet (eq.15)</t>
  </si>
  <si>
    <t>tC/ha</t>
  </si>
  <si>
    <t>Stock de carbone organique du sol dans le scénario du projet</t>
  </si>
  <si>
    <t>Stock de carbone dans la litière dans le scénario du projet</t>
  </si>
  <si>
    <t>tCO2</t>
  </si>
  <si>
    <t>Stock de carbone dans les compartiments forestiers du scénario de projet (eq.7)</t>
  </si>
  <si>
    <t>Biomasse aérienne dans le scénario de référence (eq.13)</t>
  </si>
  <si>
    <t>Biomasse racinaire dans le scénario de référence (eq.15)</t>
  </si>
  <si>
    <t>Stock de carbone organique du sol dans le scénario de référence</t>
  </si>
  <si>
    <t>Stock de carbone dans la litière dans le scénario de référence</t>
  </si>
  <si>
    <t>Stock de carbone dans les compartiments forestiers du scénario de référence (eq.7)</t>
  </si>
  <si>
    <t>Volume de BO mobilisé</t>
  </si>
  <si>
    <t>Volume de BI mobilisé</t>
  </si>
  <si>
    <t>Volume de BE mobilisé</t>
  </si>
  <si>
    <t>Stock de carbone des produits BO récoltés au cours de l'année n dans le scénario de projet</t>
  </si>
  <si>
    <t>Année-1</t>
  </si>
  <si>
    <t>Constante de décomposition des bois de sciage (tab.4)</t>
  </si>
  <si>
    <t>Stock de carbone au début de l'année n+1 dans les produits BO déjà récoltés (eq. 10)</t>
  </si>
  <si>
    <t>Stock de carbone des produits BI récoltés au cours de l'année n dans le scénario de projet</t>
  </si>
  <si>
    <t>Constante de décomposition des panneaux de bois (tab.4)</t>
  </si>
  <si>
    <t>Stock de carbone au début de l'année n+1 dans les produits BI déjà récoltés  (eq. 10)</t>
  </si>
  <si>
    <t>Stock de carbone des produits BE récoltés au cours de l'année n dans le scénario de projet</t>
  </si>
  <si>
    <t>Constante de décomposition du papier (tab.4)</t>
  </si>
  <si>
    <t>Stock de carbone au début de l'année n+1 dans les produits BE déjà récoltés  (eq. 10)</t>
  </si>
  <si>
    <t>m3</t>
  </si>
  <si>
    <t>Flux entrant issu des produits bois récoltés au cours de l'année n dans le scénario du projet</t>
  </si>
  <si>
    <t>€</t>
  </si>
  <si>
    <t>Dépenses à l'année n dans le scénario du projet</t>
  </si>
  <si>
    <t>Recettes à l'année n dans le scénario du projet</t>
  </si>
  <si>
    <t>Dépenses actualisées à l'année n dans le scénario du projet</t>
  </si>
  <si>
    <t>Recettes actualisées à l'année n dans le scénario du projet</t>
  </si>
  <si>
    <t>Bilan financier dans le scénario du projet</t>
  </si>
  <si>
    <t>Dépensesref</t>
  </si>
  <si>
    <t>Dépenses à l'année n dans le scénario de référence</t>
  </si>
  <si>
    <t>Recettesref</t>
  </si>
  <si>
    <t>Recettes à l'année n dans le scénario de référence</t>
  </si>
  <si>
    <t>DAref</t>
  </si>
  <si>
    <t>Dépenses actualisées à l'année n dans le scénario de référence</t>
  </si>
  <si>
    <t>RAref</t>
  </si>
  <si>
    <t>Recettes actualisées à l'année n dans le scénario de référence</t>
  </si>
  <si>
    <t>BILANref</t>
  </si>
  <si>
    <t>Bilan financier dans le scénario de référence</t>
  </si>
  <si>
    <t>Chêne rouge d’Amérique</t>
  </si>
  <si>
    <t>Grands érables</t>
  </si>
  <si>
    <t>Chêne pubescent</t>
  </si>
  <si>
    <t>Cèdre de l’Atlas</t>
  </si>
  <si>
    <t>Tilleuls</t>
  </si>
  <si>
    <t/>
  </si>
  <si>
    <t>Résineux rapides</t>
  </si>
  <si>
    <t>Feuillus rapides</t>
  </si>
  <si>
    <t>Feuillus lents</t>
  </si>
  <si>
    <t>Résineux lents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</si>
</sst>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7" formatCode="#,##0.00\ &quot;€&quot;;\-#,##0.00\ &quot;€&quot;"/>
    <numFmt numFmtId="44" formatCode="_-* #,##0.00\ &quot;€&quot;_-;\-* #,##0.00\ &quot;€&quot;_-;_-* &quot;-&quot;??\ &quot;€&quot;_-;_-@_-"/>
    <numFmt numFmtId="164" formatCode="_-&quot;£&quot;* #,##0.00_-;\-&quot;£&quot;* #,##0.00_-;_-&quot;£&quot;* &quot;-&quot;??_-;_-@_-"/>
    <numFmt numFmtId="165" formatCode="_-* #,##0\ &quot;€&quot;_-;\-* #,##0\ &quot;€&quot;_-;_-* &quot;-&quot;??\ &quot;€&quot;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000000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i/>
      <sz val="12"/>
      <color rgb="FF000000"/>
      <name val="Arial"/>
      <family val="2"/>
    </font>
    <font>
      <b/>
      <i/>
      <sz val="12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E699"/>
        <bgColor rgb="FF000000"/>
      </patternFill>
    </fill>
    <fill>
      <patternFill patternType="solid">
        <fgColor rgb="FFEDEDED"/>
        <bgColor rgb="FF000000"/>
      </patternFill>
    </fill>
    <fill>
      <patternFill patternType="solid">
        <fgColor rgb="FFDBDBDB"/>
        <bgColor rgb="FF000000"/>
      </patternFill>
    </fill>
    <fill>
      <patternFill patternType="solid">
        <fgColor rgb="FFFFFF00"/>
        <bgColor rgb="FF000000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/>
    <xf numFmtId="0" fontId="2" fillId="2" borderId="0" xfId="0" applyFont="1" applyFill="1"/>
    <xf numFmtId="0" fontId="3" fillId="0" borderId="0" xfId="0" applyFont="1"/>
    <xf numFmtId="1" fontId="3" fillId="0" borderId="0" xfId="0" applyNumberFormat="1" applyFont="1"/>
    <xf numFmtId="1" fontId="3" fillId="3" borderId="0" xfId="0" applyNumberFormat="1" applyFont="1" applyFill="1"/>
    <xf numFmtId="165" fontId="3" fillId="4" borderId="0" xfId="1" applyNumberFormat="1" applyFont="1" applyFill="1" applyBorder="1"/>
    <xf numFmtId="165" fontId="3" fillId="3" borderId="0" xfId="1" applyNumberFormat="1" applyFont="1" applyFill="1" applyBorder="1"/>
    <xf numFmtId="0" fontId="3" fillId="0" borderId="1" xfId="0" applyFont="1" applyBorder="1"/>
    <xf numFmtId="0" fontId="3" fillId="2" borderId="0" xfId="0" applyFont="1" applyFill="1"/>
    <xf numFmtId="9" fontId="3" fillId="0" borderId="1" xfId="2" applyFont="1" applyFill="1" applyBorder="1"/>
    <xf numFmtId="0" fontId="4" fillId="0" borderId="0" xfId="0" applyFont="1"/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165" fontId="3" fillId="0" borderId="0" xfId="1" applyNumberFormat="1" applyFont="1" applyFill="1" applyBorder="1"/>
    <xf numFmtId="0" fontId="3" fillId="0" borderId="6" xfId="0" applyFont="1" applyBorder="1"/>
    <xf numFmtId="0" fontId="5" fillId="0" borderId="0" xfId="0" applyFont="1"/>
    <xf numFmtId="0" fontId="3" fillId="0" borderId="7" xfId="0" applyFont="1" applyBorder="1"/>
    <xf numFmtId="0" fontId="3" fillId="0" borderId="8" xfId="0" applyFont="1" applyBorder="1"/>
    <xf numFmtId="0" fontId="3" fillId="0" borderId="9" xfId="0" applyFont="1" applyBorder="1"/>
    <xf numFmtId="44" fontId="3" fillId="0" borderId="0" xfId="1" applyNumberFormat="1" applyFont="1" applyFill="1" applyBorder="1"/>
    <xf numFmtId="7" fontId="3" fillId="0" borderId="0" xfId="1" applyNumberFormat="1" applyFont="1" applyFill="1" applyBorder="1"/>
    <xf numFmtId="0" fontId="2" fillId="0" borderId="5" xfId="0" applyFont="1" applyBorder="1"/>
    <xf numFmtId="2" fontId="3" fillId="0" borderId="0" xfId="0" applyNumberFormat="1" applyFont="1"/>
    <xf numFmtId="0" fontId="3" fillId="5" borderId="0" xfId="0" applyFont="1" applyFill="1"/>
    <xf numFmtId="1" fontId="3" fillId="5" borderId="0" xfId="0" applyNumberFormat="1" applyFont="1" applyFill="1"/>
    <xf numFmtId="165" fontId="3" fillId="5" borderId="0" xfId="1" applyNumberFormat="1" applyFont="1" applyFill="1" applyBorder="1"/>
    <xf numFmtId="44" fontId="3" fillId="0" borderId="0" xfId="0" applyNumberFormat="1" applyFont="1"/>
    <xf numFmtId="0" fontId="6" fillId="0" borderId="0" xfId="0" applyFont="1"/>
  </cellXfs>
  <cellStyles count="3">
    <cellStyle name="Monétaire" xfId="1" builtinId="4"/>
    <cellStyle name="Normal" xfId="0" builtinId="0"/>
    <cellStyle name="Pourcentage" xfId="2" builtinId="5"/>
  </cellStyles>
  <dxfs count="240">
    <dxf>
      <numFmt numFmtId="165" formatCode="_-* #,##0\ &quot;€&quot;_-;\-* #,##0\ &quot;€&quot;_-;_-* &quot;-&quot;??\ &quot;€&quot;_-;_-@_-"/>
      <fill>
        <patternFill>
          <fgColor rgb="FF000000"/>
          <bgColor rgb="FFEDEDED"/>
        </patternFill>
      </fill>
    </dxf>
    <dxf>
      <numFmt numFmtId="165" formatCode="_-* #,##0\ &quot;€&quot;_-;\-* #,##0\ &quot;€&quot;_-;_-* &quot;-&quot;??\ &quot;€&quot;_-;_-@_-"/>
      <fill>
        <patternFill>
          <fgColor rgb="FF000000"/>
          <bgColor rgb="FFEDEDED"/>
        </patternFill>
      </fill>
    </dxf>
    <dxf>
      <numFmt numFmtId="165" formatCode="_-* #,##0\ &quot;€&quot;_-;\-* #,##0\ &quot;€&quot;_-;_-* &quot;-&quot;??\ &quot;€&quot;_-;_-@_-"/>
      <fill>
        <patternFill>
          <fgColor rgb="FF000000"/>
          <bgColor rgb="FFEDEDED"/>
        </patternFill>
      </fill>
    </dxf>
    <dxf>
      <numFmt numFmtId="165" formatCode="_-* #,##0\ &quot;€&quot;_-;\-* #,##0\ &quot;€&quot;_-;_-* &quot;-&quot;??\ &quot;€&quot;_-;_-@_-"/>
      <fill>
        <patternFill>
          <fgColor rgb="FF000000"/>
          <bgColor rgb="FFEDEDED"/>
        </patternFill>
      </fill>
    </dxf>
    <dxf>
      <numFmt numFmtId="165" formatCode="_-* #,##0\ &quot;€&quot;_-;\-* #,##0\ &quot;€&quot;_-;_-* &quot;-&quot;??\ &quot;€&quot;_-;_-@_-"/>
      <fill>
        <patternFill>
          <fgColor rgb="FF000000"/>
          <bgColor rgb="FFEDEDED"/>
        </patternFill>
      </fill>
    </dxf>
    <dxf>
      <numFmt numFmtId="1" formatCode="0"/>
      <fill>
        <patternFill>
          <fgColor rgb="FF000000"/>
          <bgColor rgb="FFEDEDED"/>
        </patternFill>
      </fill>
    </dxf>
    <dxf>
      <numFmt numFmtId="1" formatCode="0"/>
      <fill>
        <patternFill>
          <fgColor rgb="FF000000"/>
          <bgColor rgb="FFEDEDED"/>
        </patternFill>
      </fill>
    </dxf>
    <dxf>
      <numFmt numFmtId="1" formatCode="0"/>
      <fill>
        <patternFill>
          <fgColor rgb="FF000000"/>
          <bgColor rgb="FFEDEDED"/>
        </patternFill>
      </fill>
    </dxf>
    <dxf>
      <numFmt numFmtId="1" formatCode="0"/>
      <fill>
        <patternFill>
          <fgColor rgb="FF000000"/>
          <bgColor rgb="FFEDEDED"/>
        </patternFill>
      </fill>
    </dxf>
    <dxf>
      <numFmt numFmtId="1" formatCode="0"/>
      <fill>
        <patternFill>
          <fgColor rgb="FF000000"/>
          <bgColor rgb="FFEDEDED"/>
        </patternFill>
      </fill>
    </dxf>
    <dxf>
      <numFmt numFmtId="1" formatCode="0"/>
      <fill>
        <patternFill>
          <fgColor rgb="FF000000"/>
          <bgColor rgb="FFEDEDED"/>
        </patternFill>
      </fill>
    </dxf>
    <dxf>
      <numFmt numFmtId="1" formatCode="0"/>
      <fill>
        <patternFill>
          <fgColor rgb="FF000000"/>
          <bgColor rgb="FFEDEDED"/>
        </patternFill>
      </fill>
    </dxf>
    <dxf>
      <numFmt numFmtId="1" formatCode="0"/>
      <fill>
        <patternFill>
          <fgColor rgb="FF000000"/>
          <bgColor rgb="FFEDEDED"/>
        </patternFill>
      </fill>
    </dxf>
    <dxf>
      <numFmt numFmtId="1" formatCode="0"/>
      <fill>
        <patternFill>
          <fgColor rgb="FF000000"/>
          <bgColor rgb="FFEDEDED"/>
        </patternFill>
      </fill>
    </dxf>
    <dxf>
      <numFmt numFmtId="1" formatCode="0"/>
      <fill>
        <patternFill>
          <fgColor rgb="FF000000"/>
          <bgColor rgb="FFEDEDED"/>
        </patternFill>
      </fill>
    </dxf>
    <dxf>
      <numFmt numFmtId="1" formatCode="0"/>
      <fill>
        <patternFill>
          <fgColor rgb="FF000000"/>
          <bgColor rgb="FFEDEDED"/>
        </patternFill>
      </fill>
    </dxf>
    <dxf>
      <numFmt numFmtId="1" formatCode="0"/>
      <fill>
        <patternFill>
          <fgColor rgb="FF000000"/>
          <bgColor rgb="FFEDEDED"/>
        </patternFill>
      </fill>
    </dxf>
    <dxf>
      <numFmt numFmtId="1" formatCode="0"/>
      <fill>
        <patternFill>
          <fgColor rgb="FF000000"/>
          <bgColor rgb="FFEDEDED"/>
        </patternFill>
      </fill>
    </dxf>
    <dxf>
      <numFmt numFmtId="1" formatCode="0"/>
      <fill>
        <patternFill>
          <fgColor rgb="FF000000"/>
          <bgColor rgb="FFEDEDED"/>
        </patternFill>
      </fill>
    </dxf>
    <dxf>
      <numFmt numFmtId="1" formatCode="0"/>
      <fill>
        <patternFill patternType="solid">
          <fgColor rgb="FF000000"/>
          <bgColor rgb="FFEDEDED"/>
        </patternFill>
      </fill>
    </dxf>
    <dxf>
      <numFmt numFmtId="1" formatCode="0"/>
      <fill>
        <patternFill patternType="solid">
          <fgColor rgb="FF000000"/>
          <bgColor rgb="FFEDEDED"/>
        </patternFill>
      </fill>
    </dxf>
    <dxf>
      <numFmt numFmtId="1" formatCode="0"/>
      <fill>
        <patternFill>
          <fgColor rgb="FF000000"/>
          <bgColor rgb="FFEDEDED"/>
        </patternFill>
      </fill>
    </dxf>
    <dxf>
      <numFmt numFmtId="1" formatCode="0"/>
      <fill>
        <patternFill>
          <fgColor rgb="FF000000"/>
          <bgColor rgb="FFEDEDED"/>
        </patternFill>
      </fill>
    </dxf>
    <dxf>
      <numFmt numFmtId="1" formatCode="0"/>
      <fill>
        <patternFill>
          <fgColor rgb="FF000000"/>
          <bgColor rgb="FFEDEDED"/>
        </patternFill>
      </fill>
    </dxf>
    <dxf>
      <numFmt numFmtId="1" formatCode="0"/>
      <fill>
        <patternFill>
          <fgColor rgb="FF000000"/>
          <bgColor rgb="FFEDEDED"/>
        </patternFill>
      </fill>
    </dxf>
    <dxf>
      <numFmt numFmtId="1" formatCode="0"/>
      <fill>
        <patternFill>
          <fgColor rgb="FF000000"/>
          <bgColor rgb="FFEDEDED"/>
        </patternFill>
      </fill>
    </dxf>
    <dxf>
      <numFmt numFmtId="1" formatCode="0"/>
      <fill>
        <patternFill>
          <fgColor rgb="FF000000"/>
          <bgColor rgb="FFEDEDED"/>
        </patternFill>
      </fill>
    </dxf>
    <dxf>
      <numFmt numFmtId="1" formatCode="0"/>
      <fill>
        <patternFill>
          <fgColor rgb="FF000000"/>
          <bgColor rgb="FFEDEDED"/>
        </patternFill>
      </fill>
    </dxf>
    <dxf>
      <numFmt numFmtId="1" formatCode="0"/>
    </dxf>
    <dxf>
      <numFmt numFmtId="1" formatCode="0"/>
    </dxf>
    <dxf>
      <numFmt numFmtId="1" formatCode="0"/>
    </dxf>
    <dxf>
      <numFmt numFmtId="165" formatCode="_-* #,##0\ &quot;€&quot;_-;\-* #,##0\ &quot;€&quot;_-;_-* &quot;-&quot;??\ &quot;€&quot;_-;_-@_-"/>
      <fill>
        <patternFill>
          <fgColor rgb="FF000000"/>
          <bgColor rgb="FFEDEDED"/>
        </patternFill>
      </fill>
    </dxf>
    <dxf>
      <numFmt numFmtId="165" formatCode="_-* #,##0\ &quot;€&quot;_-;\-* #,##0\ &quot;€&quot;_-;_-* &quot;-&quot;??\ &quot;€&quot;_-;_-@_-"/>
      <fill>
        <patternFill>
          <fgColor rgb="FF000000"/>
          <bgColor rgb="FFEDEDED"/>
        </patternFill>
      </fill>
    </dxf>
    <dxf>
      <numFmt numFmtId="165" formatCode="_-* #,##0\ &quot;€&quot;_-;\-* #,##0\ &quot;€&quot;_-;_-* &quot;-&quot;??\ &quot;€&quot;_-;_-@_-"/>
      <fill>
        <patternFill>
          <fgColor rgb="FF000000"/>
          <bgColor rgb="FFEDEDED"/>
        </patternFill>
      </fill>
    </dxf>
    <dxf>
      <numFmt numFmtId="165" formatCode="_-* #,##0\ &quot;€&quot;_-;\-* #,##0\ &quot;€&quot;_-;_-* &quot;-&quot;??\ &quot;€&quot;_-;_-@_-"/>
      <fill>
        <patternFill>
          <fgColor rgb="FF000000"/>
          <bgColor rgb="FFEDEDED"/>
        </patternFill>
      </fill>
    </dxf>
    <dxf>
      <numFmt numFmtId="165" formatCode="_-* #,##0\ &quot;€&quot;_-;\-* #,##0\ &quot;€&quot;_-;_-* &quot;-&quot;??\ &quot;€&quot;_-;_-@_-"/>
      <fill>
        <patternFill>
          <fgColor rgb="FF000000"/>
          <bgColor rgb="FFEDEDED"/>
        </patternFill>
      </fill>
    </dxf>
    <dxf>
      <numFmt numFmtId="1" formatCode="0"/>
      <fill>
        <patternFill>
          <fgColor rgb="FF000000"/>
          <bgColor rgb="FFEDEDED"/>
        </patternFill>
      </fill>
    </dxf>
    <dxf>
      <numFmt numFmtId="1" formatCode="0"/>
      <fill>
        <patternFill>
          <fgColor rgb="FF000000"/>
          <bgColor rgb="FFEDEDED"/>
        </patternFill>
      </fill>
    </dxf>
    <dxf>
      <numFmt numFmtId="1" formatCode="0"/>
      <fill>
        <patternFill>
          <fgColor rgb="FF000000"/>
          <bgColor rgb="FFEDEDED"/>
        </patternFill>
      </fill>
    </dxf>
    <dxf>
      <numFmt numFmtId="1" formatCode="0"/>
      <fill>
        <patternFill>
          <fgColor rgb="FF000000"/>
          <bgColor rgb="FFEDEDED"/>
        </patternFill>
      </fill>
    </dxf>
    <dxf>
      <numFmt numFmtId="1" formatCode="0"/>
      <fill>
        <patternFill>
          <fgColor rgb="FF000000"/>
          <bgColor rgb="FFEDEDED"/>
        </patternFill>
      </fill>
    </dxf>
    <dxf>
      <numFmt numFmtId="1" formatCode="0"/>
      <fill>
        <patternFill>
          <fgColor rgb="FF000000"/>
          <bgColor rgb="FFEDEDED"/>
        </patternFill>
      </fill>
    </dxf>
    <dxf>
      <numFmt numFmtId="1" formatCode="0"/>
      <fill>
        <patternFill>
          <fgColor rgb="FF000000"/>
          <bgColor rgb="FFEDEDED"/>
        </patternFill>
      </fill>
    </dxf>
    <dxf>
      <numFmt numFmtId="1" formatCode="0"/>
      <fill>
        <patternFill>
          <fgColor rgb="FF000000"/>
          <bgColor rgb="FFEDEDED"/>
        </patternFill>
      </fill>
    </dxf>
    <dxf>
      <numFmt numFmtId="1" formatCode="0"/>
      <fill>
        <patternFill>
          <fgColor rgb="FF000000"/>
          <bgColor rgb="FFEDEDED"/>
        </patternFill>
      </fill>
    </dxf>
    <dxf>
      <numFmt numFmtId="1" formatCode="0"/>
      <fill>
        <patternFill>
          <fgColor rgb="FF000000"/>
          <bgColor rgb="FFEDEDED"/>
        </patternFill>
      </fill>
    </dxf>
    <dxf>
      <numFmt numFmtId="1" formatCode="0"/>
      <fill>
        <patternFill>
          <fgColor rgb="FF000000"/>
          <bgColor rgb="FFEDEDED"/>
        </patternFill>
      </fill>
    </dxf>
    <dxf>
      <numFmt numFmtId="1" formatCode="0"/>
      <fill>
        <patternFill>
          <fgColor rgb="FF000000"/>
          <bgColor rgb="FFEDEDED"/>
        </patternFill>
      </fill>
    </dxf>
    <dxf>
      <numFmt numFmtId="1" formatCode="0"/>
      <fill>
        <patternFill>
          <fgColor rgb="FF000000"/>
          <bgColor rgb="FFEDEDED"/>
        </patternFill>
      </fill>
    </dxf>
    <dxf>
      <numFmt numFmtId="1" formatCode="0"/>
      <fill>
        <patternFill>
          <fgColor rgb="FF000000"/>
          <bgColor rgb="FFEDEDED"/>
        </patternFill>
      </fill>
    </dxf>
    <dxf>
      <numFmt numFmtId="1" formatCode="0"/>
      <fill>
        <patternFill patternType="solid">
          <fgColor rgb="FF000000"/>
          <bgColor rgb="FFEDEDED"/>
        </patternFill>
      </fill>
    </dxf>
    <dxf>
      <numFmt numFmtId="1" formatCode="0"/>
      <fill>
        <patternFill patternType="solid">
          <fgColor rgb="FF000000"/>
          <bgColor rgb="FFEDEDED"/>
        </patternFill>
      </fill>
    </dxf>
    <dxf>
      <numFmt numFmtId="1" formatCode="0"/>
      <fill>
        <patternFill>
          <fgColor rgb="FF000000"/>
          <bgColor rgb="FFEDEDED"/>
        </patternFill>
      </fill>
    </dxf>
    <dxf>
      <numFmt numFmtId="1" formatCode="0"/>
      <fill>
        <patternFill>
          <fgColor rgb="FF000000"/>
          <bgColor rgb="FFEDEDED"/>
        </patternFill>
      </fill>
    </dxf>
    <dxf>
      <numFmt numFmtId="1" formatCode="0"/>
      <fill>
        <patternFill>
          <fgColor rgb="FF000000"/>
          <bgColor rgb="FFEDEDED"/>
        </patternFill>
      </fill>
    </dxf>
    <dxf>
      <numFmt numFmtId="1" formatCode="0"/>
      <fill>
        <patternFill>
          <fgColor rgb="FF000000"/>
          <bgColor rgb="FFEDEDED"/>
        </patternFill>
      </fill>
    </dxf>
    <dxf>
      <numFmt numFmtId="1" formatCode="0"/>
      <fill>
        <patternFill>
          <fgColor rgb="FF000000"/>
          <bgColor rgb="FFEDEDED"/>
        </patternFill>
      </fill>
    </dxf>
    <dxf>
      <numFmt numFmtId="1" formatCode="0"/>
      <fill>
        <patternFill>
          <fgColor rgb="FF000000"/>
          <bgColor rgb="FFEDEDED"/>
        </patternFill>
      </fill>
    </dxf>
    <dxf>
      <numFmt numFmtId="1" formatCode="0"/>
      <fill>
        <patternFill>
          <fgColor rgb="FF000000"/>
          <bgColor rgb="FFEDEDED"/>
        </patternFill>
      </fill>
    </dxf>
    <dxf>
      <numFmt numFmtId="1" formatCode="0"/>
    </dxf>
    <dxf>
      <numFmt numFmtId="1" formatCode="0"/>
    </dxf>
    <dxf>
      <numFmt numFmtId="1" formatCode="0"/>
    </dxf>
    <dxf>
      <numFmt numFmtId="165" formatCode="_-* #,##0\ &quot;€&quot;_-;\-* #,##0\ &quot;€&quot;_-;_-* &quot;-&quot;??\ &quot;€&quot;_-;_-@_-"/>
      <fill>
        <patternFill>
          <fgColor rgb="FF000000"/>
          <bgColor rgb="FFEDEDED"/>
        </patternFill>
      </fill>
    </dxf>
    <dxf>
      <numFmt numFmtId="165" formatCode="_-* #,##0\ &quot;€&quot;_-;\-* #,##0\ &quot;€&quot;_-;_-* &quot;-&quot;??\ &quot;€&quot;_-;_-@_-"/>
      <fill>
        <patternFill>
          <fgColor rgb="FF000000"/>
          <bgColor rgb="FFEDEDED"/>
        </patternFill>
      </fill>
    </dxf>
    <dxf>
      <numFmt numFmtId="165" formatCode="_-* #,##0\ &quot;€&quot;_-;\-* #,##0\ &quot;€&quot;_-;_-* &quot;-&quot;??\ &quot;€&quot;_-;_-@_-"/>
      <fill>
        <patternFill>
          <fgColor rgb="FF000000"/>
          <bgColor rgb="FFEDEDED"/>
        </patternFill>
      </fill>
    </dxf>
    <dxf>
      <numFmt numFmtId="165" formatCode="_-* #,##0\ &quot;€&quot;_-;\-* #,##0\ &quot;€&quot;_-;_-* &quot;-&quot;??\ &quot;€&quot;_-;_-@_-"/>
      <fill>
        <patternFill>
          <fgColor rgb="FF000000"/>
          <bgColor rgb="FFEDEDED"/>
        </patternFill>
      </fill>
    </dxf>
    <dxf>
      <numFmt numFmtId="165" formatCode="_-* #,##0\ &quot;€&quot;_-;\-* #,##0\ &quot;€&quot;_-;_-* &quot;-&quot;??\ &quot;€&quot;_-;_-@_-"/>
      <fill>
        <patternFill>
          <fgColor rgb="FF000000"/>
          <bgColor rgb="FFEDEDED"/>
        </patternFill>
      </fill>
    </dxf>
    <dxf>
      <numFmt numFmtId="1" formatCode="0"/>
      <fill>
        <patternFill>
          <fgColor rgb="FF000000"/>
          <bgColor rgb="FFEDEDED"/>
        </patternFill>
      </fill>
    </dxf>
    <dxf>
      <numFmt numFmtId="1" formatCode="0"/>
      <fill>
        <patternFill>
          <fgColor rgb="FF000000"/>
          <bgColor rgb="FFEDEDED"/>
        </patternFill>
      </fill>
    </dxf>
    <dxf>
      <numFmt numFmtId="1" formatCode="0"/>
      <fill>
        <patternFill>
          <fgColor rgb="FF000000"/>
          <bgColor rgb="FFEDEDED"/>
        </patternFill>
      </fill>
    </dxf>
    <dxf>
      <numFmt numFmtId="1" formatCode="0"/>
      <fill>
        <patternFill>
          <fgColor rgb="FF000000"/>
          <bgColor rgb="FFEDEDED"/>
        </patternFill>
      </fill>
    </dxf>
    <dxf>
      <numFmt numFmtId="1" formatCode="0"/>
      <fill>
        <patternFill>
          <fgColor rgb="FF000000"/>
          <bgColor rgb="FFEDEDED"/>
        </patternFill>
      </fill>
    </dxf>
    <dxf>
      <numFmt numFmtId="1" formatCode="0"/>
      <fill>
        <patternFill>
          <fgColor rgb="FF000000"/>
          <bgColor rgb="FFEDEDED"/>
        </patternFill>
      </fill>
    </dxf>
    <dxf>
      <numFmt numFmtId="1" formatCode="0"/>
      <fill>
        <patternFill>
          <fgColor rgb="FF000000"/>
          <bgColor rgb="FFEDEDED"/>
        </patternFill>
      </fill>
    </dxf>
    <dxf>
      <numFmt numFmtId="1" formatCode="0"/>
      <fill>
        <patternFill>
          <fgColor rgb="FF000000"/>
          <bgColor rgb="FFEDEDED"/>
        </patternFill>
      </fill>
    </dxf>
    <dxf>
      <numFmt numFmtId="1" formatCode="0"/>
      <fill>
        <patternFill>
          <fgColor rgb="FF000000"/>
          <bgColor rgb="FFEDEDED"/>
        </patternFill>
      </fill>
    </dxf>
    <dxf>
      <numFmt numFmtId="1" formatCode="0"/>
      <fill>
        <patternFill>
          <fgColor rgb="FF000000"/>
          <bgColor rgb="FFEDEDED"/>
        </patternFill>
      </fill>
    </dxf>
    <dxf>
      <numFmt numFmtId="1" formatCode="0"/>
      <fill>
        <patternFill>
          <fgColor rgb="FF000000"/>
          <bgColor rgb="FFEDEDED"/>
        </patternFill>
      </fill>
    </dxf>
    <dxf>
      <numFmt numFmtId="1" formatCode="0"/>
      <fill>
        <patternFill>
          <fgColor rgb="FF000000"/>
          <bgColor rgb="FFEDEDED"/>
        </patternFill>
      </fill>
    </dxf>
    <dxf>
      <numFmt numFmtId="1" formatCode="0"/>
      <fill>
        <patternFill>
          <fgColor rgb="FF000000"/>
          <bgColor rgb="FFEDEDED"/>
        </patternFill>
      </fill>
    </dxf>
    <dxf>
      <numFmt numFmtId="1" formatCode="0"/>
      <fill>
        <patternFill>
          <fgColor rgb="FF000000"/>
          <bgColor rgb="FFEDEDED"/>
        </patternFill>
      </fill>
    </dxf>
    <dxf>
      <numFmt numFmtId="1" formatCode="0"/>
      <fill>
        <patternFill patternType="solid">
          <fgColor rgb="FF000000"/>
          <bgColor rgb="FFEDEDED"/>
        </patternFill>
      </fill>
    </dxf>
    <dxf>
      <numFmt numFmtId="1" formatCode="0"/>
      <fill>
        <patternFill patternType="solid">
          <fgColor rgb="FF000000"/>
          <bgColor rgb="FFEDEDED"/>
        </patternFill>
      </fill>
    </dxf>
    <dxf>
      <numFmt numFmtId="1" formatCode="0"/>
      <fill>
        <patternFill>
          <fgColor rgb="FF000000"/>
          <bgColor rgb="FFEDEDED"/>
        </patternFill>
      </fill>
    </dxf>
    <dxf>
      <numFmt numFmtId="1" formatCode="0"/>
      <fill>
        <patternFill>
          <fgColor rgb="FF000000"/>
          <bgColor rgb="FFEDEDED"/>
        </patternFill>
      </fill>
    </dxf>
    <dxf>
      <numFmt numFmtId="1" formatCode="0"/>
      <fill>
        <patternFill>
          <fgColor rgb="FF000000"/>
          <bgColor rgb="FFEDEDED"/>
        </patternFill>
      </fill>
    </dxf>
    <dxf>
      <numFmt numFmtId="1" formatCode="0"/>
      <fill>
        <patternFill>
          <fgColor rgb="FF000000"/>
          <bgColor rgb="FFEDEDED"/>
        </patternFill>
      </fill>
    </dxf>
    <dxf>
      <numFmt numFmtId="1" formatCode="0"/>
      <fill>
        <patternFill>
          <fgColor rgb="FF000000"/>
          <bgColor rgb="FFEDEDED"/>
        </patternFill>
      </fill>
    </dxf>
    <dxf>
      <numFmt numFmtId="1" formatCode="0"/>
      <fill>
        <patternFill>
          <fgColor rgb="FF000000"/>
          <bgColor rgb="FFEDEDED"/>
        </patternFill>
      </fill>
    </dxf>
    <dxf>
      <numFmt numFmtId="1" formatCode="0"/>
      <fill>
        <patternFill>
          <fgColor rgb="FF000000"/>
          <bgColor rgb="FFEDEDED"/>
        </patternFill>
      </fill>
    </dxf>
    <dxf>
      <numFmt numFmtId="1" formatCode="0"/>
    </dxf>
    <dxf>
      <numFmt numFmtId="1" formatCode="0"/>
    </dxf>
    <dxf>
      <numFmt numFmtId="1" formatCode="0"/>
    </dxf>
    <dxf>
      <numFmt numFmtId="165" formatCode="_-* #,##0\ &quot;€&quot;_-;\-* #,##0\ &quot;€&quot;_-;_-* &quot;-&quot;??\ &quot;€&quot;_-;_-@_-"/>
      <fill>
        <patternFill>
          <fgColor rgb="FF000000"/>
          <bgColor rgb="FFEDEDED"/>
        </patternFill>
      </fill>
    </dxf>
    <dxf>
      <numFmt numFmtId="165" formatCode="_-* #,##0\ &quot;€&quot;_-;\-* #,##0\ &quot;€&quot;_-;_-* &quot;-&quot;??\ &quot;€&quot;_-;_-@_-"/>
      <fill>
        <patternFill>
          <fgColor rgb="FF000000"/>
          <bgColor rgb="FFEDEDED"/>
        </patternFill>
      </fill>
    </dxf>
    <dxf>
      <numFmt numFmtId="165" formatCode="_-* #,##0\ &quot;€&quot;_-;\-* #,##0\ &quot;€&quot;_-;_-* &quot;-&quot;??\ &quot;€&quot;_-;_-@_-"/>
      <fill>
        <patternFill>
          <fgColor rgb="FF000000"/>
          <bgColor rgb="FFEDEDED"/>
        </patternFill>
      </fill>
    </dxf>
    <dxf>
      <numFmt numFmtId="165" formatCode="_-* #,##0\ &quot;€&quot;_-;\-* #,##0\ &quot;€&quot;_-;_-* &quot;-&quot;??\ &quot;€&quot;_-;_-@_-"/>
      <fill>
        <patternFill>
          <fgColor rgb="FF000000"/>
          <bgColor rgb="FFEDEDED"/>
        </patternFill>
      </fill>
    </dxf>
    <dxf>
      <numFmt numFmtId="165" formatCode="_-* #,##0\ &quot;€&quot;_-;\-* #,##0\ &quot;€&quot;_-;_-* &quot;-&quot;??\ &quot;€&quot;_-;_-@_-"/>
      <fill>
        <patternFill>
          <fgColor rgb="FF000000"/>
          <bgColor rgb="FFEDEDED"/>
        </patternFill>
      </fill>
    </dxf>
    <dxf>
      <numFmt numFmtId="1" formatCode="0"/>
      <fill>
        <patternFill>
          <fgColor rgb="FF000000"/>
          <bgColor rgb="FFEDEDED"/>
        </patternFill>
      </fill>
    </dxf>
    <dxf>
      <numFmt numFmtId="1" formatCode="0"/>
      <fill>
        <patternFill>
          <fgColor rgb="FF000000"/>
          <bgColor rgb="FFEDEDED"/>
        </patternFill>
      </fill>
    </dxf>
    <dxf>
      <numFmt numFmtId="1" formatCode="0"/>
      <fill>
        <patternFill>
          <fgColor rgb="FF000000"/>
          <bgColor rgb="FFEDEDED"/>
        </patternFill>
      </fill>
    </dxf>
    <dxf>
      <numFmt numFmtId="1" formatCode="0"/>
      <fill>
        <patternFill>
          <fgColor rgb="FF000000"/>
          <bgColor rgb="FFEDEDED"/>
        </patternFill>
      </fill>
    </dxf>
    <dxf>
      <numFmt numFmtId="1" formatCode="0"/>
      <fill>
        <patternFill>
          <fgColor rgb="FF000000"/>
          <bgColor rgb="FFEDEDED"/>
        </patternFill>
      </fill>
    </dxf>
    <dxf>
      <numFmt numFmtId="1" formatCode="0"/>
      <fill>
        <patternFill>
          <fgColor rgb="FF000000"/>
          <bgColor rgb="FFEDEDED"/>
        </patternFill>
      </fill>
    </dxf>
    <dxf>
      <numFmt numFmtId="1" formatCode="0"/>
      <fill>
        <patternFill>
          <fgColor rgb="FF000000"/>
          <bgColor rgb="FFEDEDED"/>
        </patternFill>
      </fill>
    </dxf>
    <dxf>
      <numFmt numFmtId="1" formatCode="0"/>
      <fill>
        <patternFill>
          <fgColor rgb="FF000000"/>
          <bgColor rgb="FFEDEDED"/>
        </patternFill>
      </fill>
    </dxf>
    <dxf>
      <numFmt numFmtId="1" formatCode="0"/>
      <fill>
        <patternFill>
          <fgColor rgb="FF000000"/>
          <bgColor rgb="FFEDEDED"/>
        </patternFill>
      </fill>
    </dxf>
    <dxf>
      <numFmt numFmtId="1" formatCode="0"/>
      <fill>
        <patternFill>
          <fgColor rgb="FF000000"/>
          <bgColor rgb="FFEDEDED"/>
        </patternFill>
      </fill>
    </dxf>
    <dxf>
      <numFmt numFmtId="1" formatCode="0"/>
      <fill>
        <patternFill>
          <fgColor rgb="FF000000"/>
          <bgColor rgb="FFEDEDED"/>
        </patternFill>
      </fill>
    </dxf>
    <dxf>
      <numFmt numFmtId="1" formatCode="0"/>
      <fill>
        <patternFill>
          <fgColor rgb="FF000000"/>
          <bgColor rgb="FFEDEDED"/>
        </patternFill>
      </fill>
    </dxf>
    <dxf>
      <numFmt numFmtId="1" formatCode="0"/>
      <fill>
        <patternFill>
          <fgColor rgb="FF000000"/>
          <bgColor rgb="FFEDEDED"/>
        </patternFill>
      </fill>
    </dxf>
    <dxf>
      <numFmt numFmtId="1" formatCode="0"/>
      <fill>
        <patternFill>
          <fgColor rgb="FF000000"/>
          <bgColor rgb="FFEDEDED"/>
        </patternFill>
      </fill>
    </dxf>
    <dxf>
      <numFmt numFmtId="1" formatCode="0"/>
      <fill>
        <patternFill patternType="solid">
          <fgColor rgb="FF000000"/>
          <bgColor rgb="FFEDEDED"/>
        </patternFill>
      </fill>
    </dxf>
    <dxf>
      <numFmt numFmtId="1" formatCode="0"/>
      <fill>
        <patternFill patternType="solid">
          <fgColor rgb="FF000000"/>
          <bgColor rgb="FFEDEDED"/>
        </patternFill>
      </fill>
    </dxf>
    <dxf>
      <numFmt numFmtId="1" formatCode="0"/>
      <fill>
        <patternFill>
          <fgColor rgb="FF000000"/>
          <bgColor rgb="FFEDEDED"/>
        </patternFill>
      </fill>
    </dxf>
    <dxf>
      <numFmt numFmtId="1" formatCode="0"/>
      <fill>
        <patternFill>
          <fgColor rgb="FF000000"/>
          <bgColor rgb="FFEDEDED"/>
        </patternFill>
      </fill>
    </dxf>
    <dxf>
      <numFmt numFmtId="1" formatCode="0"/>
      <fill>
        <patternFill>
          <fgColor rgb="FF000000"/>
          <bgColor rgb="FFEDEDED"/>
        </patternFill>
      </fill>
    </dxf>
    <dxf>
      <numFmt numFmtId="1" formatCode="0"/>
      <fill>
        <patternFill>
          <fgColor rgb="FF000000"/>
          <bgColor rgb="FFEDEDED"/>
        </patternFill>
      </fill>
    </dxf>
    <dxf>
      <numFmt numFmtId="1" formatCode="0"/>
      <fill>
        <patternFill>
          <fgColor rgb="FF000000"/>
          <bgColor rgb="FFEDEDED"/>
        </patternFill>
      </fill>
    </dxf>
    <dxf>
      <numFmt numFmtId="1" formatCode="0"/>
      <fill>
        <patternFill>
          <fgColor rgb="FF000000"/>
          <bgColor rgb="FFEDEDED"/>
        </patternFill>
      </fill>
    </dxf>
    <dxf>
      <numFmt numFmtId="1" formatCode="0"/>
      <fill>
        <patternFill>
          <fgColor rgb="FF000000"/>
          <bgColor rgb="FFEDEDED"/>
        </patternFill>
      </fill>
    </dxf>
    <dxf>
      <numFmt numFmtId="1" formatCode="0"/>
    </dxf>
    <dxf>
      <numFmt numFmtId="1" formatCode="0"/>
    </dxf>
    <dxf>
      <numFmt numFmtId="1" formatCode="0"/>
    </dxf>
    <dxf>
      <numFmt numFmtId="165" formatCode="_-* #,##0\ &quot;€&quot;_-;\-* #,##0\ &quot;€&quot;_-;_-* &quot;-&quot;??\ &quot;€&quot;_-;_-@_-"/>
      <fill>
        <patternFill>
          <fgColor rgb="FF000000"/>
          <bgColor rgb="FFEDEDED"/>
        </patternFill>
      </fill>
    </dxf>
    <dxf>
      <numFmt numFmtId="165" formatCode="_-* #,##0\ &quot;€&quot;_-;\-* #,##0\ &quot;€&quot;_-;_-* &quot;-&quot;??\ &quot;€&quot;_-;_-@_-"/>
      <fill>
        <patternFill>
          <fgColor rgb="FF000000"/>
          <bgColor rgb="FFEDEDED"/>
        </patternFill>
      </fill>
    </dxf>
    <dxf>
      <numFmt numFmtId="165" formatCode="_-* #,##0\ &quot;€&quot;_-;\-* #,##0\ &quot;€&quot;_-;_-* &quot;-&quot;??\ &quot;€&quot;_-;_-@_-"/>
      <fill>
        <patternFill>
          <fgColor rgb="FF000000"/>
          <bgColor rgb="FFEDEDED"/>
        </patternFill>
      </fill>
    </dxf>
    <dxf>
      <numFmt numFmtId="165" formatCode="_-* #,##0\ &quot;€&quot;_-;\-* #,##0\ &quot;€&quot;_-;_-* &quot;-&quot;??\ &quot;€&quot;_-;_-@_-"/>
      <fill>
        <patternFill>
          <fgColor rgb="FF000000"/>
          <bgColor rgb="FFEDEDED"/>
        </patternFill>
      </fill>
    </dxf>
    <dxf>
      <numFmt numFmtId="165" formatCode="_-* #,##0\ &quot;€&quot;_-;\-* #,##0\ &quot;€&quot;_-;_-* &quot;-&quot;??\ &quot;€&quot;_-;_-@_-"/>
      <fill>
        <patternFill>
          <fgColor rgb="FF000000"/>
          <bgColor rgb="FFEDEDED"/>
        </patternFill>
      </fill>
    </dxf>
    <dxf>
      <numFmt numFmtId="1" formatCode="0"/>
      <fill>
        <patternFill>
          <fgColor rgb="FF000000"/>
          <bgColor rgb="FFEDEDED"/>
        </patternFill>
      </fill>
    </dxf>
    <dxf>
      <numFmt numFmtId="1" formatCode="0"/>
      <fill>
        <patternFill>
          <fgColor rgb="FF000000"/>
          <bgColor rgb="FFEDEDED"/>
        </patternFill>
      </fill>
    </dxf>
    <dxf>
      <numFmt numFmtId="1" formatCode="0"/>
      <fill>
        <patternFill>
          <fgColor rgb="FF000000"/>
          <bgColor rgb="FFEDEDED"/>
        </patternFill>
      </fill>
    </dxf>
    <dxf>
      <numFmt numFmtId="1" formatCode="0"/>
      <fill>
        <patternFill>
          <fgColor rgb="FF000000"/>
          <bgColor rgb="FFEDEDED"/>
        </patternFill>
      </fill>
    </dxf>
    <dxf>
      <numFmt numFmtId="1" formatCode="0"/>
      <fill>
        <patternFill>
          <fgColor rgb="FF000000"/>
          <bgColor rgb="FFEDEDED"/>
        </patternFill>
      </fill>
    </dxf>
    <dxf>
      <numFmt numFmtId="1" formatCode="0"/>
      <fill>
        <patternFill>
          <fgColor rgb="FF000000"/>
          <bgColor rgb="FFEDEDED"/>
        </patternFill>
      </fill>
    </dxf>
    <dxf>
      <numFmt numFmtId="1" formatCode="0"/>
      <fill>
        <patternFill>
          <fgColor rgb="FF000000"/>
          <bgColor rgb="FFEDEDED"/>
        </patternFill>
      </fill>
    </dxf>
    <dxf>
      <numFmt numFmtId="1" formatCode="0"/>
      <fill>
        <patternFill>
          <fgColor rgb="FF000000"/>
          <bgColor rgb="FFEDEDED"/>
        </patternFill>
      </fill>
    </dxf>
    <dxf>
      <numFmt numFmtId="1" formatCode="0"/>
      <fill>
        <patternFill>
          <fgColor rgb="FF000000"/>
          <bgColor rgb="FFEDEDED"/>
        </patternFill>
      </fill>
    </dxf>
    <dxf>
      <numFmt numFmtId="1" formatCode="0"/>
      <fill>
        <patternFill>
          <fgColor rgb="FF000000"/>
          <bgColor rgb="FFEDEDED"/>
        </patternFill>
      </fill>
    </dxf>
    <dxf>
      <numFmt numFmtId="1" formatCode="0"/>
      <fill>
        <patternFill>
          <fgColor rgb="FF000000"/>
          <bgColor rgb="FFEDEDED"/>
        </patternFill>
      </fill>
    </dxf>
    <dxf>
      <numFmt numFmtId="1" formatCode="0"/>
      <fill>
        <patternFill>
          <fgColor rgb="FF000000"/>
          <bgColor rgb="FFEDEDED"/>
        </patternFill>
      </fill>
    </dxf>
    <dxf>
      <numFmt numFmtId="1" formatCode="0"/>
      <fill>
        <patternFill>
          <fgColor rgb="FF000000"/>
          <bgColor rgb="FFEDEDED"/>
        </patternFill>
      </fill>
    </dxf>
    <dxf>
      <numFmt numFmtId="1" formatCode="0"/>
      <fill>
        <patternFill>
          <fgColor rgb="FF000000"/>
          <bgColor rgb="FFEDEDED"/>
        </patternFill>
      </fill>
    </dxf>
    <dxf>
      <numFmt numFmtId="1" formatCode="0"/>
      <fill>
        <patternFill patternType="solid">
          <fgColor rgb="FF000000"/>
          <bgColor rgb="FFEDEDED"/>
        </patternFill>
      </fill>
    </dxf>
    <dxf>
      <numFmt numFmtId="1" formatCode="0"/>
      <fill>
        <patternFill patternType="solid">
          <fgColor rgb="FF000000"/>
          <bgColor rgb="FFEDEDED"/>
        </patternFill>
      </fill>
    </dxf>
    <dxf>
      <numFmt numFmtId="1" formatCode="0"/>
      <fill>
        <patternFill>
          <fgColor rgb="FF000000"/>
          <bgColor rgb="FFEDEDED"/>
        </patternFill>
      </fill>
    </dxf>
    <dxf>
      <numFmt numFmtId="1" formatCode="0"/>
      <fill>
        <patternFill>
          <fgColor rgb="FF000000"/>
          <bgColor rgb="FFEDEDED"/>
        </patternFill>
      </fill>
    </dxf>
    <dxf>
      <numFmt numFmtId="1" formatCode="0"/>
      <fill>
        <patternFill>
          <fgColor rgb="FF000000"/>
          <bgColor rgb="FFEDEDED"/>
        </patternFill>
      </fill>
    </dxf>
    <dxf>
      <numFmt numFmtId="1" formatCode="0"/>
      <fill>
        <patternFill>
          <fgColor rgb="FF000000"/>
          <bgColor rgb="FFEDEDED"/>
        </patternFill>
      </fill>
    </dxf>
    <dxf>
      <numFmt numFmtId="1" formatCode="0"/>
      <fill>
        <patternFill>
          <fgColor rgb="FF000000"/>
          <bgColor rgb="FFEDEDED"/>
        </patternFill>
      </fill>
    </dxf>
    <dxf>
      <numFmt numFmtId="1" formatCode="0"/>
      <fill>
        <patternFill>
          <fgColor rgb="FF000000"/>
          <bgColor rgb="FFEDEDED"/>
        </patternFill>
      </fill>
    </dxf>
    <dxf>
      <numFmt numFmtId="1" formatCode="0"/>
      <fill>
        <patternFill>
          <fgColor rgb="FF000000"/>
          <bgColor rgb="FFEDEDED"/>
        </patternFill>
      </fill>
    </dxf>
    <dxf>
      <numFmt numFmtId="1" formatCode="0"/>
    </dxf>
    <dxf>
      <numFmt numFmtId="1" formatCode="0"/>
    </dxf>
    <dxf>
      <numFmt numFmtId="1" formatCode="0"/>
    </dxf>
    <dxf>
      <numFmt numFmtId="165" formatCode="_-* #,##0\ &quot;€&quot;_-;\-* #,##0\ &quot;€&quot;_-;_-* &quot;-&quot;??\ &quot;€&quot;_-;_-@_-"/>
      <fill>
        <patternFill>
          <fgColor rgb="FF000000"/>
          <bgColor rgb="FFEDEDED"/>
        </patternFill>
      </fill>
    </dxf>
    <dxf>
      <numFmt numFmtId="165" formatCode="_-* #,##0\ &quot;€&quot;_-;\-* #,##0\ &quot;€&quot;_-;_-* &quot;-&quot;??\ &quot;€&quot;_-;_-@_-"/>
      <fill>
        <patternFill>
          <fgColor rgb="FF000000"/>
          <bgColor rgb="FFEDEDED"/>
        </patternFill>
      </fill>
    </dxf>
    <dxf>
      <numFmt numFmtId="165" formatCode="_-* #,##0\ &quot;€&quot;_-;\-* #,##0\ &quot;€&quot;_-;_-* &quot;-&quot;??\ &quot;€&quot;_-;_-@_-"/>
      <fill>
        <patternFill>
          <fgColor rgb="FF000000"/>
          <bgColor rgb="FFEDEDED"/>
        </patternFill>
      </fill>
    </dxf>
    <dxf>
      <numFmt numFmtId="165" formatCode="_-* #,##0\ &quot;€&quot;_-;\-* #,##0\ &quot;€&quot;_-;_-* &quot;-&quot;??\ &quot;€&quot;_-;_-@_-"/>
      <fill>
        <patternFill>
          <fgColor rgb="FF000000"/>
          <bgColor rgb="FFEDEDED"/>
        </patternFill>
      </fill>
    </dxf>
    <dxf>
      <numFmt numFmtId="165" formatCode="_-* #,##0\ &quot;€&quot;_-;\-* #,##0\ &quot;€&quot;_-;_-* &quot;-&quot;??\ &quot;€&quot;_-;_-@_-"/>
      <fill>
        <patternFill>
          <fgColor rgb="FF000000"/>
          <bgColor rgb="FFEDEDED"/>
        </patternFill>
      </fill>
    </dxf>
    <dxf>
      <numFmt numFmtId="1" formatCode="0"/>
      <fill>
        <patternFill>
          <fgColor rgb="FF000000"/>
          <bgColor rgb="FFEDEDED"/>
        </patternFill>
      </fill>
    </dxf>
    <dxf>
      <numFmt numFmtId="1" formatCode="0"/>
      <fill>
        <patternFill>
          <fgColor rgb="FF000000"/>
          <bgColor rgb="FFEDEDED"/>
        </patternFill>
      </fill>
    </dxf>
    <dxf>
      <numFmt numFmtId="1" formatCode="0"/>
      <fill>
        <patternFill>
          <fgColor rgb="FF000000"/>
          <bgColor rgb="FFEDEDED"/>
        </patternFill>
      </fill>
    </dxf>
    <dxf>
      <numFmt numFmtId="1" formatCode="0"/>
      <fill>
        <patternFill>
          <fgColor rgb="FF000000"/>
          <bgColor rgb="FFEDEDED"/>
        </patternFill>
      </fill>
    </dxf>
    <dxf>
      <numFmt numFmtId="1" formatCode="0"/>
      <fill>
        <patternFill>
          <fgColor rgb="FF000000"/>
          <bgColor rgb="FFEDEDED"/>
        </patternFill>
      </fill>
    </dxf>
    <dxf>
      <numFmt numFmtId="1" formatCode="0"/>
      <fill>
        <patternFill>
          <fgColor rgb="FF000000"/>
          <bgColor rgb="FFEDEDED"/>
        </patternFill>
      </fill>
    </dxf>
    <dxf>
      <numFmt numFmtId="1" formatCode="0"/>
      <fill>
        <patternFill>
          <fgColor rgb="FF000000"/>
          <bgColor rgb="FFEDEDED"/>
        </patternFill>
      </fill>
    </dxf>
    <dxf>
      <numFmt numFmtId="1" formatCode="0"/>
      <fill>
        <patternFill>
          <fgColor rgb="FF000000"/>
          <bgColor rgb="FFEDEDED"/>
        </patternFill>
      </fill>
    </dxf>
    <dxf>
      <numFmt numFmtId="1" formatCode="0"/>
      <fill>
        <patternFill>
          <fgColor rgb="FF000000"/>
          <bgColor rgb="FFEDEDED"/>
        </patternFill>
      </fill>
    </dxf>
    <dxf>
      <numFmt numFmtId="1" formatCode="0"/>
      <fill>
        <patternFill>
          <fgColor rgb="FF000000"/>
          <bgColor rgb="FFEDEDED"/>
        </patternFill>
      </fill>
    </dxf>
    <dxf>
      <numFmt numFmtId="1" formatCode="0"/>
      <fill>
        <patternFill>
          <fgColor rgb="FF000000"/>
          <bgColor rgb="FFEDEDED"/>
        </patternFill>
      </fill>
    </dxf>
    <dxf>
      <numFmt numFmtId="1" formatCode="0"/>
      <fill>
        <patternFill>
          <fgColor rgb="FF000000"/>
          <bgColor rgb="FFEDEDED"/>
        </patternFill>
      </fill>
    </dxf>
    <dxf>
      <numFmt numFmtId="1" formatCode="0"/>
      <fill>
        <patternFill>
          <fgColor rgb="FF000000"/>
          <bgColor rgb="FFEDEDED"/>
        </patternFill>
      </fill>
    </dxf>
    <dxf>
      <numFmt numFmtId="1" formatCode="0"/>
      <fill>
        <patternFill>
          <fgColor rgb="FF000000"/>
          <bgColor rgb="FFEDEDED"/>
        </patternFill>
      </fill>
    </dxf>
    <dxf>
      <numFmt numFmtId="1" formatCode="0"/>
      <fill>
        <patternFill patternType="solid">
          <fgColor rgb="FF000000"/>
          <bgColor rgb="FFEDEDED"/>
        </patternFill>
      </fill>
    </dxf>
    <dxf>
      <numFmt numFmtId="1" formatCode="0"/>
      <fill>
        <patternFill patternType="solid">
          <fgColor rgb="FF000000"/>
          <bgColor rgb="FFEDEDED"/>
        </patternFill>
      </fill>
    </dxf>
    <dxf>
      <numFmt numFmtId="1" formatCode="0"/>
      <fill>
        <patternFill>
          <fgColor rgb="FF000000"/>
          <bgColor rgb="FFEDEDED"/>
        </patternFill>
      </fill>
    </dxf>
    <dxf>
      <numFmt numFmtId="1" formatCode="0"/>
      <fill>
        <patternFill>
          <fgColor rgb="FF000000"/>
          <bgColor rgb="FFEDEDED"/>
        </patternFill>
      </fill>
    </dxf>
    <dxf>
      <numFmt numFmtId="1" formatCode="0"/>
      <fill>
        <patternFill>
          <fgColor rgb="FF000000"/>
          <bgColor rgb="FFEDEDED"/>
        </patternFill>
      </fill>
    </dxf>
    <dxf>
      <numFmt numFmtId="1" formatCode="0"/>
      <fill>
        <patternFill>
          <fgColor rgb="FF000000"/>
          <bgColor rgb="FFEDEDED"/>
        </patternFill>
      </fill>
    </dxf>
    <dxf>
      <numFmt numFmtId="1" formatCode="0"/>
      <fill>
        <patternFill>
          <fgColor rgb="FF000000"/>
          <bgColor rgb="FFEDEDED"/>
        </patternFill>
      </fill>
    </dxf>
    <dxf>
      <numFmt numFmtId="1" formatCode="0"/>
      <fill>
        <patternFill>
          <fgColor rgb="FF000000"/>
          <bgColor rgb="FFEDEDED"/>
        </patternFill>
      </fill>
    </dxf>
    <dxf>
      <numFmt numFmtId="1" formatCode="0"/>
      <fill>
        <patternFill>
          <fgColor rgb="FF000000"/>
          <bgColor rgb="FFEDEDED"/>
        </patternFill>
      </fill>
    </dxf>
    <dxf>
      <numFmt numFmtId="1" formatCode="0"/>
    </dxf>
    <dxf>
      <numFmt numFmtId="1" formatCode="0"/>
    </dxf>
    <dxf>
      <numFmt numFmtId="1" formatCode="0"/>
    </dxf>
    <dxf>
      <border>
        <left style="thin">
          <color rgb="FF000000"/>
        </left>
      </border>
    </dxf>
    <dxf>
      <border>
        <left style="thin">
          <color rgb="FF000000"/>
        </left>
      </border>
    </dxf>
    <dxf>
      <border>
        <top style="thin">
          <color rgb="FF000000"/>
        </top>
      </border>
    </dxf>
    <dxf>
      <border>
        <top style="thin">
          <color rgb="FF000000"/>
        </top>
      </border>
    </dxf>
    <dxf>
      <font>
        <b/>
        <color rgb="FF000000"/>
      </font>
    </dxf>
    <dxf>
      <font>
        <b/>
        <color rgb="FF000000"/>
      </font>
    </dxf>
    <dxf>
      <font>
        <b/>
        <color rgb="FF000000"/>
      </font>
      <border>
        <top style="double">
          <color rgb="FF000000"/>
        </top>
      </border>
    </dxf>
    <dxf>
      <font>
        <b/>
        <color rgb="FFFFFFFF"/>
      </font>
      <fill>
        <patternFill patternType="solid">
          <fgColor rgb="FF000000"/>
          <bgColor rgb="FF000000"/>
        </patternFill>
      </fill>
    </dxf>
    <dxf>
      <font>
        <color rgb="FF000000"/>
      </font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</border>
    </dxf>
    <dxf>
      <border>
        <left style="thin">
          <color rgb="FF000000"/>
        </left>
      </border>
    </dxf>
    <dxf>
      <border>
        <top style="thin">
          <color rgb="FF000000"/>
        </top>
      </border>
    </dxf>
    <dxf>
      <border>
        <top style="thin">
          <color rgb="FF000000"/>
        </top>
      </border>
    </dxf>
    <dxf>
      <font>
        <b/>
        <color rgb="FF000000"/>
      </font>
    </dxf>
    <dxf>
      <font>
        <b/>
        <color rgb="FF000000"/>
      </font>
    </dxf>
    <dxf>
      <font>
        <b/>
        <color rgb="FF000000"/>
      </font>
      <border>
        <top style="double">
          <color rgb="FF000000"/>
        </top>
      </border>
    </dxf>
    <dxf>
      <font>
        <b/>
        <color rgb="FFFFFFFF"/>
      </font>
      <fill>
        <patternFill patternType="solid">
          <fgColor rgb="FF000000"/>
          <bgColor rgb="FF000000"/>
        </patternFill>
      </fill>
    </dxf>
    <dxf>
      <font>
        <color rgb="FF000000"/>
      </font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</border>
    </dxf>
    <dxf>
      <border>
        <left style="thin">
          <color rgb="FF000000"/>
        </left>
      </border>
    </dxf>
    <dxf>
      <border>
        <top style="thin">
          <color rgb="FF000000"/>
        </top>
      </border>
    </dxf>
    <dxf>
      <border>
        <top style="thin">
          <color rgb="FF000000"/>
        </top>
      </border>
    </dxf>
    <dxf>
      <font>
        <b/>
        <color rgb="FF000000"/>
      </font>
    </dxf>
    <dxf>
      <font>
        <b/>
        <color rgb="FF000000"/>
      </font>
    </dxf>
    <dxf>
      <font>
        <b/>
        <color rgb="FF000000"/>
      </font>
      <border>
        <top style="double">
          <color rgb="FF000000"/>
        </top>
      </border>
    </dxf>
    <dxf>
      <font>
        <b/>
        <color rgb="FFFFFFFF"/>
      </font>
      <fill>
        <patternFill patternType="solid">
          <fgColor rgb="FF000000"/>
          <bgColor rgb="FF000000"/>
        </patternFill>
      </fill>
    </dxf>
    <dxf>
      <font>
        <color rgb="FF000000"/>
      </font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</border>
    </dxf>
    <dxf>
      <border>
        <left style="thin">
          <color rgb="FF000000"/>
        </left>
      </border>
    </dxf>
    <dxf>
      <border>
        <top style="thin">
          <color rgb="FF000000"/>
        </top>
      </border>
    </dxf>
    <dxf>
      <border>
        <top style="thin">
          <color rgb="FF000000"/>
        </top>
      </border>
    </dxf>
    <dxf>
      <font>
        <b/>
        <color rgb="FF000000"/>
      </font>
    </dxf>
    <dxf>
      <font>
        <b/>
        <color rgb="FF000000"/>
      </font>
    </dxf>
    <dxf>
      <font>
        <b/>
        <color rgb="FF000000"/>
      </font>
      <border>
        <top style="double">
          <color rgb="FF000000"/>
        </top>
      </border>
    </dxf>
    <dxf>
      <font>
        <b/>
        <color rgb="FFFFFFFF"/>
      </font>
      <fill>
        <patternFill patternType="solid">
          <fgColor rgb="FF000000"/>
          <bgColor rgb="FF000000"/>
        </patternFill>
      </fill>
    </dxf>
    <dxf>
      <font>
        <color rgb="FF000000"/>
      </font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</border>
    </dxf>
    <dxf>
      <border>
        <left style="thin">
          <color rgb="FF000000"/>
        </left>
      </border>
    </dxf>
    <dxf>
      <border>
        <top style="thin">
          <color rgb="FF000000"/>
        </top>
      </border>
    </dxf>
    <dxf>
      <border>
        <top style="thin">
          <color rgb="FF000000"/>
        </top>
      </border>
    </dxf>
    <dxf>
      <font>
        <b/>
        <color rgb="FF000000"/>
      </font>
    </dxf>
    <dxf>
      <font>
        <b/>
        <color rgb="FF000000"/>
      </font>
    </dxf>
    <dxf>
      <font>
        <b/>
        <color rgb="FF000000"/>
      </font>
      <border>
        <top style="double">
          <color rgb="FF000000"/>
        </top>
      </border>
    </dxf>
    <dxf>
      <font>
        <b/>
        <color rgb="FFFFFFFF"/>
      </font>
      <fill>
        <patternFill patternType="solid">
          <fgColor rgb="FF000000"/>
          <bgColor rgb="FF000000"/>
        </patternFill>
      </fill>
    </dxf>
    <dxf>
      <font>
        <color rgb="FF000000"/>
      </font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</border>
    </dxf>
    <dxf>
      <border>
        <left style="thin">
          <color rgb="FF000000"/>
        </left>
      </border>
    </dxf>
    <dxf>
      <border>
        <top style="thin">
          <color rgb="FF000000"/>
        </top>
      </border>
    </dxf>
    <dxf>
      <border>
        <top style="thin">
          <color rgb="FF000000"/>
        </top>
      </border>
    </dxf>
    <dxf>
      <font>
        <b/>
        <color rgb="FF000000"/>
      </font>
    </dxf>
    <dxf>
      <font>
        <b/>
        <color rgb="FF000000"/>
      </font>
    </dxf>
    <dxf>
      <font>
        <b/>
        <color rgb="FF000000"/>
      </font>
      <border>
        <top style="double">
          <color rgb="FF000000"/>
        </top>
      </border>
    </dxf>
    <dxf>
      <font>
        <b/>
        <color rgb="FFFFFFFF"/>
      </font>
      <fill>
        <patternFill patternType="solid">
          <fgColor rgb="FF000000"/>
          <bgColor rgb="FF000000"/>
        </patternFill>
      </fill>
    </dxf>
    <dxf>
      <font>
        <color rgb="FF000000"/>
      </font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</dxfs>
  <tableStyles count="6" defaultTableStyle="TableStyleMedium2" defaultPivotStyle="PivotStyleLight16">
    <tableStyle name="TableStyleLight8 2" pivot="0" count="9" xr9:uid="{7823A9E6-387C-4FB7-BFC1-8E6AD8CF5DBE}">
      <tableStyleElement type="wholeTable" dxfId="239"/>
      <tableStyleElement type="headerRow" dxfId="238"/>
      <tableStyleElement type="totalRow" dxfId="237"/>
      <tableStyleElement type="firstColumn" dxfId="236"/>
      <tableStyleElement type="lastColumn" dxfId="235"/>
      <tableStyleElement type="firstRowStripe" dxfId="234"/>
      <tableStyleElement type="secondRowStripe" dxfId="233"/>
      <tableStyleElement type="firstColumnStripe" dxfId="232"/>
      <tableStyleElement type="secondColumnStripe" dxfId="231"/>
    </tableStyle>
    <tableStyle name="TableStyleLight8 3" pivot="0" count="9" xr9:uid="{B69735A5-46CF-4A2B-8CB0-6C76683A02A9}">
      <tableStyleElement type="wholeTable" dxfId="230"/>
      <tableStyleElement type="headerRow" dxfId="229"/>
      <tableStyleElement type="totalRow" dxfId="228"/>
      <tableStyleElement type="firstColumn" dxfId="227"/>
      <tableStyleElement type="lastColumn" dxfId="226"/>
      <tableStyleElement type="firstRowStripe" dxfId="225"/>
      <tableStyleElement type="secondRowStripe" dxfId="224"/>
      <tableStyleElement type="firstColumnStripe" dxfId="223"/>
      <tableStyleElement type="secondColumnStripe" dxfId="222"/>
    </tableStyle>
    <tableStyle name="TableStyleLight8 4" pivot="0" count="9" xr9:uid="{E86EC5E4-E040-4518-9EF0-897F9F8A4334}">
      <tableStyleElement type="wholeTable" dxfId="221"/>
      <tableStyleElement type="headerRow" dxfId="220"/>
      <tableStyleElement type="totalRow" dxfId="219"/>
      <tableStyleElement type="firstColumn" dxfId="218"/>
      <tableStyleElement type="lastColumn" dxfId="217"/>
      <tableStyleElement type="firstRowStripe" dxfId="216"/>
      <tableStyleElement type="secondRowStripe" dxfId="215"/>
      <tableStyleElement type="firstColumnStripe" dxfId="214"/>
      <tableStyleElement type="secondColumnStripe" dxfId="213"/>
    </tableStyle>
    <tableStyle name="TableStyleLight8 5" pivot="0" count="9" xr9:uid="{2C269227-2A30-43A5-BDAA-C20110E60434}">
      <tableStyleElement type="wholeTable" dxfId="212"/>
      <tableStyleElement type="headerRow" dxfId="211"/>
      <tableStyleElement type="totalRow" dxfId="210"/>
      <tableStyleElement type="firstColumn" dxfId="209"/>
      <tableStyleElement type="lastColumn" dxfId="208"/>
      <tableStyleElement type="firstRowStripe" dxfId="207"/>
      <tableStyleElement type="secondRowStripe" dxfId="206"/>
      <tableStyleElement type="firstColumnStripe" dxfId="205"/>
      <tableStyleElement type="secondColumnStripe" dxfId="204"/>
    </tableStyle>
    <tableStyle name="TableStyleLight8 6" pivot="0" count="9" xr9:uid="{250779F7-CA80-4806-9B3B-D2719A44128D}">
      <tableStyleElement type="wholeTable" dxfId="203"/>
      <tableStyleElement type="headerRow" dxfId="202"/>
      <tableStyleElement type="totalRow" dxfId="201"/>
      <tableStyleElement type="firstColumn" dxfId="200"/>
      <tableStyleElement type="lastColumn" dxfId="199"/>
      <tableStyleElement type="firstRowStripe" dxfId="198"/>
      <tableStyleElement type="secondRowStripe" dxfId="197"/>
      <tableStyleElement type="firstColumnStripe" dxfId="196"/>
      <tableStyleElement type="secondColumnStripe" dxfId="195"/>
    </tableStyle>
    <tableStyle name="TableStyleLight8 7" pivot="0" count="9" xr9:uid="{37E405CD-5E5E-4F34-BFA9-D1FCDCF943B2}">
      <tableStyleElement type="wholeTable" dxfId="194"/>
      <tableStyleElement type="headerRow" dxfId="193"/>
      <tableStyleElement type="totalRow" dxfId="192"/>
      <tableStyleElement type="firstColumn" dxfId="191"/>
      <tableStyleElement type="lastColumn" dxfId="190"/>
      <tableStyleElement type="firstRowStripe" dxfId="189"/>
      <tableStyleElement type="secondRowStripe" dxfId="188"/>
      <tableStyleElement type="firstColumnStripe" dxfId="187"/>
      <tableStyleElement type="secondColumnStripe" dxfId="186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wolf/Documents/NEOSYLVA/Contrat%20NIF-Propri&#233;taire/L.Dunoyer%20-%20Bothan&#233;%20(56)/Label%20Bas%20Carbone/Label-Bas-Carbone_Bothan&#233;_260321%20-%20Copie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ES"/>
      <sheetName val="TABLES"/>
      <sheetName val="APPROCHES"/>
      <sheetName val="0_Itinéraire"/>
      <sheetName val="6_Tilleuls"/>
      <sheetName val="5_Cèdre de l’Atlas"/>
      <sheetName val="4_Chêne pubescent"/>
      <sheetName val="3_Grands érables"/>
      <sheetName val="2_Chêne rouge d’Amérique"/>
      <sheetName val="1_Douglas"/>
      <sheetName val="0_Fin"/>
      <sheetName val="PROJET"/>
      <sheetName val="ADDITIONNALITE"/>
      <sheetName val="CO-BENEFICES"/>
      <sheetName val="RISQUES"/>
      <sheetName val="REDUCTIONS"/>
      <sheetName val="ANNEXES"/>
      <sheetName val="Label-Bas-Carbone_Bothané_26032"/>
    </sheetNames>
    <sheetDataSet>
      <sheetData sheetId="0">
        <row r="3">
          <cell r="N3">
            <v>0.47499999999999998</v>
          </cell>
        </row>
        <row r="6">
          <cell r="N6">
            <v>10</v>
          </cell>
        </row>
        <row r="9">
          <cell r="N9">
            <v>35</v>
          </cell>
        </row>
        <row r="10">
          <cell r="N10">
            <v>25</v>
          </cell>
        </row>
        <row r="11">
          <cell r="N11">
            <v>2</v>
          </cell>
        </row>
        <row r="13">
          <cell r="N13">
            <v>4.4999999999999998E-2</v>
          </cell>
        </row>
      </sheetData>
      <sheetData sheetId="1" refreshError="1"/>
      <sheetData sheetId="2" refreshError="1"/>
      <sheetData sheetId="3" refreshError="1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7647399-FB62-4912-87F1-725C7AAB5197}" name="Tableau182982" displayName="Tableau182982" ref="K1:AP102" totalsRowShown="0">
  <autoFilter ref="K1:AP102" xr:uid="{17647399-FB62-4912-87F1-725C7AAB5197}"/>
  <tableColumns count="32">
    <tableColumn id="1" xr3:uid="{738ADC2D-3A0A-4C2E-BDDF-546CFE6EBB3C}" name="Age"/>
    <tableColumn id="2" xr3:uid="{8C9A4CF0-1891-4701-BE0C-74447B6E1520}" name="V_av" dataDxfId="185"/>
    <tableColumn id="3" xr3:uid="{B7A948C6-176D-4E9A-A079-24E212C45D53}" name="V_prel" dataDxfId="184"/>
    <tableColumn id="4" xr3:uid="{3A671994-6B6A-4398-B285-A23924C86D0C}" name="V_ap" dataDxfId="183"/>
    <tableColumn id="6" xr3:uid="{FB69C1D5-149B-450F-BADC-D0492B26015F}" name="BA" dataDxfId="182">
      <calculatedColumnFormula>IF(K2&lt;&gt;"",N2*$B$7*$B$8,"")</calculatedColumnFormula>
    </tableColumn>
    <tableColumn id="7" xr3:uid="{5B4763DF-CA6F-423E-8E08-181D510E6979}" name="BR" dataDxfId="181">
      <calculatedColumnFormula>IF(K2&lt;&gt;"",IF(O2&gt;0,EXP(-1.0587+0.8836*LN(O2)+0.284),0),"")</calculatedColumnFormula>
    </tableColumn>
    <tableColumn id="8" xr3:uid="{68D63931-486C-404F-8FD8-F2AAD6911F2E}" name="SOL" dataDxfId="180">
      <calculatedColumnFormula>IF(K2&lt;&gt;"",45+25*(1-EXP(-0.0175*K2)),"")</calculatedColumnFormula>
    </tableColumn>
    <tableColumn id="9" xr3:uid="{7E04FAFA-71CA-4666-BEB6-B5274157EFFA}" name="L" dataDxfId="179"/>
    <tableColumn id="10" xr3:uid="{460F9815-25E4-4F2D-9DB0-28858CD21565}" name="Sprojet" dataDxfId="178"/>
    <tableColumn id="11" xr3:uid="{91443474-83F5-4E0A-BA9F-4953C7DD871C}" name="BAref" dataDxfId="177">
      <calculatedColumnFormula>IF(AND(K2&lt;=$E$11,K2&lt;&gt;"",K2&gt;0),IF($E$4="Embrousaillement",1*K2*$E$7*$E$8,0),"")</calculatedColumnFormula>
    </tableColumn>
    <tableColumn id="12" xr3:uid="{7413D40C-730F-4924-A5E1-33871F84F67D}" name="BRref" dataDxfId="176">
      <calculatedColumnFormula>IF(AND(K2&lt;=$E$11,K2&lt;&gt;"",K2&gt;0),IF($E$4="Embrousaillement",EXP(-1.0587+0.8836*LN(T2)+0.284),0),"")</calculatedColumnFormula>
    </tableColumn>
    <tableColumn id="39" xr3:uid="{4563553D-FB70-40FA-BBDA-4196519E72FA}" name="SOLref" dataDxfId="175">
      <calculatedColumnFormula>IF($E$4="Embrousaillement",Tableau182982[[#This Row],[SOL]],"")</calculatedColumnFormula>
    </tableColumn>
    <tableColumn id="40" xr3:uid="{009D0AC5-5A4F-4F61-877E-22A7632F5EA2}" name="Lref" dataDxfId="174">
      <calculatedColumnFormula>IF($E$4="Embrousaillement",Tableau182982[[#This Row],[L]],"")</calculatedColumnFormula>
    </tableColumn>
    <tableColumn id="13" xr3:uid="{459A6AAD-6F09-40F4-8844-6227A22D2908}" name="Sref" dataDxfId="173"/>
    <tableColumn id="14" xr3:uid="{DFAB7EEE-D1D0-4AE1-8B6B-93ECCD1F6827}" name="VBO" dataDxfId="172">
      <calculatedColumnFormula>IF(K2&lt;&gt;"",IF(M2&gt;0,IF($K2&gt;=$AT$7,$AU$7,IF(AND($K2&gt;=$AT$6,$K2&lt;$AT$7),$AU$6,IF(AND($K2&gt;=$AT$5,$K2&lt;$AT$6),$AU$5,IF(AND($K2&gt;=$AT$4,$K2&lt;$AT$5),$AU$4,$AU$4))))*M2,0),"")</calculatedColumnFormula>
    </tableColumn>
    <tableColumn id="15" xr3:uid="{C775ACFD-AB3D-4DEB-9763-6A1FABDAD516}" name="VBI" dataDxfId="171">
      <calculatedColumnFormula>IF(K2&lt;&gt;"",IF(M2&gt;0,IF($K2&gt;=$AT$7,$AV$7,IF(AND($K2&gt;=$AT$6,$K2&lt;$AT$7),$AV$6,IF(AND($K2&gt;=$AT$5,$K2&lt;$AT$6),$AV$5,IF(AND($K2&gt;=$AT$4,$K2&lt;$AT$5),$AV$4,$AV$4))))*M2,0),"")</calculatedColumnFormula>
    </tableColumn>
    <tableColumn id="16" xr3:uid="{55741E19-AD4E-429A-BE4D-DF105240AD0C}" name="VBE" dataDxfId="170">
      <calculatedColumnFormula>IF(K2&lt;&gt;"",IF(M2&gt;0,IF($K2&gt;=$AT$7,$AW$7,IF(AND($K2&gt;=$AT$6,$K2&lt;$AT$7),$AW$6,IF(AND($K2&gt;=$AT$5,$K2&lt;$AT$6),$AW$5,IF(AND($K2&gt;=$AT$4,$K2&lt;$AT$5),$AW$4,$AW$4))))*M2,0),"")</calculatedColumnFormula>
    </tableColumn>
    <tableColumn id="17" xr3:uid="{1563E671-6F9F-42FF-9E97-F686F1F80C87}" name="FluxBO" dataDxfId="169"/>
    <tableColumn id="18" xr3:uid="{40AF2494-07F5-48E7-B963-E6F439F4B02D}" name="kBO" dataDxfId="168"/>
    <tableColumn id="19" xr3:uid="{B5D504BD-06C2-453F-9984-87A48E42C337}" name="C(n+1)BO" dataDxfId="167">
      <calculatedColumnFormula>IF(AND(K2&lt;=30,K2&lt;&gt;"",K2&gt;0),EXP(-AC2)*IF(K2=1,0,AD1)+(((1-EXP(-AC2))/AC2)*AB2),"")</calculatedColumnFormula>
    </tableColumn>
    <tableColumn id="20" xr3:uid="{B88C9B84-7FFA-4DCE-ABCB-4079B71298CC}" name="FluxBI" dataDxfId="166"/>
    <tableColumn id="21" xr3:uid="{CFD7A569-E015-4DF0-9AE7-D7F76B77352D}" name="kBI" dataDxfId="165"/>
    <tableColumn id="22" xr3:uid="{C841B7A6-F741-4B66-966E-6AFE0FF06C59}" name="C(n+1)BI" dataDxfId="164">
      <calculatedColumnFormula>IF(AND(K2&lt;=30,K2&lt;&gt;"",K2&gt;0),EXP(-AF2)*IF(K2=1,0,AG1)+(((1-EXP(-AF2))/AF2)*AE2),"")</calculatedColumnFormula>
    </tableColumn>
    <tableColumn id="23" xr3:uid="{33968481-4574-4A0C-96FA-925254783AA5}" name="FluxBE" dataDxfId="163"/>
    <tableColumn id="24" xr3:uid="{CEC8BA34-E5E2-46AC-BA6E-9DCB06DF512D}" name="kBE" dataDxfId="162"/>
    <tableColumn id="25" xr3:uid="{1DFF74FF-279D-47DF-9453-A8B984C8D12A}" name="C(n+1)BE" dataDxfId="161">
      <calculatedColumnFormula>IF(AND(K2&lt;=30,K2&lt;&gt;"",K2&gt;0),EXP(-AI2)*IF(K2=1,0,AJ1)+(((1-EXP(-AI2))/AI2)*AH2),"")</calculatedColumnFormula>
    </tableColumn>
    <tableColumn id="26" xr3:uid="{A941FDA8-30B2-4888-8DEC-F997761532E1}" name="Flux_m3" dataDxfId="160">
      <calculatedColumnFormula>IF(AND(K2&lt;=30,K2&lt;&gt;""),SUM(Y2:AA2)*$B$10,"")</calculatedColumnFormula>
    </tableColumn>
    <tableColumn id="27" xr3:uid="{390C6509-B687-4C00-84D6-909C9428EFD3}" name="Depenses" dataDxfId="159" dataCellStyle="Monétaire">
      <calculatedColumnFormula>IF(Tableau182982[[#This Row],[Age]]&lt;&gt;"",IF(Tableau182982[[#This Row],[Age]]=0,$AT$10*$B$10+SUMIF($AS$21:$AS$29,Tableau182982[[#This Row],[Age]],$AU$21:$AU$29)*$B$10+$AT$11*$B$10,SUMIF($AS$21:$AS$29,Tableau182982[[#This Row],[Age]],$AU$21:$AU$29)*$B$10+$AT$11*$B$10),"")</calculatedColumnFormula>
    </tableColumn>
    <tableColumn id="28" xr3:uid="{C64C647F-2529-495F-B70F-55F52A06D4EA}" name="Recettes" dataDxfId="158" dataCellStyle="Monétaire">
      <calculatedColumnFormula>IF(Tableau182982[[#This Row],[Age]]&lt;&gt;"",IF(Tableau182982[[#This Row],[Age]]=$B$11,$AT$10*$B$10,0)+Tableau182982[[#This Row],[VBO]]*$AX$21*$B$10+Tableau182982[[#This Row],[VBI]]*$AX$22*$B$10+Tableau182982[[#This Row],[VBE]]*$AX$23*$B$10,"")</calculatedColumnFormula>
    </tableColumn>
    <tableColumn id="29" xr3:uid="{89C70FF6-FFA0-446F-88F9-A5CF3A7E5F11}" name="DA" dataDxfId="157" dataCellStyle="Monétaire"/>
    <tableColumn id="30" xr3:uid="{C42EF245-7D93-4C4B-A191-59DC9EEA1291}" name="RA" dataDxfId="156" dataCellStyle="Monétaire"/>
    <tableColumn id="31" xr3:uid="{057CF246-4FE3-41A3-A3FA-EF4A539ACFB7}" name="BILANprojet" dataDxfId="155" dataCellStyle="Monétaire">
      <calculatedColumnFormula>IF(Tableau182982[[#This Row],[Age]]&lt;&gt;"",Tableau182982[[#This Row],[RA]]-Tableau182982[[#This Row],[DA]],"")</calculatedColumnFormula>
    </tableColumn>
  </tableColumns>
  <tableStyleInfo name="TableStyleLight8 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9E3BC8F-F358-4672-BD49-0062D6930AEA}" name="Tableau182983" displayName="Tableau182983" ref="K1:AP102" totalsRowShown="0">
  <autoFilter ref="K1:AP102" xr:uid="{79E3BC8F-F358-4672-BD49-0062D6930AEA}"/>
  <tableColumns count="32">
    <tableColumn id="1" xr3:uid="{D0F9962F-FAE1-4EB2-AA75-5996A22E2AFC}" name="Age"/>
    <tableColumn id="2" xr3:uid="{783C613F-14D8-4C84-BD49-044269C53693}" name="V_av" dataDxfId="154"/>
    <tableColumn id="3" xr3:uid="{CAF3906E-B9F0-42C2-8373-9980FCC50702}" name="V_prel" dataDxfId="153"/>
    <tableColumn id="4" xr3:uid="{EC2E8957-0149-438B-8F1D-8F21F0C5F404}" name="V_ap" dataDxfId="152"/>
    <tableColumn id="6" xr3:uid="{291ADC7D-2F97-48E8-96C8-5EB7A013B6D5}" name="BA" dataDxfId="151">
      <calculatedColumnFormula>IF(K2&lt;&gt;"",N2*$B$7*$B$8,"")</calculatedColumnFormula>
    </tableColumn>
    <tableColumn id="7" xr3:uid="{7CE303ED-9DE1-466E-953B-4B410D9B8729}" name="BR" dataDxfId="150">
      <calculatedColumnFormula>IF(K2&lt;&gt;"",IF(O2&gt;0,EXP(-1.0587+0.8836*LN(O2)+0.284),0),"")</calculatedColumnFormula>
    </tableColumn>
    <tableColumn id="8" xr3:uid="{DA801D97-9DA4-4E03-87F5-F7B43FC5BFCB}" name="SOL" dataDxfId="149">
      <calculatedColumnFormula>IF(K2&lt;&gt;"",45+25*(1-EXP(-0.0175*K2)),"")</calculatedColumnFormula>
    </tableColumn>
    <tableColumn id="9" xr3:uid="{74AC366A-2D11-412B-81B7-7ED8BDC255D3}" name="L" dataDxfId="148"/>
    <tableColumn id="10" xr3:uid="{ED70DDE3-F78B-40A8-BFF4-8646074808B2}" name="Sprojet" dataDxfId="147"/>
    <tableColumn id="11" xr3:uid="{94AFCE09-ED70-419C-940E-2641816AA938}" name="BAref" dataDxfId="146">
      <calculatedColumnFormula>IF(AND(K2&lt;=$E$11,K2&lt;&gt;"",K2&gt;0),IF($E$4="Embrousaillement",1*K2*$E$7*$E$8,0),"")</calculatedColumnFormula>
    </tableColumn>
    <tableColumn id="12" xr3:uid="{AC3BEDC8-2734-43B6-8BDE-5363B2EFB017}" name="BRref" dataDxfId="145">
      <calculatedColumnFormula>IF(AND(K2&lt;=$E$11,K2&lt;&gt;"",K2&gt;0),IF($E$4="Embrousaillement",EXP(-1.0587+0.8836*LN(T2)+0.284),0),"")</calculatedColumnFormula>
    </tableColumn>
    <tableColumn id="39" xr3:uid="{2E3939CB-5388-438C-8380-955D67563DAA}" name="SOLref" dataDxfId="144">
      <calculatedColumnFormula>IF($E$4="Embrousaillement",Tableau182983[[#This Row],[SOL]],"")</calculatedColumnFormula>
    </tableColumn>
    <tableColumn id="40" xr3:uid="{71916B7E-CD6C-4D78-B0E6-A7436EB8F023}" name="Lref" dataDxfId="143">
      <calculatedColumnFormula>IF($E$4="Embrousaillement",Tableau182983[[#This Row],[L]],"")</calculatedColumnFormula>
    </tableColumn>
    <tableColumn id="13" xr3:uid="{6696C477-1FF4-4E3B-A3EA-65A51B0326FA}" name="Sref" dataDxfId="142"/>
    <tableColumn id="14" xr3:uid="{BC4EB9EA-1190-4346-8351-ADEC7434F534}" name="VBO" dataDxfId="141">
      <calculatedColumnFormula>IF(K2&lt;&gt;"",IF(M2&gt;0,IF($K2&gt;=$AT$7,$AU$7,IF(AND($K2&gt;=$AT$6,$K2&lt;$AT$7),$AU$6,IF(AND($K2&gt;=$AT$5,$K2&lt;$AT$6),$AU$5,IF(AND($K2&gt;=$AT$4,$K2&lt;$AT$5),$AU$4,$AU$4))))*M2,0),"")</calculatedColumnFormula>
    </tableColumn>
    <tableColumn id="15" xr3:uid="{9266F542-E4DD-4DF1-8292-36AFB55BA93D}" name="VBI" dataDxfId="140">
      <calculatedColumnFormula>IF(K2&lt;&gt;"",IF(M2&gt;0,IF($K2&gt;=$AT$7,$AV$7,IF(AND($K2&gt;=$AT$6,$K2&lt;$AT$7),$AV$6,IF(AND($K2&gt;=$AT$5,$K2&lt;$AT$6),$AV$5,IF(AND($K2&gt;=$AT$4,$K2&lt;$AT$5),$AV$4,$AV$4))))*M2,0),"")</calculatedColumnFormula>
    </tableColumn>
    <tableColumn id="16" xr3:uid="{0D808A73-FCF4-4CA7-B732-349C4E8B0CA3}" name="VBE" dataDxfId="139">
      <calculatedColumnFormula>IF(K2&lt;&gt;"",IF(M2&gt;0,IF($K2&gt;=$AT$7,$AW$7,IF(AND($K2&gt;=$AT$6,$K2&lt;$AT$7),$AW$6,IF(AND($K2&gt;=$AT$5,$K2&lt;$AT$6),$AW$5,IF(AND($K2&gt;=$AT$4,$K2&lt;$AT$5),$AW$4,$AW$4))))*M2,0),"")</calculatedColumnFormula>
    </tableColumn>
    <tableColumn id="17" xr3:uid="{655CE927-0538-4FCE-9C75-34DE553590D0}" name="FluxBO" dataDxfId="138"/>
    <tableColumn id="18" xr3:uid="{61D15C85-2F25-4B1F-A9EE-79E8148B4A9C}" name="kBO" dataDxfId="137"/>
    <tableColumn id="19" xr3:uid="{21641427-FD1A-499F-9EE6-FB8151F76A8F}" name="C(n+1)BO" dataDxfId="136">
      <calculatedColumnFormula>IF(AND(K2&lt;=30,K2&lt;&gt;"",K2&gt;0),EXP(-AC2)*IF(K2=1,0,AD1)+(((1-EXP(-AC2))/AC2)*AB2),"")</calculatedColumnFormula>
    </tableColumn>
    <tableColumn id="20" xr3:uid="{40DB6997-F1B3-4B57-9616-1818B8665D82}" name="FluxBI" dataDxfId="135"/>
    <tableColumn id="21" xr3:uid="{C3131284-BDD0-4FDE-BBA8-06AF3A2EA0A2}" name="kBI" dataDxfId="134"/>
    <tableColumn id="22" xr3:uid="{A84ACD43-4AF6-4DE1-98FA-D8D43BC1E738}" name="C(n+1)BI" dataDxfId="133">
      <calculatedColumnFormula>IF(AND(K2&lt;=30,K2&lt;&gt;"",K2&gt;0),EXP(-AF2)*IF(K2=1,0,AG1)+(((1-EXP(-AF2))/AF2)*AE2),"")</calculatedColumnFormula>
    </tableColumn>
    <tableColumn id="23" xr3:uid="{86CB5F0D-3756-46C6-9C80-35A391309DBD}" name="FluxBE" dataDxfId="132"/>
    <tableColumn id="24" xr3:uid="{593511E7-8F2C-44B3-826E-A7DC3117CA7A}" name="kBE" dataDxfId="131"/>
    <tableColumn id="25" xr3:uid="{2F594010-18D8-4D95-BFCF-6CE3C37A15ED}" name="C(n+1)BE" dataDxfId="130">
      <calculatedColumnFormula>IF(AND(K2&lt;=30,K2&lt;&gt;"",K2&gt;0),EXP(-AI2)*IF(K2=1,0,AJ1)+(((1-EXP(-AI2))/AI2)*AH2),"")</calculatedColumnFormula>
    </tableColumn>
    <tableColumn id="26" xr3:uid="{1E5C3151-1CED-430D-9A18-613675FAF71B}" name="Flux_m3" dataDxfId="129">
      <calculatedColumnFormula>IF(AND(K2&lt;=30,K2&lt;&gt;""),SUM(Y2:AA2)*$B$10,"")</calculatedColumnFormula>
    </tableColumn>
    <tableColumn id="27" xr3:uid="{CBE9FD6E-4059-40E8-A142-EEE5A8105182}" name="Depenses" dataDxfId="128" dataCellStyle="Monétaire">
      <calculatedColumnFormula>IF(Tableau182983[[#This Row],[Age]]&lt;&gt;"",IF(Tableau182983[[#This Row],[Age]]=0,$AT$10*$B$10+SUMIF($AS$21:$AS$29,Tableau182983[[#This Row],[Age]],$AU$21:$AU$29)*$B$10+$AT$11*$B$10,SUMIF($AS$21:$AS$29,Tableau182983[[#This Row],[Age]],$AU$21:$AU$29)*$B$10+$AT$11*$B$10),"")</calculatedColumnFormula>
    </tableColumn>
    <tableColumn id="28" xr3:uid="{7B343047-5030-4A78-B2B9-9073BD7A765B}" name="Recettes" dataDxfId="127" dataCellStyle="Monétaire">
      <calculatedColumnFormula>IF(Tableau182983[[#This Row],[Age]]&lt;&gt;"",IF(Tableau182983[[#This Row],[Age]]=$B$11,$AT$10*$B$10,0)+Tableau182983[[#This Row],[VBO]]*$AX$21*$B$10+Tableau182983[[#This Row],[VBI]]*$AX$22*$B$10+Tableau182983[[#This Row],[VBE]]*$AX$23*$B$10,"")</calculatedColumnFormula>
    </tableColumn>
    <tableColumn id="29" xr3:uid="{F22F1572-E4D1-4D93-9937-2F7F33DFC043}" name="DA" dataDxfId="126" dataCellStyle="Monétaire"/>
    <tableColumn id="30" xr3:uid="{7BC637A3-EBEC-49E5-B8BD-EDB10318D438}" name="RA" dataDxfId="125" dataCellStyle="Monétaire"/>
    <tableColumn id="31" xr3:uid="{3728D4C3-7C1D-4D7A-9529-C9AD3ADB2E4F}" name="BILANprojet" dataDxfId="124" dataCellStyle="Monétaire">
      <calculatedColumnFormula>IF(Tableau182983[[#This Row],[Age]]&lt;&gt;"",Tableau182983[[#This Row],[RA]]-Tableau182983[[#This Row],[DA]],"")</calculatedColumnFormula>
    </tableColumn>
  </tableColumns>
  <tableStyleInfo name="TableStyleLight8 3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30270B52-014F-4AF9-925A-17A47AD0D2EA}" name="Tableau182984" displayName="Tableau182984" ref="K1:AP102" totalsRowShown="0">
  <autoFilter ref="K1:AP102" xr:uid="{30270B52-014F-4AF9-925A-17A47AD0D2EA}"/>
  <tableColumns count="32">
    <tableColumn id="1" xr3:uid="{14C040EB-BD05-41AD-B0F1-B53E3D089A40}" name="Age"/>
    <tableColumn id="2" xr3:uid="{E5E0685B-EB19-4120-AD68-5B66F6DF2C6F}" name="V_av" dataDxfId="123"/>
    <tableColumn id="3" xr3:uid="{C797472C-DCBC-411E-881B-18CBA6D06769}" name="V_prel" dataDxfId="122"/>
    <tableColumn id="4" xr3:uid="{4784B364-1E21-47EA-971D-FCD75F93DE9E}" name="V_ap" dataDxfId="121"/>
    <tableColumn id="6" xr3:uid="{0374AE9A-9D51-4043-A232-E5B4F7EEC009}" name="BA" dataDxfId="120">
      <calculatedColumnFormula>IF(K2&lt;&gt;"",N2*$B$7*$B$8,"")</calculatedColumnFormula>
    </tableColumn>
    <tableColumn id="7" xr3:uid="{1CDCFFB7-88BA-4580-86D6-3EE3EBB7A8B4}" name="BR" dataDxfId="119">
      <calculatedColumnFormula>IF(K2&lt;&gt;"",IF(O2&gt;0,EXP(-1.0587+0.8836*LN(O2)+0.284),0),"")</calculatedColumnFormula>
    </tableColumn>
    <tableColumn id="8" xr3:uid="{D150FA5F-5EA5-4F6A-B9BF-606534CD29FE}" name="SOL" dataDxfId="118">
      <calculatedColumnFormula>IF(K2&lt;&gt;"",45+25*(1-EXP(-0.0175*K2)),"")</calculatedColumnFormula>
    </tableColumn>
    <tableColumn id="9" xr3:uid="{91AFD99A-2628-4BAD-943C-B86937E49EBC}" name="L" dataDxfId="117"/>
    <tableColumn id="10" xr3:uid="{5250252D-6530-47E1-8553-1DBBAC51E416}" name="Sprojet" dataDxfId="116"/>
    <tableColumn id="11" xr3:uid="{DC018D83-48B8-4378-A86A-D18F07CDD88D}" name="BAref" dataDxfId="115">
      <calculatedColumnFormula>IF(AND(K2&lt;=$E$11,K2&lt;&gt;"",K2&gt;0),IF($E$4="Embrousaillement",1*K2*$E$7*$E$8,0),"")</calculatedColumnFormula>
    </tableColumn>
    <tableColumn id="12" xr3:uid="{5FA7E02B-6F41-466B-88B7-2199F9A3BE9C}" name="BRref" dataDxfId="114">
      <calculatedColumnFormula>IF(AND(K2&lt;=$E$11,K2&lt;&gt;"",K2&gt;0),IF($E$4="Embrousaillement",EXP(-1.0587+0.8836*LN(T2)+0.284),0),"")</calculatedColumnFormula>
    </tableColumn>
    <tableColumn id="39" xr3:uid="{17A22173-44C2-45FF-97A0-4F56B2B4FD53}" name="SOLref" dataDxfId="113">
      <calculatedColumnFormula>IF($E$4="Embrousaillement",Tableau182984[[#This Row],[SOL]],"")</calculatedColumnFormula>
    </tableColumn>
    <tableColumn id="40" xr3:uid="{D5BE5014-73EB-49B7-A98F-EC0B6D59D9D8}" name="Lref" dataDxfId="112">
      <calculatedColumnFormula>IF($E$4="Embrousaillement",Tableau182984[[#This Row],[L]],"")</calculatedColumnFormula>
    </tableColumn>
    <tableColumn id="13" xr3:uid="{FE136A83-5310-4F3F-98C7-751C31A711FB}" name="Sref" dataDxfId="111"/>
    <tableColumn id="14" xr3:uid="{F78CCEAC-D712-4B04-BEE4-954309176992}" name="VBO" dataDxfId="110">
      <calculatedColumnFormula>IF(K2&lt;&gt;"",IF(M2&gt;0,IF($K2&gt;=$AT$7,$AU$7,IF(AND($K2&gt;=$AT$6,$K2&lt;$AT$7),$AU$6,IF(AND($K2&gt;=$AT$5,$K2&lt;$AT$6),$AU$5,IF(AND($K2&gt;=$AT$4,$K2&lt;$AT$5),$AU$4,$AU$4))))*M2,0),"")</calculatedColumnFormula>
    </tableColumn>
    <tableColumn id="15" xr3:uid="{04780C8C-49D9-489A-9D8D-9E3553F670A7}" name="VBI" dataDxfId="109">
      <calculatedColumnFormula>IF(K2&lt;&gt;"",IF(M2&gt;0,IF($K2&gt;=$AT$7,$AV$7,IF(AND($K2&gt;=$AT$6,$K2&lt;$AT$7),$AV$6,IF(AND($K2&gt;=$AT$5,$K2&lt;$AT$6),$AV$5,IF(AND($K2&gt;=$AT$4,$K2&lt;$AT$5),$AV$4,$AV$4))))*M2,0),"")</calculatedColumnFormula>
    </tableColumn>
    <tableColumn id="16" xr3:uid="{79EF5130-7202-48F4-BE7D-C649B7E12C4E}" name="VBE" dataDxfId="108">
      <calculatedColumnFormula>IF(K2&lt;&gt;"",IF(M2&gt;0,IF($K2&gt;=$AT$7,$AW$7,IF(AND($K2&gt;=$AT$6,$K2&lt;$AT$7),$AW$6,IF(AND($K2&gt;=$AT$5,$K2&lt;$AT$6),$AW$5,IF(AND($K2&gt;=$AT$4,$K2&lt;$AT$5),$AW$4,$AW$4))))*M2,0),"")</calculatedColumnFormula>
    </tableColumn>
    <tableColumn id="17" xr3:uid="{23B1CE85-FD89-451A-92E9-D97778A51B02}" name="FluxBO" dataDxfId="107"/>
    <tableColumn id="18" xr3:uid="{64D03BD1-5C3E-40F6-BB2D-4DCAC6EA7135}" name="kBO" dataDxfId="106"/>
    <tableColumn id="19" xr3:uid="{524AA29D-7814-4139-91C2-75E5E67BDD65}" name="C(n+1)BO" dataDxfId="105">
      <calculatedColumnFormula>IF(AND(K2&lt;=30,K2&lt;&gt;"",K2&gt;0),EXP(-AC2)*IF(K2=1,0,AD1)+(((1-EXP(-AC2))/AC2)*AB2),"")</calculatedColumnFormula>
    </tableColumn>
    <tableColumn id="20" xr3:uid="{07853F47-491D-4278-A88E-CDFE6FCB8783}" name="FluxBI" dataDxfId="104"/>
    <tableColumn id="21" xr3:uid="{EE68DFE0-C385-4C85-AABE-722A0D68A93D}" name="kBI" dataDxfId="103"/>
    <tableColumn id="22" xr3:uid="{450C1BDA-05AD-4CF9-A3C5-038522C0662B}" name="C(n+1)BI" dataDxfId="102">
      <calculatedColumnFormula>IF(AND(K2&lt;=30,K2&lt;&gt;"",K2&gt;0),EXP(-AF2)*IF(K2=1,0,AG1)+(((1-EXP(-AF2))/AF2)*AE2),"")</calculatedColumnFormula>
    </tableColumn>
    <tableColumn id="23" xr3:uid="{3CBAAF0F-8B04-4CAA-B7F6-5BB7B4FE4B14}" name="FluxBE" dataDxfId="101"/>
    <tableColumn id="24" xr3:uid="{5330E665-4832-44BC-B2D8-B077DDFEBACD}" name="kBE" dataDxfId="100"/>
    <tableColumn id="25" xr3:uid="{B89A6B9F-7181-4BE3-8038-07763DFA50A2}" name="C(n+1)BE" dataDxfId="99">
      <calculatedColumnFormula>IF(AND(K2&lt;=30,K2&lt;&gt;"",K2&gt;0),EXP(-AI2)*IF(K2=1,0,AJ1)+(((1-EXP(-AI2))/AI2)*AH2),"")</calculatedColumnFormula>
    </tableColumn>
    <tableColumn id="26" xr3:uid="{CE106675-44CF-4E72-8C12-4DC0DC4E09CC}" name="Flux_m3" dataDxfId="98">
      <calculatedColumnFormula>IF(AND(K2&lt;=30,K2&lt;&gt;""),SUM(Y2:AA2)*$B$10,"")</calculatedColumnFormula>
    </tableColumn>
    <tableColumn id="27" xr3:uid="{85170262-250F-4113-A756-6459C5144188}" name="Depenses" dataDxfId="97" dataCellStyle="Monétaire">
      <calculatedColumnFormula>IF(Tableau182984[[#This Row],[Age]]&lt;&gt;"",IF(Tableau182984[[#This Row],[Age]]=0,$AT$10*$B$10+SUMIF($AS$21:$AS$29,Tableau182984[[#This Row],[Age]],$AU$21:$AU$29)*$B$10+$AT$11*$B$10,SUMIF($AS$21:$AS$29,Tableau182984[[#This Row],[Age]],$AU$21:$AU$29)*$B$10+$AT$11*$B$10),"")</calculatedColumnFormula>
    </tableColumn>
    <tableColumn id="28" xr3:uid="{054008EF-A600-4AB6-80C8-5B26095B65F2}" name="Recettes" dataDxfId="96" dataCellStyle="Monétaire">
      <calculatedColumnFormula>IF(Tableau182984[[#This Row],[Age]]&lt;&gt;"",IF(Tableau182984[[#This Row],[Age]]=$B$11,$AT$10*$B$10,0)+Tableau182984[[#This Row],[VBO]]*$AX$21*$B$10+Tableau182984[[#This Row],[VBI]]*$AX$22*$B$10+Tableau182984[[#This Row],[VBE]]*$AX$23*$B$10,"")</calculatedColumnFormula>
    </tableColumn>
    <tableColumn id="29" xr3:uid="{319A60A0-47B0-40D5-96D4-A2B6BB065F15}" name="DA" dataDxfId="95" dataCellStyle="Monétaire"/>
    <tableColumn id="30" xr3:uid="{199DB660-810B-470E-9630-D1E60CBFAF4D}" name="RA" dataDxfId="94" dataCellStyle="Monétaire"/>
    <tableColumn id="31" xr3:uid="{126D3478-4D5B-4A0C-8F94-525A145EC20B}" name="BILANprojet" dataDxfId="93" dataCellStyle="Monétaire">
      <calculatedColumnFormula>IF(Tableau182984[[#This Row],[Age]]&lt;&gt;"",Tableau182984[[#This Row],[RA]]-Tableau182984[[#This Row],[DA]],"")</calculatedColumnFormula>
    </tableColumn>
  </tableColumns>
  <tableStyleInfo name="TableStyleLight8 4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D6157629-EF4F-4AA2-8EF1-93ED60D72FC8}" name="Tableau182985" displayName="Tableau182985" ref="K1:AP102" totalsRowShown="0">
  <autoFilter ref="K1:AP102" xr:uid="{D6157629-EF4F-4AA2-8EF1-93ED60D72FC8}"/>
  <tableColumns count="32">
    <tableColumn id="1" xr3:uid="{5DE18CB4-8A65-4215-8CE1-929CD876DB29}" name="Age"/>
    <tableColumn id="2" xr3:uid="{782FF906-5BDB-459C-AA38-CA78A129E673}" name="V_av" dataDxfId="92"/>
    <tableColumn id="3" xr3:uid="{AB9286A9-F476-454D-BA14-103E03C2D0AD}" name="V_prel" dataDxfId="91"/>
    <tableColumn id="4" xr3:uid="{32166998-21B1-4F84-9381-CED71AAB3AFF}" name="V_ap" dataDxfId="90"/>
    <tableColumn id="6" xr3:uid="{49890941-7D88-4F44-BD7A-0F130EBB915E}" name="BA" dataDxfId="89">
      <calculatedColumnFormula>IF(K2&lt;&gt;"",N2*$B$7*$B$8,"")</calculatedColumnFormula>
    </tableColumn>
    <tableColumn id="7" xr3:uid="{7FA1B7BE-70A4-4D84-83C6-BA8A8863AAA4}" name="BR" dataDxfId="88">
      <calculatedColumnFormula>IF(K2&lt;&gt;"",IF(O2&gt;0,EXP(-1.0587+0.8836*LN(O2)+0.284),0),"")</calculatedColumnFormula>
    </tableColumn>
    <tableColumn id="8" xr3:uid="{5F179B03-E0E3-4A2F-93DF-23EDF730DF91}" name="SOL" dataDxfId="87">
      <calculatedColumnFormula>IF(K2&lt;&gt;"",45+25*(1-EXP(-0.0175*K2)),"")</calculatedColumnFormula>
    </tableColumn>
    <tableColumn id="9" xr3:uid="{AED1E517-799C-4785-9D6D-D04839196C71}" name="L" dataDxfId="86"/>
    <tableColumn id="10" xr3:uid="{D97D31B2-D697-475B-86D6-08E05E46418E}" name="Sprojet" dataDxfId="85"/>
    <tableColumn id="11" xr3:uid="{10B4777A-F712-4866-AA27-44A6401A3861}" name="BAref" dataDxfId="84">
      <calculatedColumnFormula>IF(AND(K2&lt;=$E$11,K2&lt;&gt;"",K2&gt;0),IF($E$4="Embrousaillement",1*K2*$E$7*$E$8,0),"")</calculatedColumnFormula>
    </tableColumn>
    <tableColumn id="12" xr3:uid="{382C51D9-98C3-437C-A1E4-3E3038511265}" name="BRref" dataDxfId="83">
      <calculatedColumnFormula>IF(AND(K2&lt;=$E$11,K2&lt;&gt;"",K2&gt;0),IF($E$4="Embrousaillement",EXP(-1.0587+0.8836*LN(T2)+0.284),0),"")</calculatedColumnFormula>
    </tableColumn>
    <tableColumn id="39" xr3:uid="{1E38EA4F-8EDC-4EE2-B320-DFABA9969463}" name="SOLref" dataDxfId="82">
      <calculatedColumnFormula>IF($E$4="Embrousaillement",Tableau182985[[#This Row],[SOL]],"")</calculatedColumnFormula>
    </tableColumn>
    <tableColumn id="40" xr3:uid="{8EE8683A-AE99-420E-8F6D-3FDA97D50BB0}" name="Lref" dataDxfId="81">
      <calculatedColumnFormula>IF($E$4="Embrousaillement",Tableau182985[[#This Row],[L]],"")</calculatedColumnFormula>
    </tableColumn>
    <tableColumn id="13" xr3:uid="{02032934-305A-4C0A-95C6-25B9D8A6E712}" name="Sref" dataDxfId="80"/>
    <tableColumn id="14" xr3:uid="{85C4805D-9FC0-49CA-A619-306139D3BBA5}" name="VBO" dataDxfId="79">
      <calculatedColumnFormula>IF(K2&lt;&gt;"",IF(M2&gt;0,IF($K2&gt;=$AT$7,$AU$7,IF(AND($K2&gt;=$AT$6,$K2&lt;$AT$7),$AU$6,IF(AND($K2&gt;=$AT$5,$K2&lt;$AT$6),$AU$5,IF(AND($K2&gt;=$AT$4,$K2&lt;$AT$5),$AU$4,$AU$4))))*M2,0),"")</calculatedColumnFormula>
    </tableColumn>
    <tableColumn id="15" xr3:uid="{39A5CCB9-CA95-4762-9931-D14310AE569E}" name="VBI" dataDxfId="78">
      <calculatedColumnFormula>IF(K2&lt;&gt;"",IF(M2&gt;0,IF($K2&gt;=$AT$7,$AV$7,IF(AND($K2&gt;=$AT$6,$K2&lt;$AT$7),$AV$6,IF(AND($K2&gt;=$AT$5,$K2&lt;$AT$6),$AV$5,IF(AND($K2&gt;=$AT$4,$K2&lt;$AT$5),$AV$4,$AV$4))))*M2,0),"")</calculatedColumnFormula>
    </tableColumn>
    <tableColumn id="16" xr3:uid="{E62989D1-2D9E-4A1A-B026-651AE588542F}" name="VBE" dataDxfId="77">
      <calculatedColumnFormula>IF(K2&lt;&gt;"",IF(M2&gt;0,IF($K2&gt;=$AT$7,$AW$7,IF(AND($K2&gt;=$AT$6,$K2&lt;$AT$7),$AW$6,IF(AND($K2&gt;=$AT$5,$K2&lt;$AT$6),$AW$5,IF(AND($K2&gt;=$AT$4,$K2&lt;$AT$5),$AW$4,$AW$4))))*M2,0),"")</calculatedColumnFormula>
    </tableColumn>
    <tableColumn id="17" xr3:uid="{9A67BA7E-FC05-4C90-BDA3-D0EA4B70B75D}" name="FluxBO" dataDxfId="76"/>
    <tableColumn id="18" xr3:uid="{37E983EE-8FCA-4566-91AE-D38CA6C56ACF}" name="kBO" dataDxfId="75"/>
    <tableColumn id="19" xr3:uid="{7D69ECF6-F4BD-4764-8F12-04D6E98834DD}" name="C(n+1)BO" dataDxfId="74">
      <calculatedColumnFormula>IF(AND(K2&lt;=30,K2&lt;&gt;"",K2&gt;0),EXP(-AC2)*IF(K2=1,0,AD1)+(((1-EXP(-AC2))/AC2)*AB2),"")</calculatedColumnFormula>
    </tableColumn>
    <tableColumn id="20" xr3:uid="{A4C64C94-41F6-4538-84BA-39131A1BE04D}" name="FluxBI" dataDxfId="73"/>
    <tableColumn id="21" xr3:uid="{9B1F8996-6E96-47AE-9EDB-274EE0B69A19}" name="kBI" dataDxfId="72"/>
    <tableColumn id="22" xr3:uid="{000827D4-8863-4D37-9C47-C2B300922797}" name="C(n+1)BI" dataDxfId="71">
      <calculatedColumnFormula>IF(AND(K2&lt;=30,K2&lt;&gt;"",K2&gt;0),EXP(-AF2)*IF(K2=1,0,AG1)+(((1-EXP(-AF2))/AF2)*AE2),"")</calculatedColumnFormula>
    </tableColumn>
    <tableColumn id="23" xr3:uid="{DC57A3C9-F2CD-45E9-946F-9A4B8B39B331}" name="FluxBE" dataDxfId="70"/>
    <tableColumn id="24" xr3:uid="{7F8291D2-0CB7-444E-AA1F-C61C80BD1571}" name="kBE" dataDxfId="69"/>
    <tableColumn id="25" xr3:uid="{7D4B2576-4363-4F64-A793-847DDAA87043}" name="C(n+1)BE" dataDxfId="68">
      <calculatedColumnFormula>IF(AND(K2&lt;=30,K2&lt;&gt;"",K2&gt;0),EXP(-AI2)*IF(K2=1,0,AJ1)+(((1-EXP(-AI2))/AI2)*AH2),"")</calculatedColumnFormula>
    </tableColumn>
    <tableColumn id="26" xr3:uid="{03BF57D9-2FD3-4C36-83F2-A3D464500F2C}" name="Flux_m3" dataDxfId="67">
      <calculatedColumnFormula>IF(AND(K2&lt;=30,K2&lt;&gt;""),SUM(Y2:AA2)*$B$10,"")</calculatedColumnFormula>
    </tableColumn>
    <tableColumn id="27" xr3:uid="{0ECF50F7-837D-4B22-9D4A-34E70FDEF4E2}" name="Depenses" dataDxfId="66" dataCellStyle="Monétaire">
      <calculatedColumnFormula>IF(Tableau182985[[#This Row],[Age]]&lt;&gt;"",IF(Tableau182985[[#This Row],[Age]]=0,$AT$10*$B$10+SUMIF($AS$21:$AS$29,Tableau182985[[#This Row],[Age]],$AU$21:$AU$29)*$B$10+$AT$11*$B$10,SUMIF($AS$21:$AS$29,Tableau182985[[#This Row],[Age]],$AU$21:$AU$29)*$B$10+$AT$11*$B$10),"")</calculatedColumnFormula>
    </tableColumn>
    <tableColumn id="28" xr3:uid="{1034F874-C135-4B36-99FD-2DA1AEB0FBE8}" name="Recettes" dataDxfId="65" dataCellStyle="Monétaire">
      <calculatedColumnFormula>IF(Tableau182985[[#This Row],[Age]]&lt;&gt;"",IF(Tableau182985[[#This Row],[Age]]=$B$11,$AT$10*$B$10,0)+Tableau182985[[#This Row],[VBO]]*$AX$21*$B$10+Tableau182985[[#This Row],[VBI]]*$AX$22*$B$10+Tableau182985[[#This Row],[VBE]]*$AX$23*$B$10,"")</calculatedColumnFormula>
    </tableColumn>
    <tableColumn id="29" xr3:uid="{523D89EE-AF3B-465A-83FB-264D9C7FC771}" name="DA" dataDxfId="64" dataCellStyle="Monétaire"/>
    <tableColumn id="30" xr3:uid="{70A47A5A-180F-401F-A87A-A8A196D8B812}" name="RA" dataDxfId="63" dataCellStyle="Monétaire"/>
    <tableColumn id="31" xr3:uid="{D61CAE7D-1F9F-4ABB-8314-9169E7A86C61}" name="BILANprojet" dataDxfId="62" dataCellStyle="Monétaire">
      <calculatedColumnFormula>IF(Tableau182985[[#This Row],[Age]]&lt;&gt;"",Tableau182985[[#This Row],[RA]]-Tableau182985[[#This Row],[DA]],"")</calculatedColumnFormula>
    </tableColumn>
  </tableColumns>
  <tableStyleInfo name="TableStyleLight8 5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CE15FB66-B56D-4E64-BCD0-F973A652E7D7}" name="Tableau182986" displayName="Tableau182986" ref="K1:AP107" totalsRowShown="0">
  <autoFilter ref="K1:AP107" xr:uid="{CE15FB66-B56D-4E64-BCD0-F973A652E7D7}"/>
  <tableColumns count="32">
    <tableColumn id="1" xr3:uid="{7C77C90E-ED87-4ADF-AA0E-25AFBB083BC0}" name="Age"/>
    <tableColumn id="2" xr3:uid="{7C0E6047-C65A-4680-93D1-80BD7B9347F9}" name="V_av" dataDxfId="61"/>
    <tableColumn id="3" xr3:uid="{F8C3E4B9-CAAE-48DE-BC4C-5C259AE483D9}" name="V_prel" dataDxfId="60"/>
    <tableColumn id="4" xr3:uid="{807A6802-D101-4D3E-86D3-BCA7A2B9E0E9}" name="V_ap" dataDxfId="59"/>
    <tableColumn id="6" xr3:uid="{5F774A6C-122B-41E8-B64E-228C0E72B50D}" name="BA" dataDxfId="58">
      <calculatedColumnFormula>IF(K2&lt;&gt;"",N2*$B$7*$B$8,"")</calculatedColumnFormula>
    </tableColumn>
    <tableColumn id="7" xr3:uid="{BF6DA962-3FDE-4AB9-B0C6-F1202080C8F7}" name="BR" dataDxfId="57">
      <calculatedColumnFormula>IF(K2&lt;&gt;"",IF(O2&gt;0,EXP(-1.0587+0.8836*LN(O2)+0.284),0),"")</calculatedColumnFormula>
    </tableColumn>
    <tableColumn id="8" xr3:uid="{2E8D65F9-CB18-49F8-9593-AB1A00DD01F5}" name="SOL" dataDxfId="56">
      <calculatedColumnFormula>IF(K2&lt;&gt;"",45+25*(1-EXP(-0.0175*K2)),"")</calculatedColumnFormula>
    </tableColumn>
    <tableColumn id="9" xr3:uid="{D56A00FE-F3BC-4BF6-903F-1A2AA401C848}" name="L" dataDxfId="55"/>
    <tableColumn id="10" xr3:uid="{B35BC77F-E7CF-4233-99C5-7FCFF59C3C4B}" name="Sprojet" dataDxfId="54"/>
    <tableColumn id="11" xr3:uid="{D9B5D0D1-3684-4B27-B5BC-E5120B444499}" name="BAref" dataDxfId="53">
      <calculatedColumnFormula>IF(AND(K2&lt;=$E$11,K2&lt;&gt;"",K2&gt;0),IF($E$4="Embrousaillement",1*K2*$E$7*$E$8,0),"")</calculatedColumnFormula>
    </tableColumn>
    <tableColumn id="12" xr3:uid="{7A67EED5-3637-4D10-B0DA-B35C99AF0B1B}" name="BRref" dataDxfId="52">
      <calculatedColumnFormula>IF(AND(K2&lt;=$E$11,K2&lt;&gt;"",K2&gt;0),IF($E$4="Embrousaillement",EXP(-1.0587+0.8836*LN(T2)+0.284),0),"")</calculatedColumnFormula>
    </tableColumn>
    <tableColumn id="39" xr3:uid="{C9C5FDAD-C6CB-431E-96B9-9011CBDF2208}" name="SOLref" dataDxfId="51">
      <calculatedColumnFormula>IF($E$4="Embrousaillement",Tableau182986[[#This Row],[SOL]],"")</calculatedColumnFormula>
    </tableColumn>
    <tableColumn id="40" xr3:uid="{E76915B0-E554-4EBF-88DE-C91707F82D31}" name="Lref" dataDxfId="50">
      <calculatedColumnFormula>IF($E$4="Embrousaillement",Tableau182986[[#This Row],[L]],"")</calculatedColumnFormula>
    </tableColumn>
    <tableColumn id="13" xr3:uid="{9620DBEB-F7DB-49DF-82CD-0AC3A31F1DB1}" name="Sref" dataDxfId="49"/>
    <tableColumn id="14" xr3:uid="{25E52571-CCC0-409C-B8E8-ACC68D527C44}" name="VBO" dataDxfId="48">
      <calculatedColumnFormula>IF(K2&lt;&gt;"",IF(M2&gt;0,IF($K2&gt;=$AT$7,$AU$7,IF(AND($K2&gt;=$AT$6,$K2&lt;$AT$7),$AU$6,IF(AND($K2&gt;=$AT$5,$K2&lt;$AT$6),$AU$5,IF(AND($K2&gt;=$AT$4,$K2&lt;$AT$5),$AU$4,$AU$4))))*M2,0),"")</calculatedColumnFormula>
    </tableColumn>
    <tableColumn id="15" xr3:uid="{BBE21BFE-26E0-49D4-92F5-81BD742C52DD}" name="VBI" dataDxfId="47">
      <calculatedColumnFormula>IF(K2&lt;&gt;"",IF(M2&gt;0,IF($K2&gt;=$AT$7,$AV$7,IF(AND($K2&gt;=$AT$6,$K2&lt;$AT$7),$AV$6,IF(AND($K2&gt;=$AT$5,$K2&lt;$AT$6),$AV$5,IF(AND($K2&gt;=$AT$4,$K2&lt;$AT$5),$AV$4,$AV$4))))*M2,0),"")</calculatedColumnFormula>
    </tableColumn>
    <tableColumn id="16" xr3:uid="{44D74858-2BEF-41AC-8760-89A69F3D42C5}" name="VBE" dataDxfId="46">
      <calculatedColumnFormula>IF(K2&lt;&gt;"",IF(M2&gt;0,IF($K2&gt;=$AT$7,$AW$7,IF(AND($K2&gt;=$AT$6,$K2&lt;$AT$7),$AW$6,IF(AND($K2&gt;=$AT$5,$K2&lt;$AT$6),$AW$5,IF(AND($K2&gt;=$AT$4,$K2&lt;$AT$5),$AW$4,$AW$4))))*M2,0),"")</calculatedColumnFormula>
    </tableColumn>
    <tableColumn id="17" xr3:uid="{39919078-846D-46E3-9E90-7E60B39E1C8C}" name="FluxBO" dataDxfId="45"/>
    <tableColumn id="18" xr3:uid="{5EA1697B-5F5A-4AB1-A743-045D5B9CE1D8}" name="kBO" dataDxfId="44"/>
    <tableColumn id="19" xr3:uid="{893B5AB2-6F05-4A7A-AAC2-D13E4897EBD9}" name="C(n+1)BO" dataDxfId="43">
      <calculatedColumnFormula>IF(AND(K2&lt;=30,K2&lt;&gt;"",K2&gt;0),EXP(-AC2)*IF(K2=1,0,AD1)+(((1-EXP(-AC2))/AC2)*AB2),"")</calculatedColumnFormula>
    </tableColumn>
    <tableColumn id="20" xr3:uid="{D5D0F734-EB58-4AF8-84BF-05D33989D1A5}" name="FluxBI" dataDxfId="42"/>
    <tableColumn id="21" xr3:uid="{02AA4CEB-9EA4-4CC5-A778-160473436802}" name="kBI" dataDxfId="41"/>
    <tableColumn id="22" xr3:uid="{3DCEA4EA-FC06-4770-9C67-781C506DB0F8}" name="C(n+1)BI" dataDxfId="40">
      <calculatedColumnFormula>IF(AND(K2&lt;=30,K2&lt;&gt;"",K2&gt;0),EXP(-AF2)*IF(K2=1,0,AG1)+(((1-EXP(-AF2))/AF2)*AE2),"")</calculatedColumnFormula>
    </tableColumn>
    <tableColumn id="23" xr3:uid="{6D0A967A-3D71-4686-BC7E-61D08C5D1D53}" name="FluxBE" dataDxfId="39"/>
    <tableColumn id="24" xr3:uid="{BE7D517D-19DB-4123-AC06-4ED9551374FB}" name="kBE" dataDxfId="38"/>
    <tableColumn id="25" xr3:uid="{14F762BB-C85E-4954-88EA-BAC70CCE59BD}" name="C(n+1)BE" dataDxfId="37">
      <calculatedColumnFormula>IF(AND(K2&lt;=30,K2&lt;&gt;"",K2&gt;0),EXP(-AI2)*IF(K2=1,0,AJ1)+(((1-EXP(-AI2))/AI2)*AH2),"")</calculatedColumnFormula>
    </tableColumn>
    <tableColumn id="26" xr3:uid="{10E7C6B3-2C19-4032-A9D7-2CAF7C3F513D}" name="Flux_m3" dataDxfId="36">
      <calculatedColumnFormula>IF(AND(K2&lt;=30,K2&lt;&gt;""),SUM(Y2:AA2)*$B$10,"")</calculatedColumnFormula>
    </tableColumn>
    <tableColumn id="27" xr3:uid="{4A4EDB34-2651-4271-8592-345DE14D8C00}" name="Depenses" dataDxfId="35" dataCellStyle="Monétaire">
      <calculatedColumnFormula>IF(Tableau182986[[#This Row],[Age]]&lt;&gt;"",IF(Tableau182986[[#This Row],[Age]]=0,$AT$10*$B$10+SUMIF($AS$21:$AS$29,Tableau182986[[#This Row],[Age]],$AU$21:$AU$29)*$B$10+$AT$11*$B$10,SUMIF($AS$21:$AS$29,Tableau182986[[#This Row],[Age]],$AU$21:$AU$29)*$B$10+$AT$11*$B$10),"")</calculatedColumnFormula>
    </tableColumn>
    <tableColumn id="28" xr3:uid="{DEECBF58-431C-4B8F-A8A2-37F57E1C6A59}" name="Recettes" dataDxfId="34" dataCellStyle="Monétaire">
      <calculatedColumnFormula>IF(Tableau182986[[#This Row],[Age]]&lt;&gt;"",IF(Tableau182986[[#This Row],[Age]]=$B$11,$AT$10*$B$10,0)+Tableau182986[[#This Row],[VBO]]*$AX$21*$B$10+Tableau182986[[#This Row],[VBI]]*$AX$22*$B$10+Tableau182986[[#This Row],[VBE]]*$AX$23*$B$10,"")</calculatedColumnFormula>
    </tableColumn>
    <tableColumn id="29" xr3:uid="{919CF3AD-FABC-4BB6-9E87-504E531B8537}" name="DA" dataDxfId="33" dataCellStyle="Monétaire"/>
    <tableColumn id="30" xr3:uid="{650D6908-2958-479E-9C15-50E61E88AF62}" name="RA" dataDxfId="32" dataCellStyle="Monétaire"/>
    <tableColumn id="31" xr3:uid="{B6F01CF4-097C-448D-8FCA-05E76A230076}" name="BILANprojet" dataDxfId="31" dataCellStyle="Monétaire">
      <calculatedColumnFormula>IF(Tableau182986[[#This Row],[Age]]&lt;&gt;"",Tableau182986[[#This Row],[RA]]-Tableau182986[[#This Row],[DA]],"")</calculatedColumnFormula>
    </tableColumn>
  </tableColumns>
  <tableStyleInfo name="TableStyleLight8 6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BF2D4F8A-532B-422A-8D1E-3F9A78151F59}" name="Tableau182987" displayName="Tableau182987" ref="K1:AP102" totalsRowShown="0">
  <autoFilter ref="K1:AP102" xr:uid="{BF2D4F8A-532B-422A-8D1E-3F9A78151F59}"/>
  <tableColumns count="32">
    <tableColumn id="1" xr3:uid="{5C532DEC-7167-4916-8A1B-3BB54093F191}" name="Age"/>
    <tableColumn id="2" xr3:uid="{2164BA8E-ECE0-420D-A03B-956462257278}" name="V_av" dataDxfId="30"/>
    <tableColumn id="3" xr3:uid="{865B12D6-A597-471A-9F7C-34631E66344F}" name="V_prel" dataDxfId="29"/>
    <tableColumn id="4" xr3:uid="{82EAB391-BAED-486B-8D13-685E3608BA71}" name="V_ap" dataDxfId="28"/>
    <tableColumn id="6" xr3:uid="{4D15C68E-1B13-4225-AE7E-ECC4B9086920}" name="BA" dataDxfId="27">
      <calculatedColumnFormula>IF(K2&lt;&gt;"",N2*$B$7*$B$8,"")</calculatedColumnFormula>
    </tableColumn>
    <tableColumn id="7" xr3:uid="{E0320C8C-744C-484A-A1B0-5C1E738FE050}" name="BR" dataDxfId="26">
      <calculatedColumnFormula>IF(K2&lt;&gt;"",IF(O2&gt;0,EXP(-1.0587+0.8836*LN(O2)+0.284),0),"")</calculatedColumnFormula>
    </tableColumn>
    <tableColumn id="8" xr3:uid="{B41DD691-5095-41F5-8F66-0B4A0A6074BE}" name="SOL" dataDxfId="25">
      <calculatedColumnFormula>IF(K2&lt;&gt;"",45+25*(1-EXP(-0.0175*K2)),"")</calculatedColumnFormula>
    </tableColumn>
    <tableColumn id="9" xr3:uid="{6832B9EE-BA91-48FD-8CD2-D4665DBAEB5B}" name="L" dataDxfId="24"/>
    <tableColumn id="10" xr3:uid="{9C6D11F6-4C9A-42C2-8AB3-B6665F0E2FDB}" name="Sprojet" dataDxfId="23"/>
    <tableColumn id="11" xr3:uid="{705F8FB0-0594-406A-A440-F036163950C8}" name="BAref" dataDxfId="22">
      <calculatedColumnFormula>IF(AND(K2&lt;=$E$11,K2&lt;&gt;"",K2&gt;0),IF($E$4="Embrousaillement",1*K2*$E$7*$E$8,0),"")</calculatedColumnFormula>
    </tableColumn>
    <tableColumn id="12" xr3:uid="{5886D065-4A29-48A3-BFA9-364FE54F8F54}" name="BRref" dataDxfId="21">
      <calculatedColumnFormula>IF(AND(K2&lt;=$E$11,K2&lt;&gt;"",K2&gt;0),IF($E$4="Embrousaillement",EXP(-1.0587+0.8836*LN(T2)+0.284),0),"")</calculatedColumnFormula>
    </tableColumn>
    <tableColumn id="39" xr3:uid="{83ABF160-8B81-4BC7-8DBE-3847B0C84F72}" name="SOLref" dataDxfId="20">
      <calculatedColumnFormula>IF($E$4="Embrousaillement",Tableau182987[[#This Row],[SOL]],"")</calculatedColumnFormula>
    </tableColumn>
    <tableColumn id="40" xr3:uid="{E7DCA643-0271-4B16-8E7F-28B1E58BD6A0}" name="Lref" dataDxfId="19">
      <calculatedColumnFormula>IF($E$4="Embrousaillement",Tableau182987[[#This Row],[L]],"")</calculatedColumnFormula>
    </tableColumn>
    <tableColumn id="13" xr3:uid="{AE456547-6457-43FF-8A99-9380ECC98937}" name="Sref" dataDxfId="18"/>
    <tableColumn id="14" xr3:uid="{8C2AD4A7-F172-4EEC-B057-8BD8FFA423A8}" name="VBO" dataDxfId="17">
      <calculatedColumnFormula>IF(K2&lt;&gt;"",IF(M2&gt;0,IF($K2&gt;=$AT$7,$AU$7,IF(AND($K2&gt;=$AT$6,$K2&lt;$AT$7),$AU$6,IF(AND($K2&gt;=$AT$5,$K2&lt;$AT$6),$AU$5,IF(AND($K2&gt;=$AT$4,$K2&lt;$AT$5),$AU$4,$AU$4))))*M2,0),"")</calculatedColumnFormula>
    </tableColumn>
    <tableColumn id="15" xr3:uid="{8A180F03-FC90-410A-8913-8E0EB9FEE4FF}" name="VBI" dataDxfId="16">
      <calculatedColumnFormula>IF(K2&lt;&gt;"",IF(M2&gt;0,IF($K2&gt;=$AT$7,$AV$7,IF(AND($K2&gt;=$AT$6,$K2&lt;$AT$7),$AV$6,IF(AND($K2&gt;=$AT$5,$K2&lt;$AT$6),$AV$5,IF(AND($K2&gt;=$AT$4,$K2&lt;$AT$5),$AV$4,$AV$4))))*M2,0),"")</calculatedColumnFormula>
    </tableColumn>
    <tableColumn id="16" xr3:uid="{125F7AE2-E6AB-4C1D-B540-32C37AE93FE5}" name="VBE" dataDxfId="15">
      <calculatedColumnFormula>IF(K2&lt;&gt;"",IF(M2&gt;0,IF($K2&gt;=$AT$7,$AW$7,IF(AND($K2&gt;=$AT$6,$K2&lt;$AT$7),$AW$6,IF(AND($K2&gt;=$AT$5,$K2&lt;$AT$6),$AW$5,IF(AND($K2&gt;=$AT$4,$K2&lt;$AT$5),$AW$4,$AW$4))))*M2,0),"")</calculatedColumnFormula>
    </tableColumn>
    <tableColumn id="17" xr3:uid="{DB0832D5-5C65-4AA0-B30C-05404D4A604C}" name="FluxBO" dataDxfId="14"/>
    <tableColumn id="18" xr3:uid="{F843AC56-5064-4171-8FE5-1ACDD74A27F8}" name="kBO" dataDxfId="13"/>
    <tableColumn id="19" xr3:uid="{37872A12-F3D5-4725-BF99-AE69E47A3B11}" name="C(n+1)BO" dataDxfId="12">
      <calculatedColumnFormula>IF(AND(K2&lt;=30,K2&lt;&gt;"",K2&gt;0),EXP(-AC2)*IF(K2=1,0,AD1)+(((1-EXP(-AC2))/AC2)*AB2),"")</calculatedColumnFormula>
    </tableColumn>
    <tableColumn id="20" xr3:uid="{505B680F-C761-4734-81F6-BCAE2754E9CD}" name="FluxBI" dataDxfId="11"/>
    <tableColumn id="21" xr3:uid="{4F1907D6-BA82-4846-94E1-66E8BB394BBE}" name="kBI" dataDxfId="10"/>
    <tableColumn id="22" xr3:uid="{2E2D8ACF-3FA9-459E-B3BE-9D02F32234BF}" name="C(n+1)BI" dataDxfId="9">
      <calculatedColumnFormula>IF(AND(K2&lt;=30,K2&lt;&gt;"",K2&gt;0),EXP(-AF2)*IF(K2=1,0,AG1)+(((1-EXP(-AF2))/AF2)*AE2),"")</calculatedColumnFormula>
    </tableColumn>
    <tableColumn id="23" xr3:uid="{46C9B06A-C5A8-4FDD-B87E-91930EFBCB5F}" name="FluxBE" dataDxfId="8"/>
    <tableColumn id="24" xr3:uid="{81E91D46-6A0D-4977-8D89-04C05E8FE8DB}" name="kBE" dataDxfId="7"/>
    <tableColumn id="25" xr3:uid="{B2C99EB8-D811-42FB-BE03-F28901BCC750}" name="C(n+1)BE" dataDxfId="6">
      <calculatedColumnFormula>IF(AND(K2&lt;=30,K2&lt;&gt;"",K2&gt;0),EXP(-AI2)*IF(K2=1,0,AJ1)+(((1-EXP(-AI2))/AI2)*AH2),"")</calculatedColumnFormula>
    </tableColumn>
    <tableColumn id="26" xr3:uid="{1D50B114-5D44-4E4A-97D1-900A491263C9}" name="Flux_m3" dataDxfId="5">
      <calculatedColumnFormula>IF(AND(K2&lt;=30,K2&lt;&gt;""),SUM(Y2:AA2)*$B$10,"")</calculatedColumnFormula>
    </tableColumn>
    <tableColumn id="27" xr3:uid="{38172A85-1200-4D68-8CA1-987DA50E8BA1}" name="Depenses" dataDxfId="4" dataCellStyle="Monétaire">
      <calculatedColumnFormula>IF(Tableau182987[[#This Row],[Age]]&lt;&gt;"",IF(Tableau182987[[#This Row],[Age]]=0,$AT$10*$B$10+SUMIF($AS$21:$AS$29,Tableau182987[[#This Row],[Age]],$AU$21:$AU$29)*$B$10+$AT$11*$B$10,SUMIF($AS$21:$AS$29,Tableau182987[[#This Row],[Age]],$AU$21:$AU$29)*$B$10+$AT$11*$B$10),"")</calculatedColumnFormula>
    </tableColumn>
    <tableColumn id="28" xr3:uid="{50550F0C-3F87-4AF2-8E4F-A03D0F424273}" name="Recettes" dataDxfId="3" dataCellStyle="Monétaire">
      <calculatedColumnFormula>IF(Tableau182987[[#This Row],[Age]]&lt;&gt;"",IF(Tableau182987[[#This Row],[Age]]=$B$11,$AT$10*$B$10,0)+Tableau182987[[#This Row],[VBO]]*$AX$21*$B$10+Tableau182987[[#This Row],[VBI]]*$AX$22*$B$10+Tableau182987[[#This Row],[VBE]]*$AX$23*$B$10,"")</calculatedColumnFormula>
    </tableColumn>
    <tableColumn id="29" xr3:uid="{E90185B0-ECBB-4229-9E8A-083E20C5DD0D}" name="DA" dataDxfId="2" dataCellStyle="Monétaire"/>
    <tableColumn id="30" xr3:uid="{41FC9EE0-3B25-4449-BAF5-913A81B76D0B}" name="RA" dataDxfId="1" dataCellStyle="Monétaire"/>
    <tableColumn id="31" xr3:uid="{78237A13-8D35-408D-B98B-E06D5CE9AC62}" name="BILANprojet" dataDxfId="0" dataCellStyle="Monétaire">
      <calculatedColumnFormula>IF(Tableau182987[[#This Row],[Age]]&lt;&gt;"",Tableau182987[[#This Row],[RA]]-Tableau182987[[#This Row],[DA]],"")</calculatedColumnFormula>
    </tableColumn>
  </tableColumns>
  <tableStyleInfo name="TableStyleLight8 7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7EDD8B-32B8-4B09-80F9-500DFA72B752}">
  <dimension ref="A1:AX102"/>
  <sheetViews>
    <sheetView tabSelected="1" workbookViewId="0">
      <selection activeCell="B1" sqref="B1"/>
    </sheetView>
  </sheetViews>
  <sheetFormatPr baseColWidth="10" defaultColWidth="14" defaultRowHeight="15" x14ac:dyDescent="0.2"/>
  <cols>
    <col min="1" max="1" width="15.28515625" style="3" customWidth="1"/>
    <col min="2" max="2" width="14" style="3"/>
    <col min="3" max="3" width="7.140625" style="3" customWidth="1"/>
    <col min="4" max="5" width="14" style="3"/>
    <col min="6" max="6" width="7.140625" style="3" customWidth="1"/>
    <col min="7" max="8" width="14" style="3"/>
    <col min="9" max="9" width="7.140625" style="3" customWidth="1"/>
    <col min="10" max="10" width="11.7109375" style="3" customWidth="1"/>
    <col min="11" max="21" width="10.7109375" style="3" customWidth="1"/>
    <col min="22" max="23" width="14" style="3"/>
    <col min="24" max="24" width="10.7109375" style="3" customWidth="1"/>
    <col min="25" max="27" width="14" style="3"/>
    <col min="28" max="28" width="10.7109375" style="3" customWidth="1"/>
    <col min="29" max="29" width="14" style="3"/>
    <col min="30" max="31" width="10.7109375" style="3" customWidth="1"/>
    <col min="32" max="32" width="14" style="3"/>
    <col min="33" max="34" width="10.7109375" style="3" customWidth="1"/>
    <col min="35" max="35" width="14" style="3"/>
    <col min="36" max="38" width="10.7109375" style="3" customWidth="1"/>
    <col min="39" max="39" width="12" style="3" customWidth="1"/>
    <col min="40" max="42" width="10.7109375" style="3" customWidth="1"/>
    <col min="43" max="43" width="7.140625" style="3" customWidth="1"/>
    <col min="44" max="16384" width="14" style="3"/>
  </cols>
  <sheetData>
    <row r="1" spans="1:49" ht="15" customHeight="1" x14ac:dyDescent="0.25">
      <c r="A1" s="1" t="s">
        <v>0</v>
      </c>
      <c r="B1" s="2">
        <v>1</v>
      </c>
      <c r="K1" s="3" t="s">
        <v>1</v>
      </c>
      <c r="L1" s="3" t="s">
        <v>2</v>
      </c>
      <c r="M1" s="3" t="s">
        <v>3</v>
      </c>
      <c r="N1" s="3" t="s">
        <v>4</v>
      </c>
      <c r="O1" s="3" t="s">
        <v>5</v>
      </c>
      <c r="P1" s="3" t="s">
        <v>6</v>
      </c>
      <c r="Q1" s="3" t="s">
        <v>7</v>
      </c>
      <c r="R1" s="3" t="s">
        <v>8</v>
      </c>
      <c r="S1" s="3" t="s">
        <v>9</v>
      </c>
      <c r="T1" s="3" t="s">
        <v>10</v>
      </c>
      <c r="U1" s="3" t="s">
        <v>11</v>
      </c>
      <c r="V1" s="3" t="s">
        <v>12</v>
      </c>
      <c r="W1" s="3" t="s">
        <v>13</v>
      </c>
      <c r="X1" s="3" t="s">
        <v>14</v>
      </c>
      <c r="Y1" s="3" t="s">
        <v>15</v>
      </c>
      <c r="Z1" s="3" t="s">
        <v>16</v>
      </c>
      <c r="AA1" s="3" t="s">
        <v>17</v>
      </c>
      <c r="AB1" s="3" t="s">
        <v>18</v>
      </c>
      <c r="AC1" s="3" t="s">
        <v>19</v>
      </c>
      <c r="AD1" s="3" t="s">
        <v>20</v>
      </c>
      <c r="AE1" s="3" t="s">
        <v>21</v>
      </c>
      <c r="AF1" s="3" t="s">
        <v>22</v>
      </c>
      <c r="AG1" s="3" t="s">
        <v>23</v>
      </c>
      <c r="AH1" s="3" t="s">
        <v>24</v>
      </c>
      <c r="AI1" s="3" t="s">
        <v>25</v>
      </c>
      <c r="AJ1" s="3" t="s">
        <v>26</v>
      </c>
      <c r="AK1" s="3" t="s">
        <v>27</v>
      </c>
      <c r="AL1" s="3" t="s">
        <v>28</v>
      </c>
      <c r="AM1" s="3" t="s">
        <v>29</v>
      </c>
      <c r="AN1" s="3" t="s">
        <v>30</v>
      </c>
      <c r="AO1" s="3" t="s">
        <v>31</v>
      </c>
      <c r="AP1" s="3" t="s">
        <v>32</v>
      </c>
    </row>
    <row r="2" spans="1:49" ht="15" customHeight="1" x14ac:dyDescent="0.25">
      <c r="K2" s="3">
        <v>0</v>
      </c>
      <c r="L2" s="4">
        <v>-3.5527136788005009E-15</v>
      </c>
      <c r="M2" s="4">
        <v>0</v>
      </c>
      <c r="N2" s="4">
        <v>-3.5527136788005009E-15</v>
      </c>
      <c r="O2" s="5">
        <f t="shared" ref="O2:O65" si="0">IF(K2&lt;&gt;"",N2*$B$7*$B$8,"")</f>
        <v>-1.9859669464494802E-15</v>
      </c>
      <c r="P2" s="5">
        <f t="shared" ref="P2:P65" si="1">IF(K2&lt;&gt;"",IF(O2&gt;0,EXP(-1.0587+0.8836*LN(O2)+0.284),0),"")</f>
        <v>0</v>
      </c>
      <c r="Q2" s="5">
        <f t="shared" ref="Q2:Q65" si="2">IF(K2&lt;&gt;"",45+25*(1-EXP(-0.0175*K2)),"")</f>
        <v>45</v>
      </c>
      <c r="R2" s="5">
        <v>0</v>
      </c>
      <c r="S2" s="5">
        <v>382.79999999999995</v>
      </c>
      <c r="T2" s="5" t="str">
        <f t="shared" ref="T2:T65" si="3">IF(AND(K2&lt;=$E$11,K2&lt;&gt;"",K2&gt;0),IF($E$4="Embrousaillement",1*K2*$E$7*$E$8,0),"")</f>
        <v/>
      </c>
      <c r="U2" s="5" t="str">
        <f t="shared" ref="U2:U65" si="4">IF(AND(K2&lt;=$E$11,K2&lt;&gt;"",K2&gt;0),IF($E$4="Embrousaillement",EXP(-1.0587+0.8836*LN(T2)+0.284),0),"")</f>
        <v/>
      </c>
      <c r="V2" s="5" t="str">
        <f>IF($E$4="Embrousaillement",Tableau182982[[#This Row],[SOL]],"")</f>
        <v/>
      </c>
      <c r="W2" s="5" t="str">
        <f>IF($E$4="Embrousaillement",Tableau182982[[#This Row],[L]],"")</f>
        <v/>
      </c>
      <c r="X2" s="5" t="s">
        <v>166</v>
      </c>
      <c r="Y2" s="5">
        <f t="shared" ref="Y2:Y65" si="5">IF(K2&lt;&gt;"",IF(M2&gt;0,IF($K2&gt;=$AT$7,$AU$7,IF(AND($K2&gt;=$AT$6,$K2&lt;$AT$7),$AU$6,IF(AND($K2&gt;=$AT$5,$K2&lt;$AT$6),$AU$5,IF(AND($K2&gt;=$AT$4,$K2&lt;$AT$5),$AU$4,$AU$4))))*M2,0),"")</f>
        <v>0</v>
      </c>
      <c r="Z2" s="5">
        <f t="shared" ref="Z2:Z65" si="6">IF(K2&lt;&gt;"",IF(M2&gt;0,IF($K2&gt;=$AT$7,$AV$7,IF(AND($K2&gt;=$AT$6,$K2&lt;$AT$7),$AV$6,IF(AND($K2&gt;=$AT$5,$K2&lt;$AT$6),$AV$5,IF(AND($K2&gt;=$AT$4,$K2&lt;$AT$5),$AV$4,$AV$4))))*M2,0),"")</f>
        <v>0</v>
      </c>
      <c r="AA2" s="5">
        <f t="shared" ref="AA2:AA65" si="7">IF(K2&lt;&gt;"",IF(M2&gt;0,IF($K2&gt;=$AT$7,$AW$7,IF(AND($K2&gt;=$AT$6,$K2&lt;$AT$7),$AW$6,IF(AND($K2&gt;=$AT$5,$K2&lt;$AT$6),$AW$5,IF(AND($K2&gt;=$AT$4,$K2&lt;$AT$5),$AW$4,$AW$4))))*M2,0),"")</f>
        <v>0</v>
      </c>
      <c r="AB2" s="5">
        <v>0</v>
      </c>
      <c r="AC2" s="5">
        <v>1.980420515885558E-2</v>
      </c>
      <c r="AD2" s="5" t="str">
        <f t="shared" ref="AD2:AD65" si="8">IF(AND(K2&lt;=30,K2&lt;&gt;"",K2&gt;0),EXP(-AC2)*IF(K2=1,0,AD1)+(((1-EXP(-AC2))/AC2)*AB2),"")</f>
        <v/>
      </c>
      <c r="AE2" s="5">
        <v>0</v>
      </c>
      <c r="AF2" s="5">
        <v>2.7725887222397813E-2</v>
      </c>
      <c r="AG2" s="5" t="str">
        <f t="shared" ref="AG2:AG65" si="9">IF(AND(K2&lt;=30,K2&lt;&gt;"",K2&gt;0),EXP(-AF2)*IF(K2=1,0,AG1)+(((1-EXP(-AF2))/AF2)*AE2),"")</f>
        <v/>
      </c>
      <c r="AH2" s="5">
        <v>0</v>
      </c>
      <c r="AI2" s="5">
        <v>0.34657359027997264</v>
      </c>
      <c r="AJ2" s="5" t="str">
        <f t="shared" ref="AJ2:AJ65" si="10">IF(AND(K2&lt;=30,K2&lt;&gt;"",K2&gt;0),EXP(-AI2)*IF(K2=1,0,AJ1)+(((1-EXP(-AI2))/AI2)*AH2),"")</f>
        <v/>
      </c>
      <c r="AK2" s="5">
        <f t="shared" ref="AK2:AK65" si="11">IF(AND(K2&lt;=30,K2&lt;&gt;""),SUM(Y2:AA2)*$B$10,"")</f>
        <v>0</v>
      </c>
      <c r="AL2" s="6">
        <f>IF(Tableau182982[[#This Row],[Age]]&lt;&gt;"",IF(Tableau182982[[#This Row],[Age]]=0,$AT$10*$B$10+SUMIF($AS$21:$AS$29,Tableau182982[[#This Row],[Age]],$AU$21:$AU$29)*$B$10+$AT$11*$B$10,SUMIF($AS$21:$AS$29,Tableau182982[[#This Row],[Age]],$AU$21:$AU$29)*$B$10+$AT$11*$B$10),"")</f>
        <v>1781.7599999999998</v>
      </c>
      <c r="AM2" s="7">
        <f>IF(Tableau182982[[#This Row],[Age]]&lt;&gt;"",IF(Tableau182982[[#This Row],[Age]]=$B$11,$AT$10*$B$10,0)+Tableau182982[[#This Row],[VBO]]*$AX$21*$B$10+Tableau182982[[#This Row],[VBI]]*$AX$22*$B$10+Tableau182982[[#This Row],[VBE]]*$AX$23*$B$10,"")</f>
        <v>0</v>
      </c>
      <c r="AN2" s="7">
        <v>1781.7599999999998</v>
      </c>
      <c r="AO2" s="7">
        <v>0</v>
      </c>
      <c r="AP2" s="7">
        <f>IF(Tableau182982[[#This Row],[Age]]&lt;&gt;"",Tableau182982[[#This Row],[RA]]-Tableau182982[[#This Row],[DA]],"")</f>
        <v>-1781.7599999999998</v>
      </c>
      <c r="AS2" s="1" t="s">
        <v>33</v>
      </c>
    </row>
    <row r="3" spans="1:49" ht="15" customHeight="1" x14ac:dyDescent="0.25">
      <c r="A3" s="1" t="s">
        <v>34</v>
      </c>
      <c r="D3" s="1" t="s">
        <v>35</v>
      </c>
      <c r="K3" s="3">
        <v>1</v>
      </c>
      <c r="L3" s="4">
        <v>2.2727272727272694</v>
      </c>
      <c r="M3" s="4">
        <v>0</v>
      </c>
      <c r="N3" s="4">
        <v>2.2727272727272694</v>
      </c>
      <c r="O3" s="5">
        <f t="shared" si="0"/>
        <v>1.2704545454545437</v>
      </c>
      <c r="P3" s="5">
        <f t="shared" si="1"/>
        <v>0.56939067895179052</v>
      </c>
      <c r="Q3" s="5">
        <f t="shared" si="2"/>
        <v>45.433694108373167</v>
      </c>
      <c r="R3" s="5">
        <v>0.33333333333333331</v>
      </c>
      <c r="S3" s="5">
        <v>396.75904804086781</v>
      </c>
      <c r="T3" s="5">
        <f t="shared" si="3"/>
        <v>0</v>
      </c>
      <c r="U3" s="5">
        <f t="shared" si="4"/>
        <v>0</v>
      </c>
      <c r="V3" s="5" t="str">
        <f>IF($E$4="Embrousaillement",Tableau182982[[#This Row],[SOL]],"")</f>
        <v/>
      </c>
      <c r="W3" s="5" t="str">
        <f>IF($E$4="Embrousaillement",Tableau182982[[#This Row],[L]],"")</f>
        <v/>
      </c>
      <c r="X3" s="5">
        <v>42.533333333333331</v>
      </c>
      <c r="Y3" s="5">
        <f t="shared" si="5"/>
        <v>0</v>
      </c>
      <c r="Z3" s="5">
        <f t="shared" si="6"/>
        <v>0</v>
      </c>
      <c r="AA3" s="5">
        <f t="shared" si="7"/>
        <v>0</v>
      </c>
      <c r="AB3" s="5">
        <v>0</v>
      </c>
      <c r="AC3" s="5">
        <v>1.980420515885558E-2</v>
      </c>
      <c r="AD3" s="5">
        <f t="shared" si="8"/>
        <v>0</v>
      </c>
      <c r="AE3" s="5">
        <v>0</v>
      </c>
      <c r="AF3" s="5">
        <v>2.7725887222397813E-2</v>
      </c>
      <c r="AG3" s="5">
        <f t="shared" si="9"/>
        <v>0</v>
      </c>
      <c r="AH3" s="5">
        <v>0</v>
      </c>
      <c r="AI3" s="5">
        <v>0.34657359027997264</v>
      </c>
      <c r="AJ3" s="5">
        <f t="shared" si="10"/>
        <v>0</v>
      </c>
      <c r="AK3" s="5">
        <f t="shared" si="11"/>
        <v>0</v>
      </c>
      <c r="AL3" s="6">
        <f>IF(Tableau182982[[#This Row],[Age]]&lt;&gt;"",IF(Tableau182982[[#This Row],[Age]]=0,$AT$10*$B$10+SUMIF($AS$21:$AS$29,Tableau182982[[#This Row],[Age]],$AU$21:$AU$29)*$B$10+$AT$11*$B$10,SUMIF($AS$21:$AS$29,Tableau182982[[#This Row],[Age]],$AU$21:$AU$29)*$B$10+$AT$11*$B$10),"")</f>
        <v>8727.84</v>
      </c>
      <c r="AM3" s="7">
        <f>IF(Tableau182982[[#This Row],[Age]]&lt;&gt;"",IF(Tableau182982[[#This Row],[Age]]=$B$11,$AT$10*$B$10,0)+Tableau182982[[#This Row],[VBO]]*$AX$21*$B$10+Tableau182982[[#This Row],[VBI]]*$AX$22*$B$10+Tableau182982[[#This Row],[VBE]]*$AX$23*$B$10,"")</f>
        <v>0</v>
      </c>
      <c r="AN3" s="7">
        <v>8352</v>
      </c>
      <c r="AO3" s="7">
        <v>0</v>
      </c>
      <c r="AP3" s="7">
        <f>IF(Tableau182982[[#This Row],[Age]]&lt;&gt;"",Tableau182982[[#This Row],[RA]]-Tableau182982[[#This Row],[DA]],"")</f>
        <v>-8352</v>
      </c>
      <c r="AS3" s="8" t="s">
        <v>36</v>
      </c>
      <c r="AT3" s="8" t="s">
        <v>1</v>
      </c>
      <c r="AU3" s="8" t="s">
        <v>37</v>
      </c>
      <c r="AV3" s="8" t="s">
        <v>38</v>
      </c>
      <c r="AW3" s="8" t="s">
        <v>39</v>
      </c>
    </row>
    <row r="4" spans="1:49" ht="15" customHeight="1" x14ac:dyDescent="0.2">
      <c r="A4" s="3" t="s">
        <v>40</v>
      </c>
      <c r="B4" s="9" t="s">
        <v>41</v>
      </c>
      <c r="D4" s="3" t="s">
        <v>42</v>
      </c>
      <c r="E4" s="9" t="s">
        <v>43</v>
      </c>
      <c r="K4" s="3">
        <v>2</v>
      </c>
      <c r="L4" s="4">
        <v>4.5454545454545423</v>
      </c>
      <c r="M4" s="4">
        <v>0</v>
      </c>
      <c r="N4" s="4">
        <v>4.5454545454545423</v>
      </c>
      <c r="O4" s="5">
        <f t="shared" si="0"/>
        <v>2.5409090909090892</v>
      </c>
      <c r="P4" s="5">
        <f t="shared" si="1"/>
        <v>1.0505106450015234</v>
      </c>
      <c r="Q4" s="5">
        <f t="shared" si="2"/>
        <v>45.859864593560836</v>
      </c>
      <c r="R4" s="5">
        <v>0.66666666666666663</v>
      </c>
      <c r="S4" s="5">
        <v>410.29742259990468</v>
      </c>
      <c r="T4" s="5">
        <f t="shared" si="3"/>
        <v>0</v>
      </c>
      <c r="U4" s="5">
        <f t="shared" si="4"/>
        <v>0</v>
      </c>
      <c r="V4" s="5" t="str">
        <f>IF($E$4="Embrousaillement",Tableau182982[[#This Row],[SOL]],"")</f>
        <v/>
      </c>
      <c r="W4" s="5" t="str">
        <f>IF($E$4="Embrousaillement",Tableau182982[[#This Row],[L]],"")</f>
        <v/>
      </c>
      <c r="X4" s="5">
        <v>42.533333333333331</v>
      </c>
      <c r="Y4" s="5">
        <f t="shared" si="5"/>
        <v>0</v>
      </c>
      <c r="Z4" s="5">
        <f t="shared" si="6"/>
        <v>0</v>
      </c>
      <c r="AA4" s="5">
        <f t="shared" si="7"/>
        <v>0</v>
      </c>
      <c r="AB4" s="5">
        <v>0</v>
      </c>
      <c r="AC4" s="5">
        <v>1.980420515885558E-2</v>
      </c>
      <c r="AD4" s="5">
        <f t="shared" si="8"/>
        <v>0</v>
      </c>
      <c r="AE4" s="5">
        <v>0</v>
      </c>
      <c r="AF4" s="5">
        <v>2.7725887222397813E-2</v>
      </c>
      <c r="AG4" s="5">
        <f t="shared" si="9"/>
        <v>0</v>
      </c>
      <c r="AH4" s="5">
        <v>0</v>
      </c>
      <c r="AI4" s="5">
        <v>0.34657359027997264</v>
      </c>
      <c r="AJ4" s="5">
        <f t="shared" si="10"/>
        <v>0</v>
      </c>
      <c r="AK4" s="5">
        <f t="shared" si="11"/>
        <v>0</v>
      </c>
      <c r="AL4" s="6">
        <f>IF(Tableau182982[[#This Row],[Age]]&lt;&gt;"",IF(Tableau182982[[#This Row],[Age]]=0,$AT$10*$B$10+SUMIF($AS$21:$AS$29,Tableau182982[[#This Row],[Age]],$AU$21:$AU$29)*$B$10+$AT$11*$B$10,SUMIF($AS$21:$AS$29,Tableau182982[[#This Row],[Age]],$AU$21:$AU$29)*$B$10+$AT$11*$B$10),"")</f>
        <v>621.76</v>
      </c>
      <c r="AM4" s="7">
        <f>IF(Tableau182982[[#This Row],[Age]]&lt;&gt;"",IF(Tableau182982[[#This Row],[Age]]=$B$11,$AT$10*$B$10,0)+Tableau182982[[#This Row],[VBO]]*$AX$21*$B$10+Tableau182982[[#This Row],[VBI]]*$AX$22*$B$10+Tableau182982[[#This Row],[VBE]]*$AX$23*$B$10,"")</f>
        <v>0</v>
      </c>
      <c r="AN4" s="7">
        <v>569.36425448135356</v>
      </c>
      <c r="AO4" s="7">
        <v>0</v>
      </c>
      <c r="AP4" s="7">
        <f>IF(Tableau182982[[#This Row],[Age]]&lt;&gt;"",Tableau182982[[#This Row],[RA]]-Tableau182982[[#This Row],[DA]],"")</f>
        <v>-569.36425448135356</v>
      </c>
      <c r="AS4" s="8" t="s">
        <v>44</v>
      </c>
      <c r="AT4" s="8">
        <v>15</v>
      </c>
      <c r="AU4" s="10">
        <v>0</v>
      </c>
      <c r="AV4" s="10">
        <v>1</v>
      </c>
      <c r="AW4" s="10">
        <v>0</v>
      </c>
    </row>
    <row r="5" spans="1:49" ht="15" customHeight="1" x14ac:dyDescent="0.2">
      <c r="A5" s="3" t="s">
        <v>45</v>
      </c>
      <c r="B5" s="9" t="s">
        <v>46</v>
      </c>
      <c r="D5" s="3" t="s">
        <v>40</v>
      </c>
      <c r="E5" s="9"/>
      <c r="G5" s="3" t="s">
        <v>47</v>
      </c>
      <c r="H5" s="9">
        <v>0</v>
      </c>
      <c r="K5" s="3">
        <v>3</v>
      </c>
      <c r="L5" s="4">
        <v>6.8181818181818148</v>
      </c>
      <c r="M5" s="4">
        <v>0</v>
      </c>
      <c r="N5" s="4">
        <v>6.8181818181818148</v>
      </c>
      <c r="O5" s="5">
        <f t="shared" si="0"/>
        <v>3.8113636363636347</v>
      </c>
      <c r="P5" s="5">
        <f t="shared" si="1"/>
        <v>1.5031236016964988</v>
      </c>
      <c r="Q5" s="5">
        <f t="shared" si="2"/>
        <v>46.278641973604969</v>
      </c>
      <c r="R5" s="5">
        <v>1</v>
      </c>
      <c r="S5" s="5">
        <v>423.65771915538789</v>
      </c>
      <c r="T5" s="5">
        <f t="shared" si="3"/>
        <v>0</v>
      </c>
      <c r="U5" s="5">
        <f t="shared" si="4"/>
        <v>0</v>
      </c>
      <c r="V5" s="5" t="str">
        <f>IF($E$4="Embrousaillement",Tableau182982[[#This Row],[SOL]],"")</f>
        <v/>
      </c>
      <c r="W5" s="5" t="str">
        <f>IF($E$4="Embrousaillement",Tableau182982[[#This Row],[L]],"")</f>
        <v/>
      </c>
      <c r="X5" s="5">
        <v>42.533333333333331</v>
      </c>
      <c r="Y5" s="5">
        <f t="shared" si="5"/>
        <v>0</v>
      </c>
      <c r="Z5" s="5">
        <f t="shared" si="6"/>
        <v>0</v>
      </c>
      <c r="AA5" s="5">
        <f t="shared" si="7"/>
        <v>0</v>
      </c>
      <c r="AB5" s="5">
        <v>0</v>
      </c>
      <c r="AC5" s="5">
        <v>1.980420515885558E-2</v>
      </c>
      <c r="AD5" s="5">
        <f t="shared" si="8"/>
        <v>0</v>
      </c>
      <c r="AE5" s="5">
        <v>0</v>
      </c>
      <c r="AF5" s="5">
        <v>2.7725887222397813E-2</v>
      </c>
      <c r="AG5" s="5">
        <f t="shared" si="9"/>
        <v>0</v>
      </c>
      <c r="AH5" s="5">
        <v>0</v>
      </c>
      <c r="AI5" s="5">
        <v>0.34657359027997264</v>
      </c>
      <c r="AJ5" s="5">
        <f t="shared" si="10"/>
        <v>0</v>
      </c>
      <c r="AK5" s="5">
        <f t="shared" si="11"/>
        <v>0</v>
      </c>
      <c r="AL5" s="6">
        <f>IF(Tableau182982[[#This Row],[Age]]&lt;&gt;"",IF(Tableau182982[[#This Row],[Age]]=0,$AT$10*$B$10+SUMIF($AS$21:$AS$29,Tableau182982[[#This Row],[Age]],$AU$21:$AU$29)*$B$10+$AT$11*$B$10,SUMIF($AS$21:$AS$29,Tableau182982[[#This Row],[Age]],$AU$21:$AU$29)*$B$10+$AT$11*$B$10),"")</f>
        <v>853.76</v>
      </c>
      <c r="AM5" s="7">
        <f>IF(Tableau182982[[#This Row],[Age]]&lt;&gt;"",IF(Tableau182982[[#This Row],[Age]]=$B$11,$AT$10*$B$10,0)+Tableau182982[[#This Row],[VBO]]*$AX$21*$B$10+Tableau182982[[#This Row],[VBI]]*$AX$22*$B$10+Tableau182982[[#This Row],[VBE]]*$AX$23*$B$10,"")</f>
        <v>0</v>
      </c>
      <c r="AN5" s="7">
        <v>748.14698867791935</v>
      </c>
      <c r="AO5" s="7">
        <v>0</v>
      </c>
      <c r="AP5" s="7">
        <f>IF(Tableau182982[[#This Row],[Age]]&lt;&gt;"",Tableau182982[[#This Row],[RA]]-Tableau182982[[#This Row],[DA]],"")</f>
        <v>-748.14698867791935</v>
      </c>
      <c r="AS5" s="8" t="s">
        <v>48</v>
      </c>
      <c r="AT5" s="8">
        <v>20</v>
      </c>
      <c r="AU5" s="10">
        <v>0.1</v>
      </c>
      <c r="AV5" s="10">
        <v>0.8</v>
      </c>
      <c r="AW5" s="10">
        <v>0.1</v>
      </c>
    </row>
    <row r="6" spans="1:49" ht="15" customHeight="1" x14ac:dyDescent="0.2">
      <c r="A6" s="3" t="s">
        <v>49</v>
      </c>
      <c r="B6" s="3" t="s">
        <v>167</v>
      </c>
      <c r="D6" s="3" t="s">
        <v>49</v>
      </c>
      <c r="K6" s="3">
        <v>4</v>
      </c>
      <c r="L6" s="4">
        <v>9.0909090909090882</v>
      </c>
      <c r="M6" s="4">
        <v>0</v>
      </c>
      <c r="N6" s="4">
        <v>9.0909090909090882</v>
      </c>
      <c r="O6" s="5">
        <f t="shared" si="0"/>
        <v>5.0818181818181802</v>
      </c>
      <c r="P6" s="5">
        <f t="shared" si="1"/>
        <v>1.9381641745402622</v>
      </c>
      <c r="Q6" s="5">
        <f t="shared" si="2"/>
        <v>46.690154502351291</v>
      </c>
      <c r="R6" s="5">
        <v>1.3333333333333333</v>
      </c>
      <c r="S6" s="5">
        <v>436.8852118968162</v>
      </c>
      <c r="T6" s="5">
        <f t="shared" si="3"/>
        <v>0</v>
      </c>
      <c r="U6" s="5">
        <f t="shared" si="4"/>
        <v>0</v>
      </c>
      <c r="V6" s="5" t="str">
        <f>IF($E$4="Embrousaillement",Tableau182982[[#This Row],[SOL]],"")</f>
        <v/>
      </c>
      <c r="W6" s="5" t="str">
        <f>IF($E$4="Embrousaillement",Tableau182982[[#This Row],[L]],"")</f>
        <v/>
      </c>
      <c r="X6" s="5">
        <v>42.533333333333331</v>
      </c>
      <c r="Y6" s="5">
        <f t="shared" si="5"/>
        <v>0</v>
      </c>
      <c r="Z6" s="5">
        <f t="shared" si="6"/>
        <v>0</v>
      </c>
      <c r="AA6" s="5">
        <f t="shared" si="7"/>
        <v>0</v>
      </c>
      <c r="AB6" s="5">
        <v>0</v>
      </c>
      <c r="AC6" s="5">
        <v>1.980420515885558E-2</v>
      </c>
      <c r="AD6" s="5">
        <f t="shared" si="8"/>
        <v>0</v>
      </c>
      <c r="AE6" s="5">
        <v>0</v>
      </c>
      <c r="AF6" s="5">
        <v>2.7725887222397813E-2</v>
      </c>
      <c r="AG6" s="5">
        <f t="shared" si="9"/>
        <v>0</v>
      </c>
      <c r="AH6" s="5">
        <v>0</v>
      </c>
      <c r="AI6" s="5">
        <v>0.34657359027997264</v>
      </c>
      <c r="AJ6" s="5">
        <f t="shared" si="10"/>
        <v>0</v>
      </c>
      <c r="AK6" s="5">
        <f t="shared" si="11"/>
        <v>0</v>
      </c>
      <c r="AL6" s="6">
        <f>IF(Tableau182982[[#This Row],[Age]]&lt;&gt;"",IF(Tableau182982[[#This Row],[Age]]=0,$AT$10*$B$10+SUMIF($AS$21:$AS$29,Tableau182982[[#This Row],[Age]],$AU$21:$AU$29)*$B$10+$AT$11*$B$10,SUMIF($AS$21:$AS$29,Tableau182982[[#This Row],[Age]],$AU$21:$AU$29)*$B$10+$AT$11*$B$10),"")</f>
        <v>621.76</v>
      </c>
      <c r="AM6" s="7">
        <f>IF(Tableau182982[[#This Row],[Age]]&lt;&gt;"",IF(Tableau182982[[#This Row],[Age]]=$B$11,$AT$10*$B$10,0)+Tableau182982[[#This Row],[VBO]]*$AX$21*$B$10+Tableau182982[[#This Row],[VBI]]*$AX$22*$B$10+Tableau182982[[#This Row],[VBE]]*$AX$23*$B$10,"")</f>
        <v>0</v>
      </c>
      <c r="AN6" s="7">
        <v>521.38390099251728</v>
      </c>
      <c r="AO6" s="7">
        <v>0</v>
      </c>
      <c r="AP6" s="7">
        <f>IF(Tableau182982[[#This Row],[Age]]&lt;&gt;"",Tableau182982[[#This Row],[RA]]-Tableau182982[[#This Row],[DA]],"")</f>
        <v>-521.38390099251728</v>
      </c>
      <c r="AS6" s="8" t="s">
        <v>50</v>
      </c>
      <c r="AT6" s="8">
        <v>30</v>
      </c>
      <c r="AU6" s="10">
        <v>0.3</v>
      </c>
      <c r="AV6" s="10">
        <v>0.5</v>
      </c>
      <c r="AW6" s="10">
        <v>0.2</v>
      </c>
    </row>
    <row r="7" spans="1:49" ht="15" customHeight="1" x14ac:dyDescent="0.2">
      <c r="A7" s="3" t="s">
        <v>51</v>
      </c>
      <c r="B7" s="3">
        <v>0.43</v>
      </c>
      <c r="D7" s="3" t="s">
        <v>51</v>
      </c>
      <c r="K7" s="3">
        <v>5</v>
      </c>
      <c r="L7" s="4">
        <v>11.363636363636362</v>
      </c>
      <c r="M7" s="4">
        <v>0</v>
      </c>
      <c r="N7" s="4">
        <v>11.363636363636362</v>
      </c>
      <c r="O7" s="5">
        <f t="shared" si="0"/>
        <v>6.3522727272727266</v>
      </c>
      <c r="P7" s="5">
        <f t="shared" si="1"/>
        <v>2.3605882942717469</v>
      </c>
      <c r="Q7" s="5">
        <f t="shared" si="2"/>
        <v>47.094528208728065</v>
      </c>
      <c r="R7" s="5">
        <v>1.6666666666666665</v>
      </c>
      <c r="S7" s="5">
        <v>450.00099817441179</v>
      </c>
      <c r="T7" s="5">
        <f t="shared" si="3"/>
        <v>0</v>
      </c>
      <c r="U7" s="5">
        <f t="shared" si="4"/>
        <v>0</v>
      </c>
      <c r="V7" s="5" t="str">
        <f>IF($E$4="Embrousaillement",Tableau182982[[#This Row],[SOL]],"")</f>
        <v/>
      </c>
      <c r="W7" s="5" t="str">
        <f>IF($E$4="Embrousaillement",Tableau182982[[#This Row],[L]],"")</f>
        <v/>
      </c>
      <c r="X7" s="5">
        <v>42.533333333333331</v>
      </c>
      <c r="Y7" s="5">
        <f t="shared" si="5"/>
        <v>0</v>
      </c>
      <c r="Z7" s="5">
        <f t="shared" si="6"/>
        <v>0</v>
      </c>
      <c r="AA7" s="5">
        <f t="shared" si="7"/>
        <v>0</v>
      </c>
      <c r="AB7" s="5">
        <v>0</v>
      </c>
      <c r="AC7" s="5">
        <v>1.980420515885558E-2</v>
      </c>
      <c r="AD7" s="5">
        <f t="shared" si="8"/>
        <v>0</v>
      </c>
      <c r="AE7" s="5">
        <v>0</v>
      </c>
      <c r="AF7" s="5">
        <v>2.7725887222397813E-2</v>
      </c>
      <c r="AG7" s="5">
        <f t="shared" si="9"/>
        <v>0</v>
      </c>
      <c r="AH7" s="5">
        <v>0</v>
      </c>
      <c r="AI7" s="5">
        <v>0.34657359027997264</v>
      </c>
      <c r="AJ7" s="5">
        <f t="shared" si="10"/>
        <v>0</v>
      </c>
      <c r="AK7" s="5">
        <f t="shared" si="11"/>
        <v>0</v>
      </c>
      <c r="AL7" s="6">
        <f>IF(Tableau182982[[#This Row],[Age]]&lt;&gt;"",IF(Tableau182982[[#This Row],[Age]]=0,$AT$10*$B$10+SUMIF($AS$21:$AS$29,Tableau182982[[#This Row],[Age]],$AU$21:$AU$29)*$B$10+$AT$11*$B$10,SUMIF($AS$21:$AS$29,Tableau182982[[#This Row],[Age]],$AU$21:$AU$29)*$B$10+$AT$11*$B$10),"")</f>
        <v>41.76</v>
      </c>
      <c r="AM7" s="7">
        <f>IF(Tableau182982[[#This Row],[Age]]&lt;&gt;"",IF(Tableau182982[[#This Row],[Age]]=$B$11,$AT$10*$B$10,0)+Tableau182982[[#This Row],[VBO]]*$AX$21*$B$10+Tableau182982[[#This Row],[VBI]]*$AX$22*$B$10+Tableau182982[[#This Row],[VBE]]*$AX$23*$B$10,"")</f>
        <v>0</v>
      </c>
      <c r="AN7" s="7">
        <v>33.510355701868569</v>
      </c>
      <c r="AO7" s="7">
        <v>0</v>
      </c>
      <c r="AP7" s="7">
        <f>IF(Tableau182982[[#This Row],[Age]]&lt;&gt;"",Tableau182982[[#This Row],[RA]]-Tableau182982[[#This Row],[DA]],"")</f>
        <v>-33.510355701868569</v>
      </c>
      <c r="AS7" s="8" t="s">
        <v>52</v>
      </c>
      <c r="AT7" s="8">
        <v>100</v>
      </c>
      <c r="AU7" s="10">
        <v>0.7</v>
      </c>
      <c r="AV7" s="10">
        <v>0.3</v>
      </c>
      <c r="AW7" s="10">
        <v>0</v>
      </c>
    </row>
    <row r="8" spans="1:49" ht="15" customHeight="1" x14ac:dyDescent="0.2">
      <c r="A8" s="3" t="s">
        <v>53</v>
      </c>
      <c r="B8" s="3">
        <v>1.3</v>
      </c>
      <c r="D8" s="3" t="s">
        <v>53</v>
      </c>
      <c r="K8" s="3">
        <v>6</v>
      </c>
      <c r="L8" s="4">
        <v>13.636363636363633</v>
      </c>
      <c r="M8" s="4">
        <v>0</v>
      </c>
      <c r="N8" s="4">
        <v>13.636363636363633</v>
      </c>
      <c r="O8" s="5">
        <f t="shared" si="0"/>
        <v>7.6227272727272712</v>
      </c>
      <c r="P8" s="5">
        <f t="shared" si="1"/>
        <v>2.7732230307003269</v>
      </c>
      <c r="Q8" s="5">
        <f t="shared" si="2"/>
        <v>47.491886935343359</v>
      </c>
      <c r="R8" s="5">
        <v>2</v>
      </c>
      <c r="S8" s="5">
        <v>463.01755472270395</v>
      </c>
      <c r="T8" s="5">
        <f t="shared" si="3"/>
        <v>0</v>
      </c>
      <c r="U8" s="5">
        <f t="shared" si="4"/>
        <v>0</v>
      </c>
      <c r="V8" s="5" t="str">
        <f>IF($E$4="Embrousaillement",Tableau182982[[#This Row],[SOL]],"")</f>
        <v/>
      </c>
      <c r="W8" s="5" t="str">
        <f>IF($E$4="Embrousaillement",Tableau182982[[#This Row],[L]],"")</f>
        <v/>
      </c>
      <c r="X8" s="5">
        <v>42.533333333333331</v>
      </c>
      <c r="Y8" s="5">
        <f t="shared" si="5"/>
        <v>0</v>
      </c>
      <c r="Z8" s="5">
        <f t="shared" si="6"/>
        <v>0</v>
      </c>
      <c r="AA8" s="5">
        <f t="shared" si="7"/>
        <v>0</v>
      </c>
      <c r="AB8" s="5">
        <v>0</v>
      </c>
      <c r="AC8" s="5">
        <v>1.980420515885558E-2</v>
      </c>
      <c r="AD8" s="5">
        <f t="shared" si="8"/>
        <v>0</v>
      </c>
      <c r="AE8" s="5">
        <v>0</v>
      </c>
      <c r="AF8" s="5">
        <v>2.7725887222397813E-2</v>
      </c>
      <c r="AG8" s="5">
        <f t="shared" si="9"/>
        <v>0</v>
      </c>
      <c r="AH8" s="5">
        <v>0</v>
      </c>
      <c r="AI8" s="5">
        <v>0.34657359027997264</v>
      </c>
      <c r="AJ8" s="5">
        <f t="shared" si="10"/>
        <v>0</v>
      </c>
      <c r="AK8" s="5">
        <f t="shared" si="11"/>
        <v>0</v>
      </c>
      <c r="AL8" s="7">
        <f>IF(Tableau182982[[#This Row],[Age]]&lt;&gt;"",IF(Tableau182982[[#This Row],[Age]]=0,$AT$10*$B$10+SUMIF($AS$21:$AS$29,Tableau182982[[#This Row],[Age]],$AU$21:$AU$29)*$B$10+$AT$11*$B$10,SUMIF($AS$21:$AS$29,Tableau182982[[#This Row],[Age]],$AU$21:$AU$29)*$B$10+$AT$11*$B$10),"")</f>
        <v>41.76</v>
      </c>
      <c r="AM8" s="7">
        <f>IF(Tableau182982[[#This Row],[Age]]&lt;&gt;"",IF(Tableau182982[[#This Row],[Age]]=$B$11,$AT$10*$B$10,0)+Tableau182982[[#This Row],[VBO]]*$AX$21*$B$10+Tableau182982[[#This Row],[VBI]]*$AX$22*$B$10+Tableau182982[[#This Row],[VBE]]*$AX$23*$B$10,"")</f>
        <v>0</v>
      </c>
      <c r="AN8" s="7">
        <v>32.067326030496247</v>
      </c>
      <c r="AO8" s="7">
        <v>0</v>
      </c>
      <c r="AP8" s="7">
        <f>IF(Tableau182982[[#This Row],[Age]]&lt;&gt;"",Tableau182982[[#This Row],[RA]]-Tableau182982[[#This Row],[DA]],"")</f>
        <v>-32.067326030496247</v>
      </c>
    </row>
    <row r="9" spans="1:49" ht="15" customHeight="1" x14ac:dyDescent="0.25">
      <c r="A9" s="11" t="s">
        <v>54</v>
      </c>
      <c r="B9" s="11">
        <v>0.43</v>
      </c>
      <c r="D9" s="3" t="s">
        <v>55</v>
      </c>
      <c r="K9" s="3">
        <v>7</v>
      </c>
      <c r="L9" s="4">
        <v>15.909090909090907</v>
      </c>
      <c r="M9" s="4">
        <v>0</v>
      </c>
      <c r="N9" s="4">
        <v>15.909090909090907</v>
      </c>
      <c r="O9" s="5">
        <f t="shared" si="0"/>
        <v>8.8931818181818176</v>
      </c>
      <c r="P9" s="5">
        <f t="shared" si="1"/>
        <v>3.1778908864218609</v>
      </c>
      <c r="Q9" s="5">
        <f t="shared" si="2"/>
        <v>47.882352376412911</v>
      </c>
      <c r="R9" s="5">
        <v>2.333333333333333</v>
      </c>
      <c r="S9" s="5">
        <v>475.94328087930995</v>
      </c>
      <c r="T9" s="5">
        <f t="shared" si="3"/>
        <v>0</v>
      </c>
      <c r="U9" s="5">
        <f t="shared" si="4"/>
        <v>0</v>
      </c>
      <c r="V9" s="5" t="str">
        <f>IF($E$4="Embrousaillement",Tableau182982[[#This Row],[SOL]],"")</f>
        <v/>
      </c>
      <c r="W9" s="5" t="str">
        <f>IF($E$4="Embrousaillement",Tableau182982[[#This Row],[L]],"")</f>
        <v/>
      </c>
      <c r="X9" s="5">
        <v>42.533333333333331</v>
      </c>
      <c r="Y9" s="5">
        <f t="shared" si="5"/>
        <v>0</v>
      </c>
      <c r="Z9" s="5">
        <f t="shared" si="6"/>
        <v>0</v>
      </c>
      <c r="AA9" s="5">
        <f t="shared" si="7"/>
        <v>0</v>
      </c>
      <c r="AB9" s="5">
        <v>0</v>
      </c>
      <c r="AC9" s="5">
        <v>1.980420515885558E-2</v>
      </c>
      <c r="AD9" s="5">
        <f t="shared" si="8"/>
        <v>0</v>
      </c>
      <c r="AE9" s="5">
        <v>0</v>
      </c>
      <c r="AF9" s="5">
        <v>2.7725887222397813E-2</v>
      </c>
      <c r="AG9" s="5">
        <f t="shared" si="9"/>
        <v>0</v>
      </c>
      <c r="AH9" s="5">
        <v>0</v>
      </c>
      <c r="AI9" s="5">
        <v>0.34657359027997264</v>
      </c>
      <c r="AJ9" s="5">
        <f t="shared" si="10"/>
        <v>0</v>
      </c>
      <c r="AK9" s="5">
        <f t="shared" si="11"/>
        <v>0</v>
      </c>
      <c r="AL9" s="7">
        <f>IF(Tableau182982[[#This Row],[Age]]&lt;&gt;"",IF(Tableau182982[[#This Row],[Age]]=0,$AT$10*$B$10+SUMIF($AS$21:$AS$29,Tableau182982[[#This Row],[Age]],$AU$21:$AU$29)*$B$10+$AT$11*$B$10,SUMIF($AS$21:$AS$29,Tableau182982[[#This Row],[Age]],$AU$21:$AU$29)*$B$10+$AT$11*$B$10),"")</f>
        <v>41.76</v>
      </c>
      <c r="AM9" s="7">
        <f>IF(Tableau182982[[#This Row],[Age]]&lt;&gt;"",IF(Tableau182982[[#This Row],[Age]]=$B$11,$AT$10*$B$10,0)+Tableau182982[[#This Row],[VBO]]*$AX$21*$B$10+Tableau182982[[#This Row],[VBI]]*$AX$22*$B$10+Tableau182982[[#This Row],[VBE]]*$AX$23*$B$10,"")</f>
        <v>0</v>
      </c>
      <c r="AN9" s="7">
        <v>30.68643639281937</v>
      </c>
      <c r="AO9" s="7">
        <v>0</v>
      </c>
      <c r="AP9" s="7">
        <f>IF(Tableau182982[[#This Row],[Age]]&lt;&gt;"",Tableau182982[[#This Row],[RA]]-Tableau182982[[#This Row],[DA]],"")</f>
        <v>-30.68643639281937</v>
      </c>
      <c r="AS9" s="1" t="s">
        <v>56</v>
      </c>
    </row>
    <row r="10" spans="1:49" ht="15" customHeight="1" x14ac:dyDescent="0.2">
      <c r="A10" s="3" t="s">
        <v>57</v>
      </c>
      <c r="B10" s="9">
        <v>2.3199999999999998</v>
      </c>
      <c r="D10" s="11" t="s">
        <v>58</v>
      </c>
      <c r="E10" s="9"/>
      <c r="K10" s="3">
        <v>8</v>
      </c>
      <c r="L10" s="4">
        <v>18.18181818181818</v>
      </c>
      <c r="M10" s="4">
        <v>0</v>
      </c>
      <c r="N10" s="4">
        <v>18.18181818181818</v>
      </c>
      <c r="O10" s="5">
        <f t="shared" si="0"/>
        <v>10.163636363636362</v>
      </c>
      <c r="P10" s="5">
        <f t="shared" si="1"/>
        <v>3.5758613064467202</v>
      </c>
      <c r="Q10" s="5">
        <f t="shared" si="2"/>
        <v>48.266044115029857</v>
      </c>
      <c r="R10" s="5">
        <v>2.6666666666666665</v>
      </c>
      <c r="S10" s="5">
        <v>488.7843233018807</v>
      </c>
      <c r="T10" s="5">
        <f t="shared" si="3"/>
        <v>0</v>
      </c>
      <c r="U10" s="5">
        <f t="shared" si="4"/>
        <v>0</v>
      </c>
      <c r="V10" s="5" t="str">
        <f>IF($E$4="Embrousaillement",Tableau182982[[#This Row],[SOL]],"")</f>
        <v/>
      </c>
      <c r="W10" s="5" t="str">
        <f>IF($E$4="Embrousaillement",Tableau182982[[#This Row],[L]],"")</f>
        <v/>
      </c>
      <c r="X10" s="5">
        <v>42.533333333333331</v>
      </c>
      <c r="Y10" s="5">
        <f t="shared" si="5"/>
        <v>0</v>
      </c>
      <c r="Z10" s="5">
        <f t="shared" si="6"/>
        <v>0</v>
      </c>
      <c r="AA10" s="5">
        <f t="shared" si="7"/>
        <v>0</v>
      </c>
      <c r="AB10" s="5">
        <v>0</v>
      </c>
      <c r="AC10" s="5">
        <v>1.980420515885558E-2</v>
      </c>
      <c r="AD10" s="5">
        <f t="shared" si="8"/>
        <v>0</v>
      </c>
      <c r="AE10" s="5">
        <v>0</v>
      </c>
      <c r="AF10" s="5">
        <v>2.7725887222397813E-2</v>
      </c>
      <c r="AG10" s="5">
        <f t="shared" si="9"/>
        <v>0</v>
      </c>
      <c r="AH10" s="5">
        <v>0</v>
      </c>
      <c r="AI10" s="5">
        <v>0.34657359027997264</v>
      </c>
      <c r="AJ10" s="5">
        <f t="shared" si="10"/>
        <v>0</v>
      </c>
      <c r="AK10" s="5">
        <f t="shared" si="11"/>
        <v>0</v>
      </c>
      <c r="AL10" s="7">
        <f>IF(Tableau182982[[#This Row],[Age]]&lt;&gt;"",IF(Tableau182982[[#This Row],[Age]]=0,$AT$10*$B$10+SUMIF($AS$21:$AS$29,Tableau182982[[#This Row],[Age]],$AU$21:$AU$29)*$B$10+$AT$11*$B$10,SUMIF($AS$21:$AS$29,Tableau182982[[#This Row],[Age]],$AU$21:$AU$29)*$B$10+$AT$11*$B$10),"")</f>
        <v>41.76</v>
      </c>
      <c r="AM10" s="7">
        <f>IF(Tableau182982[[#This Row],[Age]]&lt;&gt;"",IF(Tableau182982[[#This Row],[Age]]=$B$11,$AT$10*$B$10,0)+Tableau182982[[#This Row],[VBO]]*$AX$21*$B$10+Tableau182982[[#This Row],[VBI]]*$AX$22*$B$10+Tableau182982[[#This Row],[VBE]]*$AX$23*$B$10,"")</f>
        <v>0</v>
      </c>
      <c r="AN10" s="7">
        <v>29.365010902219502</v>
      </c>
      <c r="AO10" s="7">
        <v>0</v>
      </c>
      <c r="AP10" s="7">
        <f>IF(Tableau182982[[#This Row],[Age]]&lt;&gt;"",Tableau182982[[#This Row],[RA]]-Tableau182982[[#This Row],[DA]],"")</f>
        <v>-29.365010902219502</v>
      </c>
      <c r="AS10" s="3" t="s">
        <v>59</v>
      </c>
      <c r="AT10" s="9">
        <v>0</v>
      </c>
    </row>
    <row r="11" spans="1:49" ht="15" customHeight="1" x14ac:dyDescent="0.2">
      <c r="A11" s="3" t="s">
        <v>60</v>
      </c>
      <c r="B11" s="3">
        <f>MAX(K:K)</f>
        <v>70</v>
      </c>
      <c r="D11" s="3" t="s">
        <v>61</v>
      </c>
      <c r="E11" s="9">
        <f>B11</f>
        <v>70</v>
      </c>
      <c r="K11" s="3">
        <v>9</v>
      </c>
      <c r="L11" s="4">
        <v>20.454545454545453</v>
      </c>
      <c r="M11" s="4">
        <v>0</v>
      </c>
      <c r="N11" s="4">
        <v>20.454545454545453</v>
      </c>
      <c r="O11" s="5">
        <f t="shared" si="0"/>
        <v>11.434090909090909</v>
      </c>
      <c r="P11" s="5">
        <f t="shared" si="1"/>
        <v>3.9680673490061698</v>
      </c>
      <c r="Q11" s="5">
        <f t="shared" si="2"/>
        <v>48.643079659788015</v>
      </c>
      <c r="R11" s="5">
        <v>3</v>
      </c>
      <c r="S11" s="5">
        <v>501.54545177414764</v>
      </c>
      <c r="T11" s="5">
        <f t="shared" si="3"/>
        <v>0</v>
      </c>
      <c r="U11" s="5">
        <f t="shared" si="4"/>
        <v>0</v>
      </c>
      <c r="V11" s="5" t="str">
        <f>IF($E$4="Embrousaillement",Tableau182982[[#This Row],[SOL]],"")</f>
        <v/>
      </c>
      <c r="W11" s="5" t="str">
        <f>IF($E$4="Embrousaillement",Tableau182982[[#This Row],[L]],"")</f>
        <v/>
      </c>
      <c r="X11" s="5">
        <v>42.533333333333331</v>
      </c>
      <c r="Y11" s="5">
        <f t="shared" si="5"/>
        <v>0</v>
      </c>
      <c r="Z11" s="5">
        <f t="shared" si="6"/>
        <v>0</v>
      </c>
      <c r="AA11" s="5">
        <f t="shared" si="7"/>
        <v>0</v>
      </c>
      <c r="AB11" s="5">
        <v>0</v>
      </c>
      <c r="AC11" s="5">
        <v>1.980420515885558E-2</v>
      </c>
      <c r="AD11" s="5">
        <f t="shared" si="8"/>
        <v>0</v>
      </c>
      <c r="AE11" s="5">
        <v>0</v>
      </c>
      <c r="AF11" s="5">
        <v>2.7725887222397813E-2</v>
      </c>
      <c r="AG11" s="5">
        <f t="shared" si="9"/>
        <v>0</v>
      </c>
      <c r="AH11" s="5">
        <v>0</v>
      </c>
      <c r="AI11" s="5">
        <v>0.34657359027997264</v>
      </c>
      <c r="AJ11" s="5">
        <f t="shared" si="10"/>
        <v>0</v>
      </c>
      <c r="AK11" s="5">
        <f t="shared" si="11"/>
        <v>0</v>
      </c>
      <c r="AL11" s="7">
        <f>IF(Tableau182982[[#This Row],[Age]]&lt;&gt;"",IF(Tableau182982[[#This Row],[Age]]=0,$AT$10*$B$10+SUMIF($AS$21:$AS$29,Tableau182982[[#This Row],[Age]],$AU$21:$AU$29)*$B$10+$AT$11*$B$10,SUMIF($AS$21:$AS$29,Tableau182982[[#This Row],[Age]],$AU$21:$AU$29)*$B$10+$AT$11*$B$10),"")</f>
        <v>41.76</v>
      </c>
      <c r="AM11" s="7">
        <f>IF(Tableau182982[[#This Row],[Age]]&lt;&gt;"",IF(Tableau182982[[#This Row],[Age]]=$B$11,$AT$10*$B$10,0)+Tableau182982[[#This Row],[VBO]]*$AX$21*$B$10+Tableau182982[[#This Row],[VBI]]*$AX$22*$B$10+Tableau182982[[#This Row],[VBE]]*$AX$23*$B$10,"")</f>
        <v>0</v>
      </c>
      <c r="AN11" s="7">
        <v>28.100488901645459</v>
      </c>
      <c r="AO11" s="7">
        <v>0</v>
      </c>
      <c r="AP11" s="7">
        <f>IF(Tableau182982[[#This Row],[Age]]&lt;&gt;"",Tableau182982[[#This Row],[RA]]-Tableau182982[[#This Row],[DA]],"")</f>
        <v>-28.100488901645459</v>
      </c>
      <c r="AS11" s="3" t="s">
        <v>62</v>
      </c>
      <c r="AT11" s="9">
        <v>18</v>
      </c>
    </row>
    <row r="12" spans="1:49" ht="15" customHeight="1" x14ac:dyDescent="0.2">
      <c r="K12" s="3">
        <v>10</v>
      </c>
      <c r="L12" s="4">
        <v>22.727272727272727</v>
      </c>
      <c r="M12" s="4">
        <v>0</v>
      </c>
      <c r="N12" s="4">
        <v>22.727272727272727</v>
      </c>
      <c r="O12" s="5">
        <f t="shared" si="0"/>
        <v>12.704545454545453</v>
      </c>
      <c r="P12" s="5">
        <f t="shared" si="1"/>
        <v>4.355222562061682</v>
      </c>
      <c r="Q12" s="5">
        <f t="shared" si="2"/>
        <v>49.013574480769819</v>
      </c>
      <c r="R12" s="5">
        <v>3.333333333333333</v>
      </c>
      <c r="S12" s="5">
        <v>514.23053177107465</v>
      </c>
      <c r="T12" s="5">
        <f t="shared" si="3"/>
        <v>0</v>
      </c>
      <c r="U12" s="5">
        <f t="shared" si="4"/>
        <v>0</v>
      </c>
      <c r="V12" s="5" t="str">
        <f>IF($E$4="Embrousaillement",Tableau182982[[#This Row],[SOL]],"")</f>
        <v/>
      </c>
      <c r="W12" s="5" t="str">
        <f>IF($E$4="Embrousaillement",Tableau182982[[#This Row],[L]],"")</f>
        <v/>
      </c>
      <c r="X12" s="5">
        <v>42.533333333333331</v>
      </c>
      <c r="Y12" s="5">
        <f t="shared" si="5"/>
        <v>0</v>
      </c>
      <c r="Z12" s="5">
        <f t="shared" si="6"/>
        <v>0</v>
      </c>
      <c r="AA12" s="5">
        <f t="shared" si="7"/>
        <v>0</v>
      </c>
      <c r="AB12" s="5">
        <v>0</v>
      </c>
      <c r="AC12" s="5">
        <v>1.980420515885558E-2</v>
      </c>
      <c r="AD12" s="5">
        <f t="shared" si="8"/>
        <v>0</v>
      </c>
      <c r="AE12" s="5">
        <v>0</v>
      </c>
      <c r="AF12" s="5">
        <v>2.7725887222397813E-2</v>
      </c>
      <c r="AG12" s="5">
        <f t="shared" si="9"/>
        <v>0</v>
      </c>
      <c r="AH12" s="5">
        <v>0</v>
      </c>
      <c r="AI12" s="5">
        <v>0.34657359027997264</v>
      </c>
      <c r="AJ12" s="5">
        <f t="shared" si="10"/>
        <v>0</v>
      </c>
      <c r="AK12" s="5">
        <f t="shared" si="11"/>
        <v>0</v>
      </c>
      <c r="AL12" s="7">
        <f>IF(Tableau182982[[#This Row],[Age]]&lt;&gt;"",IF(Tableau182982[[#This Row],[Age]]=0,$AT$10*$B$10+SUMIF($AS$21:$AS$29,Tableau182982[[#This Row],[Age]],$AU$21:$AU$29)*$B$10+$AT$11*$B$10,SUMIF($AS$21:$AS$29,Tableau182982[[#This Row],[Age]],$AU$21:$AU$29)*$B$10+$AT$11*$B$10),"")</f>
        <v>41.76</v>
      </c>
      <c r="AM12" s="7">
        <f>IF(Tableau182982[[#This Row],[Age]]&lt;&gt;"",IF(Tableau182982[[#This Row],[Age]]=$B$11,$AT$10*$B$10,0)+Tableau182982[[#This Row],[VBO]]*$AX$21*$B$10+Tableau182982[[#This Row],[VBI]]*$AX$22*$B$10+Tableau182982[[#This Row],[VBE]]*$AX$23*$B$10,"")</f>
        <v>0</v>
      </c>
      <c r="AN12" s="7">
        <v>26.890420001574608</v>
      </c>
      <c r="AO12" s="7">
        <v>0</v>
      </c>
      <c r="AP12" s="7">
        <f>IF(Tableau182982[[#This Row],[Age]]&lt;&gt;"",Tableau182982[[#This Row],[RA]]-Tableau182982[[#This Row],[DA]],"")</f>
        <v>-26.890420001574608</v>
      </c>
    </row>
    <row r="13" spans="1:49" ht="15" customHeight="1" x14ac:dyDescent="0.2">
      <c r="K13" s="3">
        <v>11</v>
      </c>
      <c r="L13" s="4">
        <v>25</v>
      </c>
      <c r="M13" s="4">
        <v>7</v>
      </c>
      <c r="N13" s="4">
        <v>18</v>
      </c>
      <c r="O13" s="5">
        <f t="shared" si="0"/>
        <v>10.062000000000001</v>
      </c>
      <c r="P13" s="5">
        <f t="shared" si="1"/>
        <v>3.5442465380941046</v>
      </c>
      <c r="Q13" s="5">
        <f t="shared" si="2"/>
        <v>49.377642044909919</v>
      </c>
      <c r="R13" s="5">
        <v>3.6666666666666665</v>
      </c>
      <c r="S13" s="5">
        <v>506.20855961807035</v>
      </c>
      <c r="T13" s="5">
        <f t="shared" si="3"/>
        <v>0</v>
      </c>
      <c r="U13" s="5">
        <f t="shared" si="4"/>
        <v>0</v>
      </c>
      <c r="V13" s="5" t="str">
        <f>IF($E$4="Embrousaillement",Tableau182982[[#This Row],[SOL]],"")</f>
        <v/>
      </c>
      <c r="W13" s="5" t="str">
        <f>IF($E$4="Embrousaillement",Tableau182982[[#This Row],[L]],"")</f>
        <v/>
      </c>
      <c r="X13" s="5">
        <v>42.533333333333331</v>
      </c>
      <c r="Y13" s="5">
        <f t="shared" si="5"/>
        <v>0</v>
      </c>
      <c r="Z13" s="5">
        <f t="shared" si="6"/>
        <v>7</v>
      </c>
      <c r="AA13" s="5">
        <f t="shared" si="7"/>
        <v>0</v>
      </c>
      <c r="AB13" s="5">
        <v>0</v>
      </c>
      <c r="AC13" s="5">
        <v>1.980420515885558E-2</v>
      </c>
      <c r="AD13" s="5">
        <f t="shared" si="8"/>
        <v>0</v>
      </c>
      <c r="AE13" s="5">
        <v>12.162406666666664</v>
      </c>
      <c r="AF13" s="5">
        <v>2.7725887222397813E-2</v>
      </c>
      <c r="AG13" s="5">
        <f t="shared" si="9"/>
        <v>11.995347424788608</v>
      </c>
      <c r="AH13" s="5">
        <v>0</v>
      </c>
      <c r="AI13" s="5">
        <v>0.34657359027997264</v>
      </c>
      <c r="AJ13" s="5">
        <f t="shared" si="10"/>
        <v>0</v>
      </c>
      <c r="AK13" s="5">
        <f t="shared" si="11"/>
        <v>16.239999999999998</v>
      </c>
      <c r="AL13" s="7">
        <f>IF(Tableau182982[[#This Row],[Age]]&lt;&gt;"",IF(Tableau182982[[#This Row],[Age]]=0,$AT$10*$B$10+SUMIF($AS$21:$AS$29,Tableau182982[[#This Row],[Age]],$AU$21:$AU$29)*$B$10+$AT$11*$B$10,SUMIF($AS$21:$AS$29,Tableau182982[[#This Row],[Age]],$AU$21:$AU$29)*$B$10+$AT$11*$B$10),"")</f>
        <v>41.76</v>
      </c>
      <c r="AM13" s="7">
        <f>IF(Tableau182982[[#This Row],[Age]]&lt;&gt;"",IF(Tableau182982[[#This Row],[Age]]=$B$11,$AT$10*$B$10,0)+Tableau182982[[#This Row],[VBO]]*$AX$21*$B$10+Tableau182982[[#This Row],[VBI]]*$AX$22*$B$10+Tableau182982[[#This Row],[VBE]]*$AX$23*$B$10,"")</f>
        <v>324.79999999999995</v>
      </c>
      <c r="AN13" s="7">
        <v>25.73245933165034</v>
      </c>
      <c r="AO13" s="7">
        <v>200.1413503572804</v>
      </c>
      <c r="AP13" s="7">
        <f>IF(Tableau182982[[#This Row],[Age]]&lt;&gt;"",Tableau182982[[#This Row],[RA]]-Tableau182982[[#This Row],[DA]],"")</f>
        <v>174.40889102563006</v>
      </c>
    </row>
    <row r="14" spans="1:49" ht="15" customHeight="1" x14ac:dyDescent="0.2">
      <c r="K14" s="3">
        <v>12</v>
      </c>
      <c r="L14" s="4">
        <v>34.714285714285694</v>
      </c>
      <c r="M14" s="4">
        <v>0</v>
      </c>
      <c r="N14" s="4">
        <v>34.714285714285694</v>
      </c>
      <c r="O14" s="5">
        <f t="shared" si="0"/>
        <v>19.405285714285704</v>
      </c>
      <c r="P14" s="5">
        <f t="shared" si="1"/>
        <v>6.3322523452510495</v>
      </c>
      <c r="Q14" s="5">
        <f t="shared" si="2"/>
        <v>49.735393850745325</v>
      </c>
      <c r="R14" s="5">
        <v>4</v>
      </c>
      <c r="S14" s="5">
        <v>561.10589580957492</v>
      </c>
      <c r="T14" s="5">
        <f t="shared" si="3"/>
        <v>0</v>
      </c>
      <c r="U14" s="5">
        <f t="shared" si="4"/>
        <v>0</v>
      </c>
      <c r="V14" s="5" t="str">
        <f>IF($E$4="Embrousaillement",Tableau182982[[#This Row],[SOL]],"")</f>
        <v/>
      </c>
      <c r="W14" s="5" t="str">
        <f>IF($E$4="Embrousaillement",Tableau182982[[#This Row],[L]],"")</f>
        <v/>
      </c>
      <c r="X14" s="5">
        <v>42.533333333333331</v>
      </c>
      <c r="Y14" s="5">
        <f t="shared" si="5"/>
        <v>0</v>
      </c>
      <c r="Z14" s="5">
        <f t="shared" si="6"/>
        <v>0</v>
      </c>
      <c r="AA14" s="5">
        <f t="shared" si="7"/>
        <v>0</v>
      </c>
      <c r="AB14" s="5">
        <v>0</v>
      </c>
      <c r="AC14" s="5">
        <v>1.980420515885558E-2</v>
      </c>
      <c r="AD14" s="5">
        <f t="shared" si="8"/>
        <v>0</v>
      </c>
      <c r="AE14" s="5">
        <v>0</v>
      </c>
      <c r="AF14" s="5">
        <v>2.7725887222397813E-2</v>
      </c>
      <c r="AG14" s="5">
        <f t="shared" si="9"/>
        <v>11.667334018649859</v>
      </c>
      <c r="AH14" s="5">
        <v>0</v>
      </c>
      <c r="AI14" s="5">
        <v>0.34657359027997264</v>
      </c>
      <c r="AJ14" s="5">
        <f t="shared" si="10"/>
        <v>0</v>
      </c>
      <c r="AK14" s="5">
        <f t="shared" si="11"/>
        <v>0</v>
      </c>
      <c r="AL14" s="7">
        <f>IF(Tableau182982[[#This Row],[Age]]&lt;&gt;"",IF(Tableau182982[[#This Row],[Age]]=0,$AT$10*$B$10+SUMIF($AS$21:$AS$29,Tableau182982[[#This Row],[Age]],$AU$21:$AU$29)*$B$10+$AT$11*$B$10,SUMIF($AS$21:$AS$29,Tableau182982[[#This Row],[Age]],$AU$21:$AU$29)*$B$10+$AT$11*$B$10),"")</f>
        <v>41.76</v>
      </c>
      <c r="AM14" s="7">
        <f>IF(Tableau182982[[#This Row],[Age]]&lt;&gt;"",IF(Tableau182982[[#This Row],[Age]]=$B$11,$AT$10*$B$10,0)+Tableau182982[[#This Row],[VBO]]*$AX$21*$B$10+Tableau182982[[#This Row],[VBI]]*$AX$22*$B$10+Tableau182982[[#This Row],[VBE]]*$AX$23*$B$10,"")</f>
        <v>0</v>
      </c>
      <c r="AN14" s="7">
        <v>24.624362996794591</v>
      </c>
      <c r="AO14" s="7">
        <v>0</v>
      </c>
      <c r="AP14" s="7">
        <f>IF(Tableau182982[[#This Row],[Age]]&lt;&gt;"",Tableau182982[[#This Row],[RA]]-Tableau182982[[#This Row],[DA]],"")</f>
        <v>-24.624362996794591</v>
      </c>
    </row>
    <row r="15" spans="1:49" ht="15" customHeight="1" x14ac:dyDescent="0.25">
      <c r="A15" s="1" t="s">
        <v>63</v>
      </c>
      <c r="B15" s="1" t="s">
        <v>64</v>
      </c>
      <c r="C15" s="1"/>
      <c r="D15" s="1"/>
      <c r="E15" s="1"/>
      <c r="F15" s="1"/>
      <c r="G15" s="1"/>
      <c r="H15" s="1"/>
      <c r="K15" s="3">
        <v>13</v>
      </c>
      <c r="L15" s="4">
        <v>51.428571428571416</v>
      </c>
      <c r="M15" s="4">
        <v>0</v>
      </c>
      <c r="N15" s="4">
        <v>51.428571428571416</v>
      </c>
      <c r="O15" s="5">
        <f t="shared" si="0"/>
        <v>28.748571428571424</v>
      </c>
      <c r="P15" s="5">
        <f t="shared" si="1"/>
        <v>8.9615967915853982</v>
      </c>
      <c r="Q15" s="5">
        <f t="shared" si="2"/>
        <v>50.086939462562704</v>
      </c>
      <c r="R15" s="5">
        <v>4.333333333333333</v>
      </c>
      <c r="S15" s="5">
        <v>615.30934030533592</v>
      </c>
      <c r="T15" s="5">
        <f t="shared" si="3"/>
        <v>0</v>
      </c>
      <c r="U15" s="5">
        <f t="shared" si="4"/>
        <v>0</v>
      </c>
      <c r="V15" s="5" t="str">
        <f>IF($E$4="Embrousaillement",Tableau182982[[#This Row],[SOL]],"")</f>
        <v/>
      </c>
      <c r="W15" s="5" t="str">
        <f>IF($E$4="Embrousaillement",Tableau182982[[#This Row],[L]],"")</f>
        <v/>
      </c>
      <c r="X15" s="5">
        <v>42.533333333333331</v>
      </c>
      <c r="Y15" s="5">
        <f t="shared" si="5"/>
        <v>0</v>
      </c>
      <c r="Z15" s="5">
        <f t="shared" si="6"/>
        <v>0</v>
      </c>
      <c r="AA15" s="5">
        <f t="shared" si="7"/>
        <v>0</v>
      </c>
      <c r="AB15" s="5">
        <v>0</v>
      </c>
      <c r="AC15" s="5">
        <v>1.980420515885558E-2</v>
      </c>
      <c r="AD15" s="5">
        <f t="shared" si="8"/>
        <v>0</v>
      </c>
      <c r="AE15" s="5">
        <v>0</v>
      </c>
      <c r="AF15" s="5">
        <v>2.7725887222397813E-2</v>
      </c>
      <c r="AG15" s="5">
        <f t="shared" si="9"/>
        <v>11.348290156351448</v>
      </c>
      <c r="AH15" s="5">
        <v>0</v>
      </c>
      <c r="AI15" s="5">
        <v>0.34657359027997264</v>
      </c>
      <c r="AJ15" s="5">
        <f t="shared" si="10"/>
        <v>0</v>
      </c>
      <c r="AK15" s="5">
        <f t="shared" si="11"/>
        <v>0</v>
      </c>
      <c r="AL15" s="7">
        <f>IF(Tableau182982[[#This Row],[Age]]&lt;&gt;"",IF(Tableau182982[[#This Row],[Age]]=0,$AT$10*$B$10+SUMIF($AS$21:$AS$29,Tableau182982[[#This Row],[Age]],$AU$21:$AU$29)*$B$10+$AT$11*$B$10,SUMIF($AS$21:$AS$29,Tableau182982[[#This Row],[Age]],$AU$21:$AU$29)*$B$10+$AT$11*$B$10),"")</f>
        <v>41.76</v>
      </c>
      <c r="AM15" s="7">
        <f>IF(Tableau182982[[#This Row],[Age]]&lt;&gt;"",IF(Tableau182982[[#This Row],[Age]]=$B$11,$AT$10*$B$10,0)+Tableau182982[[#This Row],[VBO]]*$AX$21*$B$10+Tableau182982[[#This Row],[VBI]]*$AX$22*$B$10+Tableau182982[[#This Row],[VBE]]*$AX$23*$B$10,"")</f>
        <v>0</v>
      </c>
      <c r="AN15" s="7">
        <v>23.563983728990035</v>
      </c>
      <c r="AO15" s="7">
        <v>0</v>
      </c>
      <c r="AP15" s="7">
        <f>IF(Tableau182982[[#This Row],[Age]]&lt;&gt;"",Tableau182982[[#This Row],[RA]]-Tableau182982[[#This Row],[DA]],"")</f>
        <v>-23.563983728990035</v>
      </c>
    </row>
    <row r="16" spans="1:49" ht="15" customHeight="1" x14ac:dyDescent="0.2">
      <c r="A16" s="12"/>
      <c r="B16" s="13"/>
      <c r="C16" s="13"/>
      <c r="D16" s="13"/>
      <c r="E16" s="13"/>
      <c r="F16" s="13"/>
      <c r="G16" s="13"/>
      <c r="H16" s="13"/>
      <c r="I16" s="14"/>
      <c r="K16" s="3">
        <v>14</v>
      </c>
      <c r="L16" s="4">
        <v>68.14285714285711</v>
      </c>
      <c r="M16" s="4">
        <v>0</v>
      </c>
      <c r="N16" s="4">
        <v>68.14285714285711</v>
      </c>
      <c r="O16" s="5">
        <f t="shared" si="0"/>
        <v>38.091857142857123</v>
      </c>
      <c r="P16" s="5">
        <f t="shared" si="1"/>
        <v>11.491463709579049</v>
      </c>
      <c r="Q16" s="5">
        <f t="shared" si="2"/>
        <v>50.432386543953299</v>
      </c>
      <c r="R16" s="5">
        <v>4.6666666666666661</v>
      </c>
      <c r="S16" s="5">
        <v>669.05895110275083</v>
      </c>
      <c r="T16" s="5">
        <f t="shared" si="3"/>
        <v>0</v>
      </c>
      <c r="U16" s="5">
        <f t="shared" si="4"/>
        <v>0</v>
      </c>
      <c r="V16" s="5" t="str">
        <f>IF($E$4="Embrousaillement",Tableau182982[[#This Row],[SOL]],"")</f>
        <v/>
      </c>
      <c r="W16" s="5" t="str">
        <f>IF($E$4="Embrousaillement",Tableau182982[[#This Row],[L]],"")</f>
        <v/>
      </c>
      <c r="X16" s="5">
        <v>42.533333333333331</v>
      </c>
      <c r="Y16" s="5">
        <f t="shared" si="5"/>
        <v>0</v>
      </c>
      <c r="Z16" s="5">
        <f t="shared" si="6"/>
        <v>0</v>
      </c>
      <c r="AA16" s="5">
        <f t="shared" si="7"/>
        <v>0</v>
      </c>
      <c r="AB16" s="5">
        <v>0</v>
      </c>
      <c r="AC16" s="5">
        <v>1.980420515885558E-2</v>
      </c>
      <c r="AD16" s="5">
        <f t="shared" si="8"/>
        <v>0</v>
      </c>
      <c r="AE16" s="5">
        <v>0</v>
      </c>
      <c r="AF16" s="5">
        <v>2.7725887222397813E-2</v>
      </c>
      <c r="AG16" s="5">
        <f t="shared" si="9"/>
        <v>11.037970565245375</v>
      </c>
      <c r="AH16" s="5">
        <v>0</v>
      </c>
      <c r="AI16" s="5">
        <v>0.34657359027997264</v>
      </c>
      <c r="AJ16" s="5">
        <f t="shared" si="10"/>
        <v>0</v>
      </c>
      <c r="AK16" s="5">
        <f t="shared" si="11"/>
        <v>0</v>
      </c>
      <c r="AL16" s="7">
        <f>IF(Tableau182982[[#This Row],[Age]]&lt;&gt;"",IF(Tableau182982[[#This Row],[Age]]=0,$AT$10*$B$10+SUMIF($AS$21:$AS$29,Tableau182982[[#This Row],[Age]],$AU$21:$AU$29)*$B$10+$AT$11*$B$10,SUMIF($AS$21:$AS$29,Tableau182982[[#This Row],[Age]],$AU$21:$AU$29)*$B$10+$AT$11*$B$10),"")</f>
        <v>41.76</v>
      </c>
      <c r="AM16" s="7">
        <f>IF(Tableau182982[[#This Row],[Age]]&lt;&gt;"",IF(Tableau182982[[#This Row],[Age]]=$B$11,$AT$10*$B$10,0)+Tableau182982[[#This Row],[VBO]]*$AX$21*$B$10+Tableau182982[[#This Row],[VBI]]*$AX$22*$B$10+Tableau182982[[#This Row],[VBE]]*$AX$23*$B$10,"")</f>
        <v>0</v>
      </c>
      <c r="AN16" s="7">
        <v>22.549266726306261</v>
      </c>
      <c r="AO16" s="7">
        <v>0</v>
      </c>
      <c r="AP16" s="7">
        <f>IF(Tableau182982[[#This Row],[Age]]&lt;&gt;"",Tableau182982[[#This Row],[RA]]-Tableau182982[[#This Row],[DA]],"")</f>
        <v>-22.549266726306261</v>
      </c>
      <c r="AS16" s="3" t="s">
        <v>65</v>
      </c>
      <c r="AT16" s="9"/>
    </row>
    <row r="17" spans="1:50" ht="15" customHeight="1" x14ac:dyDescent="0.2">
      <c r="A17" s="15" t="s">
        <v>66</v>
      </c>
      <c r="B17" s="16">
        <f>AT16*B10+SUM(AP:AP)</f>
        <v>-5023.0749229173116</v>
      </c>
      <c r="I17" s="17"/>
      <c r="K17" s="3">
        <v>15</v>
      </c>
      <c r="L17" s="4">
        <v>84.857142857142833</v>
      </c>
      <c r="M17" s="4">
        <v>0</v>
      </c>
      <c r="N17" s="4">
        <v>84.857142857142833</v>
      </c>
      <c r="O17" s="5">
        <f t="shared" si="0"/>
        <v>47.435142857142843</v>
      </c>
      <c r="P17" s="5">
        <f t="shared" si="1"/>
        <v>13.949357764978583</v>
      </c>
      <c r="Q17" s="5">
        <f t="shared" si="2"/>
        <v>50.771840890785739</v>
      </c>
      <c r="R17" s="5">
        <v>5</v>
      </c>
      <c r="S17" s="5">
        <v>722.4667653580691</v>
      </c>
      <c r="T17" s="5">
        <f t="shared" si="3"/>
        <v>0</v>
      </c>
      <c r="U17" s="5">
        <f t="shared" si="4"/>
        <v>0</v>
      </c>
      <c r="V17" s="5" t="str">
        <f>IF($E$4="Embrousaillement",Tableau182982[[#This Row],[SOL]],"")</f>
        <v/>
      </c>
      <c r="W17" s="5" t="str">
        <f>IF($E$4="Embrousaillement",Tableau182982[[#This Row],[L]],"")</f>
        <v/>
      </c>
      <c r="X17" s="5">
        <v>42.533333333333331</v>
      </c>
      <c r="Y17" s="5">
        <f t="shared" si="5"/>
        <v>0</v>
      </c>
      <c r="Z17" s="5">
        <f t="shared" si="6"/>
        <v>0</v>
      </c>
      <c r="AA17" s="5">
        <f t="shared" si="7"/>
        <v>0</v>
      </c>
      <c r="AB17" s="5">
        <v>0</v>
      </c>
      <c r="AC17" s="5">
        <v>1.980420515885558E-2</v>
      </c>
      <c r="AD17" s="5">
        <f t="shared" si="8"/>
        <v>0</v>
      </c>
      <c r="AE17" s="5">
        <v>0</v>
      </c>
      <c r="AF17" s="5">
        <v>2.7725887222397813E-2</v>
      </c>
      <c r="AG17" s="5">
        <f t="shared" si="9"/>
        <v>10.736136679677097</v>
      </c>
      <c r="AH17" s="5">
        <v>0</v>
      </c>
      <c r="AI17" s="5">
        <v>0.34657359027997264</v>
      </c>
      <c r="AJ17" s="5">
        <f t="shared" si="10"/>
        <v>0</v>
      </c>
      <c r="AK17" s="5">
        <f t="shared" si="11"/>
        <v>0</v>
      </c>
      <c r="AL17" s="7">
        <f>IF(Tableau182982[[#This Row],[Age]]&lt;&gt;"",IF(Tableau182982[[#This Row],[Age]]=0,$AT$10*$B$10+SUMIF($AS$21:$AS$29,Tableau182982[[#This Row],[Age]],$AU$21:$AU$29)*$B$10+$AT$11*$B$10,SUMIF($AS$21:$AS$29,Tableau182982[[#This Row],[Age]],$AU$21:$AU$29)*$B$10+$AT$11*$B$10),"")</f>
        <v>41.76</v>
      </c>
      <c r="AM17" s="7">
        <f>IF(Tableau182982[[#This Row],[Age]]&lt;&gt;"",IF(Tableau182982[[#This Row],[Age]]=$B$11,$AT$10*$B$10,0)+Tableau182982[[#This Row],[VBO]]*$AX$21*$B$10+Tableau182982[[#This Row],[VBI]]*$AX$22*$B$10+Tableau182982[[#This Row],[VBE]]*$AX$23*$B$10,"")</f>
        <v>0</v>
      </c>
      <c r="AN17" s="7">
        <v>21.578245671106469</v>
      </c>
      <c r="AO17" s="7">
        <v>0</v>
      </c>
      <c r="AP17" s="7">
        <f>IF(Tableau182982[[#This Row],[Age]]&lt;&gt;"",Tableau182982[[#This Row],[RA]]-Tableau182982[[#This Row],[DA]],"")</f>
        <v>-21.578245671106469</v>
      </c>
      <c r="AS17" s="3" t="s">
        <v>67</v>
      </c>
    </row>
    <row r="18" spans="1:50" ht="15" customHeight="1" x14ac:dyDescent="0.2">
      <c r="A18" s="15" t="s">
        <v>68</v>
      </c>
      <c r="B18" s="16">
        <v>0</v>
      </c>
      <c r="I18" s="17"/>
      <c r="K18" s="3">
        <v>16</v>
      </c>
      <c r="L18" s="4">
        <v>101.57142857142856</v>
      </c>
      <c r="M18" s="4">
        <v>0</v>
      </c>
      <c r="N18" s="4">
        <v>101.57142857142856</v>
      </c>
      <c r="O18" s="5">
        <f t="shared" si="0"/>
        <v>56.778428571428563</v>
      </c>
      <c r="P18" s="5">
        <f t="shared" si="1"/>
        <v>16.351157030650782</v>
      </c>
      <c r="Q18" s="5">
        <f t="shared" si="2"/>
        <v>51.105406463606862</v>
      </c>
      <c r="R18" s="5">
        <v>5.333333333333333</v>
      </c>
      <c r="S18" s="5">
        <v>775.59782542877304</v>
      </c>
      <c r="T18" s="5">
        <f t="shared" si="3"/>
        <v>0</v>
      </c>
      <c r="U18" s="5">
        <f t="shared" si="4"/>
        <v>0</v>
      </c>
      <c r="V18" s="5" t="str">
        <f>IF($E$4="Embrousaillement",Tableau182982[[#This Row],[SOL]],"")</f>
        <v/>
      </c>
      <c r="W18" s="5" t="str">
        <f>IF($E$4="Embrousaillement",Tableau182982[[#This Row],[L]],"")</f>
        <v/>
      </c>
      <c r="X18" s="5">
        <v>42.533333333333331</v>
      </c>
      <c r="Y18" s="5">
        <f t="shared" si="5"/>
        <v>0</v>
      </c>
      <c r="Z18" s="5">
        <f t="shared" si="6"/>
        <v>0</v>
      </c>
      <c r="AA18" s="5">
        <f t="shared" si="7"/>
        <v>0</v>
      </c>
      <c r="AB18" s="5">
        <v>0</v>
      </c>
      <c r="AC18" s="5">
        <v>1.980420515885558E-2</v>
      </c>
      <c r="AD18" s="5">
        <f t="shared" si="8"/>
        <v>0</v>
      </c>
      <c r="AE18" s="5">
        <v>0</v>
      </c>
      <c r="AF18" s="5">
        <v>2.7725887222397813E-2</v>
      </c>
      <c r="AG18" s="5">
        <f t="shared" si="9"/>
        <v>10.442556457582436</v>
      </c>
      <c r="AH18" s="5">
        <v>0</v>
      </c>
      <c r="AI18" s="5">
        <v>0.34657359027997264</v>
      </c>
      <c r="AJ18" s="5">
        <f t="shared" si="10"/>
        <v>0</v>
      </c>
      <c r="AK18" s="5">
        <f t="shared" si="11"/>
        <v>0</v>
      </c>
      <c r="AL18" s="7">
        <f>IF(Tableau182982[[#This Row],[Age]]&lt;&gt;"",IF(Tableau182982[[#This Row],[Age]]=0,$AT$10*$B$10+SUMIF($AS$21:$AS$29,Tableau182982[[#This Row],[Age]],$AU$21:$AU$29)*$B$10+$AT$11*$B$10,SUMIF($AS$21:$AS$29,Tableau182982[[#This Row],[Age]],$AU$21:$AU$29)*$B$10+$AT$11*$B$10),"")</f>
        <v>41.76</v>
      </c>
      <c r="AM18" s="7">
        <f>IF(Tableau182982[[#This Row],[Age]]&lt;&gt;"",IF(Tableau182982[[#This Row],[Age]]=$B$11,$AT$10*$B$10,0)+Tableau182982[[#This Row],[VBO]]*$AX$21*$B$10+Tableau182982[[#This Row],[VBI]]*$AX$22*$B$10+Tableau182982[[#This Row],[VBE]]*$AX$23*$B$10,"")</f>
        <v>0</v>
      </c>
      <c r="AN18" s="7">
        <v>20.649038919719118</v>
      </c>
      <c r="AO18" s="7">
        <v>0</v>
      </c>
      <c r="AP18" s="7">
        <f>IF(Tableau182982[[#This Row],[Age]]&lt;&gt;"",Tableau182982[[#This Row],[RA]]-Tableau182982[[#This Row],[DA]],"")</f>
        <v>-20.649038919719118</v>
      </c>
    </row>
    <row r="19" spans="1:50" ht="15" customHeight="1" x14ac:dyDescent="0.2">
      <c r="A19" s="15" t="s">
        <v>69</v>
      </c>
      <c r="B19" s="16">
        <f>B17-B18</f>
        <v>-5023.0749229173116</v>
      </c>
      <c r="I19" s="17"/>
      <c r="K19" s="3">
        <v>17</v>
      </c>
      <c r="L19" s="4">
        <v>118.28571428571428</v>
      </c>
      <c r="M19" s="4">
        <v>0</v>
      </c>
      <c r="N19" s="4">
        <v>118.28571428571428</v>
      </c>
      <c r="O19" s="5">
        <f t="shared" si="0"/>
        <v>66.121714285714276</v>
      </c>
      <c r="P19" s="5">
        <f t="shared" si="1"/>
        <v>18.707170984894052</v>
      </c>
      <c r="Q19" s="5">
        <f t="shared" si="2"/>
        <v>51.433185419480445</v>
      </c>
      <c r="R19" s="5">
        <v>5.6666666666666661</v>
      </c>
      <c r="S19" s="5">
        <v>828.49465749626268</v>
      </c>
      <c r="T19" s="5">
        <f t="shared" si="3"/>
        <v>0</v>
      </c>
      <c r="U19" s="5">
        <f t="shared" si="4"/>
        <v>0</v>
      </c>
      <c r="V19" s="5" t="str">
        <f>IF($E$4="Embrousaillement",Tableau182982[[#This Row],[SOL]],"")</f>
        <v/>
      </c>
      <c r="W19" s="5" t="str">
        <f>IF($E$4="Embrousaillement",Tableau182982[[#This Row],[L]],"")</f>
        <v/>
      </c>
      <c r="X19" s="5">
        <v>42.533333333333331</v>
      </c>
      <c r="Y19" s="5">
        <f t="shared" si="5"/>
        <v>0</v>
      </c>
      <c r="Z19" s="5">
        <f t="shared" si="6"/>
        <v>0</v>
      </c>
      <c r="AA19" s="5">
        <f t="shared" si="7"/>
        <v>0</v>
      </c>
      <c r="AB19" s="5">
        <v>0</v>
      </c>
      <c r="AC19" s="5">
        <v>1.980420515885558E-2</v>
      </c>
      <c r="AD19" s="5">
        <f t="shared" si="8"/>
        <v>0</v>
      </c>
      <c r="AE19" s="5">
        <v>0</v>
      </c>
      <c r="AF19" s="5">
        <v>2.7725887222397813E-2</v>
      </c>
      <c r="AG19" s="5">
        <f t="shared" si="9"/>
        <v>10.157004202099667</v>
      </c>
      <c r="AH19" s="5">
        <v>0</v>
      </c>
      <c r="AI19" s="5">
        <v>0.34657359027997264</v>
      </c>
      <c r="AJ19" s="5">
        <f t="shared" si="10"/>
        <v>0</v>
      </c>
      <c r="AK19" s="5">
        <f t="shared" si="11"/>
        <v>0</v>
      </c>
      <c r="AL19" s="7">
        <f>IF(Tableau182982[[#This Row],[Age]]&lt;&gt;"",IF(Tableau182982[[#This Row],[Age]]=0,$AT$10*$B$10+SUMIF($AS$21:$AS$29,Tableau182982[[#This Row],[Age]],$AU$21:$AU$29)*$B$10+$AT$11*$B$10,SUMIF($AS$21:$AS$29,Tableau182982[[#This Row],[Age]],$AU$21:$AU$29)*$B$10+$AT$11*$B$10),"")</f>
        <v>41.76</v>
      </c>
      <c r="AM19" s="7">
        <f>IF(Tableau182982[[#This Row],[Age]]&lt;&gt;"",IF(Tableau182982[[#This Row],[Age]]=$B$11,$AT$10*$B$10,0)+Tableau182982[[#This Row],[VBO]]*$AX$21*$B$10+Tableau182982[[#This Row],[VBI]]*$AX$22*$B$10+Tableau182982[[#This Row],[VBE]]*$AX$23*$B$10,"")</f>
        <v>0</v>
      </c>
      <c r="AN19" s="7">
        <v>19.759845856190541</v>
      </c>
      <c r="AO19" s="7">
        <v>0</v>
      </c>
      <c r="AP19" s="7">
        <f>IF(Tableau182982[[#This Row],[Age]]&lt;&gt;"",Tableau182982[[#This Row],[RA]]-Tableau182982[[#This Row],[DA]],"")</f>
        <v>-19.759845856190541</v>
      </c>
      <c r="AS19" s="18" t="s">
        <v>70</v>
      </c>
      <c r="AW19" s="18" t="s">
        <v>29</v>
      </c>
    </row>
    <row r="20" spans="1:50" ht="15" customHeight="1" x14ac:dyDescent="0.2">
      <c r="A20" s="19"/>
      <c r="B20" s="20"/>
      <c r="C20" s="20"/>
      <c r="D20" s="20"/>
      <c r="E20" s="20"/>
      <c r="F20" s="20"/>
      <c r="G20" s="20"/>
      <c r="H20" s="20"/>
      <c r="I20" s="21"/>
      <c r="K20" s="3">
        <v>18</v>
      </c>
      <c r="L20" s="4">
        <v>135</v>
      </c>
      <c r="M20" s="4">
        <v>48</v>
      </c>
      <c r="N20" s="4">
        <v>86</v>
      </c>
      <c r="O20" s="5">
        <f t="shared" si="0"/>
        <v>48.073999999999998</v>
      </c>
      <c r="P20" s="5">
        <f t="shared" si="1"/>
        <v>14.115230347886875</v>
      </c>
      <c r="Q20" s="5">
        <f t="shared" si="2"/>
        <v>51.755278143273578</v>
      </c>
      <c r="R20" s="5">
        <v>6</v>
      </c>
      <c r="S20" s="5">
        <v>742.59084949780879</v>
      </c>
      <c r="T20" s="5">
        <f t="shared" si="3"/>
        <v>0</v>
      </c>
      <c r="U20" s="5">
        <f t="shared" si="4"/>
        <v>0</v>
      </c>
      <c r="V20" s="5" t="str">
        <f>IF($E$4="Embrousaillement",Tableau182982[[#This Row],[SOL]],"")</f>
        <v/>
      </c>
      <c r="W20" s="5" t="str">
        <f>IF($E$4="Embrousaillement",Tableau182982[[#This Row],[L]],"")</f>
        <v/>
      </c>
      <c r="X20" s="5">
        <v>42.533333333333331</v>
      </c>
      <c r="Y20" s="5">
        <f t="shared" si="5"/>
        <v>0</v>
      </c>
      <c r="Z20" s="5">
        <f t="shared" si="6"/>
        <v>48</v>
      </c>
      <c r="AA20" s="5">
        <f t="shared" si="7"/>
        <v>0</v>
      </c>
      <c r="AB20" s="5">
        <v>0</v>
      </c>
      <c r="AC20" s="5">
        <v>1.980420515885558E-2</v>
      </c>
      <c r="AD20" s="5">
        <f t="shared" si="8"/>
        <v>0</v>
      </c>
      <c r="AE20" s="5">
        <v>83.399359999999973</v>
      </c>
      <c r="AF20" s="5">
        <v>2.7725887222397813E-2</v>
      </c>
      <c r="AG20" s="5">
        <f t="shared" si="9"/>
        <v>92.133071300895779</v>
      </c>
      <c r="AH20" s="5">
        <v>0</v>
      </c>
      <c r="AI20" s="5">
        <v>0.34657359027997264</v>
      </c>
      <c r="AJ20" s="5">
        <f t="shared" si="10"/>
        <v>0</v>
      </c>
      <c r="AK20" s="5">
        <f t="shared" si="11"/>
        <v>111.35999999999999</v>
      </c>
      <c r="AL20" s="7">
        <f>IF(Tableau182982[[#This Row],[Age]]&lt;&gt;"",IF(Tableau182982[[#This Row],[Age]]=0,$AT$10*$B$10+SUMIF($AS$21:$AS$29,Tableau182982[[#This Row],[Age]],$AU$21:$AU$29)*$B$10+$AT$11*$B$10,SUMIF($AS$21:$AS$29,Tableau182982[[#This Row],[Age]],$AU$21:$AU$29)*$B$10+$AT$11*$B$10),"")</f>
        <v>41.76</v>
      </c>
      <c r="AM20" s="7">
        <f>IF(Tableau182982[[#This Row],[Age]]&lt;&gt;"",IF(Tableau182982[[#This Row],[Age]]=$B$11,$AT$10*$B$10,0)+Tableau182982[[#This Row],[VBO]]*$AX$21*$B$10+Tableau182982[[#This Row],[VBI]]*$AX$22*$B$10+Tableau182982[[#This Row],[VBE]]*$AX$23*$B$10,"")</f>
        <v>2227.1999999999998</v>
      </c>
      <c r="AN20" s="7">
        <v>18.908943403053154</v>
      </c>
      <c r="AO20" s="7">
        <v>1008.4769814961682</v>
      </c>
      <c r="AP20" s="7">
        <f>IF(Tableau182982[[#This Row],[Age]]&lt;&gt;"",Tableau182982[[#This Row],[RA]]-Tableau182982[[#This Row],[DA]],"")</f>
        <v>989.56803809311498</v>
      </c>
      <c r="AS20" s="3" t="s">
        <v>71</v>
      </c>
      <c r="AT20" s="3" t="s">
        <v>72</v>
      </c>
      <c r="AU20" s="3" t="s">
        <v>73</v>
      </c>
      <c r="AW20" s="3" t="s">
        <v>49</v>
      </c>
      <c r="AX20" s="3" t="s">
        <v>74</v>
      </c>
    </row>
    <row r="21" spans="1:50" ht="15" customHeight="1" x14ac:dyDescent="0.2">
      <c r="K21" s="3">
        <v>19</v>
      </c>
      <c r="L21" s="4">
        <v>109</v>
      </c>
      <c r="M21" s="4">
        <v>0</v>
      </c>
      <c r="N21" s="4">
        <v>109</v>
      </c>
      <c r="O21" s="5">
        <f t="shared" si="0"/>
        <v>60.930999999999997</v>
      </c>
      <c r="P21" s="5">
        <f t="shared" si="1"/>
        <v>17.403443670025439</v>
      </c>
      <c r="Q21" s="5">
        <f t="shared" si="2"/>
        <v>52.07178327840036</v>
      </c>
      <c r="R21" s="5">
        <v>6.333333333333333</v>
      </c>
      <c r="S21" s="5">
        <v>813.3562340331639</v>
      </c>
      <c r="T21" s="5">
        <f t="shared" si="3"/>
        <v>0</v>
      </c>
      <c r="U21" s="5">
        <f t="shared" si="4"/>
        <v>0</v>
      </c>
      <c r="V21" s="5" t="str">
        <f>IF($E$4="Embrousaillement",Tableau182982[[#This Row],[SOL]],"")</f>
        <v/>
      </c>
      <c r="W21" s="5" t="str">
        <f>IF($E$4="Embrousaillement",Tableau182982[[#This Row],[L]],"")</f>
        <v/>
      </c>
      <c r="X21" s="5">
        <v>42.533333333333331</v>
      </c>
      <c r="Y21" s="5">
        <f t="shared" si="5"/>
        <v>0</v>
      </c>
      <c r="Z21" s="5">
        <f t="shared" si="6"/>
        <v>0</v>
      </c>
      <c r="AA21" s="5">
        <f t="shared" si="7"/>
        <v>0</v>
      </c>
      <c r="AB21" s="5">
        <v>0</v>
      </c>
      <c r="AC21" s="5">
        <v>1.980420515885558E-2</v>
      </c>
      <c r="AD21" s="5">
        <f t="shared" si="8"/>
        <v>0</v>
      </c>
      <c r="AE21" s="5">
        <v>0</v>
      </c>
      <c r="AF21" s="5">
        <v>2.7725887222397813E-2</v>
      </c>
      <c r="AG21" s="5">
        <f t="shared" si="9"/>
        <v>89.613687621105143</v>
      </c>
      <c r="AH21" s="5">
        <v>0</v>
      </c>
      <c r="AI21" s="5">
        <v>0.34657359027997264</v>
      </c>
      <c r="AJ21" s="5">
        <f t="shared" si="10"/>
        <v>0</v>
      </c>
      <c r="AK21" s="5">
        <f t="shared" si="11"/>
        <v>0</v>
      </c>
      <c r="AL21" s="7">
        <f>IF(Tableau182982[[#This Row],[Age]]&lt;&gt;"",IF(Tableau182982[[#This Row],[Age]]=0,$AT$10*$B$10+SUMIF($AS$21:$AS$29,Tableau182982[[#This Row],[Age]],$AU$21:$AU$29)*$B$10+$AT$11*$B$10,SUMIF($AS$21:$AS$29,Tableau182982[[#This Row],[Age]],$AU$21:$AU$29)*$B$10+$AT$11*$B$10),"")</f>
        <v>41.76</v>
      </c>
      <c r="AM21" s="7">
        <f>IF(Tableau182982[[#This Row],[Age]]&lt;&gt;"",IF(Tableau182982[[#This Row],[Age]]=$B$11,$AT$10*$B$10,0)+Tableau182982[[#This Row],[VBO]]*$AX$21*$B$10+Tableau182982[[#This Row],[VBI]]*$AX$22*$B$10+Tableau182982[[#This Row],[VBE]]*$AX$23*$B$10,"")</f>
        <v>0</v>
      </c>
      <c r="AN21" s="7">
        <v>18.094682682347518</v>
      </c>
      <c r="AO21" s="7">
        <v>0</v>
      </c>
      <c r="AP21" s="7">
        <f>IF(Tableau182982[[#This Row],[Age]]&lt;&gt;"",Tableau182982[[#This Row],[RA]]-Tableau182982[[#This Row],[DA]],"")</f>
        <v>-18.094682682347518</v>
      </c>
      <c r="AS21" s="3">
        <v>0</v>
      </c>
      <c r="AT21" s="3" t="s">
        <v>75</v>
      </c>
      <c r="AU21" s="22">
        <v>750</v>
      </c>
      <c r="AW21" s="3" t="s">
        <v>76</v>
      </c>
      <c r="AX21" s="23">
        <v>65</v>
      </c>
    </row>
    <row r="22" spans="1:50" ht="15" customHeight="1" x14ac:dyDescent="0.2">
      <c r="K22" s="3">
        <v>20</v>
      </c>
      <c r="L22" s="4">
        <v>132</v>
      </c>
      <c r="M22" s="4">
        <v>0</v>
      </c>
      <c r="N22" s="4">
        <v>132</v>
      </c>
      <c r="O22" s="5">
        <f t="shared" si="0"/>
        <v>73.787999999999997</v>
      </c>
      <c r="P22" s="5">
        <f t="shared" si="1"/>
        <v>20.611246816293939</v>
      </c>
      <c r="Q22" s="5">
        <f t="shared" si="2"/>
        <v>52.382797757032165</v>
      </c>
      <c r="R22" s="5">
        <v>6.6666666666666661</v>
      </c>
      <c r="S22" s="5">
        <v>883.75000066663631</v>
      </c>
      <c r="T22" s="5">
        <f t="shared" si="3"/>
        <v>0</v>
      </c>
      <c r="U22" s="5">
        <f t="shared" si="4"/>
        <v>0</v>
      </c>
      <c r="V22" s="5" t="str">
        <f>IF($E$4="Embrousaillement",Tableau182982[[#This Row],[SOL]],"")</f>
        <v/>
      </c>
      <c r="W22" s="5" t="str">
        <f>IF($E$4="Embrousaillement",Tableau182982[[#This Row],[L]],"")</f>
        <v/>
      </c>
      <c r="X22" s="5">
        <v>42.533333333333331</v>
      </c>
      <c r="Y22" s="5">
        <f t="shared" si="5"/>
        <v>0</v>
      </c>
      <c r="Z22" s="5">
        <f t="shared" si="6"/>
        <v>0</v>
      </c>
      <c r="AA22" s="5">
        <f t="shared" si="7"/>
        <v>0</v>
      </c>
      <c r="AB22" s="5">
        <v>0</v>
      </c>
      <c r="AC22" s="5">
        <v>1.980420515885558E-2</v>
      </c>
      <c r="AD22" s="5">
        <f t="shared" si="8"/>
        <v>0</v>
      </c>
      <c r="AE22" s="5">
        <v>0</v>
      </c>
      <c r="AF22" s="5">
        <v>2.7725887222397813E-2</v>
      </c>
      <c r="AG22" s="5">
        <f t="shared" si="9"/>
        <v>87.163196620527003</v>
      </c>
      <c r="AH22" s="5">
        <v>0</v>
      </c>
      <c r="AI22" s="5">
        <v>0.34657359027997264</v>
      </c>
      <c r="AJ22" s="5">
        <f t="shared" si="10"/>
        <v>0</v>
      </c>
      <c r="AK22" s="5">
        <f t="shared" si="11"/>
        <v>0</v>
      </c>
      <c r="AL22" s="7">
        <f>IF(Tableau182982[[#This Row],[Age]]&lt;&gt;"",IF(Tableau182982[[#This Row],[Age]]=0,$AT$10*$B$10+SUMIF($AS$21:$AS$29,Tableau182982[[#This Row],[Age]],$AU$21:$AU$29)*$B$10+$AT$11*$B$10,SUMIF($AS$21:$AS$29,Tableau182982[[#This Row],[Age]],$AU$21:$AU$29)*$B$10+$AT$11*$B$10),"")</f>
        <v>41.76</v>
      </c>
      <c r="AM22" s="7">
        <f>IF(Tableau182982[[#This Row],[Age]]&lt;&gt;"",IF(Tableau182982[[#This Row],[Age]]=$B$11,$AT$10*$B$10,0)+Tableau182982[[#This Row],[VBO]]*$AX$21*$B$10+Tableau182982[[#This Row],[VBI]]*$AX$22*$B$10+Tableau182982[[#This Row],[VBE]]*$AX$23*$B$10,"")</f>
        <v>0</v>
      </c>
      <c r="AN22" s="7">
        <v>17.31548582042825</v>
      </c>
      <c r="AO22" s="7">
        <v>0</v>
      </c>
      <c r="AP22" s="7">
        <f>IF(Tableau182982[[#This Row],[Age]]&lt;&gt;"",Tableau182982[[#This Row],[RA]]-Tableau182982[[#This Row],[DA]],"")</f>
        <v>-17.31548582042825</v>
      </c>
      <c r="AS22" s="3">
        <v>1</v>
      </c>
      <c r="AT22" s="3" t="s">
        <v>77</v>
      </c>
      <c r="AU22" s="22">
        <v>400</v>
      </c>
      <c r="AW22" s="3" t="s">
        <v>78</v>
      </c>
      <c r="AX22" s="23">
        <v>20</v>
      </c>
    </row>
    <row r="23" spans="1:50" ht="15" customHeight="1" x14ac:dyDescent="0.2">
      <c r="K23" s="3">
        <v>21</v>
      </c>
      <c r="L23" s="4">
        <v>155</v>
      </c>
      <c r="M23" s="4">
        <v>0</v>
      </c>
      <c r="N23" s="4">
        <v>155</v>
      </c>
      <c r="O23" s="5">
        <f t="shared" si="0"/>
        <v>86.64500000000001</v>
      </c>
      <c r="P23" s="5">
        <f t="shared" si="1"/>
        <v>23.754299443125493</v>
      </c>
      <c r="Q23" s="5">
        <f t="shared" si="2"/>
        <v>52.688416829783918</v>
      </c>
      <c r="R23" s="5">
        <v>7</v>
      </c>
      <c r="S23" s="5">
        <v>953.83623511521739</v>
      </c>
      <c r="T23" s="5">
        <f t="shared" si="3"/>
        <v>0</v>
      </c>
      <c r="U23" s="5">
        <f t="shared" si="4"/>
        <v>0</v>
      </c>
      <c r="V23" s="5" t="str">
        <f>IF($E$4="Embrousaillement",Tableau182982[[#This Row],[SOL]],"")</f>
        <v/>
      </c>
      <c r="W23" s="5" t="str">
        <f>IF($E$4="Embrousaillement",Tableau182982[[#This Row],[L]],"")</f>
        <v/>
      </c>
      <c r="X23" s="5">
        <v>42.533333333333331</v>
      </c>
      <c r="Y23" s="5">
        <f t="shared" si="5"/>
        <v>0</v>
      </c>
      <c r="Z23" s="5">
        <f t="shared" si="6"/>
        <v>0</v>
      </c>
      <c r="AA23" s="5">
        <f t="shared" si="7"/>
        <v>0</v>
      </c>
      <c r="AB23" s="5">
        <v>0</v>
      </c>
      <c r="AC23" s="5">
        <v>1.980420515885558E-2</v>
      </c>
      <c r="AD23" s="5">
        <f t="shared" si="8"/>
        <v>0</v>
      </c>
      <c r="AE23" s="5">
        <v>0</v>
      </c>
      <c r="AF23" s="5">
        <v>2.7725887222397813E-2</v>
      </c>
      <c r="AG23" s="5">
        <f t="shared" si="9"/>
        <v>84.779714425225393</v>
      </c>
      <c r="AH23" s="5">
        <v>0</v>
      </c>
      <c r="AI23" s="5">
        <v>0.34657359027997264</v>
      </c>
      <c r="AJ23" s="5">
        <f t="shared" si="10"/>
        <v>0</v>
      </c>
      <c r="AK23" s="5">
        <f t="shared" si="11"/>
        <v>0</v>
      </c>
      <c r="AL23" s="7">
        <f>IF(Tableau182982[[#This Row],[Age]]&lt;&gt;"",IF(Tableau182982[[#This Row],[Age]]=0,$AT$10*$B$10+SUMIF($AS$21:$AS$29,Tableau182982[[#This Row],[Age]],$AU$21:$AU$29)*$B$10+$AT$11*$B$10,SUMIF($AS$21:$AS$29,Tableau182982[[#This Row],[Age]],$AU$21:$AU$29)*$B$10+$AT$11*$B$10),"")</f>
        <v>41.76</v>
      </c>
      <c r="AM23" s="7">
        <f>IF(Tableau182982[[#This Row],[Age]]&lt;&gt;"",IF(Tableau182982[[#This Row],[Age]]=$B$11,$AT$10*$B$10,0)+Tableau182982[[#This Row],[VBO]]*$AX$21*$B$10+Tableau182982[[#This Row],[VBI]]*$AX$22*$B$10+Tableau182982[[#This Row],[VBE]]*$AX$23*$B$10,"")</f>
        <v>0</v>
      </c>
      <c r="AN23" s="7">
        <v>16.569842890361958</v>
      </c>
      <c r="AO23" s="7">
        <v>0</v>
      </c>
      <c r="AP23" s="7">
        <f>IF(Tableau182982[[#This Row],[Age]]&lt;&gt;"",Tableau182982[[#This Row],[RA]]-Tableau182982[[#This Row],[DA]],"")</f>
        <v>-16.569842890361958</v>
      </c>
      <c r="AS23" s="3">
        <v>1</v>
      </c>
      <c r="AT23" s="3" t="s">
        <v>79</v>
      </c>
      <c r="AU23" s="22">
        <v>2064</v>
      </c>
      <c r="AW23" s="3" t="s">
        <v>80</v>
      </c>
      <c r="AX23" s="23">
        <v>5</v>
      </c>
    </row>
    <row r="24" spans="1:50" ht="15" customHeight="1" x14ac:dyDescent="0.25">
      <c r="A24" s="1" t="s">
        <v>81</v>
      </c>
      <c r="B24" s="1" t="s">
        <v>82</v>
      </c>
      <c r="K24" s="3">
        <v>22</v>
      </c>
      <c r="L24" s="4">
        <v>178</v>
      </c>
      <c r="M24" s="4">
        <v>0</v>
      </c>
      <c r="N24" s="4">
        <v>178</v>
      </c>
      <c r="O24" s="5">
        <f t="shared" si="0"/>
        <v>99.501999999999995</v>
      </c>
      <c r="P24" s="5">
        <f t="shared" si="1"/>
        <v>26.843321465092242</v>
      </c>
      <c r="Q24" s="5">
        <f t="shared" si="2"/>
        <v>52.988734094885309</v>
      </c>
      <c r="R24" s="5">
        <v>7.333333333333333</v>
      </c>
      <c r="S24" s="5">
        <v>1023.6590491893293</v>
      </c>
      <c r="T24" s="5">
        <f t="shared" si="3"/>
        <v>0</v>
      </c>
      <c r="U24" s="5">
        <f t="shared" si="4"/>
        <v>0</v>
      </c>
      <c r="V24" s="5" t="str">
        <f>IF($E$4="Embrousaillement",Tableau182982[[#This Row],[SOL]],"")</f>
        <v/>
      </c>
      <c r="W24" s="5" t="str">
        <f>IF($E$4="Embrousaillement",Tableau182982[[#This Row],[L]],"")</f>
        <v/>
      </c>
      <c r="X24" s="5">
        <v>42.533333333333331</v>
      </c>
      <c r="Y24" s="5">
        <f t="shared" si="5"/>
        <v>0</v>
      </c>
      <c r="Z24" s="5">
        <f t="shared" si="6"/>
        <v>0</v>
      </c>
      <c r="AA24" s="5">
        <f t="shared" si="7"/>
        <v>0</v>
      </c>
      <c r="AB24" s="5">
        <v>0</v>
      </c>
      <c r="AC24" s="5">
        <v>1.980420515885558E-2</v>
      </c>
      <c r="AD24" s="5">
        <f t="shared" si="8"/>
        <v>0</v>
      </c>
      <c r="AE24" s="5">
        <v>0</v>
      </c>
      <c r="AF24" s="5">
        <v>2.7725887222397813E-2</v>
      </c>
      <c r="AG24" s="5">
        <f t="shared" si="9"/>
        <v>82.461408675896195</v>
      </c>
      <c r="AH24" s="5">
        <v>0</v>
      </c>
      <c r="AI24" s="5">
        <v>0.34657359027997264</v>
      </c>
      <c r="AJ24" s="5">
        <f t="shared" si="10"/>
        <v>0</v>
      </c>
      <c r="AK24" s="5">
        <f t="shared" si="11"/>
        <v>0</v>
      </c>
      <c r="AL24" s="7">
        <f>IF(Tableau182982[[#This Row],[Age]]&lt;&gt;"",IF(Tableau182982[[#This Row],[Age]]=0,$AT$10*$B$10+SUMIF($AS$21:$AS$29,Tableau182982[[#This Row],[Age]],$AU$21:$AU$29)*$B$10+$AT$11*$B$10,SUMIF($AS$21:$AS$29,Tableau182982[[#This Row],[Age]],$AU$21:$AU$29)*$B$10+$AT$11*$B$10),"")</f>
        <v>41.76</v>
      </c>
      <c r="AM24" s="7">
        <f>IF(Tableau182982[[#This Row],[Age]]&lt;&gt;"",IF(Tableau182982[[#This Row],[Age]]=$B$11,$AT$10*$B$10,0)+Tableau182982[[#This Row],[VBO]]*$AX$21*$B$10+Tableau182982[[#This Row],[VBI]]*$AX$22*$B$10+Tableau182982[[#This Row],[VBE]]*$AX$23*$B$10,"")</f>
        <v>0</v>
      </c>
      <c r="AN24" s="7">
        <v>15.856308985992312</v>
      </c>
      <c r="AO24" s="7">
        <v>0</v>
      </c>
      <c r="AP24" s="7">
        <f>IF(Tableau182982[[#This Row],[Age]]&lt;&gt;"",Tableau182982[[#This Row],[RA]]-Tableau182982[[#This Row],[DA]],"")</f>
        <v>-15.856308985992312</v>
      </c>
      <c r="AS24" s="3">
        <v>1</v>
      </c>
      <c r="AT24" s="3" t="s">
        <v>83</v>
      </c>
      <c r="AU24" s="22">
        <v>1280</v>
      </c>
    </row>
    <row r="25" spans="1:50" ht="15" customHeight="1" x14ac:dyDescent="0.2">
      <c r="A25" s="12"/>
      <c r="B25" s="13"/>
      <c r="C25" s="13"/>
      <c r="D25" s="13"/>
      <c r="E25" s="13"/>
      <c r="F25" s="13"/>
      <c r="G25" s="13"/>
      <c r="H25" s="13"/>
      <c r="I25" s="14"/>
      <c r="K25" s="3">
        <v>23</v>
      </c>
      <c r="L25" s="4">
        <v>201</v>
      </c>
      <c r="M25" s="4">
        <v>0</v>
      </c>
      <c r="N25" s="4">
        <v>201</v>
      </c>
      <c r="O25" s="5">
        <f t="shared" si="0"/>
        <v>112.35899999999999</v>
      </c>
      <c r="P25" s="5">
        <f t="shared" si="1"/>
        <v>29.886095139633177</v>
      </c>
      <c r="Q25" s="5">
        <f t="shared" si="2"/>
        <v>53.283841526846018</v>
      </c>
      <c r="R25" s="5">
        <v>7.6666666666666661</v>
      </c>
      <c r="S25" s="5">
        <v>1093.2506707936923</v>
      </c>
      <c r="T25" s="5">
        <f t="shared" si="3"/>
        <v>0</v>
      </c>
      <c r="U25" s="5">
        <f t="shared" si="4"/>
        <v>0</v>
      </c>
      <c r="V25" s="5" t="str">
        <f>IF($E$4="Embrousaillement",Tableau182982[[#This Row],[SOL]],"")</f>
        <v/>
      </c>
      <c r="W25" s="5" t="str">
        <f>IF($E$4="Embrousaillement",Tableau182982[[#This Row],[L]],"")</f>
        <v/>
      </c>
      <c r="X25" s="5">
        <v>42.533333333333331</v>
      </c>
      <c r="Y25" s="5">
        <f t="shared" si="5"/>
        <v>0</v>
      </c>
      <c r="Z25" s="5">
        <f t="shared" si="6"/>
        <v>0</v>
      </c>
      <c r="AA25" s="5">
        <f t="shared" si="7"/>
        <v>0</v>
      </c>
      <c r="AB25" s="5">
        <v>0</v>
      </c>
      <c r="AC25" s="5">
        <v>1.980420515885558E-2</v>
      </c>
      <c r="AD25" s="5">
        <f t="shared" si="8"/>
        <v>0</v>
      </c>
      <c r="AE25" s="5">
        <v>0</v>
      </c>
      <c r="AF25" s="5">
        <v>2.7725887222397813E-2</v>
      </c>
      <c r="AG25" s="5">
        <f t="shared" si="9"/>
        <v>80.206497119196797</v>
      </c>
      <c r="AH25" s="5">
        <v>0</v>
      </c>
      <c r="AI25" s="5">
        <v>0.34657359027997264</v>
      </c>
      <c r="AJ25" s="5">
        <f t="shared" si="10"/>
        <v>0</v>
      </c>
      <c r="AK25" s="5">
        <f t="shared" si="11"/>
        <v>0</v>
      </c>
      <c r="AL25" s="7">
        <f>IF(Tableau182982[[#This Row],[Age]]&lt;&gt;"",IF(Tableau182982[[#This Row],[Age]]=0,$AT$10*$B$10+SUMIF($AS$21:$AS$29,Tableau182982[[#This Row],[Age]],$AU$21:$AU$29)*$B$10+$AT$11*$B$10,SUMIF($AS$21:$AS$29,Tableau182982[[#This Row],[Age]],$AU$21:$AU$29)*$B$10+$AT$11*$B$10),"")</f>
        <v>41.76</v>
      </c>
      <c r="AM25" s="7">
        <f>IF(Tableau182982[[#This Row],[Age]]&lt;&gt;"",IF(Tableau182982[[#This Row],[Age]]=$B$11,$AT$10*$B$10,0)+Tableau182982[[#This Row],[VBO]]*$AX$21*$B$10+Tableau182982[[#This Row],[VBI]]*$AX$22*$B$10+Tableau182982[[#This Row],[VBE]]*$AX$23*$B$10,"")</f>
        <v>0</v>
      </c>
      <c r="AN25" s="7">
        <v>15.173501422002211</v>
      </c>
      <c r="AO25" s="7">
        <v>0</v>
      </c>
      <c r="AP25" s="7">
        <f>IF(Tableau182982[[#This Row],[Age]]&lt;&gt;"",Tableau182982[[#This Row],[RA]]-Tableau182982[[#This Row],[DA]],"")</f>
        <v>-15.173501422002211</v>
      </c>
      <c r="AS25" s="3">
        <v>2</v>
      </c>
      <c r="AT25" s="3" t="s">
        <v>84</v>
      </c>
      <c r="AU25" s="22">
        <v>250</v>
      </c>
    </row>
    <row r="26" spans="1:50" ht="15" customHeight="1" x14ac:dyDescent="0.25">
      <c r="A26" s="24" t="s">
        <v>85</v>
      </c>
      <c r="D26" s="1" t="s">
        <v>86</v>
      </c>
      <c r="G26" s="1" t="s">
        <v>87</v>
      </c>
      <c r="I26" s="17"/>
      <c r="K26" s="3">
        <v>24</v>
      </c>
      <c r="L26" s="4">
        <v>224</v>
      </c>
      <c r="M26" s="4">
        <v>0</v>
      </c>
      <c r="N26" s="4">
        <v>224</v>
      </c>
      <c r="O26" s="5">
        <f t="shared" si="0"/>
        <v>125.21599999999999</v>
      </c>
      <c r="P26" s="5">
        <f t="shared" si="1"/>
        <v>32.888516733565645</v>
      </c>
      <c r="Q26" s="5">
        <f t="shared" si="2"/>
        <v>53.573829504623582</v>
      </c>
      <c r="R26" s="5">
        <v>8</v>
      </c>
      <c r="S26" s="5">
        <v>1162.6356936007587</v>
      </c>
      <c r="T26" s="5">
        <f t="shared" si="3"/>
        <v>0</v>
      </c>
      <c r="U26" s="5">
        <f t="shared" si="4"/>
        <v>0</v>
      </c>
      <c r="V26" s="5" t="str">
        <f>IF($E$4="Embrousaillement",Tableau182982[[#This Row],[SOL]],"")</f>
        <v/>
      </c>
      <c r="W26" s="5" t="str">
        <f>IF($E$4="Embrousaillement",Tableau182982[[#This Row],[L]],"")</f>
        <v/>
      </c>
      <c r="X26" s="5">
        <v>42.533333333333331</v>
      </c>
      <c r="Y26" s="5">
        <f t="shared" si="5"/>
        <v>0</v>
      </c>
      <c r="Z26" s="5">
        <f t="shared" si="6"/>
        <v>0</v>
      </c>
      <c r="AA26" s="5">
        <f t="shared" si="7"/>
        <v>0</v>
      </c>
      <c r="AB26" s="5">
        <v>0</v>
      </c>
      <c r="AC26" s="5">
        <v>1.980420515885558E-2</v>
      </c>
      <c r="AD26" s="5">
        <f t="shared" si="8"/>
        <v>0</v>
      </c>
      <c r="AE26" s="5">
        <v>0</v>
      </c>
      <c r="AF26" s="5">
        <v>2.7725887222397813E-2</v>
      </c>
      <c r="AG26" s="5">
        <f t="shared" si="9"/>
        <v>78.013246237595993</v>
      </c>
      <c r="AH26" s="5">
        <v>0</v>
      </c>
      <c r="AI26" s="5">
        <v>0.34657359027997264</v>
      </c>
      <c r="AJ26" s="5">
        <f t="shared" si="10"/>
        <v>0</v>
      </c>
      <c r="AK26" s="5">
        <f t="shared" si="11"/>
        <v>0</v>
      </c>
      <c r="AL26" s="7">
        <f>IF(Tableau182982[[#This Row],[Age]]&lt;&gt;"",IF(Tableau182982[[#This Row],[Age]]=0,$AT$10*$B$10+SUMIF($AS$21:$AS$29,Tableau182982[[#This Row],[Age]],$AU$21:$AU$29)*$B$10+$AT$11*$B$10,SUMIF($AS$21:$AS$29,Tableau182982[[#This Row],[Age]],$AU$21:$AU$29)*$B$10+$AT$11*$B$10),"")</f>
        <v>41.76</v>
      </c>
      <c r="AM26" s="7">
        <f>IF(Tableau182982[[#This Row],[Age]]&lt;&gt;"",IF(Tableau182982[[#This Row],[Age]]=$B$11,$AT$10*$B$10,0)+Tableau182982[[#This Row],[VBO]]*$AX$21*$B$10+Tableau182982[[#This Row],[VBI]]*$AX$22*$B$10+Tableau182982[[#This Row],[VBE]]*$AX$23*$B$10,"")</f>
        <v>0</v>
      </c>
      <c r="AN26" s="7">
        <v>14.520097054547573</v>
      </c>
      <c r="AO26" s="7">
        <v>0</v>
      </c>
      <c r="AP26" s="7">
        <f>IF(Tableau182982[[#This Row],[Age]]&lt;&gt;"",Tableau182982[[#This Row],[RA]]-Tableau182982[[#This Row],[DA]],"")</f>
        <v>-14.520097054547573</v>
      </c>
      <c r="AS26" s="3">
        <v>3</v>
      </c>
      <c r="AT26" s="3" t="s">
        <v>88</v>
      </c>
      <c r="AU26" s="22">
        <v>350</v>
      </c>
    </row>
    <row r="27" spans="1:50" ht="15" customHeight="1" x14ac:dyDescent="0.2">
      <c r="A27" s="15" t="s">
        <v>89</v>
      </c>
      <c r="B27" s="25">
        <f>S32</f>
        <v>1381.2424728298088</v>
      </c>
      <c r="D27" s="3" t="s">
        <v>90</v>
      </c>
      <c r="E27" s="25">
        <f>SUM(AD2:AD32)</f>
        <v>24.05447086883159</v>
      </c>
      <c r="G27" s="3" t="s">
        <v>91</v>
      </c>
      <c r="H27" s="25">
        <f>SUM(AK2:AK32)</f>
        <v>294.64</v>
      </c>
      <c r="I27" s="17"/>
      <c r="K27" s="3">
        <v>25</v>
      </c>
      <c r="L27" s="4">
        <v>247</v>
      </c>
      <c r="M27" s="4">
        <v>0</v>
      </c>
      <c r="N27" s="4">
        <v>247</v>
      </c>
      <c r="O27" s="5">
        <f t="shared" si="0"/>
        <v>138.07300000000001</v>
      </c>
      <c r="P27" s="5">
        <f t="shared" si="1"/>
        <v>35.855201393840041</v>
      </c>
      <c r="Q27" s="5">
        <f t="shared" si="2"/>
        <v>53.858786839302695</v>
      </c>
      <c r="R27" s="5">
        <v>8.3333333333333321</v>
      </c>
      <c r="S27" s="5">
        <v>1231.8335213672667</v>
      </c>
      <c r="T27" s="5">
        <f t="shared" si="3"/>
        <v>0</v>
      </c>
      <c r="U27" s="5">
        <f t="shared" si="4"/>
        <v>0</v>
      </c>
      <c r="V27" s="5" t="str">
        <f>IF($E$4="Embrousaillement",Tableau182982[[#This Row],[SOL]],"")</f>
        <v/>
      </c>
      <c r="W27" s="5" t="str">
        <f>IF($E$4="Embrousaillement",Tableau182982[[#This Row],[L]],"")</f>
        <v/>
      </c>
      <c r="X27" s="5">
        <v>42.533333333333331</v>
      </c>
      <c r="Y27" s="5">
        <f t="shared" si="5"/>
        <v>0</v>
      </c>
      <c r="Z27" s="5">
        <f t="shared" si="6"/>
        <v>0</v>
      </c>
      <c r="AA27" s="5">
        <f t="shared" si="7"/>
        <v>0</v>
      </c>
      <c r="AB27" s="5">
        <v>0</v>
      </c>
      <c r="AC27" s="5">
        <v>1.980420515885558E-2</v>
      </c>
      <c r="AD27" s="5">
        <f t="shared" si="8"/>
        <v>0</v>
      </c>
      <c r="AE27" s="5">
        <v>0</v>
      </c>
      <c r="AF27" s="5">
        <v>2.7725887222397813E-2</v>
      </c>
      <c r="AG27" s="5">
        <f t="shared" si="9"/>
        <v>75.879969916690612</v>
      </c>
      <c r="AH27" s="5">
        <v>0</v>
      </c>
      <c r="AI27" s="5">
        <v>0.34657359027997264</v>
      </c>
      <c r="AJ27" s="5">
        <f t="shared" si="10"/>
        <v>0</v>
      </c>
      <c r="AK27" s="5">
        <f t="shared" si="11"/>
        <v>0</v>
      </c>
      <c r="AL27" s="7">
        <f>IF(Tableau182982[[#This Row],[Age]]&lt;&gt;"",IF(Tableau182982[[#This Row],[Age]]=0,$AT$10*$B$10+SUMIF($AS$21:$AS$29,Tableau182982[[#This Row],[Age]],$AU$21:$AU$29)*$B$10+$AT$11*$B$10,SUMIF($AS$21:$AS$29,Tableau182982[[#This Row],[Age]],$AU$21:$AU$29)*$B$10+$AT$11*$B$10),"")</f>
        <v>41.76</v>
      </c>
      <c r="AM27" s="7">
        <f>IF(Tableau182982[[#This Row],[Age]]&lt;&gt;"",IF(Tableau182982[[#This Row],[Age]]=$B$11,$AT$10*$B$10,0)+Tableau182982[[#This Row],[VBO]]*$AX$21*$B$10+Tableau182982[[#This Row],[VBI]]*$AX$22*$B$10+Tableau182982[[#This Row],[VBE]]*$AX$23*$B$10,"")</f>
        <v>0</v>
      </c>
      <c r="AN27" s="7">
        <v>13.894829717270406</v>
      </c>
      <c r="AO27" s="7">
        <v>0</v>
      </c>
      <c r="AP27" s="7">
        <f>IF(Tableau182982[[#This Row],[Age]]&lt;&gt;"",Tableau182982[[#This Row],[RA]]-Tableau182982[[#This Row],[DA]],"")</f>
        <v>-13.894829717270406</v>
      </c>
      <c r="AS27" s="3">
        <v>4</v>
      </c>
      <c r="AT27" s="3" t="s">
        <v>92</v>
      </c>
      <c r="AU27" s="22">
        <v>250</v>
      </c>
    </row>
    <row r="28" spans="1:50" ht="15" customHeight="1" x14ac:dyDescent="0.2">
      <c r="A28" s="15" t="s">
        <v>93</v>
      </c>
      <c r="B28" s="25">
        <f>SUM(S:S)/$B$11</f>
        <v>1556.2630351270739</v>
      </c>
      <c r="D28" s="3" t="s">
        <v>94</v>
      </c>
      <c r="E28" s="25">
        <f>SUM(AG2:AG32)</f>
        <v>1475.9399324163248</v>
      </c>
      <c r="G28" s="3" t="s">
        <v>95</v>
      </c>
      <c r="H28" s="25">
        <f>IF(OR($E$6="Résineux lents",$E$6="Résineux rapides"),$B$10*20,0)</f>
        <v>0</v>
      </c>
      <c r="I28" s="17"/>
      <c r="K28" s="3">
        <v>26</v>
      </c>
      <c r="L28" s="4">
        <v>270</v>
      </c>
      <c r="M28" s="4">
        <v>0</v>
      </c>
      <c r="N28" s="4">
        <v>270</v>
      </c>
      <c r="O28" s="5">
        <f t="shared" si="0"/>
        <v>150.93</v>
      </c>
      <c r="P28" s="5">
        <f t="shared" si="1"/>
        <v>38.789855371379076</v>
      </c>
      <c r="Q28" s="5">
        <f t="shared" si="2"/>
        <v>54.138800801294295</v>
      </c>
      <c r="R28" s="5">
        <v>8.6666666666666661</v>
      </c>
      <c r="S28" s="5">
        <v>1300.8598721980736</v>
      </c>
      <c r="T28" s="5">
        <f t="shared" si="3"/>
        <v>0</v>
      </c>
      <c r="U28" s="5">
        <f t="shared" si="4"/>
        <v>0</v>
      </c>
      <c r="V28" s="5" t="str">
        <f>IF($E$4="Embrousaillement",Tableau182982[[#This Row],[SOL]],"")</f>
        <v/>
      </c>
      <c r="W28" s="5" t="str">
        <f>IF($E$4="Embrousaillement",Tableau182982[[#This Row],[L]],"")</f>
        <v/>
      </c>
      <c r="X28" s="5">
        <v>42.533333333333331</v>
      </c>
      <c r="Y28" s="5">
        <f t="shared" si="5"/>
        <v>0</v>
      </c>
      <c r="Z28" s="5">
        <f t="shared" si="6"/>
        <v>0</v>
      </c>
      <c r="AA28" s="5">
        <f t="shared" si="7"/>
        <v>0</v>
      </c>
      <c r="AB28" s="5">
        <v>0</v>
      </c>
      <c r="AC28" s="5">
        <v>1.980420515885558E-2</v>
      </c>
      <c r="AD28" s="5">
        <f t="shared" si="8"/>
        <v>0</v>
      </c>
      <c r="AE28" s="5">
        <v>0</v>
      </c>
      <c r="AF28" s="5">
        <v>2.7725887222397813E-2</v>
      </c>
      <c r="AG28" s="5">
        <f t="shared" si="9"/>
        <v>73.80502814896451</v>
      </c>
      <c r="AH28" s="5">
        <v>0</v>
      </c>
      <c r="AI28" s="5">
        <v>0.34657359027997264</v>
      </c>
      <c r="AJ28" s="5">
        <f t="shared" si="10"/>
        <v>0</v>
      </c>
      <c r="AK28" s="5">
        <f t="shared" si="11"/>
        <v>0</v>
      </c>
      <c r="AL28" s="7">
        <f>IF(Tableau182982[[#This Row],[Age]]&lt;&gt;"",IF(Tableau182982[[#This Row],[Age]]=0,$AT$10*$B$10+SUMIF($AS$21:$AS$29,Tableau182982[[#This Row],[Age]],$AU$21:$AU$29)*$B$10+$AT$11*$B$10,SUMIF($AS$21:$AS$29,Tableau182982[[#This Row],[Age]],$AU$21:$AU$29)*$B$10+$AT$11*$B$10),"")</f>
        <v>41.76</v>
      </c>
      <c r="AM28" s="7">
        <f>IF(Tableau182982[[#This Row],[Age]]&lt;&gt;"",IF(Tableau182982[[#This Row],[Age]]=$B$11,$AT$10*$B$10,0)+Tableau182982[[#This Row],[VBO]]*$AX$21*$B$10+Tableau182982[[#This Row],[VBI]]*$AX$22*$B$10+Tableau182982[[#This Row],[VBE]]*$AX$23*$B$10,"")</f>
        <v>0</v>
      </c>
      <c r="AN28" s="7">
        <v>13.29648776772288</v>
      </c>
      <c r="AO28" s="7">
        <v>0</v>
      </c>
      <c r="AP28" s="7">
        <f>IF(Tableau182982[[#This Row],[Age]]&lt;&gt;"",Tableau182982[[#This Row],[RA]]-Tableau182982[[#This Row],[DA]],"")</f>
        <v>-13.29648776772288</v>
      </c>
      <c r="AT28" s="3" t="s">
        <v>96</v>
      </c>
      <c r="AU28" s="22"/>
    </row>
    <row r="29" spans="1:50" ht="15" customHeight="1" x14ac:dyDescent="0.2">
      <c r="A29" s="15" t="s">
        <v>97</v>
      </c>
      <c r="B29" s="25">
        <f>X32</f>
        <v>42.533333333333331</v>
      </c>
      <c r="D29" s="3" t="s">
        <v>98</v>
      </c>
      <c r="E29" s="25">
        <f>SUM(AJ2:AJ32)</f>
        <v>27.071964694195508</v>
      </c>
      <c r="H29" s="25"/>
      <c r="I29" s="17"/>
      <c r="K29" s="3">
        <v>27</v>
      </c>
      <c r="L29" s="4">
        <v>293</v>
      </c>
      <c r="M29" s="4">
        <v>72</v>
      </c>
      <c r="N29" s="4">
        <v>221</v>
      </c>
      <c r="O29" s="5">
        <f t="shared" si="0"/>
        <v>123.539</v>
      </c>
      <c r="P29" s="5">
        <f t="shared" si="1"/>
        <v>32.499011485173845</v>
      </c>
      <c r="Q29" s="5">
        <f t="shared" si="2"/>
        <v>54.413957147062774</v>
      </c>
      <c r="R29" s="5">
        <v>9</v>
      </c>
      <c r="S29" s="5">
        <v>1169.9389872054396</v>
      </c>
      <c r="T29" s="5">
        <f t="shared" si="3"/>
        <v>0</v>
      </c>
      <c r="U29" s="5">
        <f t="shared" si="4"/>
        <v>0</v>
      </c>
      <c r="V29" s="5" t="str">
        <f>IF($E$4="Embrousaillement",Tableau182982[[#This Row],[SOL]],"")</f>
        <v/>
      </c>
      <c r="W29" s="5" t="str">
        <f>IF($E$4="Embrousaillement",Tableau182982[[#This Row],[L]],"")</f>
        <v/>
      </c>
      <c r="X29" s="5">
        <v>42.533333333333331</v>
      </c>
      <c r="Y29" s="5">
        <f t="shared" si="5"/>
        <v>7.2</v>
      </c>
      <c r="Z29" s="5">
        <f t="shared" si="6"/>
        <v>57.6</v>
      </c>
      <c r="AA29" s="5">
        <f t="shared" si="7"/>
        <v>7.2</v>
      </c>
      <c r="AB29" s="5">
        <v>6.2549519999999994</v>
      </c>
      <c r="AC29" s="5">
        <v>1.980420515885558E-2</v>
      </c>
      <c r="AD29" s="5">
        <f t="shared" si="8"/>
        <v>6.193421679493551</v>
      </c>
      <c r="AE29" s="5">
        <v>100.07923199999999</v>
      </c>
      <c r="AF29" s="5">
        <v>2.7725887222397813E-2</v>
      </c>
      <c r="AG29" s="5">
        <f t="shared" si="9"/>
        <v>170.49139886839674</v>
      </c>
      <c r="AH29" s="5">
        <v>12.509903999999999</v>
      </c>
      <c r="AI29" s="5">
        <v>0.34657359027997264</v>
      </c>
      <c r="AJ29" s="5">
        <f t="shared" si="10"/>
        <v>10.572259838516086</v>
      </c>
      <c r="AK29" s="5">
        <f t="shared" si="11"/>
        <v>167.04</v>
      </c>
      <c r="AL29" s="7">
        <f>IF(Tableau182982[[#This Row],[Age]]&lt;&gt;"",IF(Tableau182982[[#This Row],[Age]]=0,$AT$10*$B$10+SUMIF($AS$21:$AS$29,Tableau182982[[#This Row],[Age]],$AU$21:$AU$29)*$B$10+$AT$11*$B$10,SUMIF($AS$21:$AS$29,Tableau182982[[#This Row],[Age]],$AU$21:$AU$29)*$B$10+$AT$11*$B$10),"")</f>
        <v>41.76</v>
      </c>
      <c r="AM29" s="7">
        <f>IF(Tableau182982[[#This Row],[Age]]&lt;&gt;"",IF(Tableau182982[[#This Row],[Age]]=$B$11,$AT$10*$B$10,0)+Tableau182982[[#This Row],[VBO]]*$AX$21*$B$10+Tableau182982[[#This Row],[VBI]]*$AX$22*$B$10+Tableau182982[[#This Row],[VBE]]*$AX$23*$B$10,"")</f>
        <v>3841.9199999999996</v>
      </c>
      <c r="AN29" s="7">
        <v>12.723911739447733</v>
      </c>
      <c r="AO29" s="7">
        <v>1170.5998800291914</v>
      </c>
      <c r="AP29" s="7">
        <f>IF(Tableau182982[[#This Row],[Age]]&lt;&gt;"",Tableau182982[[#This Row],[RA]]-Tableau182982[[#This Row],[DA]],"")</f>
        <v>1157.8759682897437</v>
      </c>
      <c r="AT29" s="3" t="s">
        <v>99</v>
      </c>
      <c r="AU29" s="22"/>
    </row>
    <row r="30" spans="1:50" ht="15" customHeight="1" x14ac:dyDescent="0.2">
      <c r="A30" s="15" t="s">
        <v>100</v>
      </c>
      <c r="B30" s="25">
        <f>SUM(X:X)/$E$11</f>
        <v>42.53333333333331</v>
      </c>
      <c r="D30" s="3" t="s">
        <v>101</v>
      </c>
      <c r="E30" s="25">
        <v>0</v>
      </c>
      <c r="H30" s="25"/>
      <c r="I30" s="17"/>
      <c r="K30" s="3">
        <v>28</v>
      </c>
      <c r="L30" s="4">
        <v>244.5454545454545</v>
      </c>
      <c r="M30" s="4">
        <v>0</v>
      </c>
      <c r="N30" s="4">
        <v>244.5454545454545</v>
      </c>
      <c r="O30" s="5">
        <f t="shared" si="0"/>
        <v>136.70090909090908</v>
      </c>
      <c r="P30" s="5">
        <f t="shared" si="1"/>
        <v>35.540184360169796</v>
      </c>
      <c r="Q30" s="5">
        <f t="shared" si="2"/>
        <v>54.684340145389598</v>
      </c>
      <c r="R30" s="5">
        <v>9.3333333333333321</v>
      </c>
      <c r="S30" s="5">
        <v>1240.5458539969957</v>
      </c>
      <c r="T30" s="5">
        <f t="shared" si="3"/>
        <v>0</v>
      </c>
      <c r="U30" s="5">
        <f t="shared" si="4"/>
        <v>0</v>
      </c>
      <c r="V30" s="5" t="str">
        <f>IF($E$4="Embrousaillement",Tableau182982[[#This Row],[SOL]],"")</f>
        <v/>
      </c>
      <c r="W30" s="5" t="str">
        <f>IF($E$4="Embrousaillement",Tableau182982[[#This Row],[L]],"")</f>
        <v/>
      </c>
      <c r="X30" s="5">
        <v>42.533333333333331</v>
      </c>
      <c r="Y30" s="5">
        <f t="shared" si="5"/>
        <v>0</v>
      </c>
      <c r="Z30" s="5">
        <f t="shared" si="6"/>
        <v>0</v>
      </c>
      <c r="AA30" s="5">
        <f t="shared" si="7"/>
        <v>0</v>
      </c>
      <c r="AB30" s="5">
        <v>0</v>
      </c>
      <c r="AC30" s="5">
        <v>1.980420515885558E-2</v>
      </c>
      <c r="AD30" s="5">
        <f t="shared" si="8"/>
        <v>6.0719724579728984</v>
      </c>
      <c r="AE30" s="5">
        <v>0</v>
      </c>
      <c r="AF30" s="5">
        <v>2.7725887222397813E-2</v>
      </c>
      <c r="AG30" s="5">
        <f t="shared" si="9"/>
        <v>165.82930260058743</v>
      </c>
      <c r="AH30" s="5">
        <v>0</v>
      </c>
      <c r="AI30" s="5">
        <v>0.34657359027997264</v>
      </c>
      <c r="AJ30" s="5">
        <f t="shared" si="10"/>
        <v>7.4757166242809188</v>
      </c>
      <c r="AK30" s="5">
        <f t="shared" si="11"/>
        <v>0</v>
      </c>
      <c r="AL30" s="7">
        <f>IF(Tableau182982[[#This Row],[Age]]&lt;&gt;"",IF(Tableau182982[[#This Row],[Age]]=0,$AT$10*$B$10+SUMIF($AS$21:$AS$29,Tableau182982[[#This Row],[Age]],$AU$21:$AU$29)*$B$10+$AT$11*$B$10,SUMIF($AS$21:$AS$29,Tableau182982[[#This Row],[Age]],$AU$21:$AU$29)*$B$10+$AT$11*$B$10),"")</f>
        <v>41.76</v>
      </c>
      <c r="AM30" s="7">
        <f>IF(Tableau182982[[#This Row],[Age]]&lt;&gt;"",IF(Tableau182982[[#This Row],[Age]]=$B$11,$AT$10*$B$10,0)+Tableau182982[[#This Row],[VBO]]*$AX$21*$B$10+Tableau182982[[#This Row],[VBI]]*$AX$22*$B$10+Tableau182982[[#This Row],[VBE]]*$AX$23*$B$10,"")</f>
        <v>0</v>
      </c>
      <c r="AN30" s="7">
        <v>12.175992095165297</v>
      </c>
      <c r="AO30" s="7">
        <v>0</v>
      </c>
      <c r="AP30" s="7">
        <f>IF(Tableau182982[[#This Row],[Age]]&lt;&gt;"",Tableau182982[[#This Row],[RA]]-Tableau182982[[#This Row],[DA]],"")</f>
        <v>-12.175992095165297</v>
      </c>
      <c r="AT30" s="3" t="s">
        <v>102</v>
      </c>
    </row>
    <row r="31" spans="1:50" ht="15" customHeight="1" x14ac:dyDescent="0.2">
      <c r="A31" s="15"/>
      <c r="B31" s="25"/>
      <c r="E31" s="25"/>
      <c r="H31" s="25"/>
      <c r="I31" s="17"/>
      <c r="K31" s="3">
        <v>29</v>
      </c>
      <c r="L31" s="4">
        <v>268.09090909090912</v>
      </c>
      <c r="M31" s="4">
        <v>0</v>
      </c>
      <c r="N31" s="4">
        <v>268.09090909090912</v>
      </c>
      <c r="O31" s="5">
        <f t="shared" si="0"/>
        <v>149.8628181818182</v>
      </c>
      <c r="P31" s="5">
        <f t="shared" si="1"/>
        <v>38.547408900507818</v>
      </c>
      <c r="Q31" s="5">
        <f t="shared" si="2"/>
        <v>54.950032603181285</v>
      </c>
      <c r="R31" s="5">
        <v>9.6666666666666661</v>
      </c>
      <c r="S31" s="5">
        <v>1310.9756460194915</v>
      </c>
      <c r="T31" s="5">
        <f t="shared" si="3"/>
        <v>0</v>
      </c>
      <c r="U31" s="5">
        <f t="shared" si="4"/>
        <v>0</v>
      </c>
      <c r="V31" s="5" t="str">
        <f>IF($E$4="Embrousaillement",Tableau182982[[#This Row],[SOL]],"")</f>
        <v/>
      </c>
      <c r="W31" s="5" t="str">
        <f>IF($E$4="Embrousaillement",Tableau182982[[#This Row],[L]],"")</f>
        <v/>
      </c>
      <c r="X31" s="5">
        <v>42.533333333333331</v>
      </c>
      <c r="Y31" s="5">
        <f t="shared" si="5"/>
        <v>0</v>
      </c>
      <c r="Z31" s="5">
        <f t="shared" si="6"/>
        <v>0</v>
      </c>
      <c r="AA31" s="5">
        <f t="shared" si="7"/>
        <v>0</v>
      </c>
      <c r="AB31" s="5">
        <v>0</v>
      </c>
      <c r="AC31" s="5">
        <v>1.980420515885558E-2</v>
      </c>
      <c r="AD31" s="5">
        <f t="shared" si="8"/>
        <v>5.9529047816095551</v>
      </c>
      <c r="AE31" s="5">
        <v>0</v>
      </c>
      <c r="AF31" s="5">
        <v>2.7725887222397813E-2</v>
      </c>
      <c r="AG31" s="5">
        <f t="shared" si="9"/>
        <v>161.29469160039034</v>
      </c>
      <c r="AH31" s="5">
        <v>0</v>
      </c>
      <c r="AI31" s="5">
        <v>0.34657359027997264</v>
      </c>
      <c r="AJ31" s="5">
        <f t="shared" si="10"/>
        <v>5.2861299192580438</v>
      </c>
      <c r="AK31" s="5">
        <f t="shared" si="11"/>
        <v>0</v>
      </c>
      <c r="AL31" s="7">
        <f>IF(Tableau182982[[#This Row],[Age]]&lt;&gt;"",IF(Tableau182982[[#This Row],[Age]]=0,$AT$10*$B$10+SUMIF($AS$21:$AS$29,Tableau182982[[#This Row],[Age]],$AU$21:$AU$29)*$B$10+$AT$11*$B$10,SUMIF($AS$21:$AS$29,Tableau182982[[#This Row],[Age]],$AU$21:$AU$29)*$B$10+$AT$11*$B$10),"")</f>
        <v>41.76</v>
      </c>
      <c r="AM31" s="7">
        <f>IF(Tableau182982[[#This Row],[Age]]&lt;&gt;"",IF(Tableau182982[[#This Row],[Age]]=$B$11,$AT$10*$B$10,0)+Tableau182982[[#This Row],[VBO]]*$AX$21*$B$10+Tableau182982[[#This Row],[VBI]]*$AX$22*$B$10+Tableau182982[[#This Row],[VBE]]*$AX$23*$B$10,"")</f>
        <v>0</v>
      </c>
      <c r="AN31" s="7">
        <v>11.651667076713201</v>
      </c>
      <c r="AO31" s="7">
        <v>0</v>
      </c>
      <c r="AP31" s="7">
        <f>IF(Tableau182982[[#This Row],[Age]]&lt;&gt;"",Tableau182982[[#This Row],[RA]]-Tableau182982[[#This Row],[DA]],"")</f>
        <v>-11.651667076713201</v>
      </c>
    </row>
    <row r="32" spans="1:50" ht="15" customHeight="1" x14ac:dyDescent="0.2">
      <c r="A32" s="15" t="s">
        <v>103</v>
      </c>
      <c r="B32" s="25">
        <f>IF(B11&gt;=30,B27-B29,"")</f>
        <v>1338.7091394964755</v>
      </c>
      <c r="E32" s="25"/>
      <c r="H32" s="25"/>
      <c r="I32" s="17"/>
      <c r="K32" s="26">
        <v>30</v>
      </c>
      <c r="L32" s="27">
        <v>291.63636363636363</v>
      </c>
      <c r="M32" s="27">
        <v>0</v>
      </c>
      <c r="N32" s="27">
        <v>291.63636363636363</v>
      </c>
      <c r="O32" s="27">
        <f t="shared" si="0"/>
        <v>163.02472727272726</v>
      </c>
      <c r="P32" s="27">
        <f t="shared" si="1"/>
        <v>41.524005688455247</v>
      </c>
      <c r="Q32" s="27">
        <f t="shared" si="2"/>
        <v>55.211115890829625</v>
      </c>
      <c r="R32" s="27">
        <v>10</v>
      </c>
      <c r="S32" s="27">
        <v>1381.2424728298088</v>
      </c>
      <c r="T32" s="27">
        <f t="shared" si="3"/>
        <v>0</v>
      </c>
      <c r="U32" s="27">
        <f t="shared" si="4"/>
        <v>0</v>
      </c>
      <c r="V32" s="27" t="str">
        <f>IF($E$4="Embrousaillement",Tableau182982[[#This Row],[SOL]],"")</f>
        <v/>
      </c>
      <c r="W32" s="27" t="str">
        <f>IF($E$4="Embrousaillement",Tableau182982[[#This Row],[L]],"")</f>
        <v/>
      </c>
      <c r="X32" s="27">
        <v>42.533333333333331</v>
      </c>
      <c r="Y32" s="27">
        <f t="shared" si="5"/>
        <v>0</v>
      </c>
      <c r="Z32" s="27">
        <f t="shared" si="6"/>
        <v>0</v>
      </c>
      <c r="AA32" s="27">
        <f t="shared" si="7"/>
        <v>0</v>
      </c>
      <c r="AB32" s="27">
        <v>0</v>
      </c>
      <c r="AC32" s="27">
        <v>1.980420515885558E-2</v>
      </c>
      <c r="AD32" s="27">
        <f t="shared" si="8"/>
        <v>5.8361719497555855</v>
      </c>
      <c r="AE32" s="27">
        <v>0</v>
      </c>
      <c r="AF32" s="27">
        <v>2.7725887222397813E-2</v>
      </c>
      <c r="AG32" s="27">
        <f t="shared" si="9"/>
        <v>156.88407977645846</v>
      </c>
      <c r="AH32" s="27">
        <v>0</v>
      </c>
      <c r="AI32" s="27">
        <v>0.34657359027997264</v>
      </c>
      <c r="AJ32" s="27">
        <f t="shared" si="10"/>
        <v>3.7378583121404598</v>
      </c>
      <c r="AK32" s="27">
        <f t="shared" si="11"/>
        <v>0</v>
      </c>
      <c r="AL32" s="28">
        <f>IF(Tableau182982[[#This Row],[Age]]&lt;&gt;"",IF(Tableau182982[[#This Row],[Age]]=0,$AT$10*$B$10+SUMIF($AS$21:$AS$29,Tableau182982[[#This Row],[Age]],$AU$21:$AU$29)*$B$10+$AT$11*$B$10,SUMIF($AS$21:$AS$29,Tableau182982[[#This Row],[Age]],$AU$21:$AU$29)*$B$10+$AT$11*$B$10),"")</f>
        <v>41.76</v>
      </c>
      <c r="AM32" s="28">
        <f>IF(Tableau182982[[#This Row],[Age]]&lt;&gt;"",IF(Tableau182982[[#This Row],[Age]]=$B$11,$AT$10*$B$10,0)+Tableau182982[[#This Row],[VBO]]*$AX$21*$B$10+Tableau182982[[#This Row],[VBI]]*$AX$22*$B$10+Tableau182982[[#This Row],[VBE]]*$AX$23*$B$10,"")</f>
        <v>0</v>
      </c>
      <c r="AN32" s="28">
        <v>11.149920647572445</v>
      </c>
      <c r="AO32" s="28">
        <v>0</v>
      </c>
      <c r="AP32" s="28">
        <f>IF(Tableau182982[[#This Row],[Age]]&lt;&gt;"",Tableau182982[[#This Row],[RA]]-Tableau182982[[#This Row],[DA]],"")</f>
        <v>-11.149920647572445</v>
      </c>
      <c r="AS32" s="3" t="s">
        <v>70</v>
      </c>
      <c r="AT32" s="29">
        <f>SUM(AL2:AL7)</f>
        <v>12648.640000000001</v>
      </c>
    </row>
    <row r="33" spans="1:42" ht="15" customHeight="1" x14ac:dyDescent="0.2">
      <c r="A33" s="15" t="s">
        <v>104</v>
      </c>
      <c r="B33" s="25">
        <f>B28-B30</f>
        <v>1513.7297017937406</v>
      </c>
      <c r="E33" s="25"/>
      <c r="H33" s="25"/>
      <c r="I33" s="17"/>
      <c r="K33" s="3">
        <v>31</v>
      </c>
      <c r="L33" s="4">
        <v>315.18181818181824</v>
      </c>
      <c r="M33" s="4">
        <v>0</v>
      </c>
      <c r="N33" s="4">
        <v>315.18181818181824</v>
      </c>
      <c r="O33" s="5">
        <f t="shared" si="0"/>
        <v>176.18663636363641</v>
      </c>
      <c r="P33" s="5">
        <f t="shared" si="1"/>
        <v>44.472728603316995</v>
      </c>
      <c r="Q33" s="5">
        <f t="shared" si="2"/>
        <v>55.467669967132053</v>
      </c>
      <c r="R33" s="5">
        <v>10.333333333333332</v>
      </c>
      <c r="S33" s="5">
        <v>1451.3581421190952</v>
      </c>
      <c r="T33" s="5">
        <f t="shared" si="3"/>
        <v>0</v>
      </c>
      <c r="U33" s="5">
        <f t="shared" si="4"/>
        <v>0</v>
      </c>
      <c r="V33" s="5" t="str">
        <f>IF($E$4="Embrousaillement",Tableau182982[[#This Row],[SOL]],"")</f>
        <v/>
      </c>
      <c r="W33" s="5" t="str">
        <f>IF($E$4="Embrousaillement",Tableau182982[[#This Row],[L]],"")</f>
        <v/>
      </c>
      <c r="X33" s="5">
        <v>42.533333333333331</v>
      </c>
      <c r="Y33" s="5">
        <f t="shared" si="5"/>
        <v>0</v>
      </c>
      <c r="Z33" s="5">
        <f t="shared" si="6"/>
        <v>0</v>
      </c>
      <c r="AA33" s="5">
        <f t="shared" si="7"/>
        <v>0</v>
      </c>
      <c r="AB33" s="5" t="s">
        <v>166</v>
      </c>
      <c r="AC33" s="5" t="s">
        <v>166</v>
      </c>
      <c r="AD33" s="5" t="str">
        <f t="shared" si="8"/>
        <v/>
      </c>
      <c r="AE33" s="5" t="s">
        <v>166</v>
      </c>
      <c r="AF33" s="5" t="s">
        <v>166</v>
      </c>
      <c r="AG33" s="5" t="str">
        <f t="shared" si="9"/>
        <v/>
      </c>
      <c r="AH33" s="5" t="s">
        <v>166</v>
      </c>
      <c r="AI33" s="5" t="s">
        <v>166</v>
      </c>
      <c r="AJ33" s="5" t="str">
        <f t="shared" si="10"/>
        <v/>
      </c>
      <c r="AK33" s="5" t="str">
        <f t="shared" si="11"/>
        <v/>
      </c>
      <c r="AL33" s="7">
        <f>IF(Tableau182982[[#This Row],[Age]]&lt;&gt;"",IF(Tableau182982[[#This Row],[Age]]=0,$AT$10*$B$10+SUMIF($AS$21:$AS$29,Tableau182982[[#This Row],[Age]],$AU$21:$AU$29)*$B$10+$AT$11*$B$10,SUMIF($AS$21:$AS$29,Tableau182982[[#This Row],[Age]],$AU$21:$AU$29)*$B$10+$AT$11*$B$10),"")</f>
        <v>41.76</v>
      </c>
      <c r="AM33" s="7">
        <f>IF(Tableau182982[[#This Row],[Age]]&lt;&gt;"",IF(Tableau182982[[#This Row],[Age]]=$B$11,$AT$10*$B$10,0)+Tableau182982[[#This Row],[VBO]]*$AX$21*$B$10+Tableau182982[[#This Row],[VBI]]*$AX$22*$B$10+Tableau182982[[#This Row],[VBE]]*$AX$23*$B$10,"")</f>
        <v>0</v>
      </c>
      <c r="AN33" s="7">
        <v>10.669780523992769</v>
      </c>
      <c r="AO33" s="7">
        <v>0</v>
      </c>
      <c r="AP33" s="7">
        <f>IF(Tableau182982[[#This Row],[Age]]&lt;&gt;"",Tableau182982[[#This Row],[RA]]-Tableau182982[[#This Row],[DA]],"")</f>
        <v>-10.669780523992769</v>
      </c>
    </row>
    <row r="34" spans="1:42" ht="15" customHeight="1" x14ac:dyDescent="0.2">
      <c r="A34" s="15"/>
      <c r="B34" s="25"/>
      <c r="E34" s="25"/>
      <c r="H34" s="25"/>
      <c r="I34" s="17"/>
      <c r="K34" s="3">
        <v>32</v>
      </c>
      <c r="L34" s="4">
        <v>338.72727272727275</v>
      </c>
      <c r="M34" s="4">
        <v>0</v>
      </c>
      <c r="N34" s="4">
        <v>338.72727272727275</v>
      </c>
      <c r="O34" s="5">
        <f t="shared" si="0"/>
        <v>189.34854545454547</v>
      </c>
      <c r="P34" s="5">
        <f t="shared" si="1"/>
        <v>47.395896723206086</v>
      </c>
      <c r="Q34" s="5">
        <f t="shared" si="2"/>
        <v>55.719773403779627</v>
      </c>
      <c r="R34" s="5">
        <v>10.666666666666666</v>
      </c>
      <c r="S34" s="5">
        <v>1521.3326928921642</v>
      </c>
      <c r="T34" s="5">
        <f t="shared" si="3"/>
        <v>0</v>
      </c>
      <c r="U34" s="5">
        <f t="shared" si="4"/>
        <v>0</v>
      </c>
      <c r="V34" s="5" t="str">
        <f>IF($E$4="Embrousaillement",Tableau182982[[#This Row],[SOL]],"")</f>
        <v/>
      </c>
      <c r="W34" s="5" t="str">
        <f>IF($E$4="Embrousaillement",Tableau182982[[#This Row],[L]],"")</f>
        <v/>
      </c>
      <c r="X34" s="5">
        <v>42.533333333333331</v>
      </c>
      <c r="Y34" s="5">
        <f t="shared" si="5"/>
        <v>0</v>
      </c>
      <c r="Z34" s="5">
        <f t="shared" si="6"/>
        <v>0</v>
      </c>
      <c r="AA34" s="5">
        <f t="shared" si="7"/>
        <v>0</v>
      </c>
      <c r="AB34" s="5" t="s">
        <v>166</v>
      </c>
      <c r="AC34" s="5" t="s">
        <v>166</v>
      </c>
      <c r="AD34" s="5" t="str">
        <f t="shared" si="8"/>
        <v/>
      </c>
      <c r="AE34" s="5" t="s">
        <v>166</v>
      </c>
      <c r="AF34" s="5" t="s">
        <v>166</v>
      </c>
      <c r="AG34" s="5" t="str">
        <f t="shared" si="9"/>
        <v/>
      </c>
      <c r="AH34" s="5" t="s">
        <v>166</v>
      </c>
      <c r="AI34" s="5" t="s">
        <v>166</v>
      </c>
      <c r="AJ34" s="5" t="str">
        <f t="shared" si="10"/>
        <v/>
      </c>
      <c r="AK34" s="5" t="str">
        <f t="shared" si="11"/>
        <v/>
      </c>
      <c r="AL34" s="7">
        <f>IF(Tableau182982[[#This Row],[Age]]&lt;&gt;"",IF(Tableau182982[[#This Row],[Age]]=0,$AT$10*$B$10+SUMIF($AS$21:$AS$29,Tableau182982[[#This Row],[Age]],$AU$21:$AU$29)*$B$10+$AT$11*$B$10,SUMIF($AS$21:$AS$29,Tableau182982[[#This Row],[Age]],$AU$21:$AU$29)*$B$10+$AT$11*$B$10),"")</f>
        <v>41.76</v>
      </c>
      <c r="AM34" s="7">
        <f>IF(Tableau182982[[#This Row],[Age]]&lt;&gt;"",IF(Tableau182982[[#This Row],[Age]]=$B$11,$AT$10*$B$10,0)+Tableau182982[[#This Row],[VBO]]*$AX$21*$B$10+Tableau182982[[#This Row],[VBI]]*$AX$22*$B$10+Tableau182982[[#This Row],[VBE]]*$AX$23*$B$10,"")</f>
        <v>0</v>
      </c>
      <c r="AN34" s="7">
        <v>10.210316290902176</v>
      </c>
      <c r="AO34" s="7">
        <v>0</v>
      </c>
      <c r="AP34" s="7">
        <f>IF(Tableau182982[[#This Row],[Age]]&lt;&gt;"",Tableau182982[[#This Row],[RA]]-Tableau182982[[#This Row],[DA]],"")</f>
        <v>-10.210316290902176</v>
      </c>
    </row>
    <row r="35" spans="1:42" ht="15" customHeight="1" x14ac:dyDescent="0.2">
      <c r="A35" s="15" t="s">
        <v>105</v>
      </c>
      <c r="B35" s="25">
        <f>IF(ISERROR(MIN(B32:B33)),0,IF(B11&gt;=30,MIN(B32:B33),B33))</f>
        <v>1338.7091394964755</v>
      </c>
      <c r="D35" s="3" t="s">
        <v>106</v>
      </c>
      <c r="E35" s="25">
        <f>IF(ISNA((SUM(E27:E29)-E30)/30),0,(SUM(E27:E29)-E30)/30)</f>
        <v>50.902212265978399</v>
      </c>
      <c r="G35" s="3" t="s">
        <v>107</v>
      </c>
      <c r="H35" s="25">
        <f>IF(ISNA((H27-H28)*$B$9),0,(H27-H28)*$B$9)</f>
        <v>126.69519999999999</v>
      </c>
      <c r="I35" s="17"/>
      <c r="K35" s="3">
        <v>33</v>
      </c>
      <c r="L35" s="4">
        <v>362.27272727272725</v>
      </c>
      <c r="M35" s="4">
        <v>0</v>
      </c>
      <c r="N35" s="4">
        <v>362.27272727272725</v>
      </c>
      <c r="O35" s="5">
        <f t="shared" si="0"/>
        <v>202.51045454545451</v>
      </c>
      <c r="P35" s="5">
        <f t="shared" si="1"/>
        <v>50.295488464700682</v>
      </c>
      <c r="Q35" s="5">
        <f t="shared" si="2"/>
        <v>55.96750340942021</v>
      </c>
      <c r="R35" s="5">
        <v>11</v>
      </c>
      <c r="S35" s="5">
        <v>1591.1747760591682</v>
      </c>
      <c r="T35" s="5">
        <f t="shared" si="3"/>
        <v>0</v>
      </c>
      <c r="U35" s="5">
        <f t="shared" si="4"/>
        <v>0</v>
      </c>
      <c r="V35" s="5" t="str">
        <f>IF($E$4="Embrousaillement",Tableau182982[[#This Row],[SOL]],"")</f>
        <v/>
      </c>
      <c r="W35" s="5" t="str">
        <f>IF($E$4="Embrousaillement",Tableau182982[[#This Row],[L]],"")</f>
        <v/>
      </c>
      <c r="X35" s="5">
        <v>42.533333333333331</v>
      </c>
      <c r="Y35" s="5">
        <f t="shared" si="5"/>
        <v>0</v>
      </c>
      <c r="Z35" s="5">
        <f t="shared" si="6"/>
        <v>0</v>
      </c>
      <c r="AA35" s="5">
        <f t="shared" si="7"/>
        <v>0</v>
      </c>
      <c r="AB35" s="5" t="s">
        <v>166</v>
      </c>
      <c r="AC35" s="5" t="s">
        <v>166</v>
      </c>
      <c r="AD35" s="5" t="str">
        <f t="shared" si="8"/>
        <v/>
      </c>
      <c r="AE35" s="5" t="s">
        <v>166</v>
      </c>
      <c r="AF35" s="5" t="s">
        <v>166</v>
      </c>
      <c r="AG35" s="5" t="str">
        <f t="shared" si="9"/>
        <v/>
      </c>
      <c r="AH35" s="5" t="s">
        <v>166</v>
      </c>
      <c r="AI35" s="5" t="s">
        <v>166</v>
      </c>
      <c r="AJ35" s="5" t="str">
        <f t="shared" si="10"/>
        <v/>
      </c>
      <c r="AK35" s="5" t="str">
        <f t="shared" si="11"/>
        <v/>
      </c>
      <c r="AL35" s="7">
        <f>IF(Tableau182982[[#This Row],[Age]]&lt;&gt;"",IF(Tableau182982[[#This Row],[Age]]=0,$AT$10*$B$10+SUMIF($AS$21:$AS$29,Tableau182982[[#This Row],[Age]],$AU$21:$AU$29)*$B$10+$AT$11*$B$10,SUMIF($AS$21:$AS$29,Tableau182982[[#This Row],[Age]],$AU$21:$AU$29)*$B$10+$AT$11*$B$10),"")</f>
        <v>41.76</v>
      </c>
      <c r="AM35" s="7">
        <f>IF(Tableau182982[[#This Row],[Age]]&lt;&gt;"",IF(Tableau182982[[#This Row],[Age]]=$B$11,$AT$10*$B$10,0)+Tableau182982[[#This Row],[VBO]]*$AX$21*$B$10+Tableau182982[[#This Row],[VBI]]*$AX$22*$B$10+Tableau182982[[#This Row],[VBE]]*$AX$23*$B$10,"")</f>
        <v>0</v>
      </c>
      <c r="AN35" s="7">
        <v>9.7706375989494525</v>
      </c>
      <c r="AO35" s="7">
        <v>0</v>
      </c>
      <c r="AP35" s="7">
        <f>IF(Tableau182982[[#This Row],[Age]]&lt;&gt;"",Tableau182982[[#This Row],[RA]]-Tableau182982[[#This Row],[DA]],"")</f>
        <v>-9.7706375989494525</v>
      </c>
    </row>
    <row r="36" spans="1:42" ht="15" customHeight="1" x14ac:dyDescent="0.2">
      <c r="A36" s="19"/>
      <c r="B36" s="20"/>
      <c r="C36" s="20"/>
      <c r="D36" s="20"/>
      <c r="E36" s="20"/>
      <c r="F36" s="20"/>
      <c r="G36" s="20"/>
      <c r="H36" s="20"/>
      <c r="I36" s="21"/>
      <c r="K36" s="3">
        <v>34</v>
      </c>
      <c r="L36" s="4">
        <v>385.81818181818187</v>
      </c>
      <c r="M36" s="4">
        <v>0</v>
      </c>
      <c r="N36" s="4">
        <v>385.81818181818187</v>
      </c>
      <c r="O36" s="5">
        <f t="shared" si="0"/>
        <v>215.67236363636368</v>
      </c>
      <c r="P36" s="5">
        <f t="shared" si="1"/>
        <v>53.173210532108904</v>
      </c>
      <c r="Q36" s="5">
        <f t="shared" si="2"/>
        <v>56.210935853304257</v>
      </c>
      <c r="R36" s="5">
        <v>11.333333333333332</v>
      </c>
      <c r="S36" s="5">
        <v>1660.8919332377386</v>
      </c>
      <c r="T36" s="5">
        <f t="shared" si="3"/>
        <v>0</v>
      </c>
      <c r="U36" s="5">
        <f t="shared" si="4"/>
        <v>0</v>
      </c>
      <c r="V36" s="5" t="str">
        <f>IF($E$4="Embrousaillement",Tableau182982[[#This Row],[SOL]],"")</f>
        <v/>
      </c>
      <c r="W36" s="5" t="str">
        <f>IF($E$4="Embrousaillement",Tableau182982[[#This Row],[L]],"")</f>
        <v/>
      </c>
      <c r="X36" s="5">
        <v>42.533333333333331</v>
      </c>
      <c r="Y36" s="5">
        <f t="shared" si="5"/>
        <v>0</v>
      </c>
      <c r="Z36" s="5">
        <f t="shared" si="6"/>
        <v>0</v>
      </c>
      <c r="AA36" s="5">
        <f t="shared" si="7"/>
        <v>0</v>
      </c>
      <c r="AB36" s="5" t="s">
        <v>166</v>
      </c>
      <c r="AC36" s="5" t="s">
        <v>166</v>
      </c>
      <c r="AD36" s="5" t="str">
        <f t="shared" si="8"/>
        <v/>
      </c>
      <c r="AE36" s="5" t="s">
        <v>166</v>
      </c>
      <c r="AF36" s="5" t="s">
        <v>166</v>
      </c>
      <c r="AG36" s="5" t="str">
        <f t="shared" si="9"/>
        <v/>
      </c>
      <c r="AH36" s="5" t="s">
        <v>166</v>
      </c>
      <c r="AI36" s="5" t="s">
        <v>166</v>
      </c>
      <c r="AJ36" s="5" t="str">
        <f t="shared" si="10"/>
        <v/>
      </c>
      <c r="AK36" s="5" t="str">
        <f t="shared" si="11"/>
        <v/>
      </c>
      <c r="AL36" s="7">
        <f>IF(Tableau182982[[#This Row],[Age]]&lt;&gt;"",IF(Tableau182982[[#This Row],[Age]]=0,$AT$10*$B$10+SUMIF($AS$21:$AS$29,Tableau182982[[#This Row],[Age]],$AU$21:$AU$29)*$B$10+$AT$11*$B$10,SUMIF($AS$21:$AS$29,Tableau182982[[#This Row],[Age]],$AU$21:$AU$29)*$B$10+$AT$11*$B$10),"")</f>
        <v>41.76</v>
      </c>
      <c r="AM36" s="7">
        <f>IF(Tableau182982[[#This Row],[Age]]&lt;&gt;"",IF(Tableau182982[[#This Row],[Age]]=$B$11,$AT$10*$B$10,0)+Tableau182982[[#This Row],[VBO]]*$AX$21*$B$10+Tableau182982[[#This Row],[VBI]]*$AX$22*$B$10+Tableau182982[[#This Row],[VBE]]*$AX$23*$B$10,"")</f>
        <v>0</v>
      </c>
      <c r="AN36" s="7">
        <v>9.34989243918608</v>
      </c>
      <c r="AO36" s="7">
        <v>0</v>
      </c>
      <c r="AP36" s="7">
        <f>IF(Tableau182982[[#This Row],[Age]]&lt;&gt;"",Tableau182982[[#This Row],[RA]]-Tableau182982[[#This Row],[DA]],"")</f>
        <v>-9.34989243918608</v>
      </c>
    </row>
    <row r="37" spans="1:42" ht="15" customHeight="1" x14ac:dyDescent="0.2">
      <c r="K37" s="3">
        <v>35</v>
      </c>
      <c r="L37" s="4">
        <v>409.36363636363637</v>
      </c>
      <c r="M37" s="4">
        <v>0</v>
      </c>
      <c r="N37" s="4">
        <v>409.36363636363637</v>
      </c>
      <c r="O37" s="5">
        <f t="shared" si="0"/>
        <v>228.83427272727275</v>
      </c>
      <c r="P37" s="5">
        <f t="shared" si="1"/>
        <v>56.030549547616872</v>
      </c>
      <c r="Q37" s="5">
        <f t="shared" si="2"/>
        <v>56.450145288520318</v>
      </c>
      <c r="R37" s="5">
        <v>11.666666666666666</v>
      </c>
      <c r="S37" s="5">
        <v>1730.4908055708606</v>
      </c>
      <c r="T37" s="5">
        <f t="shared" si="3"/>
        <v>0</v>
      </c>
      <c r="U37" s="5">
        <f t="shared" si="4"/>
        <v>0</v>
      </c>
      <c r="V37" s="5" t="str">
        <f>IF($E$4="Embrousaillement",Tableau182982[[#This Row],[SOL]],"")</f>
        <v/>
      </c>
      <c r="W37" s="5" t="str">
        <f>IF($E$4="Embrousaillement",Tableau182982[[#This Row],[L]],"")</f>
        <v/>
      </c>
      <c r="X37" s="5">
        <v>42.533333333333331</v>
      </c>
      <c r="Y37" s="5">
        <f t="shared" si="5"/>
        <v>0</v>
      </c>
      <c r="Z37" s="5">
        <f t="shared" si="6"/>
        <v>0</v>
      </c>
      <c r="AA37" s="5">
        <f t="shared" si="7"/>
        <v>0</v>
      </c>
      <c r="AB37" s="5" t="s">
        <v>166</v>
      </c>
      <c r="AC37" s="5" t="s">
        <v>166</v>
      </c>
      <c r="AD37" s="5" t="str">
        <f t="shared" si="8"/>
        <v/>
      </c>
      <c r="AE37" s="5" t="s">
        <v>166</v>
      </c>
      <c r="AF37" s="5" t="s">
        <v>166</v>
      </c>
      <c r="AG37" s="5" t="str">
        <f t="shared" si="9"/>
        <v/>
      </c>
      <c r="AH37" s="5" t="s">
        <v>166</v>
      </c>
      <c r="AI37" s="5" t="s">
        <v>166</v>
      </c>
      <c r="AJ37" s="5" t="str">
        <f t="shared" si="10"/>
        <v/>
      </c>
      <c r="AK37" s="5" t="str">
        <f t="shared" si="11"/>
        <v/>
      </c>
      <c r="AL37" s="7">
        <f>IF(Tableau182982[[#This Row],[Age]]&lt;&gt;"",IF(Tableau182982[[#This Row],[Age]]=0,$AT$10*$B$10+SUMIF($AS$21:$AS$29,Tableau182982[[#This Row],[Age]],$AU$21:$AU$29)*$B$10+$AT$11*$B$10,SUMIF($AS$21:$AS$29,Tableau182982[[#This Row],[Age]],$AU$21:$AU$29)*$B$10+$AT$11*$B$10),"")</f>
        <v>41.76</v>
      </c>
      <c r="AM37" s="7">
        <f>IF(Tableau182982[[#This Row],[Age]]&lt;&gt;"",IF(Tableau182982[[#This Row],[Age]]=$B$11,$AT$10*$B$10,0)+Tableau182982[[#This Row],[VBO]]*$AX$21*$B$10+Tableau182982[[#This Row],[VBI]]*$AX$22*$B$10+Tableau182982[[#This Row],[VBE]]*$AX$23*$B$10,"")</f>
        <v>0</v>
      </c>
      <c r="AN37" s="7">
        <v>8.9472654920440959</v>
      </c>
      <c r="AO37" s="7">
        <v>0</v>
      </c>
      <c r="AP37" s="7">
        <f>IF(Tableau182982[[#This Row],[Age]]&lt;&gt;"",Tableau182982[[#This Row],[RA]]-Tableau182982[[#This Row],[DA]],"")</f>
        <v>-8.9472654920440959</v>
      </c>
    </row>
    <row r="38" spans="1:42" ht="15" customHeight="1" x14ac:dyDescent="0.2">
      <c r="K38" s="3">
        <v>36</v>
      </c>
      <c r="L38" s="4">
        <v>432.90909090909099</v>
      </c>
      <c r="M38" s="4">
        <v>0</v>
      </c>
      <c r="N38" s="4">
        <v>432.90909090909099</v>
      </c>
      <c r="O38" s="5">
        <f t="shared" si="0"/>
        <v>241.99618181818187</v>
      </c>
      <c r="P38" s="5">
        <f t="shared" si="1"/>
        <v>58.868811461135671</v>
      </c>
      <c r="Q38" s="5">
        <f t="shared" si="2"/>
        <v>56.68520497482757</v>
      </c>
      <c r="R38" s="5">
        <v>12</v>
      </c>
      <c r="S38" s="5">
        <v>1799.9772931631621</v>
      </c>
      <c r="T38" s="5">
        <f t="shared" si="3"/>
        <v>0</v>
      </c>
      <c r="U38" s="5">
        <f t="shared" si="4"/>
        <v>0</v>
      </c>
      <c r="V38" s="5" t="str">
        <f>IF($E$4="Embrousaillement",Tableau182982[[#This Row],[SOL]],"")</f>
        <v/>
      </c>
      <c r="W38" s="5" t="str">
        <f>IF($E$4="Embrousaillement",Tableau182982[[#This Row],[L]],"")</f>
        <v/>
      </c>
      <c r="X38" s="5">
        <v>42.533333333333331</v>
      </c>
      <c r="Y38" s="5">
        <f t="shared" si="5"/>
        <v>0</v>
      </c>
      <c r="Z38" s="5">
        <f t="shared" si="6"/>
        <v>0</v>
      </c>
      <c r="AA38" s="5">
        <f t="shared" si="7"/>
        <v>0</v>
      </c>
      <c r="AB38" s="5" t="s">
        <v>166</v>
      </c>
      <c r="AC38" s="5" t="s">
        <v>166</v>
      </c>
      <c r="AD38" s="5" t="str">
        <f t="shared" si="8"/>
        <v/>
      </c>
      <c r="AE38" s="5" t="s">
        <v>166</v>
      </c>
      <c r="AF38" s="5" t="s">
        <v>166</v>
      </c>
      <c r="AG38" s="5" t="str">
        <f t="shared" si="9"/>
        <v/>
      </c>
      <c r="AH38" s="5" t="s">
        <v>166</v>
      </c>
      <c r="AI38" s="5" t="s">
        <v>166</v>
      </c>
      <c r="AJ38" s="5" t="str">
        <f t="shared" si="10"/>
        <v/>
      </c>
      <c r="AK38" s="5" t="str">
        <f t="shared" si="11"/>
        <v/>
      </c>
      <c r="AL38" s="7">
        <f>IF(Tableau182982[[#This Row],[Age]]&lt;&gt;"",IF(Tableau182982[[#This Row],[Age]]=0,$AT$10*$B$10+SUMIF($AS$21:$AS$29,Tableau182982[[#This Row],[Age]],$AU$21:$AU$29)*$B$10+$AT$11*$B$10,SUMIF($AS$21:$AS$29,Tableau182982[[#This Row],[Age]],$AU$21:$AU$29)*$B$10+$AT$11*$B$10),"")</f>
        <v>41.76</v>
      </c>
      <c r="AM38" s="7">
        <f>IF(Tableau182982[[#This Row],[Age]]&lt;&gt;"",IF(Tableau182982[[#This Row],[Age]]=$B$11,$AT$10*$B$10,0)+Tableau182982[[#This Row],[VBO]]*$AX$21*$B$10+Tableau182982[[#This Row],[VBI]]*$AX$22*$B$10+Tableau182982[[#This Row],[VBE]]*$AX$23*$B$10,"")</f>
        <v>0</v>
      </c>
      <c r="AN38" s="7">
        <v>8.5619765474106195</v>
      </c>
      <c r="AO38" s="7">
        <v>0</v>
      </c>
      <c r="AP38" s="7">
        <f>IF(Tableau182982[[#This Row],[Age]]&lt;&gt;"",Tableau182982[[#This Row],[RA]]-Tableau182982[[#This Row],[DA]],"")</f>
        <v>-8.5619765474106195</v>
      </c>
    </row>
    <row r="39" spans="1:42" ht="15" customHeight="1" x14ac:dyDescent="0.2">
      <c r="K39" s="3">
        <v>37</v>
      </c>
      <c r="L39" s="4">
        <v>456.4545454545455</v>
      </c>
      <c r="M39" s="4">
        <v>0</v>
      </c>
      <c r="N39" s="4">
        <v>456.4545454545455</v>
      </c>
      <c r="O39" s="5">
        <f t="shared" si="0"/>
        <v>255.15809090909093</v>
      </c>
      <c r="P39" s="5">
        <f t="shared" si="1"/>
        <v>61.689152141014794</v>
      </c>
      <c r="Q39" s="5">
        <f t="shared" si="2"/>
        <v>56.916186901092118</v>
      </c>
      <c r="R39" s="5">
        <v>12.333333333333332</v>
      </c>
      <c r="S39" s="5">
        <v>1869.3566788786395</v>
      </c>
      <c r="T39" s="5">
        <f t="shared" si="3"/>
        <v>0</v>
      </c>
      <c r="U39" s="5">
        <f t="shared" si="4"/>
        <v>0</v>
      </c>
      <c r="V39" s="5" t="str">
        <f>IF($E$4="Embrousaillement",Tableau182982[[#This Row],[SOL]],"")</f>
        <v/>
      </c>
      <c r="W39" s="5" t="str">
        <f>IF($E$4="Embrousaillement",Tableau182982[[#This Row],[L]],"")</f>
        <v/>
      </c>
      <c r="X39" s="5">
        <v>42.533333333333331</v>
      </c>
      <c r="Y39" s="5">
        <f t="shared" si="5"/>
        <v>0</v>
      </c>
      <c r="Z39" s="5">
        <f t="shared" si="6"/>
        <v>0</v>
      </c>
      <c r="AA39" s="5">
        <f t="shared" si="7"/>
        <v>0</v>
      </c>
      <c r="AB39" s="5" t="s">
        <v>166</v>
      </c>
      <c r="AC39" s="5" t="s">
        <v>166</v>
      </c>
      <c r="AD39" s="5" t="str">
        <f t="shared" si="8"/>
        <v/>
      </c>
      <c r="AE39" s="5" t="s">
        <v>166</v>
      </c>
      <c r="AF39" s="5" t="s">
        <v>166</v>
      </c>
      <c r="AG39" s="5" t="str">
        <f t="shared" si="9"/>
        <v/>
      </c>
      <c r="AH39" s="5" t="s">
        <v>166</v>
      </c>
      <c r="AI39" s="5" t="s">
        <v>166</v>
      </c>
      <c r="AJ39" s="5" t="str">
        <f t="shared" si="10"/>
        <v/>
      </c>
      <c r="AK39" s="5" t="str">
        <f t="shared" si="11"/>
        <v/>
      </c>
      <c r="AL39" s="7">
        <f>IF(Tableau182982[[#This Row],[Age]]&lt;&gt;"",IF(Tableau182982[[#This Row],[Age]]=0,$AT$10*$B$10+SUMIF($AS$21:$AS$29,Tableau182982[[#This Row],[Age]],$AU$21:$AU$29)*$B$10+$AT$11*$B$10,SUMIF($AS$21:$AS$29,Tableau182982[[#This Row],[Age]],$AU$21:$AU$29)*$B$10+$AT$11*$B$10),"")</f>
        <v>41.76</v>
      </c>
      <c r="AM39" s="7">
        <f>IF(Tableau182982[[#This Row],[Age]]&lt;&gt;"",IF(Tableau182982[[#This Row],[Age]]=$B$11,$AT$10*$B$10,0)+Tableau182982[[#This Row],[VBO]]*$AX$21*$B$10+Tableau182982[[#This Row],[VBI]]*$AX$22*$B$10+Tableau182982[[#This Row],[VBE]]*$AX$23*$B$10,"")</f>
        <v>0</v>
      </c>
      <c r="AN39" s="7">
        <v>8.1932789927374348</v>
      </c>
      <c r="AO39" s="7">
        <v>0</v>
      </c>
      <c r="AP39" s="7">
        <f>IF(Tableau182982[[#This Row],[Age]]&lt;&gt;"",Tableau182982[[#This Row],[RA]]-Tableau182982[[#This Row],[DA]],"")</f>
        <v>-8.1932789927374348</v>
      </c>
    </row>
    <row r="40" spans="1:42" ht="15" customHeight="1" x14ac:dyDescent="0.2">
      <c r="K40" s="3">
        <v>38</v>
      </c>
      <c r="L40" s="4">
        <v>480</v>
      </c>
      <c r="M40" s="4">
        <v>90</v>
      </c>
      <c r="N40" s="4">
        <v>390</v>
      </c>
      <c r="O40" s="5">
        <f t="shared" si="0"/>
        <v>218.01</v>
      </c>
      <c r="P40" s="5">
        <f t="shared" si="1"/>
        <v>53.682140586224406</v>
      </c>
      <c r="Q40" s="5">
        <f t="shared" si="2"/>
        <v>57.143161807334202</v>
      </c>
      <c r="R40" s="5">
        <v>12.666666666666666</v>
      </c>
      <c r="S40" s="5">
        <v>1691.666316947571</v>
      </c>
      <c r="T40" s="5">
        <f t="shared" si="3"/>
        <v>0</v>
      </c>
      <c r="U40" s="5">
        <f t="shared" si="4"/>
        <v>0</v>
      </c>
      <c r="V40" s="5" t="str">
        <f>IF($E$4="Embrousaillement",Tableau182982[[#This Row],[SOL]],"")</f>
        <v/>
      </c>
      <c r="W40" s="5" t="str">
        <f>IF($E$4="Embrousaillement",Tableau182982[[#This Row],[L]],"")</f>
        <v/>
      </c>
      <c r="X40" s="5">
        <v>42.533333333333331</v>
      </c>
      <c r="Y40" s="5">
        <f t="shared" si="5"/>
        <v>27</v>
      </c>
      <c r="Z40" s="5">
        <f t="shared" si="6"/>
        <v>45</v>
      </c>
      <c r="AA40" s="5">
        <f t="shared" si="7"/>
        <v>18</v>
      </c>
      <c r="AB40" s="5" t="s">
        <v>166</v>
      </c>
      <c r="AC40" s="5" t="s">
        <v>166</v>
      </c>
      <c r="AD40" s="5" t="str">
        <f t="shared" si="8"/>
        <v/>
      </c>
      <c r="AE40" s="5" t="s">
        <v>166</v>
      </c>
      <c r="AF40" s="5" t="s">
        <v>166</v>
      </c>
      <c r="AG40" s="5" t="str">
        <f t="shared" si="9"/>
        <v/>
      </c>
      <c r="AH40" s="5" t="s">
        <v>166</v>
      </c>
      <c r="AI40" s="5" t="s">
        <v>166</v>
      </c>
      <c r="AJ40" s="5" t="str">
        <f t="shared" si="10"/>
        <v/>
      </c>
      <c r="AK40" s="5" t="str">
        <f t="shared" si="11"/>
        <v/>
      </c>
      <c r="AL40" s="7">
        <f>IF(Tableau182982[[#This Row],[Age]]&lt;&gt;"",IF(Tableau182982[[#This Row],[Age]]=0,$AT$10*$B$10+SUMIF($AS$21:$AS$29,Tableau182982[[#This Row],[Age]],$AU$21:$AU$29)*$B$10+$AT$11*$B$10,SUMIF($AS$21:$AS$29,Tableau182982[[#This Row],[Age]],$AU$21:$AU$29)*$B$10+$AT$11*$B$10),"")</f>
        <v>41.76</v>
      </c>
      <c r="AM40" s="7">
        <f>IF(Tableau182982[[#This Row],[Age]]&lt;&gt;"",IF(Tableau182982[[#This Row],[Age]]=$B$11,$AT$10*$B$10,0)+Tableau182982[[#This Row],[VBO]]*$AX$21*$B$10+Tableau182982[[#This Row],[VBI]]*$AX$22*$B$10+Tableau182982[[#This Row],[VBE]]*$AX$23*$B$10,"")</f>
        <v>6368.4000000000005</v>
      </c>
      <c r="AN40" s="7">
        <v>7.8404583662559197</v>
      </c>
      <c r="AO40" s="7">
        <v>1195.6699008540279</v>
      </c>
      <c r="AP40" s="7">
        <f>IF(Tableau182982[[#This Row],[Age]]&lt;&gt;"",Tableau182982[[#This Row],[RA]]-Tableau182982[[#This Row],[DA]],"")</f>
        <v>1187.829442487772</v>
      </c>
    </row>
    <row r="41" spans="1:42" ht="15" customHeight="1" x14ac:dyDescent="0.2">
      <c r="K41" s="3">
        <v>39</v>
      </c>
      <c r="L41" s="4">
        <v>410.75</v>
      </c>
      <c r="M41" s="4">
        <v>0</v>
      </c>
      <c r="N41" s="4">
        <v>410.75</v>
      </c>
      <c r="O41" s="5">
        <f t="shared" si="0"/>
        <v>229.60925</v>
      </c>
      <c r="P41" s="5">
        <f t="shared" si="1"/>
        <v>56.198183886093013</v>
      </c>
      <c r="Q41" s="5">
        <f t="shared" si="2"/>
        <v>57.366199206392857</v>
      </c>
      <c r="R41" s="5">
        <v>13</v>
      </c>
      <c r="S41" s="5">
        <v>1753.4343724381213</v>
      </c>
      <c r="T41" s="5">
        <f t="shared" si="3"/>
        <v>0</v>
      </c>
      <c r="U41" s="5">
        <f t="shared" si="4"/>
        <v>0</v>
      </c>
      <c r="V41" s="5" t="str">
        <f>IF($E$4="Embrousaillement",Tableau182982[[#This Row],[SOL]],"")</f>
        <v/>
      </c>
      <c r="W41" s="5" t="str">
        <f>IF($E$4="Embrousaillement",Tableau182982[[#This Row],[L]],"")</f>
        <v/>
      </c>
      <c r="X41" s="5">
        <v>42.533333333333331</v>
      </c>
      <c r="Y41" s="5">
        <f t="shared" si="5"/>
        <v>0</v>
      </c>
      <c r="Z41" s="5">
        <f t="shared" si="6"/>
        <v>0</v>
      </c>
      <c r="AA41" s="5">
        <f t="shared" si="7"/>
        <v>0</v>
      </c>
      <c r="AB41" s="5" t="s">
        <v>166</v>
      </c>
      <c r="AC41" s="5" t="s">
        <v>166</v>
      </c>
      <c r="AD41" s="5" t="str">
        <f t="shared" si="8"/>
        <v/>
      </c>
      <c r="AE41" s="5" t="s">
        <v>166</v>
      </c>
      <c r="AF41" s="5" t="s">
        <v>166</v>
      </c>
      <c r="AG41" s="5" t="str">
        <f t="shared" si="9"/>
        <v/>
      </c>
      <c r="AH41" s="5" t="s">
        <v>166</v>
      </c>
      <c r="AI41" s="5" t="s">
        <v>166</v>
      </c>
      <c r="AJ41" s="5" t="str">
        <f t="shared" si="10"/>
        <v/>
      </c>
      <c r="AK41" s="5" t="str">
        <f t="shared" si="11"/>
        <v/>
      </c>
      <c r="AL41" s="7">
        <f>IF(Tableau182982[[#This Row],[Age]]&lt;&gt;"",IF(Tableau182982[[#This Row],[Age]]=0,$AT$10*$B$10+SUMIF($AS$21:$AS$29,Tableau182982[[#This Row],[Age]],$AU$21:$AU$29)*$B$10+$AT$11*$B$10,SUMIF($AS$21:$AS$29,Tableau182982[[#This Row],[Age]],$AU$21:$AU$29)*$B$10+$AT$11*$B$10),"")</f>
        <v>41.76</v>
      </c>
      <c r="AM41" s="7">
        <f>IF(Tableau182982[[#This Row],[Age]]&lt;&gt;"",IF(Tableau182982[[#This Row],[Age]]=$B$11,$AT$10*$B$10,0)+Tableau182982[[#This Row],[VBO]]*$AX$21*$B$10+Tableau182982[[#This Row],[VBI]]*$AX$22*$B$10+Tableau182982[[#This Row],[VBE]]*$AX$23*$B$10,"")</f>
        <v>0</v>
      </c>
      <c r="AN41" s="7">
        <v>7.5028309724937037</v>
      </c>
      <c r="AO41" s="7">
        <v>0</v>
      </c>
      <c r="AP41" s="7">
        <f>IF(Tableau182982[[#This Row],[Age]]&lt;&gt;"",Tableau182982[[#This Row],[RA]]-Tableau182982[[#This Row],[DA]],"")</f>
        <v>-7.5028309724937037</v>
      </c>
    </row>
    <row r="42" spans="1:42" ht="15" customHeight="1" x14ac:dyDescent="0.2">
      <c r="K42" s="3">
        <v>40</v>
      </c>
      <c r="L42" s="4">
        <v>431.5</v>
      </c>
      <c r="M42" s="4">
        <v>0</v>
      </c>
      <c r="N42" s="4">
        <v>431.5</v>
      </c>
      <c r="O42" s="5">
        <f t="shared" si="0"/>
        <v>241.20849999999999</v>
      </c>
      <c r="P42" s="5">
        <f t="shared" si="1"/>
        <v>58.699469086478146</v>
      </c>
      <c r="Q42" s="5">
        <f t="shared" si="2"/>
        <v>57.585367405214768</v>
      </c>
      <c r="R42" s="5">
        <v>13.333333333333332</v>
      </c>
      <c r="S42" s="5">
        <v>1815.109881371345</v>
      </c>
      <c r="T42" s="5">
        <f t="shared" si="3"/>
        <v>0</v>
      </c>
      <c r="U42" s="5">
        <f t="shared" si="4"/>
        <v>0</v>
      </c>
      <c r="V42" s="5" t="str">
        <f>IF($E$4="Embrousaillement",Tableau182982[[#This Row],[SOL]],"")</f>
        <v/>
      </c>
      <c r="W42" s="5" t="str">
        <f>IF($E$4="Embrousaillement",Tableau182982[[#This Row],[L]],"")</f>
        <v/>
      </c>
      <c r="X42" s="5">
        <v>42.533333333333331</v>
      </c>
      <c r="Y42" s="5">
        <f t="shared" si="5"/>
        <v>0</v>
      </c>
      <c r="Z42" s="5">
        <f t="shared" si="6"/>
        <v>0</v>
      </c>
      <c r="AA42" s="5">
        <f t="shared" si="7"/>
        <v>0</v>
      </c>
      <c r="AB42" s="5" t="s">
        <v>166</v>
      </c>
      <c r="AC42" s="5" t="s">
        <v>166</v>
      </c>
      <c r="AD42" s="5" t="str">
        <f t="shared" si="8"/>
        <v/>
      </c>
      <c r="AE42" s="5" t="s">
        <v>166</v>
      </c>
      <c r="AF42" s="5" t="s">
        <v>166</v>
      </c>
      <c r="AG42" s="5" t="str">
        <f t="shared" si="9"/>
        <v/>
      </c>
      <c r="AH42" s="5" t="s">
        <v>166</v>
      </c>
      <c r="AI42" s="5" t="s">
        <v>166</v>
      </c>
      <c r="AJ42" s="5" t="str">
        <f t="shared" si="10"/>
        <v/>
      </c>
      <c r="AK42" s="5" t="str">
        <f t="shared" si="11"/>
        <v/>
      </c>
      <c r="AL42" s="7">
        <f>IF(Tableau182982[[#This Row],[Age]]&lt;&gt;"",IF(Tableau182982[[#This Row],[Age]]=0,$AT$10*$B$10+SUMIF($AS$21:$AS$29,Tableau182982[[#This Row],[Age]],$AU$21:$AU$29)*$B$10+$AT$11*$B$10,SUMIF($AS$21:$AS$29,Tableau182982[[#This Row],[Age]],$AU$21:$AU$29)*$B$10+$AT$11*$B$10),"")</f>
        <v>41.76</v>
      </c>
      <c r="AM42" s="7">
        <f>IF(Tableau182982[[#This Row],[Age]]&lt;&gt;"",IF(Tableau182982[[#This Row],[Age]]=$B$11,$AT$10*$B$10,0)+Tableau182982[[#This Row],[VBO]]*$AX$21*$B$10+Tableau182982[[#This Row],[VBI]]*$AX$22*$B$10+Tableau182982[[#This Row],[VBE]]*$AX$23*$B$10,"")</f>
        <v>0</v>
      </c>
      <c r="AN42" s="7">
        <v>7.1797425574102443</v>
      </c>
      <c r="AO42" s="7">
        <v>0</v>
      </c>
      <c r="AP42" s="7">
        <f>IF(Tableau182982[[#This Row],[Age]]&lt;&gt;"",Tableau182982[[#This Row],[RA]]-Tableau182982[[#This Row],[DA]],"")</f>
        <v>-7.1797425574102443</v>
      </c>
    </row>
    <row r="43" spans="1:42" ht="15" customHeight="1" x14ac:dyDescent="0.2">
      <c r="K43" s="3">
        <v>41</v>
      </c>
      <c r="L43" s="4">
        <v>452.25</v>
      </c>
      <c r="M43" s="4">
        <v>0</v>
      </c>
      <c r="N43" s="4">
        <v>452.25</v>
      </c>
      <c r="O43" s="5">
        <f t="shared" si="0"/>
        <v>252.80775</v>
      </c>
      <c r="P43" s="5">
        <f t="shared" si="1"/>
        <v>61.186786893839987</v>
      </c>
      <c r="Q43" s="5">
        <f t="shared" si="2"/>
        <v>57.800733525773801</v>
      </c>
      <c r="R43" s="5">
        <v>13.666666666666666</v>
      </c>
      <c r="S43" s="5">
        <v>1876.6966097127361</v>
      </c>
      <c r="T43" s="5">
        <f t="shared" si="3"/>
        <v>0</v>
      </c>
      <c r="U43" s="5">
        <f t="shared" si="4"/>
        <v>0</v>
      </c>
      <c r="V43" s="5" t="str">
        <f>IF($E$4="Embrousaillement",Tableau182982[[#This Row],[SOL]],"")</f>
        <v/>
      </c>
      <c r="W43" s="5" t="str">
        <f>IF($E$4="Embrousaillement",Tableau182982[[#This Row],[L]],"")</f>
        <v/>
      </c>
      <c r="X43" s="5">
        <v>42.533333333333331</v>
      </c>
      <c r="Y43" s="5">
        <f t="shared" si="5"/>
        <v>0</v>
      </c>
      <c r="Z43" s="5">
        <f t="shared" si="6"/>
        <v>0</v>
      </c>
      <c r="AA43" s="5">
        <f t="shared" si="7"/>
        <v>0</v>
      </c>
      <c r="AB43" s="5" t="s">
        <v>166</v>
      </c>
      <c r="AC43" s="5" t="s">
        <v>166</v>
      </c>
      <c r="AD43" s="5" t="str">
        <f t="shared" si="8"/>
        <v/>
      </c>
      <c r="AE43" s="5" t="s">
        <v>166</v>
      </c>
      <c r="AF43" s="5" t="s">
        <v>166</v>
      </c>
      <c r="AG43" s="5" t="str">
        <f t="shared" si="9"/>
        <v/>
      </c>
      <c r="AH43" s="5" t="s">
        <v>166</v>
      </c>
      <c r="AI43" s="5" t="s">
        <v>166</v>
      </c>
      <c r="AJ43" s="5" t="str">
        <f t="shared" si="10"/>
        <v/>
      </c>
      <c r="AK43" s="5" t="str">
        <f t="shared" si="11"/>
        <v/>
      </c>
      <c r="AL43" s="7">
        <f>IF(Tableau182982[[#This Row],[Age]]&lt;&gt;"",IF(Tableau182982[[#This Row],[Age]]=0,$AT$10*$B$10+SUMIF($AS$21:$AS$29,Tableau182982[[#This Row],[Age]],$AU$21:$AU$29)*$B$10+$AT$11*$B$10,SUMIF($AS$21:$AS$29,Tableau182982[[#This Row],[Age]],$AU$21:$AU$29)*$B$10+$AT$11*$B$10),"")</f>
        <v>41.76</v>
      </c>
      <c r="AM43" s="7">
        <f>IF(Tableau182982[[#This Row],[Age]]&lt;&gt;"",IF(Tableau182982[[#This Row],[Age]]=$B$11,$AT$10*$B$10,0)+Tableau182982[[#This Row],[VBO]]*$AX$21*$B$10+Tableau182982[[#This Row],[VBI]]*$AX$22*$B$10+Tableau182982[[#This Row],[VBE]]*$AX$23*$B$10,"")</f>
        <v>0</v>
      </c>
      <c r="AN43" s="7">
        <v>6.8705670405839667</v>
      </c>
      <c r="AO43" s="7">
        <v>0</v>
      </c>
      <c r="AP43" s="7">
        <f>IF(Tableau182982[[#This Row],[Age]]&lt;&gt;"",Tableau182982[[#This Row],[RA]]-Tableau182982[[#This Row],[DA]],"")</f>
        <v>-6.8705670405839667</v>
      </c>
    </row>
    <row r="44" spans="1:42" ht="15" customHeight="1" x14ac:dyDescent="0.2">
      <c r="K44" s="3">
        <v>42</v>
      </c>
      <c r="L44" s="4">
        <v>473</v>
      </c>
      <c r="M44" s="4">
        <v>0</v>
      </c>
      <c r="N44" s="4">
        <v>473</v>
      </c>
      <c r="O44" s="5">
        <f t="shared" si="0"/>
        <v>264.40699999999998</v>
      </c>
      <c r="P44" s="5">
        <f t="shared" si="1"/>
        <v>63.660851355620842</v>
      </c>
      <c r="Q44" s="5">
        <f t="shared" si="2"/>
        <v>58.012363525627649</v>
      </c>
      <c r="R44" s="5">
        <v>14</v>
      </c>
      <c r="S44" s="5">
        <v>1938.1980037689509</v>
      </c>
      <c r="T44" s="5">
        <f t="shared" si="3"/>
        <v>0</v>
      </c>
      <c r="U44" s="5">
        <f t="shared" si="4"/>
        <v>0</v>
      </c>
      <c r="V44" s="5" t="str">
        <f>IF($E$4="Embrousaillement",Tableau182982[[#This Row],[SOL]],"")</f>
        <v/>
      </c>
      <c r="W44" s="5" t="str">
        <f>IF($E$4="Embrousaillement",Tableau182982[[#This Row],[L]],"")</f>
        <v/>
      </c>
      <c r="X44" s="5">
        <v>42.533333333333331</v>
      </c>
      <c r="Y44" s="5">
        <f t="shared" si="5"/>
        <v>0</v>
      </c>
      <c r="Z44" s="5">
        <f t="shared" si="6"/>
        <v>0</v>
      </c>
      <c r="AA44" s="5">
        <f t="shared" si="7"/>
        <v>0</v>
      </c>
      <c r="AB44" s="5" t="s">
        <v>166</v>
      </c>
      <c r="AC44" s="5" t="s">
        <v>166</v>
      </c>
      <c r="AD44" s="5" t="str">
        <f t="shared" si="8"/>
        <v/>
      </c>
      <c r="AE44" s="5" t="s">
        <v>166</v>
      </c>
      <c r="AF44" s="5" t="s">
        <v>166</v>
      </c>
      <c r="AG44" s="5" t="str">
        <f t="shared" si="9"/>
        <v/>
      </c>
      <c r="AH44" s="5" t="s">
        <v>166</v>
      </c>
      <c r="AI44" s="5" t="s">
        <v>166</v>
      </c>
      <c r="AJ44" s="5" t="str">
        <f t="shared" si="10"/>
        <v/>
      </c>
      <c r="AK44" s="5" t="str">
        <f t="shared" si="11"/>
        <v/>
      </c>
      <c r="AL44" s="7">
        <f>IF(Tableau182982[[#This Row],[Age]]&lt;&gt;"",IF(Tableau182982[[#This Row],[Age]]=0,$AT$10*$B$10+SUMIF($AS$21:$AS$29,Tableau182982[[#This Row],[Age]],$AU$21:$AU$29)*$B$10+$AT$11*$B$10,SUMIF($AS$21:$AS$29,Tableau182982[[#This Row],[Age]],$AU$21:$AU$29)*$B$10+$AT$11*$B$10),"")</f>
        <v>41.76</v>
      </c>
      <c r="AM44" s="7">
        <f>IF(Tableau182982[[#This Row],[Age]]&lt;&gt;"",IF(Tableau182982[[#This Row],[Age]]=$B$11,$AT$10*$B$10,0)+Tableau182982[[#This Row],[VBO]]*$AX$21*$B$10+Tableau182982[[#This Row],[VBI]]*$AX$22*$B$10+Tableau182982[[#This Row],[VBE]]*$AX$23*$B$10,"")</f>
        <v>0</v>
      </c>
      <c r="AN44" s="7">
        <v>6.5747053019942276</v>
      </c>
      <c r="AO44" s="7">
        <v>0</v>
      </c>
      <c r="AP44" s="7">
        <f>IF(Tableau182982[[#This Row],[Age]]&lt;&gt;"",Tableau182982[[#This Row],[RA]]-Tableau182982[[#This Row],[DA]],"")</f>
        <v>-6.5747053019942276</v>
      </c>
    </row>
    <row r="45" spans="1:42" ht="15" customHeight="1" x14ac:dyDescent="0.2">
      <c r="K45" s="3">
        <v>43</v>
      </c>
      <c r="L45" s="4">
        <v>493.75</v>
      </c>
      <c r="M45" s="4">
        <v>0</v>
      </c>
      <c r="N45" s="4">
        <v>493.75</v>
      </c>
      <c r="O45" s="5">
        <f t="shared" si="0"/>
        <v>276.00625000000002</v>
      </c>
      <c r="P45" s="5">
        <f t="shared" si="1"/>
        <v>66.122310327795361</v>
      </c>
      <c r="Q45" s="5">
        <f t="shared" si="2"/>
        <v>58.220322218117829</v>
      </c>
      <c r="R45" s="5">
        <v>14.333333333333332</v>
      </c>
      <c r="S45" s="5">
        <v>1999.6172326555231</v>
      </c>
      <c r="T45" s="5">
        <f t="shared" si="3"/>
        <v>0</v>
      </c>
      <c r="U45" s="5">
        <f t="shared" si="4"/>
        <v>0</v>
      </c>
      <c r="V45" s="5" t="str">
        <f>IF($E$4="Embrousaillement",Tableau182982[[#This Row],[SOL]],"")</f>
        <v/>
      </c>
      <c r="W45" s="5" t="str">
        <f>IF($E$4="Embrousaillement",Tableau182982[[#This Row],[L]],"")</f>
        <v/>
      </c>
      <c r="X45" s="5">
        <v>42.533333333333331</v>
      </c>
      <c r="Y45" s="5">
        <f t="shared" si="5"/>
        <v>0</v>
      </c>
      <c r="Z45" s="5">
        <f t="shared" si="6"/>
        <v>0</v>
      </c>
      <c r="AA45" s="5">
        <f t="shared" si="7"/>
        <v>0</v>
      </c>
      <c r="AB45" s="5" t="s">
        <v>166</v>
      </c>
      <c r="AC45" s="5" t="s">
        <v>166</v>
      </c>
      <c r="AD45" s="5" t="str">
        <f t="shared" si="8"/>
        <v/>
      </c>
      <c r="AE45" s="5" t="s">
        <v>166</v>
      </c>
      <c r="AF45" s="5" t="s">
        <v>166</v>
      </c>
      <c r="AG45" s="5" t="str">
        <f t="shared" si="9"/>
        <v/>
      </c>
      <c r="AH45" s="5" t="s">
        <v>166</v>
      </c>
      <c r="AI45" s="5" t="s">
        <v>166</v>
      </c>
      <c r="AJ45" s="5" t="str">
        <f t="shared" si="10"/>
        <v/>
      </c>
      <c r="AK45" s="5" t="str">
        <f t="shared" si="11"/>
        <v/>
      </c>
      <c r="AL45" s="7">
        <f>IF(Tableau182982[[#This Row],[Age]]&lt;&gt;"",IF(Tableau182982[[#This Row],[Age]]=0,$AT$10*$B$10+SUMIF($AS$21:$AS$29,Tableau182982[[#This Row],[Age]],$AU$21:$AU$29)*$B$10+$AT$11*$B$10,SUMIF($AS$21:$AS$29,Tableau182982[[#This Row],[Age]],$AU$21:$AU$29)*$B$10+$AT$11*$B$10),"")</f>
        <v>41.76</v>
      </c>
      <c r="AM45" s="7">
        <f>IF(Tableau182982[[#This Row],[Age]]&lt;&gt;"",IF(Tableau182982[[#This Row],[Age]]=$B$11,$AT$10*$B$10,0)+Tableau182982[[#This Row],[VBO]]*$AX$21*$B$10+Tableau182982[[#This Row],[VBI]]*$AX$22*$B$10+Tableau182982[[#This Row],[VBE]]*$AX$23*$B$10,"")</f>
        <v>0</v>
      </c>
      <c r="AN45" s="7">
        <v>6.2915840210471075</v>
      </c>
      <c r="AO45" s="7">
        <v>0</v>
      </c>
      <c r="AP45" s="7">
        <f>IF(Tableau182982[[#This Row],[Age]]&lt;&gt;"",Tableau182982[[#This Row],[RA]]-Tableau182982[[#This Row],[DA]],"")</f>
        <v>-6.2915840210471075</v>
      </c>
    </row>
    <row r="46" spans="1:42" ht="15" customHeight="1" x14ac:dyDescent="0.2">
      <c r="K46" s="3">
        <v>44</v>
      </c>
      <c r="L46" s="4">
        <v>514.5</v>
      </c>
      <c r="M46" s="4">
        <v>0</v>
      </c>
      <c r="N46" s="4">
        <v>514.5</v>
      </c>
      <c r="O46" s="5">
        <f t="shared" si="0"/>
        <v>287.60550000000001</v>
      </c>
      <c r="P46" s="5">
        <f t="shared" si="1"/>
        <v>68.571754133216572</v>
      </c>
      <c r="Q46" s="5">
        <f t="shared" si="2"/>
        <v>58.424673292219296</v>
      </c>
      <c r="R46" s="5">
        <v>14.666666666666666</v>
      </c>
      <c r="S46" s="5">
        <v>2060.9572234512066</v>
      </c>
      <c r="T46" s="5">
        <f t="shared" si="3"/>
        <v>0</v>
      </c>
      <c r="U46" s="5">
        <f t="shared" si="4"/>
        <v>0</v>
      </c>
      <c r="V46" s="5" t="str">
        <f>IF($E$4="Embrousaillement",Tableau182982[[#This Row],[SOL]],"")</f>
        <v/>
      </c>
      <c r="W46" s="5" t="str">
        <f>IF($E$4="Embrousaillement",Tableau182982[[#This Row],[L]],"")</f>
        <v/>
      </c>
      <c r="X46" s="5">
        <v>42.533333333333331</v>
      </c>
      <c r="Y46" s="5">
        <f t="shared" si="5"/>
        <v>0</v>
      </c>
      <c r="Z46" s="5">
        <f t="shared" si="6"/>
        <v>0</v>
      </c>
      <c r="AA46" s="5">
        <f t="shared" si="7"/>
        <v>0</v>
      </c>
      <c r="AB46" s="5" t="s">
        <v>166</v>
      </c>
      <c r="AC46" s="5" t="s">
        <v>166</v>
      </c>
      <c r="AD46" s="5" t="str">
        <f t="shared" si="8"/>
        <v/>
      </c>
      <c r="AE46" s="5" t="s">
        <v>166</v>
      </c>
      <c r="AF46" s="5" t="s">
        <v>166</v>
      </c>
      <c r="AG46" s="5" t="str">
        <f t="shared" si="9"/>
        <v/>
      </c>
      <c r="AH46" s="5" t="s">
        <v>166</v>
      </c>
      <c r="AI46" s="5" t="s">
        <v>166</v>
      </c>
      <c r="AJ46" s="5" t="str">
        <f t="shared" si="10"/>
        <v/>
      </c>
      <c r="AK46" s="5" t="str">
        <f t="shared" si="11"/>
        <v/>
      </c>
      <c r="AL46" s="7">
        <f>IF(Tableau182982[[#This Row],[Age]]&lt;&gt;"",IF(Tableau182982[[#This Row],[Age]]=0,$AT$10*$B$10+SUMIF($AS$21:$AS$29,Tableau182982[[#This Row],[Age]],$AU$21:$AU$29)*$B$10+$AT$11*$B$10,SUMIF($AS$21:$AS$29,Tableau182982[[#This Row],[Age]],$AU$21:$AU$29)*$B$10+$AT$11*$B$10),"")</f>
        <v>41.76</v>
      </c>
      <c r="AM46" s="7">
        <f>IF(Tableau182982[[#This Row],[Age]]&lt;&gt;"",IF(Tableau182982[[#This Row],[Age]]=$B$11,$AT$10*$B$10,0)+Tableau182982[[#This Row],[VBO]]*$AX$21*$B$10+Tableau182982[[#This Row],[VBI]]*$AX$22*$B$10+Tableau182982[[#This Row],[VBE]]*$AX$23*$B$10,"")</f>
        <v>0</v>
      </c>
      <c r="AN46" s="7">
        <v>6.0206545655953194</v>
      </c>
      <c r="AO46" s="7">
        <v>0</v>
      </c>
      <c r="AP46" s="7">
        <f>IF(Tableau182982[[#This Row],[Age]]&lt;&gt;"",Tableau182982[[#This Row],[RA]]-Tableau182982[[#This Row],[DA]],"")</f>
        <v>-6.0206545655953194</v>
      </c>
    </row>
    <row r="47" spans="1:42" ht="15" customHeight="1" x14ac:dyDescent="0.2">
      <c r="K47" s="3">
        <v>45</v>
      </c>
      <c r="L47" s="4">
        <v>535.25</v>
      </c>
      <c r="M47" s="4">
        <v>0</v>
      </c>
      <c r="N47" s="4">
        <v>535.25</v>
      </c>
      <c r="O47" s="5">
        <f t="shared" si="0"/>
        <v>299.20474999999999</v>
      </c>
      <c r="P47" s="5">
        <f t="shared" si="1"/>
        <v>71.009722783859033</v>
      </c>
      <c r="Q47" s="5">
        <f t="shared" si="2"/>
        <v>58.625479332045664</v>
      </c>
      <c r="R47" s="5">
        <v>15</v>
      </c>
      <c r="S47" s="5">
        <v>2122.2206905465814</v>
      </c>
      <c r="T47" s="5">
        <f t="shared" si="3"/>
        <v>0</v>
      </c>
      <c r="U47" s="5">
        <f t="shared" si="4"/>
        <v>0</v>
      </c>
      <c r="V47" s="5" t="str">
        <f>IF($E$4="Embrousaillement",Tableau182982[[#This Row],[SOL]],"")</f>
        <v/>
      </c>
      <c r="W47" s="5" t="str">
        <f>IF($E$4="Embrousaillement",Tableau182982[[#This Row],[L]],"")</f>
        <v/>
      </c>
      <c r="X47" s="5">
        <v>42.533333333333331</v>
      </c>
      <c r="Y47" s="5">
        <f t="shared" si="5"/>
        <v>0</v>
      </c>
      <c r="Z47" s="5">
        <f t="shared" si="6"/>
        <v>0</v>
      </c>
      <c r="AA47" s="5">
        <f t="shared" si="7"/>
        <v>0</v>
      </c>
      <c r="AB47" s="5" t="s">
        <v>166</v>
      </c>
      <c r="AC47" s="5" t="s">
        <v>166</v>
      </c>
      <c r="AD47" s="5" t="str">
        <f t="shared" si="8"/>
        <v/>
      </c>
      <c r="AE47" s="5" t="s">
        <v>166</v>
      </c>
      <c r="AF47" s="5" t="s">
        <v>166</v>
      </c>
      <c r="AG47" s="5" t="str">
        <f t="shared" si="9"/>
        <v/>
      </c>
      <c r="AH47" s="5" t="s">
        <v>166</v>
      </c>
      <c r="AI47" s="5" t="s">
        <v>166</v>
      </c>
      <c r="AJ47" s="5" t="str">
        <f t="shared" si="10"/>
        <v/>
      </c>
      <c r="AK47" s="5" t="str">
        <f t="shared" si="11"/>
        <v/>
      </c>
      <c r="AL47" s="7">
        <f>IF(Tableau182982[[#This Row],[Age]]&lt;&gt;"",IF(Tableau182982[[#This Row],[Age]]=0,$AT$10*$B$10+SUMIF($AS$21:$AS$29,Tableau182982[[#This Row],[Age]],$AU$21:$AU$29)*$B$10+$AT$11*$B$10,SUMIF($AS$21:$AS$29,Tableau182982[[#This Row],[Age]],$AU$21:$AU$29)*$B$10+$AT$11*$B$10),"")</f>
        <v>41.76</v>
      </c>
      <c r="AM47" s="7">
        <f>IF(Tableau182982[[#This Row],[Age]]&lt;&gt;"",IF(Tableau182982[[#This Row],[Age]]=$B$11,$AT$10*$B$10,0)+Tableau182982[[#This Row],[VBO]]*$AX$21*$B$10+Tableau182982[[#This Row],[VBI]]*$AX$22*$B$10+Tableau182982[[#This Row],[VBE]]*$AX$23*$B$10,"")</f>
        <v>0</v>
      </c>
      <c r="AN47" s="7">
        <v>5.7613919287993482</v>
      </c>
      <c r="AO47" s="7">
        <v>0</v>
      </c>
      <c r="AP47" s="7">
        <f>IF(Tableau182982[[#This Row],[Age]]&lt;&gt;"",Tableau182982[[#This Row],[RA]]-Tableau182982[[#This Row],[DA]],"")</f>
        <v>-5.7613919287993482</v>
      </c>
    </row>
    <row r="48" spans="1:42" ht="15" customHeight="1" x14ac:dyDescent="0.2">
      <c r="K48" s="3">
        <v>46</v>
      </c>
      <c r="L48" s="4">
        <v>556</v>
      </c>
      <c r="M48" s="4">
        <v>0</v>
      </c>
      <c r="N48" s="4">
        <v>556</v>
      </c>
      <c r="O48" s="5">
        <f t="shared" si="0"/>
        <v>310.80399999999997</v>
      </c>
      <c r="P48" s="5">
        <f t="shared" si="1"/>
        <v>73.436712051618755</v>
      </c>
      <c r="Q48" s="5">
        <f t="shared" si="2"/>
        <v>58.82280183601609</v>
      </c>
      <c r="R48" s="5">
        <v>15.333333333333332</v>
      </c>
      <c r="S48" s="5">
        <v>2183.4101603371728</v>
      </c>
      <c r="T48" s="5">
        <f t="shared" si="3"/>
        <v>0</v>
      </c>
      <c r="U48" s="5">
        <f t="shared" si="4"/>
        <v>0</v>
      </c>
      <c r="V48" s="5" t="str">
        <f>IF($E$4="Embrousaillement",Tableau182982[[#This Row],[SOL]],"")</f>
        <v/>
      </c>
      <c r="W48" s="5" t="str">
        <f>IF($E$4="Embrousaillement",Tableau182982[[#This Row],[L]],"")</f>
        <v/>
      </c>
      <c r="X48" s="5">
        <v>42.533333333333331</v>
      </c>
      <c r="Y48" s="5">
        <f t="shared" si="5"/>
        <v>0</v>
      </c>
      <c r="Z48" s="5">
        <f t="shared" si="6"/>
        <v>0</v>
      </c>
      <c r="AA48" s="5">
        <f t="shared" si="7"/>
        <v>0</v>
      </c>
      <c r="AB48" s="5" t="s">
        <v>166</v>
      </c>
      <c r="AC48" s="5" t="s">
        <v>166</v>
      </c>
      <c r="AD48" s="5" t="str">
        <f t="shared" si="8"/>
        <v/>
      </c>
      <c r="AE48" s="5" t="s">
        <v>166</v>
      </c>
      <c r="AF48" s="5" t="s">
        <v>166</v>
      </c>
      <c r="AG48" s="5" t="str">
        <f t="shared" si="9"/>
        <v/>
      </c>
      <c r="AH48" s="5" t="s">
        <v>166</v>
      </c>
      <c r="AI48" s="5" t="s">
        <v>166</v>
      </c>
      <c r="AJ48" s="5" t="str">
        <f t="shared" si="10"/>
        <v/>
      </c>
      <c r="AK48" s="5" t="str">
        <f t="shared" si="11"/>
        <v/>
      </c>
      <c r="AL48" s="7">
        <f>IF(Tableau182982[[#This Row],[Age]]&lt;&gt;"",IF(Tableau182982[[#This Row],[Age]]=0,$AT$10*$B$10+SUMIF($AS$21:$AS$29,Tableau182982[[#This Row],[Age]],$AU$21:$AU$29)*$B$10+$AT$11*$B$10,SUMIF($AS$21:$AS$29,Tableau182982[[#This Row],[Age]],$AU$21:$AU$29)*$B$10+$AT$11*$B$10),"")</f>
        <v>41.76</v>
      </c>
      <c r="AM48" s="7">
        <f>IF(Tableau182982[[#This Row],[Age]]&lt;&gt;"",IF(Tableau182982[[#This Row],[Age]]=$B$11,$AT$10*$B$10,0)+Tableau182982[[#This Row],[VBO]]*$AX$21*$B$10+Tableau182982[[#This Row],[VBI]]*$AX$22*$B$10+Tableau182982[[#This Row],[VBE]]*$AX$23*$B$10,"")</f>
        <v>0</v>
      </c>
      <c r="AN48" s="7">
        <v>5.5132937117697125</v>
      </c>
      <c r="AO48" s="7">
        <v>0</v>
      </c>
      <c r="AP48" s="7">
        <f>IF(Tableau182982[[#This Row],[Age]]&lt;&gt;"",Tableau182982[[#This Row],[RA]]-Tableau182982[[#This Row],[DA]],"")</f>
        <v>-5.5132937117697125</v>
      </c>
    </row>
    <row r="49" spans="11:42" ht="15" customHeight="1" x14ac:dyDescent="0.2">
      <c r="K49" s="3">
        <v>47</v>
      </c>
      <c r="L49" s="4">
        <v>576.75</v>
      </c>
      <c r="M49" s="4">
        <v>0</v>
      </c>
      <c r="N49" s="4">
        <v>576.75</v>
      </c>
      <c r="O49" s="5">
        <f t="shared" si="0"/>
        <v>322.40325000000001</v>
      </c>
      <c r="P49" s="5">
        <f t="shared" si="1"/>
        <v>75.853178607382873</v>
      </c>
      <c r="Q49" s="5">
        <f t="shared" si="2"/>
        <v>59.016701235689659</v>
      </c>
      <c r="R49" s="5">
        <v>15.666666666666666</v>
      </c>
      <c r="S49" s="5">
        <v>2244.5279921489428</v>
      </c>
      <c r="T49" s="5">
        <f t="shared" si="3"/>
        <v>0</v>
      </c>
      <c r="U49" s="5">
        <f t="shared" si="4"/>
        <v>0</v>
      </c>
      <c r="V49" s="5" t="str">
        <f>IF($E$4="Embrousaillement",Tableau182982[[#This Row],[SOL]],"")</f>
        <v/>
      </c>
      <c r="W49" s="5" t="str">
        <f>IF($E$4="Embrousaillement",Tableau182982[[#This Row],[L]],"")</f>
        <v/>
      </c>
      <c r="X49" s="5">
        <v>42.533333333333331</v>
      </c>
      <c r="Y49" s="5">
        <f t="shared" si="5"/>
        <v>0</v>
      </c>
      <c r="Z49" s="5">
        <f t="shared" si="6"/>
        <v>0</v>
      </c>
      <c r="AA49" s="5">
        <f t="shared" si="7"/>
        <v>0</v>
      </c>
      <c r="AB49" s="5" t="s">
        <v>166</v>
      </c>
      <c r="AC49" s="5" t="s">
        <v>166</v>
      </c>
      <c r="AD49" s="5" t="str">
        <f t="shared" si="8"/>
        <v/>
      </c>
      <c r="AE49" s="5" t="s">
        <v>166</v>
      </c>
      <c r="AF49" s="5" t="s">
        <v>166</v>
      </c>
      <c r="AG49" s="5" t="str">
        <f t="shared" si="9"/>
        <v/>
      </c>
      <c r="AH49" s="5" t="s">
        <v>166</v>
      </c>
      <c r="AI49" s="5" t="s">
        <v>166</v>
      </c>
      <c r="AJ49" s="5" t="str">
        <f t="shared" si="10"/>
        <v/>
      </c>
      <c r="AK49" s="5" t="str">
        <f t="shared" si="11"/>
        <v/>
      </c>
      <c r="AL49" s="7">
        <f>IF(Tableau182982[[#This Row],[Age]]&lt;&gt;"",IF(Tableau182982[[#This Row],[Age]]=0,$AT$10*$B$10+SUMIF($AS$21:$AS$29,Tableau182982[[#This Row],[Age]],$AU$21:$AU$29)*$B$10+$AT$11*$B$10,SUMIF($AS$21:$AS$29,Tableau182982[[#This Row],[Age]],$AU$21:$AU$29)*$B$10+$AT$11*$B$10),"")</f>
        <v>41.76</v>
      </c>
      <c r="AM49" s="7">
        <f>IF(Tableau182982[[#This Row],[Age]]&lt;&gt;"",IF(Tableau182982[[#This Row],[Age]]=$B$11,$AT$10*$B$10,0)+Tableau182982[[#This Row],[VBO]]*$AX$21*$B$10+Tableau182982[[#This Row],[VBI]]*$AX$22*$B$10+Tableau182982[[#This Row],[VBE]]*$AX$23*$B$10,"")</f>
        <v>0</v>
      </c>
      <c r="AN49" s="7">
        <v>5.2758791500188629</v>
      </c>
      <c r="AO49" s="7">
        <v>0</v>
      </c>
      <c r="AP49" s="7">
        <f>IF(Tableau182982[[#This Row],[Age]]&lt;&gt;"",Tableau182982[[#This Row],[RA]]-Tableau182982[[#This Row],[DA]],"")</f>
        <v>-5.2758791500188629</v>
      </c>
    </row>
    <row r="50" spans="11:42" ht="15" customHeight="1" x14ac:dyDescent="0.2">
      <c r="K50" s="3">
        <v>48</v>
      </c>
      <c r="L50" s="4">
        <v>597.5</v>
      </c>
      <c r="M50" s="4">
        <v>0</v>
      </c>
      <c r="N50" s="4">
        <v>597.5</v>
      </c>
      <c r="O50" s="5">
        <f t="shared" si="0"/>
        <v>334.00250000000005</v>
      </c>
      <c r="P50" s="5">
        <f t="shared" si="1"/>
        <v>78.259544399752343</v>
      </c>
      <c r="Q50" s="5">
        <f t="shared" si="2"/>
        <v>59.207236914273011</v>
      </c>
      <c r="R50" s="5">
        <v>16</v>
      </c>
      <c r="S50" s="5">
        <v>2305.5763960886816</v>
      </c>
      <c r="T50" s="5">
        <f t="shared" si="3"/>
        <v>0</v>
      </c>
      <c r="U50" s="5">
        <f t="shared" si="4"/>
        <v>0</v>
      </c>
      <c r="V50" s="5" t="str">
        <f>IF($E$4="Embrousaillement",Tableau182982[[#This Row],[SOL]],"")</f>
        <v/>
      </c>
      <c r="W50" s="5" t="str">
        <f>IF($E$4="Embrousaillement",Tableau182982[[#This Row],[L]],"")</f>
        <v/>
      </c>
      <c r="X50" s="5">
        <v>42.533333333333331</v>
      </c>
      <c r="Y50" s="5">
        <f t="shared" si="5"/>
        <v>0</v>
      </c>
      <c r="Z50" s="5">
        <f t="shared" si="6"/>
        <v>0</v>
      </c>
      <c r="AA50" s="5">
        <f t="shared" si="7"/>
        <v>0</v>
      </c>
      <c r="AB50" s="5" t="s">
        <v>166</v>
      </c>
      <c r="AC50" s="5" t="s">
        <v>166</v>
      </c>
      <c r="AD50" s="5" t="str">
        <f t="shared" si="8"/>
        <v/>
      </c>
      <c r="AE50" s="5" t="s">
        <v>166</v>
      </c>
      <c r="AF50" s="5" t="s">
        <v>166</v>
      </c>
      <c r="AG50" s="5" t="str">
        <f t="shared" si="9"/>
        <v/>
      </c>
      <c r="AH50" s="5" t="s">
        <v>166</v>
      </c>
      <c r="AI50" s="5" t="s">
        <v>166</v>
      </c>
      <c r="AJ50" s="5" t="str">
        <f t="shared" si="10"/>
        <v/>
      </c>
      <c r="AK50" s="5" t="str">
        <f t="shared" si="11"/>
        <v/>
      </c>
      <c r="AL50" s="7">
        <f>IF(Tableau182982[[#This Row],[Age]]&lt;&gt;"",IF(Tableau182982[[#This Row],[Age]]=0,$AT$10*$B$10+SUMIF($AS$21:$AS$29,Tableau182982[[#This Row],[Age]],$AU$21:$AU$29)*$B$10+$AT$11*$B$10,SUMIF($AS$21:$AS$29,Tableau182982[[#This Row],[Age]],$AU$21:$AU$29)*$B$10+$AT$11*$B$10),"")</f>
        <v>41.76</v>
      </c>
      <c r="AM50" s="7">
        <f>IF(Tableau182982[[#This Row],[Age]]&lt;&gt;"",IF(Tableau182982[[#This Row],[Age]]=$B$11,$AT$10*$B$10,0)+Tableau182982[[#This Row],[VBO]]*$AX$21*$B$10+Tableau182982[[#This Row],[VBI]]*$AX$22*$B$10+Tableau182982[[#This Row],[VBE]]*$AX$23*$B$10,"")</f>
        <v>0</v>
      </c>
      <c r="AN50" s="7">
        <v>5.0486881818362352</v>
      </c>
      <c r="AO50" s="7">
        <v>0</v>
      </c>
      <c r="AP50" s="7">
        <f>IF(Tableau182982[[#This Row],[Age]]&lt;&gt;"",Tableau182982[[#This Row],[RA]]-Tableau182982[[#This Row],[DA]],"")</f>
        <v>-5.0486881818362352</v>
      </c>
    </row>
    <row r="51" spans="11:42" ht="15" customHeight="1" x14ac:dyDescent="0.2">
      <c r="K51" s="3">
        <v>49</v>
      </c>
      <c r="L51" s="4">
        <v>618.25</v>
      </c>
      <c r="M51" s="4">
        <v>0</v>
      </c>
      <c r="N51" s="4">
        <v>618.25</v>
      </c>
      <c r="O51" s="5">
        <f t="shared" si="0"/>
        <v>345.60174999999998</v>
      </c>
      <c r="P51" s="5">
        <f t="shared" si="1"/>
        <v>80.656200408417462</v>
      </c>
      <c r="Q51" s="5">
        <f t="shared" si="2"/>
        <v>59.394467224806895</v>
      </c>
      <c r="R51" s="5">
        <v>16.333333333333332</v>
      </c>
      <c r="S51" s="5">
        <v>2366.5574483648579</v>
      </c>
      <c r="T51" s="5">
        <f t="shared" si="3"/>
        <v>0</v>
      </c>
      <c r="U51" s="5">
        <f t="shared" si="4"/>
        <v>0</v>
      </c>
      <c r="V51" s="5" t="str">
        <f>IF($E$4="Embrousaillement",Tableau182982[[#This Row],[SOL]],"")</f>
        <v/>
      </c>
      <c r="W51" s="5" t="str">
        <f>IF($E$4="Embrousaillement",Tableau182982[[#This Row],[L]],"")</f>
        <v/>
      </c>
      <c r="X51" s="5">
        <v>42.533333333333331</v>
      </c>
      <c r="Y51" s="5">
        <f t="shared" si="5"/>
        <v>0</v>
      </c>
      <c r="Z51" s="5">
        <f t="shared" si="6"/>
        <v>0</v>
      </c>
      <c r="AA51" s="5">
        <f t="shared" si="7"/>
        <v>0</v>
      </c>
      <c r="AB51" s="5" t="s">
        <v>166</v>
      </c>
      <c r="AC51" s="5" t="s">
        <v>166</v>
      </c>
      <c r="AD51" s="5" t="str">
        <f t="shared" si="8"/>
        <v/>
      </c>
      <c r="AE51" s="5" t="s">
        <v>166</v>
      </c>
      <c r="AF51" s="5" t="s">
        <v>166</v>
      </c>
      <c r="AG51" s="5" t="str">
        <f t="shared" si="9"/>
        <v/>
      </c>
      <c r="AH51" s="5" t="s">
        <v>166</v>
      </c>
      <c r="AI51" s="5" t="s">
        <v>166</v>
      </c>
      <c r="AJ51" s="5" t="str">
        <f t="shared" si="10"/>
        <v/>
      </c>
      <c r="AK51" s="5" t="str">
        <f t="shared" si="11"/>
        <v/>
      </c>
      <c r="AL51" s="7">
        <f>IF(Tableau182982[[#This Row],[Age]]&lt;&gt;"",IF(Tableau182982[[#This Row],[Age]]=0,$AT$10*$B$10+SUMIF($AS$21:$AS$29,Tableau182982[[#This Row],[Age]],$AU$21:$AU$29)*$B$10+$AT$11*$B$10,SUMIF($AS$21:$AS$29,Tableau182982[[#This Row],[Age]],$AU$21:$AU$29)*$B$10+$AT$11*$B$10),"")</f>
        <v>41.76</v>
      </c>
      <c r="AM51" s="7">
        <f>IF(Tableau182982[[#This Row],[Age]]&lt;&gt;"",IF(Tableau182982[[#This Row],[Age]]=$B$11,$AT$10*$B$10,0)+Tableau182982[[#This Row],[VBO]]*$AX$21*$B$10+Tableau182982[[#This Row],[VBI]]*$AX$22*$B$10+Tableau182982[[#This Row],[VBE]]*$AX$23*$B$10,"")</f>
        <v>0</v>
      </c>
      <c r="AN51" s="7">
        <v>4.8312805567810857</v>
      </c>
      <c r="AO51" s="7">
        <v>0</v>
      </c>
      <c r="AP51" s="7">
        <f>IF(Tableau182982[[#This Row],[Age]]&lt;&gt;"",Tableau182982[[#This Row],[RA]]-Tableau182982[[#This Row],[DA]],"")</f>
        <v>-4.8312805567810857</v>
      </c>
    </row>
    <row r="52" spans="11:42" ht="15" customHeight="1" x14ac:dyDescent="0.2">
      <c r="K52" s="3">
        <v>50</v>
      </c>
      <c r="L52" s="4">
        <v>639</v>
      </c>
      <c r="M52" s="4">
        <v>82</v>
      </c>
      <c r="N52" s="4">
        <v>557</v>
      </c>
      <c r="O52" s="5">
        <f t="shared" si="0"/>
        <v>311.363</v>
      </c>
      <c r="P52" s="5">
        <f t="shared" si="1"/>
        <v>73.553406100191552</v>
      </c>
      <c r="Q52" s="5">
        <f t="shared" si="2"/>
        <v>59.578449508037295</v>
      </c>
      <c r="R52" s="5">
        <v>16.666666666666664</v>
      </c>
      <c r="S52" s="5">
        <v>2203.9106798416556</v>
      </c>
      <c r="T52" s="5">
        <f t="shared" si="3"/>
        <v>0</v>
      </c>
      <c r="U52" s="5">
        <f t="shared" si="4"/>
        <v>0</v>
      </c>
      <c r="V52" s="5" t="str">
        <f>IF($E$4="Embrousaillement",Tableau182982[[#This Row],[SOL]],"")</f>
        <v/>
      </c>
      <c r="W52" s="5" t="str">
        <f>IF($E$4="Embrousaillement",Tableau182982[[#This Row],[L]],"")</f>
        <v/>
      </c>
      <c r="X52" s="5">
        <v>42.533333333333331</v>
      </c>
      <c r="Y52" s="5">
        <f t="shared" si="5"/>
        <v>24.599999999999998</v>
      </c>
      <c r="Z52" s="5">
        <f t="shared" si="6"/>
        <v>41</v>
      </c>
      <c r="AA52" s="5">
        <f t="shared" si="7"/>
        <v>16.400000000000002</v>
      </c>
      <c r="AB52" s="5" t="s">
        <v>166</v>
      </c>
      <c r="AC52" s="5" t="s">
        <v>166</v>
      </c>
      <c r="AD52" s="5" t="str">
        <f t="shared" si="8"/>
        <v/>
      </c>
      <c r="AE52" s="5" t="s">
        <v>166</v>
      </c>
      <c r="AF52" s="5" t="s">
        <v>166</v>
      </c>
      <c r="AG52" s="5" t="str">
        <f t="shared" si="9"/>
        <v/>
      </c>
      <c r="AH52" s="5" t="s">
        <v>166</v>
      </c>
      <c r="AI52" s="5" t="s">
        <v>166</v>
      </c>
      <c r="AJ52" s="5" t="str">
        <f t="shared" si="10"/>
        <v/>
      </c>
      <c r="AK52" s="5" t="str">
        <f t="shared" si="11"/>
        <v/>
      </c>
      <c r="AL52" s="7">
        <f>IF(Tableau182982[[#This Row],[Age]]&lt;&gt;"",IF(Tableau182982[[#This Row],[Age]]=0,$AT$10*$B$10+SUMIF($AS$21:$AS$29,Tableau182982[[#This Row],[Age]],$AU$21:$AU$29)*$B$10+$AT$11*$B$10,SUMIF($AS$21:$AS$29,Tableau182982[[#This Row],[Age]],$AU$21:$AU$29)*$B$10+$AT$11*$B$10),"")</f>
        <v>41.76</v>
      </c>
      <c r="AM52" s="7">
        <f>IF(Tableau182982[[#This Row],[Age]]&lt;&gt;"",IF(Tableau182982[[#This Row],[Age]]=$B$11,$AT$10*$B$10,0)+Tableau182982[[#This Row],[VBO]]*$AX$21*$B$10+Tableau182982[[#This Row],[VBI]]*$AX$22*$B$10+Tableau182982[[#This Row],[VBE]]*$AX$23*$B$10,"")</f>
        <v>5802.3199999999988</v>
      </c>
      <c r="AN52" s="7">
        <v>4.6232349825656334</v>
      </c>
      <c r="AO52" s="7">
        <v>642.3728161887027</v>
      </c>
      <c r="AP52" s="7">
        <f>IF(Tableau182982[[#This Row],[Age]]&lt;&gt;"",Tableau182982[[#This Row],[RA]]-Tableau182982[[#This Row],[DA]],"")</f>
        <v>637.74958120613712</v>
      </c>
    </row>
    <row r="53" spans="11:42" ht="15" customHeight="1" x14ac:dyDescent="0.2">
      <c r="K53" s="3">
        <v>51</v>
      </c>
      <c r="L53" s="4">
        <v>577.14285714285711</v>
      </c>
      <c r="M53" s="4">
        <v>0</v>
      </c>
      <c r="N53" s="4">
        <v>577.14285714285711</v>
      </c>
      <c r="O53" s="5">
        <f t="shared" si="0"/>
        <v>322.62285714285713</v>
      </c>
      <c r="P53" s="5">
        <f t="shared" si="1"/>
        <v>75.898830557018201</v>
      </c>
      <c r="Q53" s="5">
        <f t="shared" si="2"/>
        <v>59.759240109976403</v>
      </c>
      <c r="R53" s="5">
        <v>17</v>
      </c>
      <c r="S53" s="5">
        <v>2263.2585686348284</v>
      </c>
      <c r="T53" s="5">
        <f t="shared" si="3"/>
        <v>0</v>
      </c>
      <c r="U53" s="5">
        <f t="shared" si="4"/>
        <v>0</v>
      </c>
      <c r="V53" s="5" t="str">
        <f>IF($E$4="Embrousaillement",Tableau182982[[#This Row],[SOL]],"")</f>
        <v/>
      </c>
      <c r="W53" s="5" t="str">
        <f>IF($E$4="Embrousaillement",Tableau182982[[#This Row],[L]],"")</f>
        <v/>
      </c>
      <c r="X53" s="5">
        <v>42.533333333333331</v>
      </c>
      <c r="Y53" s="5">
        <f t="shared" si="5"/>
        <v>0</v>
      </c>
      <c r="Z53" s="5">
        <f t="shared" si="6"/>
        <v>0</v>
      </c>
      <c r="AA53" s="5">
        <f t="shared" si="7"/>
        <v>0</v>
      </c>
      <c r="AB53" s="5" t="s">
        <v>166</v>
      </c>
      <c r="AC53" s="5" t="s">
        <v>166</v>
      </c>
      <c r="AD53" s="5" t="str">
        <f t="shared" si="8"/>
        <v/>
      </c>
      <c r="AE53" s="5" t="s">
        <v>166</v>
      </c>
      <c r="AF53" s="5" t="s">
        <v>166</v>
      </c>
      <c r="AG53" s="5" t="str">
        <f t="shared" si="9"/>
        <v/>
      </c>
      <c r="AH53" s="5" t="s">
        <v>166</v>
      </c>
      <c r="AI53" s="5" t="s">
        <v>166</v>
      </c>
      <c r="AJ53" s="5" t="str">
        <f t="shared" si="10"/>
        <v/>
      </c>
      <c r="AK53" s="5" t="str">
        <f t="shared" si="11"/>
        <v/>
      </c>
      <c r="AL53" s="7">
        <f>IF(Tableau182982[[#This Row],[Age]]&lt;&gt;"",IF(Tableau182982[[#This Row],[Age]]=0,$AT$10*$B$10+SUMIF($AS$21:$AS$29,Tableau182982[[#This Row],[Age]],$AU$21:$AU$29)*$B$10+$AT$11*$B$10,SUMIF($AS$21:$AS$29,Tableau182982[[#This Row],[Age]],$AU$21:$AU$29)*$B$10+$AT$11*$B$10),"")</f>
        <v>41.76</v>
      </c>
      <c r="AM53" s="7">
        <f>IF(Tableau182982[[#This Row],[Age]]&lt;&gt;"",IF(Tableau182982[[#This Row],[Age]]=$B$11,$AT$10*$B$10,0)+Tableau182982[[#This Row],[VBO]]*$AX$21*$B$10+Tableau182982[[#This Row],[VBI]]*$AX$22*$B$10+Tableau182982[[#This Row],[VBE]]*$AX$23*$B$10,"")</f>
        <v>0</v>
      </c>
      <c r="AN53" s="7">
        <v>4.4241483086752478</v>
      </c>
      <c r="AO53" s="7">
        <v>0</v>
      </c>
      <c r="AP53" s="7">
        <f>IF(Tableau182982[[#This Row],[Age]]&lt;&gt;"",Tableau182982[[#This Row],[RA]]-Tableau182982[[#This Row],[DA]],"")</f>
        <v>-4.4241483086752478</v>
      </c>
    </row>
    <row r="54" spans="11:42" ht="15" customHeight="1" x14ac:dyDescent="0.2">
      <c r="K54" s="3">
        <v>52</v>
      </c>
      <c r="L54" s="4">
        <v>597.28571428571422</v>
      </c>
      <c r="M54" s="4">
        <v>0</v>
      </c>
      <c r="N54" s="4">
        <v>597.28571428571422</v>
      </c>
      <c r="O54" s="5">
        <f t="shared" si="0"/>
        <v>333.88271428571426</v>
      </c>
      <c r="P54" s="5">
        <f t="shared" si="1"/>
        <v>78.234744073282528</v>
      </c>
      <c r="Q54" s="5">
        <f t="shared" si="2"/>
        <v>59.936894399159101</v>
      </c>
      <c r="R54" s="5">
        <v>17.333333333333332</v>
      </c>
      <c r="S54" s="5">
        <v>2322.5413473203212</v>
      </c>
      <c r="T54" s="5">
        <f t="shared" si="3"/>
        <v>0</v>
      </c>
      <c r="U54" s="5">
        <f t="shared" si="4"/>
        <v>0</v>
      </c>
      <c r="V54" s="5" t="str">
        <f>IF($E$4="Embrousaillement",Tableau182982[[#This Row],[SOL]],"")</f>
        <v/>
      </c>
      <c r="W54" s="5" t="str">
        <f>IF($E$4="Embrousaillement",Tableau182982[[#This Row],[L]],"")</f>
        <v/>
      </c>
      <c r="X54" s="5">
        <v>42.533333333333331</v>
      </c>
      <c r="Y54" s="5">
        <f t="shared" si="5"/>
        <v>0</v>
      </c>
      <c r="Z54" s="5">
        <f t="shared" si="6"/>
        <v>0</v>
      </c>
      <c r="AA54" s="5">
        <f t="shared" si="7"/>
        <v>0</v>
      </c>
      <c r="AB54" s="5" t="s">
        <v>166</v>
      </c>
      <c r="AC54" s="5" t="s">
        <v>166</v>
      </c>
      <c r="AD54" s="5" t="str">
        <f t="shared" si="8"/>
        <v/>
      </c>
      <c r="AE54" s="5" t="s">
        <v>166</v>
      </c>
      <c r="AF54" s="5" t="s">
        <v>166</v>
      </c>
      <c r="AG54" s="5" t="str">
        <f t="shared" si="9"/>
        <v/>
      </c>
      <c r="AH54" s="5" t="s">
        <v>166</v>
      </c>
      <c r="AI54" s="5" t="s">
        <v>166</v>
      </c>
      <c r="AJ54" s="5" t="str">
        <f t="shared" si="10"/>
        <v/>
      </c>
      <c r="AK54" s="5" t="str">
        <f t="shared" si="11"/>
        <v/>
      </c>
      <c r="AL54" s="7">
        <f>IF(Tableau182982[[#This Row],[Age]]&lt;&gt;"",IF(Tableau182982[[#This Row],[Age]]=0,$AT$10*$B$10+SUMIF($AS$21:$AS$29,Tableau182982[[#This Row],[Age]],$AU$21:$AU$29)*$B$10+$AT$11*$B$10,SUMIF($AS$21:$AS$29,Tableau182982[[#This Row],[Age]],$AU$21:$AU$29)*$B$10+$AT$11*$B$10),"")</f>
        <v>41.76</v>
      </c>
      <c r="AM54" s="7">
        <f>IF(Tableau182982[[#This Row],[Age]]&lt;&gt;"",IF(Tableau182982[[#This Row],[Age]]=$B$11,$AT$10*$B$10,0)+Tableau182982[[#This Row],[VBO]]*$AX$21*$B$10+Tableau182982[[#This Row],[VBI]]*$AX$22*$B$10+Tableau182982[[#This Row],[VBE]]*$AX$23*$B$10,"")</f>
        <v>0</v>
      </c>
      <c r="AN54" s="7">
        <v>4.2336347451437781</v>
      </c>
      <c r="AO54" s="7">
        <v>0</v>
      </c>
      <c r="AP54" s="7">
        <f>IF(Tableau182982[[#This Row],[Age]]&lt;&gt;"",Tableau182982[[#This Row],[RA]]-Tableau182982[[#This Row],[DA]],"")</f>
        <v>-4.2336347451437781</v>
      </c>
    </row>
    <row r="55" spans="11:42" ht="15" customHeight="1" x14ac:dyDescent="0.2">
      <c r="K55" s="3">
        <v>53</v>
      </c>
      <c r="L55" s="4">
        <v>617.42857142857133</v>
      </c>
      <c r="M55" s="4">
        <v>0</v>
      </c>
      <c r="N55" s="4">
        <v>617.42857142857133</v>
      </c>
      <c r="O55" s="5">
        <f t="shared" si="0"/>
        <v>345.14257142857144</v>
      </c>
      <c r="P55" s="5">
        <f t="shared" si="1"/>
        <v>80.561504166550677</v>
      </c>
      <c r="Q55" s="5">
        <f t="shared" si="2"/>
        <v>60.111466783599973</v>
      </c>
      <c r="R55" s="5">
        <v>17.666666666666664</v>
      </c>
      <c r="S55" s="5">
        <v>2381.7609233382914</v>
      </c>
      <c r="T55" s="5">
        <f t="shared" si="3"/>
        <v>0</v>
      </c>
      <c r="U55" s="5">
        <f t="shared" si="4"/>
        <v>0</v>
      </c>
      <c r="V55" s="5" t="str">
        <f>IF($E$4="Embrousaillement",Tableau182982[[#This Row],[SOL]],"")</f>
        <v/>
      </c>
      <c r="W55" s="5" t="str">
        <f>IF($E$4="Embrousaillement",Tableau182982[[#This Row],[L]],"")</f>
        <v/>
      </c>
      <c r="X55" s="5">
        <v>42.533333333333331</v>
      </c>
      <c r="Y55" s="5">
        <f t="shared" si="5"/>
        <v>0</v>
      </c>
      <c r="Z55" s="5">
        <f t="shared" si="6"/>
        <v>0</v>
      </c>
      <c r="AA55" s="5">
        <f t="shared" si="7"/>
        <v>0</v>
      </c>
      <c r="AB55" s="5" t="s">
        <v>166</v>
      </c>
      <c r="AC55" s="5" t="s">
        <v>166</v>
      </c>
      <c r="AD55" s="5" t="str">
        <f t="shared" si="8"/>
        <v/>
      </c>
      <c r="AE55" s="5" t="s">
        <v>166</v>
      </c>
      <c r="AF55" s="5" t="s">
        <v>166</v>
      </c>
      <c r="AG55" s="5" t="str">
        <f t="shared" si="9"/>
        <v/>
      </c>
      <c r="AH55" s="5" t="s">
        <v>166</v>
      </c>
      <c r="AI55" s="5" t="s">
        <v>166</v>
      </c>
      <c r="AJ55" s="5" t="str">
        <f t="shared" si="10"/>
        <v/>
      </c>
      <c r="AK55" s="5" t="str">
        <f t="shared" si="11"/>
        <v/>
      </c>
      <c r="AL55" s="7">
        <f>IF(Tableau182982[[#This Row],[Age]]&lt;&gt;"",IF(Tableau182982[[#This Row],[Age]]=0,$AT$10*$B$10+SUMIF($AS$21:$AS$29,Tableau182982[[#This Row],[Age]],$AU$21:$AU$29)*$B$10+$AT$11*$B$10,SUMIF($AS$21:$AS$29,Tableau182982[[#This Row],[Age]],$AU$21:$AU$29)*$B$10+$AT$11*$B$10),"")</f>
        <v>41.76</v>
      </c>
      <c r="AM55" s="7">
        <f>IF(Tableau182982[[#This Row],[Age]]&lt;&gt;"",IF(Tableau182982[[#This Row],[Age]]=$B$11,$AT$10*$B$10,0)+Tableau182982[[#This Row],[VBO]]*$AX$21*$B$10+Tableau182982[[#This Row],[VBI]]*$AX$22*$B$10+Tableau182982[[#This Row],[VBE]]*$AX$23*$B$10,"")</f>
        <v>0</v>
      </c>
      <c r="AN55" s="7">
        <v>4.0513251149701226</v>
      </c>
      <c r="AO55" s="7">
        <v>0</v>
      </c>
      <c r="AP55" s="7">
        <f>IF(Tableau182982[[#This Row],[Age]]&lt;&gt;"",Tableau182982[[#This Row],[RA]]-Tableau182982[[#This Row],[DA]],"")</f>
        <v>-4.0513251149701226</v>
      </c>
    </row>
    <row r="56" spans="11:42" ht="15" customHeight="1" x14ac:dyDescent="0.2">
      <c r="K56" s="3">
        <v>54</v>
      </c>
      <c r="L56" s="4">
        <v>637.57142857142867</v>
      </c>
      <c r="M56" s="4">
        <v>0</v>
      </c>
      <c r="N56" s="4">
        <v>637.57142857142867</v>
      </c>
      <c r="O56" s="5">
        <f t="shared" si="0"/>
        <v>356.40242857142863</v>
      </c>
      <c r="P56" s="5">
        <f t="shared" si="1"/>
        <v>82.879443703118795</v>
      </c>
      <c r="Q56" s="5">
        <f t="shared" si="2"/>
        <v>60.283010727456173</v>
      </c>
      <c r="R56" s="5">
        <v>18</v>
      </c>
      <c r="S56" s="5">
        <v>2440.9190964922477</v>
      </c>
      <c r="T56" s="5">
        <f t="shared" si="3"/>
        <v>0</v>
      </c>
      <c r="U56" s="5">
        <f t="shared" si="4"/>
        <v>0</v>
      </c>
      <c r="V56" s="5" t="str">
        <f>IF($E$4="Embrousaillement",Tableau182982[[#This Row],[SOL]],"")</f>
        <v/>
      </c>
      <c r="W56" s="5" t="str">
        <f>IF($E$4="Embrousaillement",Tableau182982[[#This Row],[L]],"")</f>
        <v/>
      </c>
      <c r="X56" s="5">
        <v>42.533333333333331</v>
      </c>
      <c r="Y56" s="5">
        <f t="shared" si="5"/>
        <v>0</v>
      </c>
      <c r="Z56" s="5">
        <f t="shared" si="6"/>
        <v>0</v>
      </c>
      <c r="AA56" s="5">
        <f t="shared" si="7"/>
        <v>0</v>
      </c>
      <c r="AB56" s="5" t="s">
        <v>166</v>
      </c>
      <c r="AC56" s="5" t="s">
        <v>166</v>
      </c>
      <c r="AD56" s="5" t="str">
        <f t="shared" si="8"/>
        <v/>
      </c>
      <c r="AE56" s="5" t="s">
        <v>166</v>
      </c>
      <c r="AF56" s="5" t="s">
        <v>166</v>
      </c>
      <c r="AG56" s="5" t="str">
        <f t="shared" si="9"/>
        <v/>
      </c>
      <c r="AH56" s="5" t="s">
        <v>166</v>
      </c>
      <c r="AI56" s="5" t="s">
        <v>166</v>
      </c>
      <c r="AJ56" s="5" t="str">
        <f t="shared" si="10"/>
        <v/>
      </c>
      <c r="AK56" s="5" t="str">
        <f t="shared" si="11"/>
        <v/>
      </c>
      <c r="AL56" s="7">
        <f>IF(Tableau182982[[#This Row],[Age]]&lt;&gt;"",IF(Tableau182982[[#This Row],[Age]]=0,$AT$10*$B$10+SUMIF($AS$21:$AS$29,Tableau182982[[#This Row],[Age]],$AU$21:$AU$29)*$B$10+$AT$11*$B$10,SUMIF($AS$21:$AS$29,Tableau182982[[#This Row],[Age]],$AU$21:$AU$29)*$B$10+$AT$11*$B$10),"")</f>
        <v>41.76</v>
      </c>
      <c r="AM56" s="7">
        <f>IF(Tableau182982[[#This Row],[Age]]&lt;&gt;"",IF(Tableau182982[[#This Row],[Age]]=$B$11,$AT$10*$B$10,0)+Tableau182982[[#This Row],[VBO]]*$AX$21*$B$10+Tableau182982[[#This Row],[VBI]]*$AX$22*$B$10+Tableau182982[[#This Row],[VBE]]*$AX$23*$B$10,"")</f>
        <v>0</v>
      </c>
      <c r="AN56" s="7">
        <v>3.8768661387273915</v>
      </c>
      <c r="AO56" s="7">
        <v>0</v>
      </c>
      <c r="AP56" s="7">
        <f>IF(Tableau182982[[#This Row],[Age]]&lt;&gt;"",Tableau182982[[#This Row],[RA]]-Tableau182982[[#This Row],[DA]],"")</f>
        <v>-3.8768661387273915</v>
      </c>
    </row>
    <row r="57" spans="11:42" ht="15" customHeight="1" x14ac:dyDescent="0.2">
      <c r="K57" s="3">
        <v>55</v>
      </c>
      <c r="L57" s="4">
        <v>657.71428571428578</v>
      </c>
      <c r="M57" s="4">
        <v>0</v>
      </c>
      <c r="N57" s="4">
        <v>657.71428571428578</v>
      </c>
      <c r="O57" s="5">
        <f t="shared" si="0"/>
        <v>367.66228571428576</v>
      </c>
      <c r="P57" s="5">
        <f t="shared" si="1"/>
        <v>85.188873322283442</v>
      </c>
      <c r="Q57" s="5">
        <f t="shared" si="2"/>
        <v>60.45157876740128</v>
      </c>
      <c r="R57" s="5">
        <v>18.333333333333332</v>
      </c>
      <c r="S57" s="5">
        <v>2500.0175688840127</v>
      </c>
      <c r="T57" s="5">
        <f t="shared" si="3"/>
        <v>0</v>
      </c>
      <c r="U57" s="5">
        <f t="shared" si="4"/>
        <v>0</v>
      </c>
      <c r="V57" s="5" t="str">
        <f>IF($E$4="Embrousaillement",Tableau182982[[#This Row],[SOL]],"")</f>
        <v/>
      </c>
      <c r="W57" s="5" t="str">
        <f>IF($E$4="Embrousaillement",Tableau182982[[#This Row],[L]],"")</f>
        <v/>
      </c>
      <c r="X57" s="5">
        <v>42.533333333333331</v>
      </c>
      <c r="Y57" s="5">
        <f t="shared" si="5"/>
        <v>0</v>
      </c>
      <c r="Z57" s="5">
        <f t="shared" si="6"/>
        <v>0</v>
      </c>
      <c r="AA57" s="5">
        <f t="shared" si="7"/>
        <v>0</v>
      </c>
      <c r="AB57" s="5" t="s">
        <v>166</v>
      </c>
      <c r="AC57" s="5" t="s">
        <v>166</v>
      </c>
      <c r="AD57" s="5" t="str">
        <f t="shared" si="8"/>
        <v/>
      </c>
      <c r="AE57" s="5" t="s">
        <v>166</v>
      </c>
      <c r="AF57" s="5" t="s">
        <v>166</v>
      </c>
      <c r="AG57" s="5" t="str">
        <f t="shared" si="9"/>
        <v/>
      </c>
      <c r="AH57" s="5" t="s">
        <v>166</v>
      </c>
      <c r="AI57" s="5" t="s">
        <v>166</v>
      </c>
      <c r="AJ57" s="5" t="str">
        <f t="shared" si="10"/>
        <v/>
      </c>
      <c r="AK57" s="5" t="str">
        <f t="shared" si="11"/>
        <v/>
      </c>
      <c r="AL57" s="7">
        <f>IF(Tableau182982[[#This Row],[Age]]&lt;&gt;"",IF(Tableau182982[[#This Row],[Age]]=0,$AT$10*$B$10+SUMIF($AS$21:$AS$29,Tableau182982[[#This Row],[Age]],$AU$21:$AU$29)*$B$10+$AT$11*$B$10,SUMIF($AS$21:$AS$29,Tableau182982[[#This Row],[Age]],$AU$21:$AU$29)*$B$10+$AT$11*$B$10),"")</f>
        <v>41.76</v>
      </c>
      <c r="AM57" s="7">
        <f>IF(Tableau182982[[#This Row],[Age]]&lt;&gt;"",IF(Tableau182982[[#This Row],[Age]]=$B$11,$AT$10*$B$10,0)+Tableau182982[[#This Row],[VBO]]*$AX$21*$B$10+Tableau182982[[#This Row],[VBI]]*$AX$22*$B$10+Tableau182982[[#This Row],[VBE]]*$AX$23*$B$10,"")</f>
        <v>0</v>
      </c>
      <c r="AN57" s="7">
        <v>3.7099197499783645</v>
      </c>
      <c r="AO57" s="7">
        <v>0</v>
      </c>
      <c r="AP57" s="7">
        <f>IF(Tableau182982[[#This Row],[Age]]&lt;&gt;"",Tableau182982[[#This Row],[RA]]-Tableau182982[[#This Row],[DA]],"")</f>
        <v>-3.7099197499783645</v>
      </c>
    </row>
    <row r="58" spans="11:42" ht="15" customHeight="1" x14ac:dyDescent="0.2">
      <c r="K58" s="3">
        <v>56</v>
      </c>
      <c r="L58" s="4">
        <v>677.85714285714289</v>
      </c>
      <c r="M58" s="4">
        <v>0</v>
      </c>
      <c r="N58" s="4">
        <v>677.85714285714289</v>
      </c>
      <c r="O58" s="5">
        <f t="shared" si="0"/>
        <v>378.92214285714289</v>
      </c>
      <c r="P58" s="5">
        <f t="shared" si="1"/>
        <v>87.490083555289559</v>
      </c>
      <c r="Q58" s="5">
        <f t="shared" si="2"/>
        <v>60.617222528715011</v>
      </c>
      <c r="R58" s="5">
        <v>18.666666666666664</v>
      </c>
      <c r="S58" s="5">
        <v>2559.0579536125483</v>
      </c>
      <c r="T58" s="5">
        <f t="shared" si="3"/>
        <v>0</v>
      </c>
      <c r="U58" s="5">
        <f t="shared" si="4"/>
        <v>0</v>
      </c>
      <c r="V58" s="5" t="str">
        <f>IF($E$4="Embrousaillement",Tableau182982[[#This Row],[SOL]],"")</f>
        <v/>
      </c>
      <c r="W58" s="5" t="str">
        <f>IF($E$4="Embrousaillement",Tableau182982[[#This Row],[L]],"")</f>
        <v/>
      </c>
      <c r="X58" s="5">
        <v>42.533333333333331</v>
      </c>
      <c r="Y58" s="5">
        <f t="shared" si="5"/>
        <v>0</v>
      </c>
      <c r="Z58" s="5">
        <f t="shared" si="6"/>
        <v>0</v>
      </c>
      <c r="AA58" s="5">
        <f t="shared" si="7"/>
        <v>0</v>
      </c>
      <c r="AB58" s="5" t="s">
        <v>166</v>
      </c>
      <c r="AC58" s="5" t="s">
        <v>166</v>
      </c>
      <c r="AD58" s="5" t="str">
        <f t="shared" si="8"/>
        <v/>
      </c>
      <c r="AE58" s="5" t="s">
        <v>166</v>
      </c>
      <c r="AF58" s="5" t="s">
        <v>166</v>
      </c>
      <c r="AG58" s="5" t="str">
        <f t="shared" si="9"/>
        <v/>
      </c>
      <c r="AH58" s="5" t="s">
        <v>166</v>
      </c>
      <c r="AI58" s="5" t="s">
        <v>166</v>
      </c>
      <c r="AJ58" s="5" t="str">
        <f t="shared" si="10"/>
        <v/>
      </c>
      <c r="AK58" s="5" t="str">
        <f t="shared" si="11"/>
        <v/>
      </c>
      <c r="AL58" s="7">
        <f>IF(Tableau182982[[#This Row],[Age]]&lt;&gt;"",IF(Tableau182982[[#This Row],[Age]]=0,$AT$10*$B$10+SUMIF($AS$21:$AS$29,Tableau182982[[#This Row],[Age]],$AU$21:$AU$29)*$B$10+$AT$11*$B$10,SUMIF($AS$21:$AS$29,Tableau182982[[#This Row],[Age]],$AU$21:$AU$29)*$B$10+$AT$11*$B$10),"")</f>
        <v>41.76</v>
      </c>
      <c r="AM58" s="7">
        <f>IF(Tableau182982[[#This Row],[Age]]&lt;&gt;"",IF(Tableau182982[[#This Row],[Age]]=$B$11,$AT$10*$B$10,0)+Tableau182982[[#This Row],[VBO]]*$AX$21*$B$10+Tableau182982[[#This Row],[VBI]]*$AX$22*$B$10+Tableau182982[[#This Row],[VBE]]*$AX$23*$B$10,"")</f>
        <v>0</v>
      </c>
      <c r="AN58" s="7">
        <v>3.5501624401706846</v>
      </c>
      <c r="AO58" s="7">
        <v>0</v>
      </c>
      <c r="AP58" s="7">
        <f>IF(Tableau182982[[#This Row],[Age]]&lt;&gt;"",Tableau182982[[#This Row],[RA]]-Tableau182982[[#This Row],[DA]],"")</f>
        <v>-3.5501624401706846</v>
      </c>
    </row>
    <row r="59" spans="11:42" ht="15" customHeight="1" x14ac:dyDescent="0.2">
      <c r="K59" s="3">
        <v>57</v>
      </c>
      <c r="L59" s="4">
        <v>698</v>
      </c>
      <c r="M59" s="4">
        <v>0</v>
      </c>
      <c r="N59" s="4">
        <v>698</v>
      </c>
      <c r="O59" s="5">
        <f t="shared" si="0"/>
        <v>390.18200000000002</v>
      </c>
      <c r="P59" s="5">
        <f t="shared" si="1"/>
        <v>89.783346685339609</v>
      </c>
      <c r="Q59" s="5">
        <f t="shared" si="2"/>
        <v>60.77999274109392</v>
      </c>
      <c r="R59" s="5">
        <v>19</v>
      </c>
      <c r="S59" s="5">
        <v>2618.0417824241345</v>
      </c>
      <c r="T59" s="5">
        <f t="shared" si="3"/>
        <v>0</v>
      </c>
      <c r="U59" s="5">
        <f t="shared" si="4"/>
        <v>0</v>
      </c>
      <c r="V59" s="5" t="str">
        <f>IF($E$4="Embrousaillement",Tableau182982[[#This Row],[SOL]],"")</f>
        <v/>
      </c>
      <c r="W59" s="5" t="str">
        <f>IF($E$4="Embrousaillement",Tableau182982[[#This Row],[L]],"")</f>
        <v/>
      </c>
      <c r="X59" s="5">
        <v>42.533333333333331</v>
      </c>
      <c r="Y59" s="5">
        <f t="shared" si="5"/>
        <v>0</v>
      </c>
      <c r="Z59" s="5">
        <f t="shared" si="6"/>
        <v>0</v>
      </c>
      <c r="AA59" s="5">
        <f t="shared" si="7"/>
        <v>0</v>
      </c>
      <c r="AB59" s="5" t="s">
        <v>166</v>
      </c>
      <c r="AC59" s="5" t="s">
        <v>166</v>
      </c>
      <c r="AD59" s="5" t="str">
        <f t="shared" si="8"/>
        <v/>
      </c>
      <c r="AE59" s="5" t="s">
        <v>166</v>
      </c>
      <c r="AF59" s="5" t="s">
        <v>166</v>
      </c>
      <c r="AG59" s="5" t="str">
        <f t="shared" si="9"/>
        <v/>
      </c>
      <c r="AH59" s="5" t="s">
        <v>166</v>
      </c>
      <c r="AI59" s="5" t="s">
        <v>166</v>
      </c>
      <c r="AJ59" s="5" t="str">
        <f t="shared" si="10"/>
        <v/>
      </c>
      <c r="AK59" s="5" t="str">
        <f t="shared" si="11"/>
        <v/>
      </c>
      <c r="AL59" s="7">
        <f>IF(Tableau182982[[#This Row],[Age]]&lt;&gt;"",IF(Tableau182982[[#This Row],[Age]]=0,$AT$10*$B$10+SUMIF($AS$21:$AS$29,Tableau182982[[#This Row],[Age]],$AU$21:$AU$29)*$B$10+$AT$11*$B$10,SUMIF($AS$21:$AS$29,Tableau182982[[#This Row],[Age]],$AU$21:$AU$29)*$B$10+$AT$11*$B$10),"")</f>
        <v>41.76</v>
      </c>
      <c r="AM59" s="7">
        <f>IF(Tableau182982[[#This Row],[Age]]&lt;&gt;"",IF(Tableau182982[[#This Row],[Age]]=$B$11,$AT$10*$B$10,0)+Tableau182982[[#This Row],[VBO]]*$AX$21*$B$10+Tableau182982[[#This Row],[VBI]]*$AX$22*$B$10+Tableau182982[[#This Row],[VBE]]*$AX$23*$B$10,"")</f>
        <v>0</v>
      </c>
      <c r="AN59" s="7">
        <v>3.3972846317422825</v>
      </c>
      <c r="AO59" s="7">
        <v>0</v>
      </c>
      <c r="AP59" s="7">
        <f>IF(Tableau182982[[#This Row],[Age]]&lt;&gt;"",Tableau182982[[#This Row],[RA]]-Tableau182982[[#This Row],[DA]],"")</f>
        <v>-3.3972846317422825</v>
      </c>
    </row>
    <row r="60" spans="11:42" ht="15" customHeight="1" x14ac:dyDescent="0.2">
      <c r="K60" s="3">
        <v>58</v>
      </c>
      <c r="L60" s="4">
        <v>718.14285714285711</v>
      </c>
      <c r="M60" s="4">
        <v>0</v>
      </c>
      <c r="N60" s="4">
        <v>718.14285714285711</v>
      </c>
      <c r="O60" s="5">
        <f t="shared" si="0"/>
        <v>401.44185714285715</v>
      </c>
      <c r="P60" s="5">
        <f t="shared" si="1"/>
        <v>92.068918386863871</v>
      </c>
      <c r="Q60" s="5">
        <f t="shared" si="2"/>
        <v>60.939939254187742</v>
      </c>
      <c r="R60" s="5">
        <v>19.333333333333332</v>
      </c>
      <c r="S60" s="5">
        <v>2676.9705124682714</v>
      </c>
      <c r="T60" s="5">
        <f t="shared" si="3"/>
        <v>0</v>
      </c>
      <c r="U60" s="5">
        <f t="shared" si="4"/>
        <v>0</v>
      </c>
      <c r="V60" s="5" t="str">
        <f>IF($E$4="Embrousaillement",Tableau182982[[#This Row],[SOL]],"")</f>
        <v/>
      </c>
      <c r="W60" s="5" t="str">
        <f>IF($E$4="Embrousaillement",Tableau182982[[#This Row],[L]],"")</f>
        <v/>
      </c>
      <c r="X60" s="5">
        <v>42.533333333333331</v>
      </c>
      <c r="Y60" s="5">
        <f t="shared" si="5"/>
        <v>0</v>
      </c>
      <c r="Z60" s="5">
        <f t="shared" si="6"/>
        <v>0</v>
      </c>
      <c r="AA60" s="5">
        <f t="shared" si="7"/>
        <v>0</v>
      </c>
      <c r="AB60" s="5" t="s">
        <v>166</v>
      </c>
      <c r="AC60" s="5" t="s">
        <v>166</v>
      </c>
      <c r="AD60" s="5" t="str">
        <f t="shared" si="8"/>
        <v/>
      </c>
      <c r="AE60" s="5" t="s">
        <v>166</v>
      </c>
      <c r="AF60" s="5" t="s">
        <v>166</v>
      </c>
      <c r="AG60" s="5" t="str">
        <f t="shared" si="9"/>
        <v/>
      </c>
      <c r="AH60" s="5" t="s">
        <v>166</v>
      </c>
      <c r="AI60" s="5" t="s">
        <v>166</v>
      </c>
      <c r="AJ60" s="5" t="str">
        <f t="shared" si="10"/>
        <v/>
      </c>
      <c r="AK60" s="5" t="str">
        <f t="shared" si="11"/>
        <v/>
      </c>
      <c r="AL60" s="7">
        <f>IF(Tableau182982[[#This Row],[Age]]&lt;&gt;"",IF(Tableau182982[[#This Row],[Age]]=0,$AT$10*$B$10+SUMIF($AS$21:$AS$29,Tableau182982[[#This Row],[Age]],$AU$21:$AU$29)*$B$10+$AT$11*$B$10,SUMIF($AS$21:$AS$29,Tableau182982[[#This Row],[Age]],$AU$21:$AU$29)*$B$10+$AT$11*$B$10),"")</f>
        <v>41.76</v>
      </c>
      <c r="AM60" s="7">
        <f>IF(Tableau182982[[#This Row],[Age]]&lt;&gt;"",IF(Tableau182982[[#This Row],[Age]]=$B$11,$AT$10*$B$10,0)+Tableau182982[[#This Row],[VBO]]*$AX$21*$B$10+Tableau182982[[#This Row],[VBI]]*$AX$22*$B$10+Tableau182982[[#This Row],[VBE]]*$AX$23*$B$10,"")</f>
        <v>0</v>
      </c>
      <c r="AN60" s="7">
        <v>3.2509900782222805</v>
      </c>
      <c r="AO60" s="7">
        <v>0</v>
      </c>
      <c r="AP60" s="7">
        <f>IF(Tableau182982[[#This Row],[Age]]&lt;&gt;"",Tableau182982[[#This Row],[RA]]-Tableau182982[[#This Row],[DA]],"")</f>
        <v>-3.2509900782222805</v>
      </c>
    </row>
    <row r="61" spans="11:42" ht="15" customHeight="1" x14ac:dyDescent="0.2">
      <c r="K61" s="3">
        <v>59</v>
      </c>
      <c r="L61" s="4">
        <v>738.28571428571422</v>
      </c>
      <c r="M61" s="4">
        <v>0</v>
      </c>
      <c r="N61" s="4">
        <v>738.28571428571422</v>
      </c>
      <c r="O61" s="5">
        <f t="shared" si="0"/>
        <v>412.70171428571427</v>
      </c>
      <c r="P61" s="5">
        <f t="shared" si="1"/>
        <v>94.347039175704438</v>
      </c>
      <c r="Q61" s="5">
        <f t="shared" si="2"/>
        <v>61.097111052866211</v>
      </c>
      <c r="R61" s="5">
        <v>19.666666666666664</v>
      </c>
      <c r="S61" s="5">
        <v>2735.8455322872651</v>
      </c>
      <c r="T61" s="5">
        <f t="shared" si="3"/>
        <v>0</v>
      </c>
      <c r="U61" s="5">
        <f t="shared" si="4"/>
        <v>0</v>
      </c>
      <c r="V61" s="5" t="str">
        <f>IF($E$4="Embrousaillement",Tableau182982[[#This Row],[SOL]],"")</f>
        <v/>
      </c>
      <c r="W61" s="5" t="str">
        <f>IF($E$4="Embrousaillement",Tableau182982[[#This Row],[L]],"")</f>
        <v/>
      </c>
      <c r="X61" s="5">
        <v>42.533333333333331</v>
      </c>
      <c r="Y61" s="5">
        <f t="shared" si="5"/>
        <v>0</v>
      </c>
      <c r="Z61" s="5">
        <f t="shared" si="6"/>
        <v>0</v>
      </c>
      <c r="AA61" s="5">
        <f t="shared" si="7"/>
        <v>0</v>
      </c>
      <c r="AB61" s="5" t="s">
        <v>166</v>
      </c>
      <c r="AC61" s="5" t="s">
        <v>166</v>
      </c>
      <c r="AD61" s="5" t="str">
        <f t="shared" si="8"/>
        <v/>
      </c>
      <c r="AE61" s="5" t="s">
        <v>166</v>
      </c>
      <c r="AF61" s="5" t="s">
        <v>166</v>
      </c>
      <c r="AG61" s="5" t="str">
        <f t="shared" si="9"/>
        <v/>
      </c>
      <c r="AH61" s="5" t="s">
        <v>166</v>
      </c>
      <c r="AI61" s="5" t="s">
        <v>166</v>
      </c>
      <c r="AJ61" s="5" t="str">
        <f t="shared" si="10"/>
        <v/>
      </c>
      <c r="AK61" s="5" t="str">
        <f t="shared" si="11"/>
        <v/>
      </c>
      <c r="AL61" s="7">
        <f>IF(Tableau182982[[#This Row],[Age]]&lt;&gt;"",IF(Tableau182982[[#This Row],[Age]]=0,$AT$10*$B$10+SUMIF($AS$21:$AS$29,Tableau182982[[#This Row],[Age]],$AU$21:$AU$29)*$B$10+$AT$11*$B$10,SUMIF($AS$21:$AS$29,Tableau182982[[#This Row],[Age]],$AU$21:$AU$29)*$B$10+$AT$11*$B$10),"")</f>
        <v>41.76</v>
      </c>
      <c r="AM61" s="7">
        <f>IF(Tableau182982[[#This Row],[Age]]&lt;&gt;"",IF(Tableau182982[[#This Row],[Age]]=$B$11,$AT$10*$B$10,0)+Tableau182982[[#This Row],[VBO]]*$AX$21*$B$10+Tableau182982[[#This Row],[VBI]]*$AX$22*$B$10+Tableau182982[[#This Row],[VBE]]*$AX$23*$B$10,"")</f>
        <v>0</v>
      </c>
      <c r="AN61" s="7">
        <v>3.1109952901648619</v>
      </c>
      <c r="AO61" s="7">
        <v>0</v>
      </c>
      <c r="AP61" s="7">
        <f>IF(Tableau182982[[#This Row],[Age]]&lt;&gt;"",Tableau182982[[#This Row],[RA]]-Tableau182982[[#This Row],[DA]],"")</f>
        <v>-3.1109952901648619</v>
      </c>
    </row>
    <row r="62" spans="11:42" ht="15" customHeight="1" x14ac:dyDescent="0.2">
      <c r="K62" s="3">
        <v>60</v>
      </c>
      <c r="L62" s="4">
        <v>758.42857142857133</v>
      </c>
      <c r="M62" s="4">
        <v>0</v>
      </c>
      <c r="N62" s="4">
        <v>758.42857142857133</v>
      </c>
      <c r="O62" s="5">
        <f t="shared" si="0"/>
        <v>423.9615714285714</v>
      </c>
      <c r="P62" s="5">
        <f t="shared" si="1"/>
        <v>96.617935696585178</v>
      </c>
      <c r="Q62" s="5">
        <f t="shared" si="2"/>
        <v>61.251556272221123</v>
      </c>
      <c r="R62" s="5">
        <v>20</v>
      </c>
      <c r="S62" s="5">
        <v>2794.6681671460769</v>
      </c>
      <c r="T62" s="5">
        <f t="shared" si="3"/>
        <v>0</v>
      </c>
      <c r="U62" s="5">
        <f t="shared" si="4"/>
        <v>0</v>
      </c>
      <c r="V62" s="5" t="str">
        <f>IF($E$4="Embrousaillement",Tableau182982[[#This Row],[SOL]],"")</f>
        <v/>
      </c>
      <c r="W62" s="5" t="str">
        <f>IF($E$4="Embrousaillement",Tableau182982[[#This Row],[L]],"")</f>
        <v/>
      </c>
      <c r="X62" s="5">
        <v>42.533333333333331</v>
      </c>
      <c r="Y62" s="5">
        <f t="shared" si="5"/>
        <v>0</v>
      </c>
      <c r="Z62" s="5">
        <f t="shared" si="6"/>
        <v>0</v>
      </c>
      <c r="AA62" s="5">
        <f t="shared" si="7"/>
        <v>0</v>
      </c>
      <c r="AB62" s="5" t="s">
        <v>166</v>
      </c>
      <c r="AC62" s="5" t="s">
        <v>166</v>
      </c>
      <c r="AD62" s="5" t="str">
        <f t="shared" si="8"/>
        <v/>
      </c>
      <c r="AE62" s="5" t="s">
        <v>166</v>
      </c>
      <c r="AF62" s="5" t="s">
        <v>166</v>
      </c>
      <c r="AG62" s="5" t="str">
        <f t="shared" si="9"/>
        <v/>
      </c>
      <c r="AH62" s="5" t="s">
        <v>166</v>
      </c>
      <c r="AI62" s="5" t="s">
        <v>166</v>
      </c>
      <c r="AJ62" s="5" t="str">
        <f t="shared" si="10"/>
        <v/>
      </c>
      <c r="AK62" s="5" t="str">
        <f t="shared" si="11"/>
        <v/>
      </c>
      <c r="AL62" s="7">
        <f>IF(Tableau182982[[#This Row],[Age]]&lt;&gt;"",IF(Tableau182982[[#This Row],[Age]]=0,$AT$10*$B$10+SUMIF($AS$21:$AS$29,Tableau182982[[#This Row],[Age]],$AU$21:$AU$29)*$B$10+$AT$11*$B$10,SUMIF($AS$21:$AS$29,Tableau182982[[#This Row],[Age]],$AU$21:$AU$29)*$B$10+$AT$11*$B$10),"")</f>
        <v>41.76</v>
      </c>
      <c r="AM62" s="7">
        <f>IF(Tableau182982[[#This Row],[Age]]&lt;&gt;"",IF(Tableau182982[[#This Row],[Age]]=$B$11,$AT$10*$B$10,0)+Tableau182982[[#This Row],[VBO]]*$AX$21*$B$10+Tableau182982[[#This Row],[VBI]]*$AX$22*$B$10+Tableau182982[[#This Row],[VBE]]*$AX$23*$B$10,"")</f>
        <v>0</v>
      </c>
      <c r="AN62" s="7">
        <v>2.9770289858036962</v>
      </c>
      <c r="AO62" s="7">
        <v>0</v>
      </c>
      <c r="AP62" s="7">
        <f>IF(Tableau182982[[#This Row],[Age]]&lt;&gt;"",Tableau182982[[#This Row],[RA]]-Tableau182982[[#This Row],[DA]],"")</f>
        <v>-2.9770289858036962</v>
      </c>
    </row>
    <row r="63" spans="11:42" ht="15" customHeight="1" x14ac:dyDescent="0.2">
      <c r="K63" s="3">
        <v>61</v>
      </c>
      <c r="L63" s="4">
        <v>778.57142857142867</v>
      </c>
      <c r="M63" s="4">
        <v>0</v>
      </c>
      <c r="N63" s="4">
        <v>778.57142857142867</v>
      </c>
      <c r="O63" s="5">
        <f t="shared" si="0"/>
        <v>435.22142857142865</v>
      </c>
      <c r="P63" s="5">
        <f t="shared" si="1"/>
        <v>98.881821869961911</v>
      </c>
      <c r="Q63" s="5">
        <f t="shared" si="2"/>
        <v>61.403322212307998</v>
      </c>
      <c r="R63" s="5">
        <v>20.333333333333332</v>
      </c>
      <c r="S63" s="5">
        <v>2853.439683791767</v>
      </c>
      <c r="T63" s="5">
        <f t="shared" si="3"/>
        <v>0</v>
      </c>
      <c r="U63" s="5">
        <f t="shared" si="4"/>
        <v>0</v>
      </c>
      <c r="V63" s="5" t="str">
        <f>IF($E$4="Embrousaillement",Tableau182982[[#This Row],[SOL]],"")</f>
        <v/>
      </c>
      <c r="W63" s="5" t="str">
        <f>IF($E$4="Embrousaillement",Tableau182982[[#This Row],[L]],"")</f>
        <v/>
      </c>
      <c r="X63" s="5">
        <v>42.533333333333331</v>
      </c>
      <c r="Y63" s="5">
        <f t="shared" si="5"/>
        <v>0</v>
      </c>
      <c r="Z63" s="5">
        <f t="shared" si="6"/>
        <v>0</v>
      </c>
      <c r="AA63" s="5">
        <f t="shared" si="7"/>
        <v>0</v>
      </c>
      <c r="AB63" s="5" t="s">
        <v>166</v>
      </c>
      <c r="AC63" s="5" t="s">
        <v>166</v>
      </c>
      <c r="AD63" s="5" t="str">
        <f t="shared" si="8"/>
        <v/>
      </c>
      <c r="AE63" s="5" t="s">
        <v>166</v>
      </c>
      <c r="AF63" s="5" t="s">
        <v>166</v>
      </c>
      <c r="AG63" s="5" t="str">
        <f t="shared" si="9"/>
        <v/>
      </c>
      <c r="AH63" s="5" t="s">
        <v>166</v>
      </c>
      <c r="AI63" s="5" t="s">
        <v>166</v>
      </c>
      <c r="AJ63" s="5" t="str">
        <f t="shared" si="10"/>
        <v/>
      </c>
      <c r="AK63" s="5" t="str">
        <f t="shared" si="11"/>
        <v/>
      </c>
      <c r="AL63" s="7">
        <f>IF(Tableau182982[[#This Row],[Age]]&lt;&gt;"",IF(Tableau182982[[#This Row],[Age]]=0,$AT$10*$B$10+SUMIF($AS$21:$AS$29,Tableau182982[[#This Row],[Age]],$AU$21:$AU$29)*$B$10+$AT$11*$B$10,SUMIF($AS$21:$AS$29,Tableau182982[[#This Row],[Age]],$AU$21:$AU$29)*$B$10+$AT$11*$B$10),"")</f>
        <v>41.76</v>
      </c>
      <c r="AM63" s="7">
        <f>IF(Tableau182982[[#This Row],[Age]]&lt;&gt;"",IF(Tableau182982[[#This Row],[Age]]=$B$11,$AT$10*$B$10,0)+Tableau182982[[#This Row],[VBO]]*$AX$21*$B$10+Tableau182982[[#This Row],[VBI]]*$AX$22*$B$10+Tableau182982[[#This Row],[VBE]]*$AX$23*$B$10,"")</f>
        <v>0</v>
      </c>
      <c r="AN63" s="7">
        <v>2.8488315653623881</v>
      </c>
      <c r="AO63" s="7">
        <v>0</v>
      </c>
      <c r="AP63" s="7">
        <f>IF(Tableau182982[[#This Row],[Age]]&lt;&gt;"",Tableau182982[[#This Row],[RA]]-Tableau182982[[#This Row],[DA]],"")</f>
        <v>-2.8488315653623881</v>
      </c>
    </row>
    <row r="64" spans="11:42" ht="15" customHeight="1" x14ac:dyDescent="0.2">
      <c r="K64" s="3">
        <v>62</v>
      </c>
      <c r="L64" s="4">
        <v>798.71428571428578</v>
      </c>
      <c r="M64" s="4">
        <v>0</v>
      </c>
      <c r="N64" s="4">
        <v>798.71428571428578</v>
      </c>
      <c r="O64" s="5">
        <f t="shared" si="0"/>
        <v>446.48128571428572</v>
      </c>
      <c r="P64" s="5">
        <f t="shared" si="1"/>
        <v>101.13889991684886</v>
      </c>
      <c r="Q64" s="5">
        <f t="shared" si="2"/>
        <v>61.55245535263218</v>
      </c>
      <c r="R64" s="5">
        <v>20.666666666666664</v>
      </c>
      <c r="S64" s="5">
        <v>2912.1612947177059</v>
      </c>
      <c r="T64" s="5">
        <f t="shared" si="3"/>
        <v>0</v>
      </c>
      <c r="U64" s="5">
        <f t="shared" si="4"/>
        <v>0</v>
      </c>
      <c r="V64" s="5" t="str">
        <f>IF($E$4="Embrousaillement",Tableau182982[[#This Row],[SOL]],"")</f>
        <v/>
      </c>
      <c r="W64" s="5" t="str">
        <f>IF($E$4="Embrousaillement",Tableau182982[[#This Row],[L]],"")</f>
        <v/>
      </c>
      <c r="X64" s="5">
        <v>42.533333333333331</v>
      </c>
      <c r="Y64" s="5">
        <f t="shared" si="5"/>
        <v>0</v>
      </c>
      <c r="Z64" s="5">
        <f t="shared" si="6"/>
        <v>0</v>
      </c>
      <c r="AA64" s="5">
        <f t="shared" si="7"/>
        <v>0</v>
      </c>
      <c r="AB64" s="5" t="s">
        <v>166</v>
      </c>
      <c r="AC64" s="5" t="s">
        <v>166</v>
      </c>
      <c r="AD64" s="5" t="str">
        <f t="shared" si="8"/>
        <v/>
      </c>
      <c r="AE64" s="5" t="s">
        <v>166</v>
      </c>
      <c r="AF64" s="5" t="s">
        <v>166</v>
      </c>
      <c r="AG64" s="5" t="str">
        <f t="shared" si="9"/>
        <v/>
      </c>
      <c r="AH64" s="5" t="s">
        <v>166</v>
      </c>
      <c r="AI64" s="5" t="s">
        <v>166</v>
      </c>
      <c r="AJ64" s="5" t="str">
        <f t="shared" si="10"/>
        <v/>
      </c>
      <c r="AK64" s="5" t="str">
        <f t="shared" si="11"/>
        <v/>
      </c>
      <c r="AL64" s="7">
        <f>IF(Tableau182982[[#This Row],[Age]]&lt;&gt;"",IF(Tableau182982[[#This Row],[Age]]=0,$AT$10*$B$10+SUMIF($AS$21:$AS$29,Tableau182982[[#This Row],[Age]],$AU$21:$AU$29)*$B$10+$AT$11*$B$10,SUMIF($AS$21:$AS$29,Tableau182982[[#This Row],[Age]],$AU$21:$AU$29)*$B$10+$AT$11*$B$10),"")</f>
        <v>41.76</v>
      </c>
      <c r="AM64" s="7">
        <f>IF(Tableau182982[[#This Row],[Age]]&lt;&gt;"",IF(Tableau182982[[#This Row],[Age]]=$B$11,$AT$10*$B$10,0)+Tableau182982[[#This Row],[VBO]]*$AX$21*$B$10+Tableau182982[[#This Row],[VBI]]*$AX$22*$B$10+Tableau182982[[#This Row],[VBE]]*$AX$23*$B$10,"")</f>
        <v>0</v>
      </c>
      <c r="AN64" s="7">
        <v>2.7261546080022865</v>
      </c>
      <c r="AO64" s="7">
        <v>0</v>
      </c>
      <c r="AP64" s="7">
        <f>IF(Tableau182982[[#This Row],[Age]]&lt;&gt;"",Tableau182982[[#This Row],[RA]]-Tableau182982[[#This Row],[DA]],"")</f>
        <v>-2.7261546080022865</v>
      </c>
    </row>
    <row r="65" spans="1:42" ht="15" customHeight="1" x14ac:dyDescent="0.2">
      <c r="A65" s="30" t="s">
        <v>108</v>
      </c>
      <c r="B65" s="30" t="s">
        <v>109</v>
      </c>
      <c r="C65" s="30" t="s">
        <v>110</v>
      </c>
      <c r="K65" s="3">
        <v>63</v>
      </c>
      <c r="L65" s="4">
        <v>818.85714285714289</v>
      </c>
      <c r="M65" s="4">
        <v>0</v>
      </c>
      <c r="N65" s="4">
        <v>818.85714285714289</v>
      </c>
      <c r="O65" s="5">
        <f t="shared" si="0"/>
        <v>457.7411428571429</v>
      </c>
      <c r="P65" s="5">
        <f t="shared" si="1"/>
        <v>103.38936127735559</v>
      </c>
      <c r="Q65" s="5">
        <f t="shared" si="2"/>
        <v>61.699001366383484</v>
      </c>
      <c r="R65" s="5">
        <v>21</v>
      </c>
      <c r="S65" s="5">
        <v>2970.8341619961657</v>
      </c>
      <c r="T65" s="5">
        <f t="shared" si="3"/>
        <v>0</v>
      </c>
      <c r="U65" s="5">
        <f t="shared" si="4"/>
        <v>0</v>
      </c>
      <c r="V65" s="5" t="str">
        <f>IF($E$4="Embrousaillement",Tableau182982[[#This Row],[SOL]],"")</f>
        <v/>
      </c>
      <c r="W65" s="5" t="str">
        <f>IF($E$4="Embrousaillement",Tableau182982[[#This Row],[L]],"")</f>
        <v/>
      </c>
      <c r="X65" s="5">
        <v>42.533333333333331</v>
      </c>
      <c r="Y65" s="5">
        <f t="shared" si="5"/>
        <v>0</v>
      </c>
      <c r="Z65" s="5">
        <f t="shared" si="6"/>
        <v>0</v>
      </c>
      <c r="AA65" s="5">
        <f t="shared" si="7"/>
        <v>0</v>
      </c>
      <c r="AB65" s="5" t="s">
        <v>166</v>
      </c>
      <c r="AC65" s="5" t="s">
        <v>166</v>
      </c>
      <c r="AD65" s="5" t="str">
        <f t="shared" si="8"/>
        <v/>
      </c>
      <c r="AE65" s="5" t="s">
        <v>166</v>
      </c>
      <c r="AF65" s="5" t="s">
        <v>166</v>
      </c>
      <c r="AG65" s="5" t="str">
        <f t="shared" si="9"/>
        <v/>
      </c>
      <c r="AH65" s="5" t="s">
        <v>166</v>
      </c>
      <c r="AI65" s="5" t="s">
        <v>166</v>
      </c>
      <c r="AJ65" s="5" t="str">
        <f t="shared" si="10"/>
        <v/>
      </c>
      <c r="AK65" s="5" t="str">
        <f t="shared" si="11"/>
        <v/>
      </c>
      <c r="AL65" s="7">
        <f>IF(Tableau182982[[#This Row],[Age]]&lt;&gt;"",IF(Tableau182982[[#This Row],[Age]]=0,$AT$10*$B$10+SUMIF($AS$21:$AS$29,Tableau182982[[#This Row],[Age]],$AU$21:$AU$29)*$B$10+$AT$11*$B$10,SUMIF($AS$21:$AS$29,Tableau182982[[#This Row],[Age]],$AU$21:$AU$29)*$B$10+$AT$11*$B$10),"")</f>
        <v>41.76</v>
      </c>
      <c r="AM65" s="7">
        <f>IF(Tableau182982[[#This Row],[Age]]&lt;&gt;"",IF(Tableau182982[[#This Row],[Age]]=$B$11,$AT$10*$B$10,0)+Tableau182982[[#This Row],[VBO]]*$AX$21*$B$10+Tableau182982[[#This Row],[VBI]]*$AX$22*$B$10+Tableau182982[[#This Row],[VBE]]*$AX$23*$B$10,"")</f>
        <v>0</v>
      </c>
      <c r="AN65" s="7">
        <v>2.6087603904328094</v>
      </c>
      <c r="AO65" s="7">
        <v>0</v>
      </c>
      <c r="AP65" s="7">
        <f>IF(Tableau182982[[#This Row],[Age]]&lt;&gt;"",Tableau182982[[#This Row],[RA]]-Tableau182982[[#This Row],[DA]],"")</f>
        <v>-2.6087603904328094</v>
      </c>
    </row>
    <row r="66" spans="1:42" ht="15" customHeight="1" x14ac:dyDescent="0.2">
      <c r="A66" s="3" t="s">
        <v>1</v>
      </c>
      <c r="B66" s="3" t="s">
        <v>111</v>
      </c>
      <c r="C66" s="3" t="s">
        <v>112</v>
      </c>
      <c r="K66" s="3">
        <v>64</v>
      </c>
      <c r="L66" s="4">
        <v>839</v>
      </c>
      <c r="M66" s="4">
        <v>333</v>
      </c>
      <c r="N66" s="4">
        <v>505</v>
      </c>
      <c r="O66" s="5">
        <f t="shared" ref="O66:O102" si="12">IF(K66&lt;&gt;"",N66*$B$7*$B$8,"")</f>
        <v>282.29500000000002</v>
      </c>
      <c r="P66" s="5">
        <f t="shared" ref="P66:P102" si="13">IF(K66&lt;&gt;"",IF(O66&gt;0,EXP(-1.0587+0.8836*LN(O66)+0.284),0),"")</f>
        <v>67.451777696853753</v>
      </c>
      <c r="Q66" s="5">
        <f t="shared" ref="Q66:Q102" si="14">IF(K66&lt;&gt;"",45+25*(1-EXP(-0.0175*K66)),"")</f>
        <v>61.843005134424018</v>
      </c>
      <c r="R66" s="5">
        <v>21.333333333333332</v>
      </c>
      <c r="S66" s="5">
        <v>2120.7635323128097</v>
      </c>
      <c r="T66" s="5">
        <f t="shared" ref="T66:T102" si="15">IF(AND(K66&lt;=$E$11,K66&lt;&gt;"",K66&gt;0),IF($E$4="Embrousaillement",1*K66*$E$7*$E$8,0),"")</f>
        <v>0</v>
      </c>
      <c r="U66" s="5">
        <f t="shared" ref="U66:U102" si="16">IF(AND(K66&lt;=$E$11,K66&lt;&gt;"",K66&gt;0),IF($E$4="Embrousaillement",EXP(-1.0587+0.8836*LN(T66)+0.284),0),"")</f>
        <v>0</v>
      </c>
      <c r="V66" s="5" t="str">
        <f>IF($E$4="Embrousaillement",Tableau182982[[#This Row],[SOL]],"")</f>
        <v/>
      </c>
      <c r="W66" s="5" t="str">
        <f>IF($E$4="Embrousaillement",Tableau182982[[#This Row],[L]],"")</f>
        <v/>
      </c>
      <c r="X66" s="5">
        <v>42.533333333333331</v>
      </c>
      <c r="Y66" s="5">
        <f t="shared" ref="Y66:Y102" si="17">IF(K66&lt;&gt;"",IF(M66&gt;0,IF($K66&gt;=$AT$7,$AU$7,IF(AND($K66&gt;=$AT$6,$K66&lt;$AT$7),$AU$6,IF(AND($K66&gt;=$AT$5,$K66&lt;$AT$6),$AU$5,IF(AND($K66&gt;=$AT$4,$K66&lt;$AT$5),$AU$4,$AU$4))))*M66,0),"")</f>
        <v>99.899999999999991</v>
      </c>
      <c r="Z66" s="5">
        <f t="shared" ref="Z66:Z102" si="18">IF(K66&lt;&gt;"",IF(M66&gt;0,IF($K66&gt;=$AT$7,$AV$7,IF(AND($K66&gt;=$AT$6,$K66&lt;$AT$7),$AV$6,IF(AND($K66&gt;=$AT$5,$K66&lt;$AT$6),$AV$5,IF(AND($K66&gt;=$AT$4,$K66&lt;$AT$5),$AV$4,$AV$4))))*M66,0),"")</f>
        <v>166.5</v>
      </c>
      <c r="AA66" s="5">
        <f t="shared" ref="AA66:AA102" si="19">IF(K66&lt;&gt;"",IF(M66&gt;0,IF($K66&gt;=$AT$7,$AW$7,IF(AND($K66&gt;=$AT$6,$K66&lt;$AT$7),$AW$6,IF(AND($K66&gt;=$AT$5,$K66&lt;$AT$6),$AW$5,IF(AND($K66&gt;=$AT$4,$K66&lt;$AT$5),$AW$4,$AW$4))))*M66,0),"")</f>
        <v>66.600000000000009</v>
      </c>
      <c r="AB66" s="5" t="s">
        <v>166</v>
      </c>
      <c r="AC66" s="5" t="s">
        <v>166</v>
      </c>
      <c r="AD66" s="5" t="str">
        <f t="shared" ref="AD66:AD102" si="20">IF(AND(K66&lt;=30,K66&lt;&gt;"",K66&gt;0),EXP(-AC66)*IF(K66=1,0,AD65)+(((1-EXP(-AC66))/AC66)*AB66),"")</f>
        <v/>
      </c>
      <c r="AE66" s="5" t="s">
        <v>166</v>
      </c>
      <c r="AF66" s="5" t="s">
        <v>166</v>
      </c>
      <c r="AG66" s="5" t="str">
        <f t="shared" ref="AG66:AG102" si="21">IF(AND(K66&lt;=30,K66&lt;&gt;"",K66&gt;0),EXP(-AF66)*IF(K66=1,0,AG65)+(((1-EXP(-AF66))/AF66)*AE66),"")</f>
        <v/>
      </c>
      <c r="AH66" s="5" t="s">
        <v>166</v>
      </c>
      <c r="AI66" s="5" t="s">
        <v>166</v>
      </c>
      <c r="AJ66" s="5" t="str">
        <f t="shared" ref="AJ66:AJ102" si="22">IF(AND(K66&lt;=30,K66&lt;&gt;"",K66&gt;0),EXP(-AI66)*IF(K66=1,0,AJ65)+(((1-EXP(-AI66))/AI66)*AH66),"")</f>
        <v/>
      </c>
      <c r="AK66" s="5" t="str">
        <f t="shared" ref="AK66:AK102" si="23">IF(AND(K66&lt;=30,K66&lt;&gt;""),SUM(Y66:AA66)*$B$10,"")</f>
        <v/>
      </c>
      <c r="AL66" s="7">
        <f>IF(Tableau182982[[#This Row],[Age]]&lt;&gt;"",IF(Tableau182982[[#This Row],[Age]]=0,$AT$10*$B$10+SUMIF($AS$21:$AS$29,Tableau182982[[#This Row],[Age]],$AU$21:$AU$29)*$B$10+$AT$11*$B$10,SUMIF($AS$21:$AS$29,Tableau182982[[#This Row],[Age]],$AU$21:$AU$29)*$B$10+$AT$11*$B$10),"")</f>
        <v>41.76</v>
      </c>
      <c r="AM66" s="7">
        <f>IF(Tableau182982[[#This Row],[Age]]&lt;&gt;"",IF(Tableau182982[[#This Row],[Age]]=$B$11,$AT$10*$B$10,0)+Tableau182982[[#This Row],[VBO]]*$AX$21*$B$10+Tableau182982[[#This Row],[VBI]]*$AX$22*$B$10+Tableau182982[[#This Row],[VBE]]*$AX$23*$B$10,"")</f>
        <v>23563.079999999998</v>
      </c>
      <c r="AN66" s="7">
        <v>2.4964214262514939</v>
      </c>
      <c r="AO66" s="7">
        <v>1408.6057897624053</v>
      </c>
      <c r="AP66" s="7">
        <f>IF(Tableau182982[[#This Row],[Age]]&lt;&gt;"",Tableau182982[[#This Row],[RA]]-Tableau182982[[#This Row],[DA]],"")</f>
        <v>1406.1093683361537</v>
      </c>
    </row>
    <row r="67" spans="1:42" ht="15" customHeight="1" x14ac:dyDescent="0.2">
      <c r="A67" s="3" t="s">
        <v>2</v>
      </c>
      <c r="B67" s="3" t="s">
        <v>113</v>
      </c>
      <c r="C67" s="3" t="s">
        <v>114</v>
      </c>
      <c r="K67" s="3">
        <v>65</v>
      </c>
      <c r="L67" s="4">
        <v>525.33333333333326</v>
      </c>
      <c r="M67" s="4">
        <v>0</v>
      </c>
      <c r="N67" s="4">
        <v>525.33333333333326</v>
      </c>
      <c r="O67" s="5">
        <f t="shared" si="12"/>
        <v>293.66133333333329</v>
      </c>
      <c r="P67" s="5">
        <f t="shared" si="13"/>
        <v>69.845988416120008</v>
      </c>
      <c r="Q67" s="5">
        <f t="shared" si="14"/>
        <v>61.984510759033235</v>
      </c>
      <c r="R67" s="5">
        <v>21.666666666666664</v>
      </c>
      <c r="S67" s="5">
        <v>2180.4046007169113</v>
      </c>
      <c r="T67" s="5">
        <f t="shared" si="15"/>
        <v>0</v>
      </c>
      <c r="U67" s="5">
        <f t="shared" si="16"/>
        <v>0</v>
      </c>
      <c r="V67" s="5" t="str">
        <f>IF($E$4="Embrousaillement",Tableau182982[[#This Row],[SOL]],"")</f>
        <v/>
      </c>
      <c r="W67" s="5" t="str">
        <f>IF($E$4="Embrousaillement",Tableau182982[[#This Row],[L]],"")</f>
        <v/>
      </c>
      <c r="X67" s="5">
        <v>42.533333333333331</v>
      </c>
      <c r="Y67" s="5">
        <f t="shared" si="17"/>
        <v>0</v>
      </c>
      <c r="Z67" s="5">
        <f t="shared" si="18"/>
        <v>0</v>
      </c>
      <c r="AA67" s="5">
        <f t="shared" si="19"/>
        <v>0</v>
      </c>
      <c r="AB67" s="5" t="s">
        <v>166</v>
      </c>
      <c r="AC67" s="5" t="s">
        <v>166</v>
      </c>
      <c r="AD67" s="5" t="str">
        <f t="shared" si="20"/>
        <v/>
      </c>
      <c r="AE67" s="5" t="s">
        <v>166</v>
      </c>
      <c r="AF67" s="5" t="s">
        <v>166</v>
      </c>
      <c r="AG67" s="5" t="str">
        <f t="shared" si="21"/>
        <v/>
      </c>
      <c r="AH67" s="5" t="s">
        <v>166</v>
      </c>
      <c r="AI67" s="5" t="s">
        <v>166</v>
      </c>
      <c r="AJ67" s="5" t="str">
        <f t="shared" si="22"/>
        <v/>
      </c>
      <c r="AK67" s="5" t="str">
        <f t="shared" si="23"/>
        <v/>
      </c>
      <c r="AL67" s="7">
        <f>IF(Tableau182982[[#This Row],[Age]]&lt;&gt;"",IF(Tableau182982[[#This Row],[Age]]=0,$AT$10*$B$10+SUMIF($AS$21:$AS$29,Tableau182982[[#This Row],[Age]],$AU$21:$AU$29)*$B$10+$AT$11*$B$10,SUMIF($AS$21:$AS$29,Tableau182982[[#This Row],[Age]],$AU$21:$AU$29)*$B$10+$AT$11*$B$10),"")</f>
        <v>41.76</v>
      </c>
      <c r="AM67" s="7">
        <f>IF(Tableau182982[[#This Row],[Age]]&lt;&gt;"",IF(Tableau182982[[#This Row],[Age]]=$B$11,$AT$10*$B$10,0)+Tableau182982[[#This Row],[VBO]]*$AX$21*$B$10+Tableau182982[[#This Row],[VBI]]*$AX$22*$B$10+Tableau182982[[#This Row],[VBE]]*$AX$23*$B$10,"")</f>
        <v>0</v>
      </c>
      <c r="AN67" s="7">
        <v>2.3889200251210467</v>
      </c>
      <c r="AO67" s="7">
        <v>0</v>
      </c>
      <c r="AP67" s="7">
        <f>IF(Tableau182982[[#This Row],[Age]]&lt;&gt;"",Tableau182982[[#This Row],[RA]]-Tableau182982[[#This Row],[DA]],"")</f>
        <v>-2.3889200251210467</v>
      </c>
    </row>
    <row r="68" spans="1:42" ht="15" customHeight="1" x14ac:dyDescent="0.2">
      <c r="A68" s="3" t="s">
        <v>3</v>
      </c>
      <c r="B68" s="3" t="s">
        <v>113</v>
      </c>
      <c r="C68" s="3" t="s">
        <v>115</v>
      </c>
      <c r="K68" s="3">
        <v>66</v>
      </c>
      <c r="L68" s="4">
        <v>545.66666666666674</v>
      </c>
      <c r="M68" s="4">
        <v>0</v>
      </c>
      <c r="N68" s="4">
        <v>545.66666666666674</v>
      </c>
      <c r="O68" s="5">
        <f t="shared" si="12"/>
        <v>305.02766666666668</v>
      </c>
      <c r="P68" s="5">
        <f t="shared" si="13"/>
        <v>72.229433849499898</v>
      </c>
      <c r="Q68" s="5">
        <f t="shared" si="14"/>
        <v>62.123561577414662</v>
      </c>
      <c r="R68" s="5">
        <v>22</v>
      </c>
      <c r="S68" s="5">
        <v>2239.9812879708638</v>
      </c>
      <c r="T68" s="5">
        <f t="shared" si="15"/>
        <v>0</v>
      </c>
      <c r="U68" s="5">
        <f t="shared" si="16"/>
        <v>0</v>
      </c>
      <c r="V68" s="5" t="str">
        <f>IF($E$4="Embrousaillement",Tableau182982[[#This Row],[SOL]],"")</f>
        <v/>
      </c>
      <c r="W68" s="5" t="str">
        <f>IF($E$4="Embrousaillement",Tableau182982[[#This Row],[L]],"")</f>
        <v/>
      </c>
      <c r="X68" s="5">
        <v>42.533333333333331</v>
      </c>
      <c r="Y68" s="5">
        <f t="shared" si="17"/>
        <v>0</v>
      </c>
      <c r="Z68" s="5">
        <f t="shared" si="18"/>
        <v>0</v>
      </c>
      <c r="AA68" s="5">
        <f t="shared" si="19"/>
        <v>0</v>
      </c>
      <c r="AB68" s="5" t="s">
        <v>166</v>
      </c>
      <c r="AC68" s="5" t="s">
        <v>166</v>
      </c>
      <c r="AD68" s="5" t="str">
        <f t="shared" si="20"/>
        <v/>
      </c>
      <c r="AE68" s="5" t="s">
        <v>166</v>
      </c>
      <c r="AF68" s="5" t="s">
        <v>166</v>
      </c>
      <c r="AG68" s="5" t="str">
        <f t="shared" si="21"/>
        <v/>
      </c>
      <c r="AH68" s="5" t="s">
        <v>166</v>
      </c>
      <c r="AI68" s="5" t="s">
        <v>166</v>
      </c>
      <c r="AJ68" s="5" t="str">
        <f t="shared" si="22"/>
        <v/>
      </c>
      <c r="AK68" s="5" t="str">
        <f t="shared" si="23"/>
        <v/>
      </c>
      <c r="AL68" s="7">
        <f>IF(Tableau182982[[#This Row],[Age]]&lt;&gt;"",IF(Tableau182982[[#This Row],[Age]]=0,$AT$10*$B$10+SUMIF($AS$21:$AS$29,Tableau182982[[#This Row],[Age]],$AU$21:$AU$29)*$B$10+$AT$11*$B$10,SUMIF($AS$21:$AS$29,Tableau182982[[#This Row],[Age]],$AU$21:$AU$29)*$B$10+$AT$11*$B$10),"")</f>
        <v>41.76</v>
      </c>
      <c r="AM68" s="7">
        <f>IF(Tableau182982[[#This Row],[Age]]&lt;&gt;"",IF(Tableau182982[[#This Row],[Age]]=$B$11,$AT$10*$B$10,0)+Tableau182982[[#This Row],[VBO]]*$AX$21*$B$10+Tableau182982[[#This Row],[VBI]]*$AX$22*$B$10+Tableau182982[[#This Row],[VBE]]*$AX$23*$B$10,"")</f>
        <v>0</v>
      </c>
      <c r="AN68" s="7">
        <v>2.2860478709292318</v>
      </c>
      <c r="AO68" s="7">
        <v>0</v>
      </c>
      <c r="AP68" s="7">
        <f>IF(Tableau182982[[#This Row],[Age]]&lt;&gt;"",Tableau182982[[#This Row],[RA]]-Tableau182982[[#This Row],[DA]],"")</f>
        <v>-2.2860478709292318</v>
      </c>
    </row>
    <row r="69" spans="1:42" ht="15" customHeight="1" x14ac:dyDescent="0.2">
      <c r="A69" s="3" t="s">
        <v>4</v>
      </c>
      <c r="B69" s="3" t="s">
        <v>113</v>
      </c>
      <c r="C69" s="3" t="s">
        <v>116</v>
      </c>
      <c r="K69" s="3">
        <v>67</v>
      </c>
      <c r="L69" s="4">
        <v>566</v>
      </c>
      <c r="M69" s="4">
        <v>184</v>
      </c>
      <c r="N69" s="4">
        <v>383</v>
      </c>
      <c r="O69" s="5">
        <f t="shared" si="12"/>
        <v>214.09700000000001</v>
      </c>
      <c r="P69" s="5">
        <f t="shared" si="13"/>
        <v>52.829874013016536</v>
      </c>
      <c r="Q69" s="5">
        <f t="shared" si="14"/>
        <v>62.26020017496824</v>
      </c>
      <c r="R69" s="5">
        <v>22.333333333333332</v>
      </c>
      <c r="S69" s="5">
        <v>1798.1715139725477</v>
      </c>
      <c r="T69" s="5">
        <f t="shared" si="15"/>
        <v>0</v>
      </c>
      <c r="U69" s="5">
        <f t="shared" si="16"/>
        <v>0</v>
      </c>
      <c r="V69" s="5" t="str">
        <f>IF($E$4="Embrousaillement",Tableau182982[[#This Row],[SOL]],"")</f>
        <v/>
      </c>
      <c r="W69" s="5" t="str">
        <f>IF($E$4="Embrousaillement",Tableau182982[[#This Row],[L]],"")</f>
        <v/>
      </c>
      <c r="X69" s="5">
        <v>42.533333333333331</v>
      </c>
      <c r="Y69" s="5">
        <f t="shared" si="17"/>
        <v>55.199999999999996</v>
      </c>
      <c r="Z69" s="5">
        <f t="shared" si="18"/>
        <v>92</v>
      </c>
      <c r="AA69" s="5">
        <f t="shared" si="19"/>
        <v>36.800000000000004</v>
      </c>
      <c r="AB69" s="5" t="s">
        <v>166</v>
      </c>
      <c r="AC69" s="5" t="s">
        <v>166</v>
      </c>
      <c r="AD69" s="5" t="str">
        <f t="shared" si="20"/>
        <v/>
      </c>
      <c r="AE69" s="5" t="s">
        <v>166</v>
      </c>
      <c r="AF69" s="5" t="s">
        <v>166</v>
      </c>
      <c r="AG69" s="5" t="str">
        <f t="shared" si="21"/>
        <v/>
      </c>
      <c r="AH69" s="5" t="s">
        <v>166</v>
      </c>
      <c r="AI69" s="5" t="s">
        <v>166</v>
      </c>
      <c r="AJ69" s="5" t="str">
        <f t="shared" si="22"/>
        <v/>
      </c>
      <c r="AK69" s="5" t="str">
        <f t="shared" si="23"/>
        <v/>
      </c>
      <c r="AL69" s="7">
        <f>IF(Tableau182982[[#This Row],[Age]]&lt;&gt;"",IF(Tableau182982[[#This Row],[Age]]=0,$AT$10*$B$10+SUMIF($AS$21:$AS$29,Tableau182982[[#This Row],[Age]],$AU$21:$AU$29)*$B$10+$AT$11*$B$10,SUMIF($AS$21:$AS$29,Tableau182982[[#This Row],[Age]],$AU$21:$AU$29)*$B$10+$AT$11*$B$10),"")</f>
        <v>41.76</v>
      </c>
      <c r="AM69" s="7">
        <f>IF(Tableau182982[[#This Row],[Age]]&lt;&gt;"",IF(Tableau182982[[#This Row],[Age]]=$B$11,$AT$10*$B$10,0)+Tableau182982[[#This Row],[VBO]]*$AX$21*$B$10+Tableau182982[[#This Row],[VBI]]*$AX$22*$B$10+Tableau182982[[#This Row],[VBE]]*$AX$23*$B$10,"")</f>
        <v>13019.839999999997</v>
      </c>
      <c r="AN69" s="7">
        <v>2.1876056181140973</v>
      </c>
      <c r="AO69" s="7">
        <v>682.04681826979504</v>
      </c>
      <c r="AP69" s="7">
        <f>IF(Tableau182982[[#This Row],[Age]]&lt;&gt;"",Tableau182982[[#This Row],[RA]]-Tableau182982[[#This Row],[DA]],"")</f>
        <v>679.85921265168099</v>
      </c>
    </row>
    <row r="70" spans="1:42" ht="15" customHeight="1" x14ac:dyDescent="0.2">
      <c r="A70" s="3" t="s">
        <v>5</v>
      </c>
      <c r="B70" s="3" t="s">
        <v>117</v>
      </c>
      <c r="C70" s="3" t="s">
        <v>118</v>
      </c>
      <c r="K70" s="3">
        <v>68</v>
      </c>
      <c r="L70" s="4">
        <v>396.66666666666663</v>
      </c>
      <c r="M70" s="4">
        <v>0</v>
      </c>
      <c r="N70" s="4">
        <v>396.66666666666663</v>
      </c>
      <c r="O70" s="5">
        <f t="shared" si="12"/>
        <v>221.73666666666662</v>
      </c>
      <c r="P70" s="5">
        <f t="shared" si="13"/>
        <v>54.492168733821529</v>
      </c>
      <c r="Q70" s="5">
        <f t="shared" si="14"/>
        <v>62.3944683983324</v>
      </c>
      <c r="R70" s="5">
        <v>22.666666666666664</v>
      </c>
      <c r="S70" s="5">
        <v>1839.7353698611641</v>
      </c>
      <c r="T70" s="5">
        <f t="shared" si="15"/>
        <v>0</v>
      </c>
      <c r="U70" s="5">
        <f t="shared" si="16"/>
        <v>0</v>
      </c>
      <c r="V70" s="5" t="str">
        <f>IF($E$4="Embrousaillement",Tableau182982[[#This Row],[SOL]],"")</f>
        <v/>
      </c>
      <c r="W70" s="5" t="str">
        <f>IF($E$4="Embrousaillement",Tableau182982[[#This Row],[L]],"")</f>
        <v/>
      </c>
      <c r="X70" s="5">
        <v>42.533333333333331</v>
      </c>
      <c r="Y70" s="5">
        <f t="shared" si="17"/>
        <v>0</v>
      </c>
      <c r="Z70" s="5">
        <f t="shared" si="18"/>
        <v>0</v>
      </c>
      <c r="AA70" s="5">
        <f t="shared" si="19"/>
        <v>0</v>
      </c>
      <c r="AB70" s="5" t="s">
        <v>166</v>
      </c>
      <c r="AC70" s="5" t="s">
        <v>166</v>
      </c>
      <c r="AD70" s="5" t="str">
        <f t="shared" si="20"/>
        <v/>
      </c>
      <c r="AE70" s="5" t="s">
        <v>166</v>
      </c>
      <c r="AF70" s="5" t="s">
        <v>166</v>
      </c>
      <c r="AG70" s="5" t="str">
        <f t="shared" si="21"/>
        <v/>
      </c>
      <c r="AH70" s="5" t="s">
        <v>166</v>
      </c>
      <c r="AI70" s="5" t="s">
        <v>166</v>
      </c>
      <c r="AJ70" s="5" t="str">
        <f t="shared" si="22"/>
        <v/>
      </c>
      <c r="AK70" s="5" t="str">
        <f t="shared" si="23"/>
        <v/>
      </c>
      <c r="AL70" s="7">
        <f>IF(Tableau182982[[#This Row],[Age]]&lt;&gt;"",IF(Tableau182982[[#This Row],[Age]]=0,$AT$10*$B$10+SUMIF($AS$21:$AS$29,Tableau182982[[#This Row],[Age]],$AU$21:$AU$29)*$B$10+$AT$11*$B$10,SUMIF($AS$21:$AS$29,Tableau182982[[#This Row],[Age]],$AU$21:$AU$29)*$B$10+$AT$11*$B$10),"")</f>
        <v>41.76</v>
      </c>
      <c r="AM70" s="7">
        <f>IF(Tableau182982[[#This Row],[Age]]&lt;&gt;"",IF(Tableau182982[[#This Row],[Age]]=$B$11,$AT$10*$B$10,0)+Tableau182982[[#This Row],[VBO]]*$AX$21*$B$10+Tableau182982[[#This Row],[VBI]]*$AX$22*$B$10+Tableau182982[[#This Row],[VBE]]*$AX$23*$B$10,"")</f>
        <v>0</v>
      </c>
      <c r="AN70" s="7">
        <v>2.0934025053723424</v>
      </c>
      <c r="AO70" s="7">
        <v>0</v>
      </c>
      <c r="AP70" s="7">
        <f>IF(Tableau182982[[#This Row],[Age]]&lt;&gt;"",Tableau182982[[#This Row],[RA]]-Tableau182982[[#This Row],[DA]],"")</f>
        <v>-2.0934025053723424</v>
      </c>
    </row>
    <row r="71" spans="1:42" ht="15" customHeight="1" x14ac:dyDescent="0.2">
      <c r="A71" s="3" t="s">
        <v>6</v>
      </c>
      <c r="B71" s="3" t="s">
        <v>117</v>
      </c>
      <c r="C71" s="3" t="s">
        <v>119</v>
      </c>
      <c r="K71" s="3">
        <v>69</v>
      </c>
      <c r="L71" s="4">
        <v>410.33333333333337</v>
      </c>
      <c r="M71" s="4">
        <v>0</v>
      </c>
      <c r="N71" s="4">
        <v>410.33333333333337</v>
      </c>
      <c r="O71" s="5">
        <f t="shared" si="12"/>
        <v>229.37633333333338</v>
      </c>
      <c r="P71" s="5">
        <f t="shared" si="13"/>
        <v>56.147808913442127</v>
      </c>
      <c r="Q71" s="5">
        <f t="shared" si="14"/>
        <v>62.526407368199969</v>
      </c>
      <c r="R71" s="5">
        <v>23</v>
      </c>
      <c r="S71" s="5">
        <v>1881.2525227839583</v>
      </c>
      <c r="T71" s="5">
        <f t="shared" si="15"/>
        <v>0</v>
      </c>
      <c r="U71" s="5">
        <f t="shared" si="16"/>
        <v>0</v>
      </c>
      <c r="V71" s="5" t="str">
        <f>IF($E$4="Embrousaillement",Tableau182982[[#This Row],[SOL]],"")</f>
        <v/>
      </c>
      <c r="W71" s="5" t="str">
        <f>IF($E$4="Embrousaillement",Tableau182982[[#This Row],[L]],"")</f>
        <v/>
      </c>
      <c r="X71" s="5">
        <v>42.533333333333331</v>
      </c>
      <c r="Y71" s="5">
        <f t="shared" si="17"/>
        <v>0</v>
      </c>
      <c r="Z71" s="5">
        <f t="shared" si="18"/>
        <v>0</v>
      </c>
      <c r="AA71" s="5">
        <f t="shared" si="19"/>
        <v>0</v>
      </c>
      <c r="AB71" s="5" t="s">
        <v>166</v>
      </c>
      <c r="AC71" s="5" t="s">
        <v>166</v>
      </c>
      <c r="AD71" s="5" t="str">
        <f t="shared" si="20"/>
        <v/>
      </c>
      <c r="AE71" s="5" t="s">
        <v>166</v>
      </c>
      <c r="AF71" s="5" t="s">
        <v>166</v>
      </c>
      <c r="AG71" s="5" t="str">
        <f t="shared" si="21"/>
        <v/>
      </c>
      <c r="AH71" s="5" t="s">
        <v>166</v>
      </c>
      <c r="AI71" s="5" t="s">
        <v>166</v>
      </c>
      <c r="AJ71" s="5" t="str">
        <f t="shared" si="22"/>
        <v/>
      </c>
      <c r="AK71" s="5" t="str">
        <f t="shared" si="23"/>
        <v/>
      </c>
      <c r="AL71" s="7">
        <f>IF(Tableau182982[[#This Row],[Age]]&lt;&gt;"",IF(Tableau182982[[#This Row],[Age]]=0,$AT$10*$B$10+SUMIF($AS$21:$AS$29,Tableau182982[[#This Row],[Age]],$AU$21:$AU$29)*$B$10+$AT$11*$B$10,SUMIF($AS$21:$AS$29,Tableau182982[[#This Row],[Age]],$AU$21:$AU$29)*$B$10+$AT$11*$B$10),"")</f>
        <v>41.76</v>
      </c>
      <c r="AM71" s="7">
        <f>IF(Tableau182982[[#This Row],[Age]]&lt;&gt;"",IF(Tableau182982[[#This Row],[Age]]=$B$11,$AT$10*$B$10,0)+Tableau182982[[#This Row],[VBO]]*$AX$21*$B$10+Tableau182982[[#This Row],[VBI]]*$AX$22*$B$10+Tableau182982[[#This Row],[VBE]]*$AX$23*$B$10,"")</f>
        <v>0</v>
      </c>
      <c r="AN71" s="7">
        <v>2.0032559860022414</v>
      </c>
      <c r="AO71" s="7">
        <v>0</v>
      </c>
      <c r="AP71" s="7">
        <f>IF(Tableau182982[[#This Row],[Age]]&lt;&gt;"",Tableau182982[[#This Row],[RA]]-Tableau182982[[#This Row],[DA]],"")</f>
        <v>-2.0032559860022414</v>
      </c>
    </row>
    <row r="72" spans="1:42" ht="15" customHeight="1" x14ac:dyDescent="0.2">
      <c r="A72" s="3" t="s">
        <v>7</v>
      </c>
      <c r="B72" s="3" t="s">
        <v>120</v>
      </c>
      <c r="C72" s="3" t="s">
        <v>121</v>
      </c>
      <c r="K72" s="3">
        <v>70</v>
      </c>
      <c r="L72" s="4">
        <v>424</v>
      </c>
      <c r="M72" s="4">
        <v>424</v>
      </c>
      <c r="N72" s="4"/>
      <c r="O72" s="5">
        <f t="shared" si="12"/>
        <v>0</v>
      </c>
      <c r="P72" s="5">
        <f t="shared" si="13"/>
        <v>0</v>
      </c>
      <c r="Q72" s="5">
        <f t="shared" si="14"/>
        <v>62.656057491911682</v>
      </c>
      <c r="R72" s="5">
        <v>23.333333333333332</v>
      </c>
      <c r="S72" s="5">
        <v>731.48308462008413</v>
      </c>
      <c r="T72" s="5">
        <f t="shared" si="15"/>
        <v>0</v>
      </c>
      <c r="U72" s="5">
        <f t="shared" si="16"/>
        <v>0</v>
      </c>
      <c r="V72" s="5" t="str">
        <f>IF($E$4="Embrousaillement",Tableau182982[[#This Row],[SOL]],"")</f>
        <v/>
      </c>
      <c r="W72" s="5" t="str">
        <f>IF($E$4="Embrousaillement",Tableau182982[[#This Row],[L]],"")</f>
        <v/>
      </c>
      <c r="X72" s="5">
        <v>42.533333333333331</v>
      </c>
      <c r="Y72" s="5">
        <f t="shared" si="17"/>
        <v>127.19999999999999</v>
      </c>
      <c r="Z72" s="5">
        <f t="shared" si="18"/>
        <v>212</v>
      </c>
      <c r="AA72" s="5">
        <f t="shared" si="19"/>
        <v>84.800000000000011</v>
      </c>
      <c r="AB72" s="5" t="s">
        <v>166</v>
      </c>
      <c r="AC72" s="5" t="s">
        <v>166</v>
      </c>
      <c r="AD72" s="5" t="str">
        <f t="shared" si="20"/>
        <v/>
      </c>
      <c r="AE72" s="5" t="s">
        <v>166</v>
      </c>
      <c r="AF72" s="5" t="s">
        <v>166</v>
      </c>
      <c r="AG72" s="5" t="str">
        <f t="shared" si="21"/>
        <v/>
      </c>
      <c r="AH72" s="5" t="s">
        <v>166</v>
      </c>
      <c r="AI72" s="5" t="s">
        <v>166</v>
      </c>
      <c r="AJ72" s="5" t="str">
        <f t="shared" si="22"/>
        <v/>
      </c>
      <c r="AK72" s="5" t="str">
        <f t="shared" si="23"/>
        <v/>
      </c>
      <c r="AL72" s="7">
        <f>IF(Tableau182982[[#This Row],[Age]]&lt;&gt;"",IF(Tableau182982[[#This Row],[Age]]=0,$AT$10*$B$10+SUMIF($AS$21:$AS$29,Tableau182982[[#This Row],[Age]],$AU$21:$AU$29)*$B$10+$AT$11*$B$10,SUMIF($AS$21:$AS$29,Tableau182982[[#This Row],[Age]],$AU$21:$AU$29)*$B$10+$AT$11*$B$10),"")</f>
        <v>41.76</v>
      </c>
      <c r="AM72" s="7">
        <f>IF(Tableau182982[[#This Row],[Age]]&lt;&gt;"",IF(Tableau182982[[#This Row],[Age]]=$B$11,$AT$10*$B$10,0)+Tableau182982[[#This Row],[VBO]]*$AX$21*$B$10+Tableau182982[[#This Row],[VBI]]*$AX$22*$B$10+Tableau182982[[#This Row],[VBE]]*$AX$23*$B$10,"")</f>
        <v>30002.239999999998</v>
      </c>
      <c r="AN72" s="7">
        <v>1.916991374164825</v>
      </c>
      <c r="AO72" s="7">
        <v>1377.2518028166398</v>
      </c>
      <c r="AP72" s="7">
        <f>IF(Tableau182982[[#This Row],[Age]]&lt;&gt;"",Tableau182982[[#This Row],[RA]]-Tableau182982[[#This Row],[DA]],"")</f>
        <v>1375.334811442475</v>
      </c>
    </row>
    <row r="73" spans="1:42" ht="15" customHeight="1" x14ac:dyDescent="0.2">
      <c r="A73" s="3" t="s">
        <v>8</v>
      </c>
      <c r="B73" s="3" t="s">
        <v>120</v>
      </c>
      <c r="C73" s="3" t="s">
        <v>122</v>
      </c>
      <c r="L73" s="4"/>
      <c r="M73" s="4"/>
      <c r="N73" s="4"/>
      <c r="O73" s="5" t="str">
        <f t="shared" si="12"/>
        <v/>
      </c>
      <c r="P73" s="5" t="str">
        <f t="shared" si="13"/>
        <v/>
      </c>
      <c r="Q73" s="5" t="str">
        <f t="shared" si="14"/>
        <v/>
      </c>
      <c r="R73" s="5" t="s">
        <v>166</v>
      </c>
      <c r="S73" s="5" t="s">
        <v>166</v>
      </c>
      <c r="T73" s="5" t="str">
        <f t="shared" si="15"/>
        <v/>
      </c>
      <c r="U73" s="5" t="str">
        <f t="shared" si="16"/>
        <v/>
      </c>
      <c r="V73" s="5" t="str">
        <f>IF($E$4="Embrousaillement",Tableau182982[[#This Row],[SOL]],"")</f>
        <v/>
      </c>
      <c r="W73" s="5" t="str">
        <f>IF($E$4="Embrousaillement",Tableau182982[[#This Row],[L]],"")</f>
        <v/>
      </c>
      <c r="X73" s="5" t="s">
        <v>166</v>
      </c>
      <c r="Y73" s="5" t="str">
        <f t="shared" si="17"/>
        <v/>
      </c>
      <c r="Z73" s="5" t="str">
        <f t="shared" si="18"/>
        <v/>
      </c>
      <c r="AA73" s="5" t="str">
        <f t="shared" si="19"/>
        <v/>
      </c>
      <c r="AB73" s="5" t="s">
        <v>166</v>
      </c>
      <c r="AC73" s="5" t="s">
        <v>166</v>
      </c>
      <c r="AD73" s="5" t="str">
        <f t="shared" si="20"/>
        <v/>
      </c>
      <c r="AE73" s="5" t="s">
        <v>166</v>
      </c>
      <c r="AF73" s="5" t="s">
        <v>166</v>
      </c>
      <c r="AG73" s="5" t="str">
        <f t="shared" si="21"/>
        <v/>
      </c>
      <c r="AH73" s="5" t="s">
        <v>166</v>
      </c>
      <c r="AI73" s="5" t="s">
        <v>166</v>
      </c>
      <c r="AJ73" s="5" t="str">
        <f t="shared" si="22"/>
        <v/>
      </c>
      <c r="AK73" s="5" t="str">
        <f t="shared" si="23"/>
        <v/>
      </c>
      <c r="AL73" s="7" t="str">
        <f>IF(Tableau182982[[#This Row],[Age]]&lt;&gt;"",IF(Tableau182982[[#This Row],[Age]]=0,$AT$10*$B$10+SUMIF($AS$21:$AS$29,Tableau182982[[#This Row],[Age]],$AU$21:$AU$29)*$B$10+$AT$11*$B$10,SUMIF($AS$21:$AS$29,Tableau182982[[#This Row],[Age]],$AU$21:$AU$29)*$B$10+$AT$11*$B$10),"")</f>
        <v/>
      </c>
      <c r="AM73" s="7" t="str">
        <f>IF(Tableau182982[[#This Row],[Age]]&lt;&gt;"",IF(Tableau182982[[#This Row],[Age]]=$B$11,$AT$10*$B$10,0)+Tableau182982[[#This Row],[VBO]]*$AX$21*$B$10+Tableau182982[[#This Row],[VBI]]*$AX$22*$B$10+Tableau182982[[#This Row],[VBE]]*$AX$23*$B$10,"")</f>
        <v/>
      </c>
      <c r="AN73" s="7" t="s">
        <v>166</v>
      </c>
      <c r="AO73" s="7" t="s">
        <v>166</v>
      </c>
      <c r="AP73" s="7" t="str">
        <f>IF(Tableau182982[[#This Row],[Age]]&lt;&gt;"",Tableau182982[[#This Row],[RA]]-Tableau182982[[#This Row],[DA]],"")</f>
        <v/>
      </c>
    </row>
    <row r="74" spans="1:42" ht="15" customHeight="1" x14ac:dyDescent="0.2">
      <c r="A74" s="3" t="s">
        <v>9</v>
      </c>
      <c r="B74" s="3" t="s">
        <v>123</v>
      </c>
      <c r="C74" s="3" t="s">
        <v>124</v>
      </c>
      <c r="L74" s="4"/>
      <c r="M74" s="4"/>
      <c r="N74" s="4"/>
      <c r="O74" s="5" t="str">
        <f t="shared" si="12"/>
        <v/>
      </c>
      <c r="P74" s="5" t="str">
        <f t="shared" si="13"/>
        <v/>
      </c>
      <c r="Q74" s="5" t="str">
        <f t="shared" si="14"/>
        <v/>
      </c>
      <c r="R74" s="5" t="s">
        <v>166</v>
      </c>
      <c r="S74" s="5" t="s">
        <v>166</v>
      </c>
      <c r="T74" s="5" t="str">
        <f t="shared" si="15"/>
        <v/>
      </c>
      <c r="U74" s="5" t="str">
        <f t="shared" si="16"/>
        <v/>
      </c>
      <c r="V74" s="5" t="str">
        <f>IF($E$4="Embrousaillement",Tableau182982[[#This Row],[SOL]],"")</f>
        <v/>
      </c>
      <c r="W74" s="5" t="str">
        <f>IF($E$4="Embrousaillement",Tableau182982[[#This Row],[L]],"")</f>
        <v/>
      </c>
      <c r="X74" s="5" t="s">
        <v>166</v>
      </c>
      <c r="Y74" s="5" t="str">
        <f t="shared" si="17"/>
        <v/>
      </c>
      <c r="Z74" s="5" t="str">
        <f t="shared" si="18"/>
        <v/>
      </c>
      <c r="AA74" s="5" t="str">
        <f t="shared" si="19"/>
        <v/>
      </c>
      <c r="AB74" s="5" t="s">
        <v>166</v>
      </c>
      <c r="AC74" s="5" t="s">
        <v>166</v>
      </c>
      <c r="AD74" s="5" t="str">
        <f t="shared" si="20"/>
        <v/>
      </c>
      <c r="AE74" s="5" t="s">
        <v>166</v>
      </c>
      <c r="AF74" s="5" t="s">
        <v>166</v>
      </c>
      <c r="AG74" s="5" t="str">
        <f t="shared" si="21"/>
        <v/>
      </c>
      <c r="AH74" s="5" t="s">
        <v>166</v>
      </c>
      <c r="AI74" s="5" t="s">
        <v>166</v>
      </c>
      <c r="AJ74" s="5" t="str">
        <f t="shared" si="22"/>
        <v/>
      </c>
      <c r="AK74" s="5" t="str">
        <f t="shared" si="23"/>
        <v/>
      </c>
      <c r="AL74" s="7" t="str">
        <f>IF(Tableau182982[[#This Row],[Age]]&lt;&gt;"",IF(Tableau182982[[#This Row],[Age]]=0,$AT$10*$B$10+SUMIF($AS$21:$AS$29,Tableau182982[[#This Row],[Age]],$AU$21:$AU$29)*$B$10+$AT$11*$B$10,SUMIF($AS$21:$AS$29,Tableau182982[[#This Row],[Age]],$AU$21:$AU$29)*$B$10+$AT$11*$B$10),"")</f>
        <v/>
      </c>
      <c r="AM74" s="7" t="str">
        <f>IF(Tableau182982[[#This Row],[Age]]&lt;&gt;"",IF(Tableau182982[[#This Row],[Age]]=$B$11,$AT$10*$B$10,0)+Tableau182982[[#This Row],[VBO]]*$AX$21*$B$10+Tableau182982[[#This Row],[VBI]]*$AX$22*$B$10+Tableau182982[[#This Row],[VBE]]*$AX$23*$B$10,"")</f>
        <v/>
      </c>
      <c r="AN74" s="7" t="s">
        <v>166</v>
      </c>
      <c r="AO74" s="7" t="s">
        <v>166</v>
      </c>
      <c r="AP74" s="7" t="str">
        <f>IF(Tableau182982[[#This Row],[Age]]&lt;&gt;"",Tableau182982[[#This Row],[RA]]-Tableau182982[[#This Row],[DA]],"")</f>
        <v/>
      </c>
    </row>
    <row r="75" spans="1:42" ht="15" customHeight="1" x14ac:dyDescent="0.2">
      <c r="A75" s="3" t="s">
        <v>10</v>
      </c>
      <c r="B75" s="3" t="s">
        <v>117</v>
      </c>
      <c r="C75" s="3" t="s">
        <v>125</v>
      </c>
      <c r="L75" s="4"/>
      <c r="M75" s="4"/>
      <c r="N75" s="4"/>
      <c r="O75" s="5" t="str">
        <f t="shared" si="12"/>
        <v/>
      </c>
      <c r="P75" s="5" t="str">
        <f t="shared" si="13"/>
        <v/>
      </c>
      <c r="Q75" s="5" t="str">
        <f t="shared" si="14"/>
        <v/>
      </c>
      <c r="R75" s="5" t="s">
        <v>166</v>
      </c>
      <c r="S75" s="5" t="s">
        <v>166</v>
      </c>
      <c r="T75" s="5" t="str">
        <f t="shared" si="15"/>
        <v/>
      </c>
      <c r="U75" s="5" t="str">
        <f t="shared" si="16"/>
        <v/>
      </c>
      <c r="V75" s="5" t="str">
        <f>IF($E$4="Embrousaillement",Tableau182982[[#This Row],[SOL]],"")</f>
        <v/>
      </c>
      <c r="W75" s="5" t="str">
        <f>IF($E$4="Embrousaillement",Tableau182982[[#This Row],[L]],"")</f>
        <v/>
      </c>
      <c r="X75" s="5" t="s">
        <v>166</v>
      </c>
      <c r="Y75" s="5" t="str">
        <f t="shared" si="17"/>
        <v/>
      </c>
      <c r="Z75" s="5" t="str">
        <f t="shared" si="18"/>
        <v/>
      </c>
      <c r="AA75" s="5" t="str">
        <f t="shared" si="19"/>
        <v/>
      </c>
      <c r="AB75" s="5" t="s">
        <v>166</v>
      </c>
      <c r="AC75" s="5" t="s">
        <v>166</v>
      </c>
      <c r="AD75" s="5" t="str">
        <f t="shared" si="20"/>
        <v/>
      </c>
      <c r="AE75" s="5" t="s">
        <v>166</v>
      </c>
      <c r="AF75" s="5" t="s">
        <v>166</v>
      </c>
      <c r="AG75" s="5" t="str">
        <f t="shared" si="21"/>
        <v/>
      </c>
      <c r="AH75" s="5" t="s">
        <v>166</v>
      </c>
      <c r="AI75" s="5" t="s">
        <v>166</v>
      </c>
      <c r="AJ75" s="5" t="str">
        <f t="shared" si="22"/>
        <v/>
      </c>
      <c r="AK75" s="5" t="str">
        <f t="shared" si="23"/>
        <v/>
      </c>
      <c r="AL75" s="7" t="str">
        <f>IF(Tableau182982[[#This Row],[Age]]&lt;&gt;"",IF(Tableau182982[[#This Row],[Age]]=0,$AT$10*$B$10+SUMIF($AS$21:$AS$29,Tableau182982[[#This Row],[Age]],$AU$21:$AU$29)*$B$10+$AT$11*$B$10,SUMIF($AS$21:$AS$29,Tableau182982[[#This Row],[Age]],$AU$21:$AU$29)*$B$10+$AT$11*$B$10),"")</f>
        <v/>
      </c>
      <c r="AM75" s="7" t="str">
        <f>IF(Tableau182982[[#This Row],[Age]]&lt;&gt;"",IF(Tableau182982[[#This Row],[Age]]=$B$11,$AT$10*$B$10,0)+Tableau182982[[#This Row],[VBO]]*$AX$21*$B$10+Tableau182982[[#This Row],[VBI]]*$AX$22*$B$10+Tableau182982[[#This Row],[VBE]]*$AX$23*$B$10,"")</f>
        <v/>
      </c>
      <c r="AN75" s="7" t="s">
        <v>166</v>
      </c>
      <c r="AO75" s="7" t="s">
        <v>166</v>
      </c>
      <c r="AP75" s="7" t="str">
        <f>IF(Tableau182982[[#This Row],[Age]]&lt;&gt;"",Tableau182982[[#This Row],[RA]]-Tableau182982[[#This Row],[DA]],"")</f>
        <v/>
      </c>
    </row>
    <row r="76" spans="1:42" ht="15" customHeight="1" x14ac:dyDescent="0.2">
      <c r="A76" s="3" t="s">
        <v>11</v>
      </c>
      <c r="B76" s="3" t="s">
        <v>117</v>
      </c>
      <c r="C76" s="3" t="s">
        <v>126</v>
      </c>
      <c r="L76" s="4"/>
      <c r="M76" s="4"/>
      <c r="N76" s="4"/>
      <c r="O76" s="5" t="str">
        <f t="shared" si="12"/>
        <v/>
      </c>
      <c r="P76" s="5" t="str">
        <f t="shared" si="13"/>
        <v/>
      </c>
      <c r="Q76" s="5" t="str">
        <f t="shared" si="14"/>
        <v/>
      </c>
      <c r="R76" s="5" t="s">
        <v>166</v>
      </c>
      <c r="S76" s="5" t="s">
        <v>166</v>
      </c>
      <c r="T76" s="5" t="str">
        <f t="shared" si="15"/>
        <v/>
      </c>
      <c r="U76" s="5" t="str">
        <f t="shared" si="16"/>
        <v/>
      </c>
      <c r="V76" s="5" t="str">
        <f>IF($E$4="Embrousaillement",Tableau182982[[#This Row],[SOL]],"")</f>
        <v/>
      </c>
      <c r="W76" s="5" t="str">
        <f>IF($E$4="Embrousaillement",Tableau182982[[#This Row],[L]],"")</f>
        <v/>
      </c>
      <c r="X76" s="5" t="s">
        <v>166</v>
      </c>
      <c r="Y76" s="5" t="str">
        <f t="shared" si="17"/>
        <v/>
      </c>
      <c r="Z76" s="5" t="str">
        <f t="shared" si="18"/>
        <v/>
      </c>
      <c r="AA76" s="5" t="str">
        <f t="shared" si="19"/>
        <v/>
      </c>
      <c r="AB76" s="5" t="s">
        <v>166</v>
      </c>
      <c r="AC76" s="5" t="s">
        <v>166</v>
      </c>
      <c r="AD76" s="5" t="str">
        <f t="shared" si="20"/>
        <v/>
      </c>
      <c r="AE76" s="5" t="s">
        <v>166</v>
      </c>
      <c r="AF76" s="5" t="s">
        <v>166</v>
      </c>
      <c r="AG76" s="5" t="str">
        <f t="shared" si="21"/>
        <v/>
      </c>
      <c r="AH76" s="5" t="s">
        <v>166</v>
      </c>
      <c r="AI76" s="5" t="s">
        <v>166</v>
      </c>
      <c r="AJ76" s="5" t="str">
        <f t="shared" si="22"/>
        <v/>
      </c>
      <c r="AK76" s="5" t="str">
        <f t="shared" si="23"/>
        <v/>
      </c>
      <c r="AL76" s="7" t="str">
        <f>IF(Tableau182982[[#This Row],[Age]]&lt;&gt;"",IF(Tableau182982[[#This Row],[Age]]=0,$AT$10*$B$10+SUMIF($AS$21:$AS$29,Tableau182982[[#This Row],[Age]],$AU$21:$AU$29)*$B$10+$AT$11*$B$10,SUMIF($AS$21:$AS$29,Tableau182982[[#This Row],[Age]],$AU$21:$AU$29)*$B$10+$AT$11*$B$10),"")</f>
        <v/>
      </c>
      <c r="AM76" s="7" t="str">
        <f>IF(Tableau182982[[#This Row],[Age]]&lt;&gt;"",IF(Tableau182982[[#This Row],[Age]]=$B$11,$AT$10*$B$10,0)+Tableau182982[[#This Row],[VBO]]*$AX$21*$B$10+Tableau182982[[#This Row],[VBI]]*$AX$22*$B$10+Tableau182982[[#This Row],[VBE]]*$AX$23*$B$10,"")</f>
        <v/>
      </c>
      <c r="AN76" s="7" t="s">
        <v>166</v>
      </c>
      <c r="AO76" s="7" t="s">
        <v>166</v>
      </c>
      <c r="AP76" s="7" t="str">
        <f>IF(Tableau182982[[#This Row],[Age]]&lt;&gt;"",Tableau182982[[#This Row],[RA]]-Tableau182982[[#This Row],[DA]],"")</f>
        <v/>
      </c>
    </row>
    <row r="77" spans="1:42" ht="15" customHeight="1" x14ac:dyDescent="0.2">
      <c r="A77" s="3" t="s">
        <v>12</v>
      </c>
      <c r="B77" s="3" t="s">
        <v>120</v>
      </c>
      <c r="C77" s="3" t="s">
        <v>127</v>
      </c>
      <c r="L77" s="4"/>
      <c r="M77" s="4"/>
      <c r="N77" s="4"/>
      <c r="O77" s="5" t="str">
        <f t="shared" si="12"/>
        <v/>
      </c>
      <c r="P77" s="5" t="str">
        <f t="shared" si="13"/>
        <v/>
      </c>
      <c r="Q77" s="5" t="str">
        <f t="shared" si="14"/>
        <v/>
      </c>
      <c r="R77" s="5" t="s">
        <v>166</v>
      </c>
      <c r="S77" s="5" t="s">
        <v>166</v>
      </c>
      <c r="T77" s="5" t="str">
        <f t="shared" si="15"/>
        <v/>
      </c>
      <c r="U77" s="5" t="str">
        <f t="shared" si="16"/>
        <v/>
      </c>
      <c r="V77" s="5" t="str">
        <f>IF($E$4="Embrousaillement",Tableau182982[[#This Row],[SOL]],"")</f>
        <v/>
      </c>
      <c r="W77" s="5" t="str">
        <f>IF($E$4="Embrousaillement",Tableau182982[[#This Row],[L]],"")</f>
        <v/>
      </c>
      <c r="X77" s="5" t="s">
        <v>166</v>
      </c>
      <c r="Y77" s="5" t="str">
        <f t="shared" si="17"/>
        <v/>
      </c>
      <c r="Z77" s="5" t="str">
        <f t="shared" si="18"/>
        <v/>
      </c>
      <c r="AA77" s="5" t="str">
        <f t="shared" si="19"/>
        <v/>
      </c>
      <c r="AB77" s="5" t="s">
        <v>166</v>
      </c>
      <c r="AC77" s="5" t="s">
        <v>166</v>
      </c>
      <c r="AD77" s="5" t="str">
        <f t="shared" si="20"/>
        <v/>
      </c>
      <c r="AE77" s="5" t="s">
        <v>166</v>
      </c>
      <c r="AF77" s="5" t="s">
        <v>166</v>
      </c>
      <c r="AG77" s="5" t="str">
        <f t="shared" si="21"/>
        <v/>
      </c>
      <c r="AH77" s="5" t="s">
        <v>166</v>
      </c>
      <c r="AI77" s="5" t="s">
        <v>166</v>
      </c>
      <c r="AJ77" s="5" t="str">
        <f t="shared" si="22"/>
        <v/>
      </c>
      <c r="AK77" s="5" t="str">
        <f t="shared" si="23"/>
        <v/>
      </c>
      <c r="AL77" s="7" t="str">
        <f>IF(Tableau182982[[#This Row],[Age]]&lt;&gt;"",IF(Tableau182982[[#This Row],[Age]]=0,$AT$10*$B$10+SUMIF($AS$21:$AS$29,Tableau182982[[#This Row],[Age]],$AU$21:$AU$29)*$B$10+$AT$11*$B$10,SUMIF($AS$21:$AS$29,Tableau182982[[#This Row],[Age]],$AU$21:$AU$29)*$B$10+$AT$11*$B$10),"")</f>
        <v/>
      </c>
      <c r="AM77" s="7" t="str">
        <f>IF(Tableau182982[[#This Row],[Age]]&lt;&gt;"",IF(Tableau182982[[#This Row],[Age]]=$B$11,$AT$10*$B$10,0)+Tableau182982[[#This Row],[VBO]]*$AX$21*$B$10+Tableau182982[[#This Row],[VBI]]*$AX$22*$B$10+Tableau182982[[#This Row],[VBE]]*$AX$23*$B$10,"")</f>
        <v/>
      </c>
      <c r="AN77" s="7" t="s">
        <v>166</v>
      </c>
      <c r="AO77" s="7" t="s">
        <v>166</v>
      </c>
      <c r="AP77" s="7" t="str">
        <f>IF(Tableau182982[[#This Row],[Age]]&lt;&gt;"",Tableau182982[[#This Row],[RA]]-Tableau182982[[#This Row],[DA]],"")</f>
        <v/>
      </c>
    </row>
    <row r="78" spans="1:42" ht="15" customHeight="1" x14ac:dyDescent="0.2">
      <c r="A78" s="3" t="s">
        <v>13</v>
      </c>
      <c r="B78" s="3" t="s">
        <v>120</v>
      </c>
      <c r="C78" s="3" t="s">
        <v>128</v>
      </c>
      <c r="L78" s="4"/>
      <c r="M78" s="4"/>
      <c r="N78" s="4"/>
      <c r="O78" s="5" t="str">
        <f t="shared" si="12"/>
        <v/>
      </c>
      <c r="P78" s="5" t="str">
        <f t="shared" si="13"/>
        <v/>
      </c>
      <c r="Q78" s="5" t="str">
        <f t="shared" si="14"/>
        <v/>
      </c>
      <c r="R78" s="5" t="s">
        <v>166</v>
      </c>
      <c r="S78" s="5" t="s">
        <v>166</v>
      </c>
      <c r="T78" s="5" t="str">
        <f t="shared" si="15"/>
        <v/>
      </c>
      <c r="U78" s="5" t="str">
        <f t="shared" si="16"/>
        <v/>
      </c>
      <c r="V78" s="5" t="str">
        <f>IF($E$4="Embrousaillement",Tableau182982[[#This Row],[SOL]],"")</f>
        <v/>
      </c>
      <c r="W78" s="5" t="str">
        <f>IF($E$4="Embrousaillement",Tableau182982[[#This Row],[L]],"")</f>
        <v/>
      </c>
      <c r="X78" s="5" t="s">
        <v>166</v>
      </c>
      <c r="Y78" s="5" t="str">
        <f t="shared" si="17"/>
        <v/>
      </c>
      <c r="Z78" s="5" t="str">
        <f t="shared" si="18"/>
        <v/>
      </c>
      <c r="AA78" s="5" t="str">
        <f t="shared" si="19"/>
        <v/>
      </c>
      <c r="AB78" s="5" t="s">
        <v>166</v>
      </c>
      <c r="AC78" s="5" t="s">
        <v>166</v>
      </c>
      <c r="AD78" s="5" t="str">
        <f t="shared" si="20"/>
        <v/>
      </c>
      <c r="AE78" s="5" t="s">
        <v>166</v>
      </c>
      <c r="AF78" s="5" t="s">
        <v>166</v>
      </c>
      <c r="AG78" s="5" t="str">
        <f t="shared" si="21"/>
        <v/>
      </c>
      <c r="AH78" s="5" t="s">
        <v>166</v>
      </c>
      <c r="AI78" s="5" t="s">
        <v>166</v>
      </c>
      <c r="AJ78" s="5" t="str">
        <f t="shared" si="22"/>
        <v/>
      </c>
      <c r="AK78" s="5" t="str">
        <f t="shared" si="23"/>
        <v/>
      </c>
      <c r="AL78" s="7" t="str">
        <f>IF(Tableau182982[[#This Row],[Age]]&lt;&gt;"",IF(Tableau182982[[#This Row],[Age]]=0,$AT$10*$B$10+SUMIF($AS$21:$AS$29,Tableau182982[[#This Row],[Age]],$AU$21:$AU$29)*$B$10+$AT$11*$B$10,SUMIF($AS$21:$AS$29,Tableau182982[[#This Row],[Age]],$AU$21:$AU$29)*$B$10+$AT$11*$B$10),"")</f>
        <v/>
      </c>
      <c r="AM78" s="7" t="str">
        <f>IF(Tableau182982[[#This Row],[Age]]&lt;&gt;"",IF(Tableau182982[[#This Row],[Age]]=$B$11,$AT$10*$B$10,0)+Tableau182982[[#This Row],[VBO]]*$AX$21*$B$10+Tableau182982[[#This Row],[VBI]]*$AX$22*$B$10+Tableau182982[[#This Row],[VBE]]*$AX$23*$B$10,"")</f>
        <v/>
      </c>
      <c r="AN78" s="7" t="s">
        <v>166</v>
      </c>
      <c r="AO78" s="7" t="s">
        <v>166</v>
      </c>
      <c r="AP78" s="7" t="str">
        <f>IF(Tableau182982[[#This Row],[Age]]&lt;&gt;"",Tableau182982[[#This Row],[RA]]-Tableau182982[[#This Row],[DA]],"")</f>
        <v/>
      </c>
    </row>
    <row r="79" spans="1:42" ht="15" customHeight="1" x14ac:dyDescent="0.2">
      <c r="A79" s="3" t="s">
        <v>14</v>
      </c>
      <c r="B79" s="3" t="s">
        <v>123</v>
      </c>
      <c r="C79" s="3" t="s">
        <v>129</v>
      </c>
      <c r="L79" s="4"/>
      <c r="M79" s="4"/>
      <c r="N79" s="4"/>
      <c r="O79" s="5" t="str">
        <f t="shared" si="12"/>
        <v/>
      </c>
      <c r="P79" s="5" t="str">
        <f t="shared" si="13"/>
        <v/>
      </c>
      <c r="Q79" s="5" t="str">
        <f t="shared" si="14"/>
        <v/>
      </c>
      <c r="R79" s="5" t="s">
        <v>166</v>
      </c>
      <c r="S79" s="5" t="s">
        <v>166</v>
      </c>
      <c r="T79" s="5" t="str">
        <f t="shared" si="15"/>
        <v/>
      </c>
      <c r="U79" s="5" t="str">
        <f t="shared" si="16"/>
        <v/>
      </c>
      <c r="V79" s="5" t="str">
        <f>IF($E$4="Embrousaillement",Tableau182982[[#This Row],[SOL]],"")</f>
        <v/>
      </c>
      <c r="W79" s="5" t="str">
        <f>IF($E$4="Embrousaillement",Tableau182982[[#This Row],[L]],"")</f>
        <v/>
      </c>
      <c r="X79" s="5" t="s">
        <v>166</v>
      </c>
      <c r="Y79" s="5" t="str">
        <f t="shared" si="17"/>
        <v/>
      </c>
      <c r="Z79" s="5" t="str">
        <f t="shared" si="18"/>
        <v/>
      </c>
      <c r="AA79" s="5" t="str">
        <f t="shared" si="19"/>
        <v/>
      </c>
      <c r="AB79" s="5" t="s">
        <v>166</v>
      </c>
      <c r="AC79" s="5" t="s">
        <v>166</v>
      </c>
      <c r="AD79" s="5" t="str">
        <f t="shared" si="20"/>
        <v/>
      </c>
      <c r="AE79" s="5" t="s">
        <v>166</v>
      </c>
      <c r="AF79" s="5" t="s">
        <v>166</v>
      </c>
      <c r="AG79" s="5" t="str">
        <f t="shared" si="21"/>
        <v/>
      </c>
      <c r="AH79" s="5" t="s">
        <v>166</v>
      </c>
      <c r="AI79" s="5" t="s">
        <v>166</v>
      </c>
      <c r="AJ79" s="5" t="str">
        <f t="shared" si="22"/>
        <v/>
      </c>
      <c r="AK79" s="5" t="str">
        <f t="shared" si="23"/>
        <v/>
      </c>
      <c r="AL79" s="7" t="str">
        <f>IF(Tableau182982[[#This Row],[Age]]&lt;&gt;"",IF(Tableau182982[[#This Row],[Age]]=0,$AT$10*$B$10+SUMIF($AS$21:$AS$29,Tableau182982[[#This Row],[Age]],$AU$21:$AU$29)*$B$10+$AT$11*$B$10,SUMIF($AS$21:$AS$29,Tableau182982[[#This Row],[Age]],$AU$21:$AU$29)*$B$10+$AT$11*$B$10),"")</f>
        <v/>
      </c>
      <c r="AM79" s="7" t="str">
        <f>IF(Tableau182982[[#This Row],[Age]]&lt;&gt;"",IF(Tableau182982[[#This Row],[Age]]=$B$11,$AT$10*$B$10,0)+Tableau182982[[#This Row],[VBO]]*$AX$21*$B$10+Tableau182982[[#This Row],[VBI]]*$AX$22*$B$10+Tableau182982[[#This Row],[VBE]]*$AX$23*$B$10,"")</f>
        <v/>
      </c>
      <c r="AN79" s="7" t="s">
        <v>166</v>
      </c>
      <c r="AO79" s="7" t="s">
        <v>166</v>
      </c>
      <c r="AP79" s="7" t="str">
        <f>IF(Tableau182982[[#This Row],[Age]]&lt;&gt;"",Tableau182982[[#This Row],[RA]]-Tableau182982[[#This Row],[DA]],"")</f>
        <v/>
      </c>
    </row>
    <row r="80" spans="1:42" ht="15" customHeight="1" x14ac:dyDescent="0.2">
      <c r="A80" s="3" t="s">
        <v>15</v>
      </c>
      <c r="B80" s="3" t="s">
        <v>113</v>
      </c>
      <c r="C80" s="3" t="s">
        <v>130</v>
      </c>
      <c r="L80" s="4"/>
      <c r="M80" s="4"/>
      <c r="N80" s="4"/>
      <c r="O80" s="5" t="str">
        <f t="shared" si="12"/>
        <v/>
      </c>
      <c r="P80" s="5" t="str">
        <f t="shared" si="13"/>
        <v/>
      </c>
      <c r="Q80" s="5" t="str">
        <f t="shared" si="14"/>
        <v/>
      </c>
      <c r="R80" s="5" t="s">
        <v>166</v>
      </c>
      <c r="S80" s="5" t="s">
        <v>166</v>
      </c>
      <c r="T80" s="5" t="str">
        <f t="shared" si="15"/>
        <v/>
      </c>
      <c r="U80" s="5" t="str">
        <f t="shared" si="16"/>
        <v/>
      </c>
      <c r="V80" s="5" t="str">
        <f>IF($E$4="Embrousaillement",Tableau182982[[#This Row],[SOL]],"")</f>
        <v/>
      </c>
      <c r="W80" s="5" t="str">
        <f>IF($E$4="Embrousaillement",Tableau182982[[#This Row],[L]],"")</f>
        <v/>
      </c>
      <c r="X80" s="5" t="s">
        <v>166</v>
      </c>
      <c r="Y80" s="5" t="str">
        <f t="shared" si="17"/>
        <v/>
      </c>
      <c r="Z80" s="5" t="str">
        <f t="shared" si="18"/>
        <v/>
      </c>
      <c r="AA80" s="5" t="str">
        <f t="shared" si="19"/>
        <v/>
      </c>
      <c r="AB80" s="5" t="s">
        <v>166</v>
      </c>
      <c r="AC80" s="5" t="s">
        <v>166</v>
      </c>
      <c r="AD80" s="5" t="str">
        <f t="shared" si="20"/>
        <v/>
      </c>
      <c r="AE80" s="5" t="s">
        <v>166</v>
      </c>
      <c r="AF80" s="5" t="s">
        <v>166</v>
      </c>
      <c r="AG80" s="5" t="str">
        <f t="shared" si="21"/>
        <v/>
      </c>
      <c r="AH80" s="5" t="s">
        <v>166</v>
      </c>
      <c r="AI80" s="5" t="s">
        <v>166</v>
      </c>
      <c r="AJ80" s="5" t="str">
        <f t="shared" si="22"/>
        <v/>
      </c>
      <c r="AK80" s="5" t="str">
        <f t="shared" si="23"/>
        <v/>
      </c>
      <c r="AL80" s="7" t="str">
        <f>IF(Tableau182982[[#This Row],[Age]]&lt;&gt;"",IF(Tableau182982[[#This Row],[Age]]=0,$AT$10*$B$10+SUMIF($AS$21:$AS$29,Tableau182982[[#This Row],[Age]],$AU$21:$AU$29)*$B$10+$AT$11*$B$10,SUMIF($AS$21:$AS$29,Tableau182982[[#This Row],[Age]],$AU$21:$AU$29)*$B$10+$AT$11*$B$10),"")</f>
        <v/>
      </c>
      <c r="AM80" s="7" t="str">
        <f>IF(Tableau182982[[#This Row],[Age]]&lt;&gt;"",IF(Tableau182982[[#This Row],[Age]]=$B$11,$AT$10*$B$10,0)+Tableau182982[[#This Row],[VBO]]*$AX$21*$B$10+Tableau182982[[#This Row],[VBI]]*$AX$22*$B$10+Tableau182982[[#This Row],[VBE]]*$AX$23*$B$10,"")</f>
        <v/>
      </c>
      <c r="AN80" s="7" t="s">
        <v>166</v>
      </c>
      <c r="AO80" s="7" t="s">
        <v>166</v>
      </c>
      <c r="AP80" s="7" t="str">
        <f>IF(Tableau182982[[#This Row],[Age]]&lt;&gt;"",Tableau182982[[#This Row],[RA]]-Tableau182982[[#This Row],[DA]],"")</f>
        <v/>
      </c>
    </row>
    <row r="81" spans="1:42" ht="15" customHeight="1" x14ac:dyDescent="0.2">
      <c r="A81" s="3" t="s">
        <v>16</v>
      </c>
      <c r="B81" s="3" t="s">
        <v>113</v>
      </c>
      <c r="C81" s="3" t="s">
        <v>131</v>
      </c>
      <c r="L81" s="4"/>
      <c r="M81" s="4"/>
      <c r="N81" s="4"/>
      <c r="O81" s="5" t="str">
        <f t="shared" si="12"/>
        <v/>
      </c>
      <c r="P81" s="5" t="str">
        <f t="shared" si="13"/>
        <v/>
      </c>
      <c r="Q81" s="5" t="str">
        <f t="shared" si="14"/>
        <v/>
      </c>
      <c r="R81" s="5" t="s">
        <v>166</v>
      </c>
      <c r="S81" s="5" t="s">
        <v>166</v>
      </c>
      <c r="T81" s="5" t="str">
        <f t="shared" si="15"/>
        <v/>
      </c>
      <c r="U81" s="5" t="str">
        <f t="shared" si="16"/>
        <v/>
      </c>
      <c r="V81" s="5" t="str">
        <f>IF($E$4="Embrousaillement",Tableau182982[[#This Row],[SOL]],"")</f>
        <v/>
      </c>
      <c r="W81" s="5" t="str">
        <f>IF($E$4="Embrousaillement",Tableau182982[[#This Row],[L]],"")</f>
        <v/>
      </c>
      <c r="X81" s="5" t="s">
        <v>166</v>
      </c>
      <c r="Y81" s="5" t="str">
        <f t="shared" si="17"/>
        <v/>
      </c>
      <c r="Z81" s="5" t="str">
        <f t="shared" si="18"/>
        <v/>
      </c>
      <c r="AA81" s="5" t="str">
        <f t="shared" si="19"/>
        <v/>
      </c>
      <c r="AB81" s="5" t="s">
        <v>166</v>
      </c>
      <c r="AC81" s="5" t="s">
        <v>166</v>
      </c>
      <c r="AD81" s="5" t="str">
        <f t="shared" si="20"/>
        <v/>
      </c>
      <c r="AE81" s="5" t="s">
        <v>166</v>
      </c>
      <c r="AF81" s="5" t="s">
        <v>166</v>
      </c>
      <c r="AG81" s="5" t="str">
        <f t="shared" si="21"/>
        <v/>
      </c>
      <c r="AH81" s="5" t="s">
        <v>166</v>
      </c>
      <c r="AI81" s="5" t="s">
        <v>166</v>
      </c>
      <c r="AJ81" s="5" t="str">
        <f t="shared" si="22"/>
        <v/>
      </c>
      <c r="AK81" s="5" t="str">
        <f t="shared" si="23"/>
        <v/>
      </c>
      <c r="AL81" s="7" t="str">
        <f>IF(Tableau182982[[#This Row],[Age]]&lt;&gt;"",IF(Tableau182982[[#This Row],[Age]]=0,$AT$10*$B$10+SUMIF($AS$21:$AS$29,Tableau182982[[#This Row],[Age]],$AU$21:$AU$29)*$B$10+$AT$11*$B$10,SUMIF($AS$21:$AS$29,Tableau182982[[#This Row],[Age]],$AU$21:$AU$29)*$B$10+$AT$11*$B$10),"")</f>
        <v/>
      </c>
      <c r="AM81" s="7" t="str">
        <f>IF(Tableau182982[[#This Row],[Age]]&lt;&gt;"",IF(Tableau182982[[#This Row],[Age]]=$B$11,$AT$10*$B$10,0)+Tableau182982[[#This Row],[VBO]]*$AX$21*$B$10+Tableau182982[[#This Row],[VBI]]*$AX$22*$B$10+Tableau182982[[#This Row],[VBE]]*$AX$23*$B$10,"")</f>
        <v/>
      </c>
      <c r="AN81" s="7" t="s">
        <v>166</v>
      </c>
      <c r="AO81" s="7" t="s">
        <v>166</v>
      </c>
      <c r="AP81" s="7" t="str">
        <f>IF(Tableau182982[[#This Row],[Age]]&lt;&gt;"",Tableau182982[[#This Row],[RA]]-Tableau182982[[#This Row],[DA]],"")</f>
        <v/>
      </c>
    </row>
    <row r="82" spans="1:42" ht="15" customHeight="1" x14ac:dyDescent="0.2">
      <c r="A82" s="3" t="s">
        <v>17</v>
      </c>
      <c r="B82" s="3" t="s">
        <v>113</v>
      </c>
      <c r="C82" s="3" t="s">
        <v>132</v>
      </c>
      <c r="L82" s="4"/>
      <c r="M82" s="4"/>
      <c r="N82" s="4"/>
      <c r="O82" s="5" t="str">
        <f t="shared" si="12"/>
        <v/>
      </c>
      <c r="P82" s="5" t="str">
        <f t="shared" si="13"/>
        <v/>
      </c>
      <c r="Q82" s="5" t="str">
        <f t="shared" si="14"/>
        <v/>
      </c>
      <c r="R82" s="5" t="s">
        <v>166</v>
      </c>
      <c r="S82" s="5" t="s">
        <v>166</v>
      </c>
      <c r="T82" s="5" t="str">
        <f t="shared" si="15"/>
        <v/>
      </c>
      <c r="U82" s="5" t="str">
        <f t="shared" si="16"/>
        <v/>
      </c>
      <c r="V82" s="5" t="str">
        <f>IF($E$4="Embrousaillement",Tableau182982[[#This Row],[SOL]],"")</f>
        <v/>
      </c>
      <c r="W82" s="5" t="str">
        <f>IF($E$4="Embrousaillement",Tableau182982[[#This Row],[L]],"")</f>
        <v/>
      </c>
      <c r="X82" s="5" t="s">
        <v>166</v>
      </c>
      <c r="Y82" s="5" t="str">
        <f t="shared" si="17"/>
        <v/>
      </c>
      <c r="Z82" s="5" t="str">
        <f t="shared" si="18"/>
        <v/>
      </c>
      <c r="AA82" s="5" t="str">
        <f t="shared" si="19"/>
        <v/>
      </c>
      <c r="AB82" s="5" t="s">
        <v>166</v>
      </c>
      <c r="AC82" s="5" t="s">
        <v>166</v>
      </c>
      <c r="AD82" s="5" t="str">
        <f t="shared" si="20"/>
        <v/>
      </c>
      <c r="AE82" s="5" t="s">
        <v>166</v>
      </c>
      <c r="AF82" s="5" t="s">
        <v>166</v>
      </c>
      <c r="AG82" s="5" t="str">
        <f t="shared" si="21"/>
        <v/>
      </c>
      <c r="AH82" s="5" t="s">
        <v>166</v>
      </c>
      <c r="AI82" s="5" t="s">
        <v>166</v>
      </c>
      <c r="AJ82" s="5" t="str">
        <f t="shared" si="22"/>
        <v/>
      </c>
      <c r="AK82" s="5" t="str">
        <f t="shared" si="23"/>
        <v/>
      </c>
      <c r="AL82" s="7" t="str">
        <f>IF(Tableau182982[[#This Row],[Age]]&lt;&gt;"",IF(Tableau182982[[#This Row],[Age]]=0,$AT$10*$B$10+SUMIF($AS$21:$AS$29,Tableau182982[[#This Row],[Age]],$AU$21:$AU$29)*$B$10+$AT$11*$B$10,SUMIF($AS$21:$AS$29,Tableau182982[[#This Row],[Age]],$AU$21:$AU$29)*$B$10+$AT$11*$B$10),"")</f>
        <v/>
      </c>
      <c r="AM82" s="7" t="str">
        <f>IF(Tableau182982[[#This Row],[Age]]&lt;&gt;"",IF(Tableau182982[[#This Row],[Age]]=$B$11,$AT$10*$B$10,0)+Tableau182982[[#This Row],[VBO]]*$AX$21*$B$10+Tableau182982[[#This Row],[VBI]]*$AX$22*$B$10+Tableau182982[[#This Row],[VBE]]*$AX$23*$B$10,"")</f>
        <v/>
      </c>
      <c r="AN82" s="7" t="s">
        <v>166</v>
      </c>
      <c r="AO82" s="7" t="s">
        <v>166</v>
      </c>
      <c r="AP82" s="7" t="str">
        <f>IF(Tableau182982[[#This Row],[Age]]&lt;&gt;"",Tableau182982[[#This Row],[RA]]-Tableau182982[[#This Row],[DA]],"")</f>
        <v/>
      </c>
    </row>
    <row r="83" spans="1:42" ht="15" customHeight="1" x14ac:dyDescent="0.2">
      <c r="A83" s="3" t="s">
        <v>18</v>
      </c>
      <c r="B83" s="3" t="s">
        <v>123</v>
      </c>
      <c r="C83" s="3" t="s">
        <v>133</v>
      </c>
      <c r="L83" s="4"/>
      <c r="M83" s="4"/>
      <c r="N83" s="4"/>
      <c r="O83" s="5" t="str">
        <f t="shared" si="12"/>
        <v/>
      </c>
      <c r="P83" s="5" t="str">
        <f t="shared" si="13"/>
        <v/>
      </c>
      <c r="Q83" s="5" t="str">
        <f t="shared" si="14"/>
        <v/>
      </c>
      <c r="R83" s="5" t="s">
        <v>166</v>
      </c>
      <c r="S83" s="5" t="s">
        <v>166</v>
      </c>
      <c r="T83" s="5" t="str">
        <f t="shared" si="15"/>
        <v/>
      </c>
      <c r="U83" s="5" t="str">
        <f t="shared" si="16"/>
        <v/>
      </c>
      <c r="V83" s="5" t="str">
        <f>IF($E$4="Embrousaillement",Tableau182982[[#This Row],[SOL]],"")</f>
        <v/>
      </c>
      <c r="W83" s="5" t="str">
        <f>IF($E$4="Embrousaillement",Tableau182982[[#This Row],[L]],"")</f>
        <v/>
      </c>
      <c r="X83" s="5" t="s">
        <v>166</v>
      </c>
      <c r="Y83" s="5" t="str">
        <f t="shared" si="17"/>
        <v/>
      </c>
      <c r="Z83" s="5" t="str">
        <f t="shared" si="18"/>
        <v/>
      </c>
      <c r="AA83" s="5" t="str">
        <f t="shared" si="19"/>
        <v/>
      </c>
      <c r="AB83" s="5" t="s">
        <v>166</v>
      </c>
      <c r="AC83" s="5" t="s">
        <v>166</v>
      </c>
      <c r="AD83" s="5" t="str">
        <f t="shared" si="20"/>
        <v/>
      </c>
      <c r="AE83" s="5" t="s">
        <v>166</v>
      </c>
      <c r="AF83" s="5" t="s">
        <v>166</v>
      </c>
      <c r="AG83" s="5" t="str">
        <f t="shared" si="21"/>
        <v/>
      </c>
      <c r="AH83" s="5" t="s">
        <v>166</v>
      </c>
      <c r="AI83" s="5" t="s">
        <v>166</v>
      </c>
      <c r="AJ83" s="5" t="str">
        <f t="shared" si="22"/>
        <v/>
      </c>
      <c r="AK83" s="5" t="str">
        <f t="shared" si="23"/>
        <v/>
      </c>
      <c r="AL83" s="7" t="str">
        <f>IF(Tableau182982[[#This Row],[Age]]&lt;&gt;"",IF(Tableau182982[[#This Row],[Age]]=0,$AT$10*$B$10+SUMIF($AS$21:$AS$29,Tableau182982[[#This Row],[Age]],$AU$21:$AU$29)*$B$10+$AT$11*$B$10,SUMIF($AS$21:$AS$29,Tableau182982[[#This Row],[Age]],$AU$21:$AU$29)*$B$10+$AT$11*$B$10),"")</f>
        <v/>
      </c>
      <c r="AM83" s="7" t="str">
        <f>IF(Tableau182982[[#This Row],[Age]]&lt;&gt;"",IF(Tableau182982[[#This Row],[Age]]=$B$11,$AT$10*$B$10,0)+Tableau182982[[#This Row],[VBO]]*$AX$21*$B$10+Tableau182982[[#This Row],[VBI]]*$AX$22*$B$10+Tableau182982[[#This Row],[VBE]]*$AX$23*$B$10,"")</f>
        <v/>
      </c>
      <c r="AN83" s="7" t="s">
        <v>166</v>
      </c>
      <c r="AO83" s="7" t="s">
        <v>166</v>
      </c>
      <c r="AP83" s="7" t="str">
        <f>IF(Tableau182982[[#This Row],[Age]]&lt;&gt;"",Tableau182982[[#This Row],[RA]]-Tableau182982[[#This Row],[DA]],"")</f>
        <v/>
      </c>
    </row>
    <row r="84" spans="1:42" ht="15" customHeight="1" x14ac:dyDescent="0.2">
      <c r="A84" s="3" t="s">
        <v>19</v>
      </c>
      <c r="B84" s="3" t="s">
        <v>134</v>
      </c>
      <c r="C84" s="3" t="s">
        <v>135</v>
      </c>
      <c r="L84" s="4"/>
      <c r="M84" s="4"/>
      <c r="N84" s="4"/>
      <c r="O84" s="5" t="str">
        <f t="shared" si="12"/>
        <v/>
      </c>
      <c r="P84" s="5" t="str">
        <f t="shared" si="13"/>
        <v/>
      </c>
      <c r="Q84" s="5" t="str">
        <f t="shared" si="14"/>
        <v/>
      </c>
      <c r="R84" s="5" t="s">
        <v>166</v>
      </c>
      <c r="S84" s="5" t="s">
        <v>166</v>
      </c>
      <c r="T84" s="5" t="str">
        <f t="shared" si="15"/>
        <v/>
      </c>
      <c r="U84" s="5" t="str">
        <f t="shared" si="16"/>
        <v/>
      </c>
      <c r="V84" s="5" t="str">
        <f>IF($E$4="Embrousaillement",Tableau182982[[#This Row],[SOL]],"")</f>
        <v/>
      </c>
      <c r="W84" s="5" t="str">
        <f>IF($E$4="Embrousaillement",Tableau182982[[#This Row],[L]],"")</f>
        <v/>
      </c>
      <c r="X84" s="5" t="s">
        <v>166</v>
      </c>
      <c r="Y84" s="5" t="str">
        <f t="shared" si="17"/>
        <v/>
      </c>
      <c r="Z84" s="5" t="str">
        <f t="shared" si="18"/>
        <v/>
      </c>
      <c r="AA84" s="5" t="str">
        <f t="shared" si="19"/>
        <v/>
      </c>
      <c r="AB84" s="5" t="s">
        <v>166</v>
      </c>
      <c r="AC84" s="5" t="s">
        <v>166</v>
      </c>
      <c r="AD84" s="5" t="str">
        <f t="shared" si="20"/>
        <v/>
      </c>
      <c r="AE84" s="5" t="s">
        <v>166</v>
      </c>
      <c r="AF84" s="5" t="s">
        <v>166</v>
      </c>
      <c r="AG84" s="5" t="str">
        <f t="shared" si="21"/>
        <v/>
      </c>
      <c r="AH84" s="5" t="s">
        <v>166</v>
      </c>
      <c r="AI84" s="5" t="s">
        <v>166</v>
      </c>
      <c r="AJ84" s="5" t="str">
        <f t="shared" si="22"/>
        <v/>
      </c>
      <c r="AK84" s="5" t="str">
        <f t="shared" si="23"/>
        <v/>
      </c>
      <c r="AL84" s="7" t="str">
        <f>IF(Tableau182982[[#This Row],[Age]]&lt;&gt;"",IF(Tableau182982[[#This Row],[Age]]=0,$AT$10*$B$10+SUMIF($AS$21:$AS$29,Tableau182982[[#This Row],[Age]],$AU$21:$AU$29)*$B$10+$AT$11*$B$10,SUMIF($AS$21:$AS$29,Tableau182982[[#This Row],[Age]],$AU$21:$AU$29)*$B$10+$AT$11*$B$10),"")</f>
        <v/>
      </c>
      <c r="AM84" s="7" t="str">
        <f>IF(Tableau182982[[#This Row],[Age]]&lt;&gt;"",IF(Tableau182982[[#This Row],[Age]]=$B$11,$AT$10*$B$10,0)+Tableau182982[[#This Row],[VBO]]*$AX$21*$B$10+Tableau182982[[#This Row],[VBI]]*$AX$22*$B$10+Tableau182982[[#This Row],[VBE]]*$AX$23*$B$10,"")</f>
        <v/>
      </c>
      <c r="AN84" s="7" t="s">
        <v>166</v>
      </c>
      <c r="AO84" s="7" t="s">
        <v>166</v>
      </c>
      <c r="AP84" s="7" t="str">
        <f>IF(Tableau182982[[#This Row],[Age]]&lt;&gt;"",Tableau182982[[#This Row],[RA]]-Tableau182982[[#This Row],[DA]],"")</f>
        <v/>
      </c>
    </row>
    <row r="85" spans="1:42" ht="15" customHeight="1" x14ac:dyDescent="0.2">
      <c r="A85" s="3" t="s">
        <v>20</v>
      </c>
      <c r="B85" s="3" t="s">
        <v>123</v>
      </c>
      <c r="C85" s="3" t="s">
        <v>136</v>
      </c>
      <c r="L85" s="4"/>
      <c r="M85" s="4"/>
      <c r="N85" s="4"/>
      <c r="O85" s="5" t="str">
        <f t="shared" si="12"/>
        <v/>
      </c>
      <c r="P85" s="5" t="str">
        <f t="shared" si="13"/>
        <v/>
      </c>
      <c r="Q85" s="5" t="str">
        <f t="shared" si="14"/>
        <v/>
      </c>
      <c r="R85" s="5" t="s">
        <v>166</v>
      </c>
      <c r="S85" s="5" t="s">
        <v>166</v>
      </c>
      <c r="T85" s="5" t="str">
        <f t="shared" si="15"/>
        <v/>
      </c>
      <c r="U85" s="5" t="str">
        <f t="shared" si="16"/>
        <v/>
      </c>
      <c r="V85" s="5" t="str">
        <f>IF($E$4="Embrousaillement",Tableau182982[[#This Row],[SOL]],"")</f>
        <v/>
      </c>
      <c r="W85" s="5" t="str">
        <f>IF($E$4="Embrousaillement",Tableau182982[[#This Row],[L]],"")</f>
        <v/>
      </c>
      <c r="X85" s="5" t="s">
        <v>166</v>
      </c>
      <c r="Y85" s="5" t="str">
        <f t="shared" si="17"/>
        <v/>
      </c>
      <c r="Z85" s="5" t="str">
        <f t="shared" si="18"/>
        <v/>
      </c>
      <c r="AA85" s="5" t="str">
        <f t="shared" si="19"/>
        <v/>
      </c>
      <c r="AB85" s="5" t="s">
        <v>166</v>
      </c>
      <c r="AC85" s="5" t="s">
        <v>166</v>
      </c>
      <c r="AD85" s="5" t="str">
        <f t="shared" si="20"/>
        <v/>
      </c>
      <c r="AE85" s="5" t="s">
        <v>166</v>
      </c>
      <c r="AF85" s="5" t="s">
        <v>166</v>
      </c>
      <c r="AG85" s="5" t="str">
        <f t="shared" si="21"/>
        <v/>
      </c>
      <c r="AH85" s="5" t="s">
        <v>166</v>
      </c>
      <c r="AI85" s="5" t="s">
        <v>166</v>
      </c>
      <c r="AJ85" s="5" t="str">
        <f t="shared" si="22"/>
        <v/>
      </c>
      <c r="AK85" s="5" t="str">
        <f t="shared" si="23"/>
        <v/>
      </c>
      <c r="AL85" s="7" t="str">
        <f>IF(Tableau182982[[#This Row],[Age]]&lt;&gt;"",IF(Tableau182982[[#This Row],[Age]]=0,$AT$10*$B$10+SUMIF($AS$21:$AS$29,Tableau182982[[#This Row],[Age]],$AU$21:$AU$29)*$B$10+$AT$11*$B$10,SUMIF($AS$21:$AS$29,Tableau182982[[#This Row],[Age]],$AU$21:$AU$29)*$B$10+$AT$11*$B$10),"")</f>
        <v/>
      </c>
      <c r="AM85" s="7" t="str">
        <f>IF(Tableau182982[[#This Row],[Age]]&lt;&gt;"",IF(Tableau182982[[#This Row],[Age]]=$B$11,$AT$10*$B$10,0)+Tableau182982[[#This Row],[VBO]]*$AX$21*$B$10+Tableau182982[[#This Row],[VBI]]*$AX$22*$B$10+Tableau182982[[#This Row],[VBE]]*$AX$23*$B$10,"")</f>
        <v/>
      </c>
      <c r="AN85" s="7" t="s">
        <v>166</v>
      </c>
      <c r="AO85" s="7" t="s">
        <v>166</v>
      </c>
      <c r="AP85" s="7" t="str">
        <f>IF(Tableau182982[[#This Row],[Age]]&lt;&gt;"",Tableau182982[[#This Row],[RA]]-Tableau182982[[#This Row],[DA]],"")</f>
        <v/>
      </c>
    </row>
    <row r="86" spans="1:42" ht="15" customHeight="1" x14ac:dyDescent="0.2">
      <c r="A86" s="3" t="s">
        <v>21</v>
      </c>
      <c r="B86" s="3" t="s">
        <v>123</v>
      </c>
      <c r="C86" s="3" t="s">
        <v>137</v>
      </c>
      <c r="L86" s="4"/>
      <c r="M86" s="4"/>
      <c r="N86" s="4"/>
      <c r="O86" s="5" t="str">
        <f t="shared" si="12"/>
        <v/>
      </c>
      <c r="P86" s="5" t="str">
        <f t="shared" si="13"/>
        <v/>
      </c>
      <c r="Q86" s="5" t="str">
        <f t="shared" si="14"/>
        <v/>
      </c>
      <c r="R86" s="5" t="s">
        <v>166</v>
      </c>
      <c r="S86" s="5" t="s">
        <v>166</v>
      </c>
      <c r="T86" s="5" t="str">
        <f t="shared" si="15"/>
        <v/>
      </c>
      <c r="U86" s="5" t="str">
        <f t="shared" si="16"/>
        <v/>
      </c>
      <c r="V86" s="5" t="str">
        <f>IF($E$4="Embrousaillement",Tableau182982[[#This Row],[SOL]],"")</f>
        <v/>
      </c>
      <c r="W86" s="5" t="str">
        <f>IF($E$4="Embrousaillement",Tableau182982[[#This Row],[L]],"")</f>
        <v/>
      </c>
      <c r="X86" s="5" t="s">
        <v>166</v>
      </c>
      <c r="Y86" s="5" t="str">
        <f t="shared" si="17"/>
        <v/>
      </c>
      <c r="Z86" s="5" t="str">
        <f t="shared" si="18"/>
        <v/>
      </c>
      <c r="AA86" s="5" t="str">
        <f t="shared" si="19"/>
        <v/>
      </c>
      <c r="AB86" s="5" t="s">
        <v>166</v>
      </c>
      <c r="AC86" s="5" t="s">
        <v>166</v>
      </c>
      <c r="AD86" s="5" t="str">
        <f t="shared" si="20"/>
        <v/>
      </c>
      <c r="AE86" s="5" t="s">
        <v>166</v>
      </c>
      <c r="AF86" s="5" t="s">
        <v>166</v>
      </c>
      <c r="AG86" s="5" t="str">
        <f t="shared" si="21"/>
        <v/>
      </c>
      <c r="AH86" s="5" t="s">
        <v>166</v>
      </c>
      <c r="AI86" s="5" t="s">
        <v>166</v>
      </c>
      <c r="AJ86" s="5" t="str">
        <f t="shared" si="22"/>
        <v/>
      </c>
      <c r="AK86" s="5" t="str">
        <f t="shared" si="23"/>
        <v/>
      </c>
      <c r="AL86" s="7" t="str">
        <f>IF(Tableau182982[[#This Row],[Age]]&lt;&gt;"",IF(Tableau182982[[#This Row],[Age]]=0,$AT$10*$B$10+SUMIF($AS$21:$AS$29,Tableau182982[[#This Row],[Age]],$AU$21:$AU$29)*$B$10+$AT$11*$B$10,SUMIF($AS$21:$AS$29,Tableau182982[[#This Row],[Age]],$AU$21:$AU$29)*$B$10+$AT$11*$B$10),"")</f>
        <v/>
      </c>
      <c r="AM86" s="7" t="str">
        <f>IF(Tableau182982[[#This Row],[Age]]&lt;&gt;"",IF(Tableau182982[[#This Row],[Age]]=$B$11,$AT$10*$B$10,0)+Tableau182982[[#This Row],[VBO]]*$AX$21*$B$10+Tableau182982[[#This Row],[VBI]]*$AX$22*$B$10+Tableau182982[[#This Row],[VBE]]*$AX$23*$B$10,"")</f>
        <v/>
      </c>
      <c r="AN86" s="7" t="s">
        <v>166</v>
      </c>
      <c r="AO86" s="7" t="s">
        <v>166</v>
      </c>
      <c r="AP86" s="7" t="str">
        <f>IF(Tableau182982[[#This Row],[Age]]&lt;&gt;"",Tableau182982[[#This Row],[RA]]-Tableau182982[[#This Row],[DA]],"")</f>
        <v/>
      </c>
    </row>
    <row r="87" spans="1:42" ht="15" customHeight="1" x14ac:dyDescent="0.2">
      <c r="A87" s="3" t="s">
        <v>22</v>
      </c>
      <c r="B87" s="3" t="s">
        <v>134</v>
      </c>
      <c r="C87" s="3" t="s">
        <v>138</v>
      </c>
      <c r="L87" s="4"/>
      <c r="M87" s="4"/>
      <c r="N87" s="4"/>
      <c r="O87" s="5" t="str">
        <f t="shared" si="12"/>
        <v/>
      </c>
      <c r="P87" s="5" t="str">
        <f t="shared" si="13"/>
        <v/>
      </c>
      <c r="Q87" s="5" t="str">
        <f t="shared" si="14"/>
        <v/>
      </c>
      <c r="R87" s="5" t="s">
        <v>166</v>
      </c>
      <c r="S87" s="5" t="s">
        <v>166</v>
      </c>
      <c r="T87" s="5" t="str">
        <f t="shared" si="15"/>
        <v/>
      </c>
      <c r="U87" s="5" t="str">
        <f t="shared" si="16"/>
        <v/>
      </c>
      <c r="V87" s="5" t="str">
        <f>IF($E$4="Embrousaillement",Tableau182982[[#This Row],[SOL]],"")</f>
        <v/>
      </c>
      <c r="W87" s="5" t="str">
        <f>IF($E$4="Embrousaillement",Tableau182982[[#This Row],[L]],"")</f>
        <v/>
      </c>
      <c r="X87" s="5" t="s">
        <v>166</v>
      </c>
      <c r="Y87" s="5" t="str">
        <f t="shared" si="17"/>
        <v/>
      </c>
      <c r="Z87" s="5" t="str">
        <f t="shared" si="18"/>
        <v/>
      </c>
      <c r="AA87" s="5" t="str">
        <f t="shared" si="19"/>
        <v/>
      </c>
      <c r="AB87" s="5" t="s">
        <v>166</v>
      </c>
      <c r="AC87" s="5" t="s">
        <v>166</v>
      </c>
      <c r="AD87" s="5" t="str">
        <f t="shared" si="20"/>
        <v/>
      </c>
      <c r="AE87" s="5" t="s">
        <v>166</v>
      </c>
      <c r="AF87" s="5" t="s">
        <v>166</v>
      </c>
      <c r="AG87" s="5" t="str">
        <f t="shared" si="21"/>
        <v/>
      </c>
      <c r="AH87" s="5" t="s">
        <v>166</v>
      </c>
      <c r="AI87" s="5" t="s">
        <v>166</v>
      </c>
      <c r="AJ87" s="5" t="str">
        <f t="shared" si="22"/>
        <v/>
      </c>
      <c r="AK87" s="5" t="str">
        <f t="shared" si="23"/>
        <v/>
      </c>
      <c r="AL87" s="7" t="str">
        <f>IF(Tableau182982[[#This Row],[Age]]&lt;&gt;"",IF(Tableau182982[[#This Row],[Age]]=0,$AT$10*$B$10+SUMIF($AS$21:$AS$29,Tableau182982[[#This Row],[Age]],$AU$21:$AU$29)*$B$10+$AT$11*$B$10,SUMIF($AS$21:$AS$29,Tableau182982[[#This Row],[Age]],$AU$21:$AU$29)*$B$10+$AT$11*$B$10),"")</f>
        <v/>
      </c>
      <c r="AM87" s="7" t="str">
        <f>IF(Tableau182982[[#This Row],[Age]]&lt;&gt;"",IF(Tableau182982[[#This Row],[Age]]=$B$11,$AT$10*$B$10,0)+Tableau182982[[#This Row],[VBO]]*$AX$21*$B$10+Tableau182982[[#This Row],[VBI]]*$AX$22*$B$10+Tableau182982[[#This Row],[VBE]]*$AX$23*$B$10,"")</f>
        <v/>
      </c>
      <c r="AN87" s="7" t="s">
        <v>166</v>
      </c>
      <c r="AO87" s="7" t="s">
        <v>166</v>
      </c>
      <c r="AP87" s="7" t="str">
        <f>IF(Tableau182982[[#This Row],[Age]]&lt;&gt;"",Tableau182982[[#This Row],[RA]]-Tableau182982[[#This Row],[DA]],"")</f>
        <v/>
      </c>
    </row>
    <row r="88" spans="1:42" ht="15" customHeight="1" x14ac:dyDescent="0.2">
      <c r="A88" s="3" t="s">
        <v>23</v>
      </c>
      <c r="B88" s="3" t="s">
        <v>123</v>
      </c>
      <c r="C88" s="3" t="s">
        <v>139</v>
      </c>
      <c r="L88" s="4"/>
      <c r="M88" s="4"/>
      <c r="N88" s="4"/>
      <c r="O88" s="5" t="str">
        <f t="shared" si="12"/>
        <v/>
      </c>
      <c r="P88" s="5" t="str">
        <f t="shared" si="13"/>
        <v/>
      </c>
      <c r="Q88" s="5" t="str">
        <f t="shared" si="14"/>
        <v/>
      </c>
      <c r="R88" s="5" t="s">
        <v>166</v>
      </c>
      <c r="S88" s="5" t="s">
        <v>166</v>
      </c>
      <c r="T88" s="5" t="str">
        <f t="shared" si="15"/>
        <v/>
      </c>
      <c r="U88" s="5" t="str">
        <f t="shared" si="16"/>
        <v/>
      </c>
      <c r="V88" s="5" t="str">
        <f>IF($E$4="Embrousaillement",Tableau182982[[#This Row],[SOL]],"")</f>
        <v/>
      </c>
      <c r="W88" s="5" t="str">
        <f>IF($E$4="Embrousaillement",Tableau182982[[#This Row],[L]],"")</f>
        <v/>
      </c>
      <c r="X88" s="5" t="s">
        <v>166</v>
      </c>
      <c r="Y88" s="5" t="str">
        <f t="shared" si="17"/>
        <v/>
      </c>
      <c r="Z88" s="5" t="str">
        <f t="shared" si="18"/>
        <v/>
      </c>
      <c r="AA88" s="5" t="str">
        <f t="shared" si="19"/>
        <v/>
      </c>
      <c r="AB88" s="5" t="s">
        <v>166</v>
      </c>
      <c r="AC88" s="5" t="s">
        <v>166</v>
      </c>
      <c r="AD88" s="5" t="str">
        <f t="shared" si="20"/>
        <v/>
      </c>
      <c r="AE88" s="5" t="s">
        <v>166</v>
      </c>
      <c r="AF88" s="5" t="s">
        <v>166</v>
      </c>
      <c r="AG88" s="5" t="str">
        <f t="shared" si="21"/>
        <v/>
      </c>
      <c r="AH88" s="5" t="s">
        <v>166</v>
      </c>
      <c r="AI88" s="5" t="s">
        <v>166</v>
      </c>
      <c r="AJ88" s="5" t="str">
        <f t="shared" si="22"/>
        <v/>
      </c>
      <c r="AK88" s="5" t="str">
        <f t="shared" si="23"/>
        <v/>
      </c>
      <c r="AL88" s="7" t="str">
        <f>IF(Tableau182982[[#This Row],[Age]]&lt;&gt;"",IF(Tableau182982[[#This Row],[Age]]=0,$AT$10*$B$10+SUMIF($AS$21:$AS$29,Tableau182982[[#This Row],[Age]],$AU$21:$AU$29)*$B$10+$AT$11*$B$10,SUMIF($AS$21:$AS$29,Tableau182982[[#This Row],[Age]],$AU$21:$AU$29)*$B$10+$AT$11*$B$10),"")</f>
        <v/>
      </c>
      <c r="AM88" s="7" t="str">
        <f>IF(Tableau182982[[#This Row],[Age]]&lt;&gt;"",IF(Tableau182982[[#This Row],[Age]]=$B$11,$AT$10*$B$10,0)+Tableau182982[[#This Row],[VBO]]*$AX$21*$B$10+Tableau182982[[#This Row],[VBI]]*$AX$22*$B$10+Tableau182982[[#This Row],[VBE]]*$AX$23*$B$10,"")</f>
        <v/>
      </c>
      <c r="AN88" s="7" t="s">
        <v>166</v>
      </c>
      <c r="AO88" s="7" t="s">
        <v>166</v>
      </c>
      <c r="AP88" s="7" t="str">
        <f>IF(Tableau182982[[#This Row],[Age]]&lt;&gt;"",Tableau182982[[#This Row],[RA]]-Tableau182982[[#This Row],[DA]],"")</f>
        <v/>
      </c>
    </row>
    <row r="89" spans="1:42" ht="15" customHeight="1" x14ac:dyDescent="0.2">
      <c r="A89" s="3" t="s">
        <v>24</v>
      </c>
      <c r="B89" s="3" t="s">
        <v>123</v>
      </c>
      <c r="C89" s="3" t="s">
        <v>140</v>
      </c>
      <c r="L89" s="4"/>
      <c r="M89" s="4"/>
      <c r="N89" s="4"/>
      <c r="O89" s="5" t="str">
        <f t="shared" si="12"/>
        <v/>
      </c>
      <c r="P89" s="5" t="str">
        <f t="shared" si="13"/>
        <v/>
      </c>
      <c r="Q89" s="5" t="str">
        <f t="shared" si="14"/>
        <v/>
      </c>
      <c r="R89" s="5" t="s">
        <v>166</v>
      </c>
      <c r="S89" s="5" t="s">
        <v>166</v>
      </c>
      <c r="T89" s="5" t="str">
        <f t="shared" si="15"/>
        <v/>
      </c>
      <c r="U89" s="5" t="str">
        <f t="shared" si="16"/>
        <v/>
      </c>
      <c r="V89" s="5" t="str">
        <f>IF($E$4="Embrousaillement",Tableau182982[[#This Row],[SOL]],"")</f>
        <v/>
      </c>
      <c r="W89" s="5" t="str">
        <f>IF($E$4="Embrousaillement",Tableau182982[[#This Row],[L]],"")</f>
        <v/>
      </c>
      <c r="X89" s="5" t="s">
        <v>166</v>
      </c>
      <c r="Y89" s="5" t="str">
        <f t="shared" si="17"/>
        <v/>
      </c>
      <c r="Z89" s="5" t="str">
        <f t="shared" si="18"/>
        <v/>
      </c>
      <c r="AA89" s="5" t="str">
        <f t="shared" si="19"/>
        <v/>
      </c>
      <c r="AB89" s="5" t="s">
        <v>166</v>
      </c>
      <c r="AC89" s="5" t="s">
        <v>166</v>
      </c>
      <c r="AD89" s="5" t="str">
        <f t="shared" si="20"/>
        <v/>
      </c>
      <c r="AE89" s="5" t="s">
        <v>166</v>
      </c>
      <c r="AF89" s="5" t="s">
        <v>166</v>
      </c>
      <c r="AG89" s="5" t="str">
        <f t="shared" si="21"/>
        <v/>
      </c>
      <c r="AH89" s="5" t="s">
        <v>166</v>
      </c>
      <c r="AI89" s="5" t="s">
        <v>166</v>
      </c>
      <c r="AJ89" s="5" t="str">
        <f t="shared" si="22"/>
        <v/>
      </c>
      <c r="AK89" s="5" t="str">
        <f t="shared" si="23"/>
        <v/>
      </c>
      <c r="AL89" s="7" t="str">
        <f>IF(Tableau182982[[#This Row],[Age]]&lt;&gt;"",IF(Tableau182982[[#This Row],[Age]]=0,$AT$10*$B$10+SUMIF($AS$21:$AS$29,Tableau182982[[#This Row],[Age]],$AU$21:$AU$29)*$B$10+$AT$11*$B$10,SUMIF($AS$21:$AS$29,Tableau182982[[#This Row],[Age]],$AU$21:$AU$29)*$B$10+$AT$11*$B$10),"")</f>
        <v/>
      </c>
      <c r="AM89" s="7" t="str">
        <f>IF(Tableau182982[[#This Row],[Age]]&lt;&gt;"",IF(Tableau182982[[#This Row],[Age]]=$B$11,$AT$10*$B$10,0)+Tableau182982[[#This Row],[VBO]]*$AX$21*$B$10+Tableau182982[[#This Row],[VBI]]*$AX$22*$B$10+Tableau182982[[#This Row],[VBE]]*$AX$23*$B$10,"")</f>
        <v/>
      </c>
      <c r="AN89" s="7" t="s">
        <v>166</v>
      </c>
      <c r="AO89" s="7" t="s">
        <v>166</v>
      </c>
      <c r="AP89" s="7" t="str">
        <f>IF(Tableau182982[[#This Row],[Age]]&lt;&gt;"",Tableau182982[[#This Row],[RA]]-Tableau182982[[#This Row],[DA]],"")</f>
        <v/>
      </c>
    </row>
    <row r="90" spans="1:42" ht="15" customHeight="1" x14ac:dyDescent="0.2">
      <c r="A90" s="3" t="s">
        <v>25</v>
      </c>
      <c r="B90" s="3" t="s">
        <v>134</v>
      </c>
      <c r="C90" s="3" t="s">
        <v>141</v>
      </c>
      <c r="L90" s="4"/>
      <c r="M90" s="4"/>
      <c r="N90" s="4"/>
      <c r="O90" s="5" t="str">
        <f t="shared" si="12"/>
        <v/>
      </c>
      <c r="P90" s="5" t="str">
        <f t="shared" si="13"/>
        <v/>
      </c>
      <c r="Q90" s="5" t="str">
        <f t="shared" si="14"/>
        <v/>
      </c>
      <c r="R90" s="5" t="s">
        <v>166</v>
      </c>
      <c r="S90" s="5" t="s">
        <v>166</v>
      </c>
      <c r="T90" s="5" t="str">
        <f t="shared" si="15"/>
        <v/>
      </c>
      <c r="U90" s="5" t="str">
        <f t="shared" si="16"/>
        <v/>
      </c>
      <c r="V90" s="5" t="str">
        <f>IF($E$4="Embrousaillement",Tableau182982[[#This Row],[SOL]],"")</f>
        <v/>
      </c>
      <c r="W90" s="5" t="str">
        <f>IF($E$4="Embrousaillement",Tableau182982[[#This Row],[L]],"")</f>
        <v/>
      </c>
      <c r="X90" s="5" t="s">
        <v>166</v>
      </c>
      <c r="Y90" s="5" t="str">
        <f t="shared" si="17"/>
        <v/>
      </c>
      <c r="Z90" s="5" t="str">
        <f t="shared" si="18"/>
        <v/>
      </c>
      <c r="AA90" s="5" t="str">
        <f t="shared" si="19"/>
        <v/>
      </c>
      <c r="AB90" s="5" t="s">
        <v>166</v>
      </c>
      <c r="AC90" s="5" t="s">
        <v>166</v>
      </c>
      <c r="AD90" s="5" t="str">
        <f t="shared" si="20"/>
        <v/>
      </c>
      <c r="AE90" s="5" t="s">
        <v>166</v>
      </c>
      <c r="AF90" s="5" t="s">
        <v>166</v>
      </c>
      <c r="AG90" s="5" t="str">
        <f t="shared" si="21"/>
        <v/>
      </c>
      <c r="AH90" s="5" t="s">
        <v>166</v>
      </c>
      <c r="AI90" s="5" t="s">
        <v>166</v>
      </c>
      <c r="AJ90" s="5" t="str">
        <f t="shared" si="22"/>
        <v/>
      </c>
      <c r="AK90" s="5" t="str">
        <f t="shared" si="23"/>
        <v/>
      </c>
      <c r="AL90" s="7" t="str">
        <f>IF(Tableau182982[[#This Row],[Age]]&lt;&gt;"",IF(Tableau182982[[#This Row],[Age]]=0,$AT$10*$B$10+SUMIF($AS$21:$AS$29,Tableau182982[[#This Row],[Age]],$AU$21:$AU$29)*$B$10+$AT$11*$B$10,SUMIF($AS$21:$AS$29,Tableau182982[[#This Row],[Age]],$AU$21:$AU$29)*$B$10+$AT$11*$B$10),"")</f>
        <v/>
      </c>
      <c r="AM90" s="7" t="str">
        <f>IF(Tableau182982[[#This Row],[Age]]&lt;&gt;"",IF(Tableau182982[[#This Row],[Age]]=$B$11,$AT$10*$B$10,0)+Tableau182982[[#This Row],[VBO]]*$AX$21*$B$10+Tableau182982[[#This Row],[VBI]]*$AX$22*$B$10+Tableau182982[[#This Row],[VBE]]*$AX$23*$B$10,"")</f>
        <v/>
      </c>
      <c r="AN90" s="7" t="s">
        <v>166</v>
      </c>
      <c r="AO90" s="7" t="s">
        <v>166</v>
      </c>
      <c r="AP90" s="7" t="str">
        <f>IF(Tableau182982[[#This Row],[Age]]&lt;&gt;"",Tableau182982[[#This Row],[RA]]-Tableau182982[[#This Row],[DA]],"")</f>
        <v/>
      </c>
    </row>
    <row r="91" spans="1:42" ht="15" customHeight="1" x14ac:dyDescent="0.2">
      <c r="A91" s="3" t="s">
        <v>26</v>
      </c>
      <c r="B91" s="3" t="s">
        <v>123</v>
      </c>
      <c r="C91" s="3" t="s">
        <v>142</v>
      </c>
      <c r="L91" s="4"/>
      <c r="M91" s="4"/>
      <c r="N91" s="4"/>
      <c r="O91" s="5" t="str">
        <f t="shared" si="12"/>
        <v/>
      </c>
      <c r="P91" s="5" t="str">
        <f t="shared" si="13"/>
        <v/>
      </c>
      <c r="Q91" s="5" t="str">
        <f t="shared" si="14"/>
        <v/>
      </c>
      <c r="R91" s="5" t="s">
        <v>166</v>
      </c>
      <c r="S91" s="5" t="s">
        <v>166</v>
      </c>
      <c r="T91" s="5" t="str">
        <f t="shared" si="15"/>
        <v/>
      </c>
      <c r="U91" s="5" t="str">
        <f t="shared" si="16"/>
        <v/>
      </c>
      <c r="V91" s="5" t="str">
        <f>IF($E$4="Embrousaillement",Tableau182982[[#This Row],[SOL]],"")</f>
        <v/>
      </c>
      <c r="W91" s="5" t="str">
        <f>IF($E$4="Embrousaillement",Tableau182982[[#This Row],[L]],"")</f>
        <v/>
      </c>
      <c r="X91" s="5" t="s">
        <v>166</v>
      </c>
      <c r="Y91" s="5" t="str">
        <f t="shared" si="17"/>
        <v/>
      </c>
      <c r="Z91" s="5" t="str">
        <f t="shared" si="18"/>
        <v/>
      </c>
      <c r="AA91" s="5" t="str">
        <f t="shared" si="19"/>
        <v/>
      </c>
      <c r="AB91" s="5" t="s">
        <v>166</v>
      </c>
      <c r="AC91" s="5" t="s">
        <v>166</v>
      </c>
      <c r="AD91" s="5" t="str">
        <f t="shared" si="20"/>
        <v/>
      </c>
      <c r="AE91" s="5" t="s">
        <v>166</v>
      </c>
      <c r="AF91" s="5" t="s">
        <v>166</v>
      </c>
      <c r="AG91" s="5" t="str">
        <f t="shared" si="21"/>
        <v/>
      </c>
      <c r="AH91" s="5" t="s">
        <v>166</v>
      </c>
      <c r="AI91" s="5" t="s">
        <v>166</v>
      </c>
      <c r="AJ91" s="5" t="str">
        <f t="shared" si="22"/>
        <v/>
      </c>
      <c r="AK91" s="5" t="str">
        <f t="shared" si="23"/>
        <v/>
      </c>
      <c r="AL91" s="7" t="str">
        <f>IF(Tableau182982[[#This Row],[Age]]&lt;&gt;"",IF(Tableau182982[[#This Row],[Age]]=0,$AT$10*$B$10+SUMIF($AS$21:$AS$29,Tableau182982[[#This Row],[Age]],$AU$21:$AU$29)*$B$10+$AT$11*$B$10,SUMIF($AS$21:$AS$29,Tableau182982[[#This Row],[Age]],$AU$21:$AU$29)*$B$10+$AT$11*$B$10),"")</f>
        <v/>
      </c>
      <c r="AM91" s="7" t="str">
        <f>IF(Tableau182982[[#This Row],[Age]]&lt;&gt;"",IF(Tableau182982[[#This Row],[Age]]=$B$11,$AT$10*$B$10,0)+Tableau182982[[#This Row],[VBO]]*$AX$21*$B$10+Tableau182982[[#This Row],[VBI]]*$AX$22*$B$10+Tableau182982[[#This Row],[VBE]]*$AX$23*$B$10,"")</f>
        <v/>
      </c>
      <c r="AN91" s="7" t="s">
        <v>166</v>
      </c>
      <c r="AO91" s="7" t="s">
        <v>166</v>
      </c>
      <c r="AP91" s="7" t="str">
        <f>IF(Tableau182982[[#This Row],[Age]]&lt;&gt;"",Tableau182982[[#This Row],[RA]]-Tableau182982[[#This Row],[DA]],"")</f>
        <v/>
      </c>
    </row>
    <row r="92" spans="1:42" ht="15" customHeight="1" x14ac:dyDescent="0.2">
      <c r="A92" s="3" t="s">
        <v>91</v>
      </c>
      <c r="B92" s="3" t="s">
        <v>143</v>
      </c>
      <c r="C92" s="3" t="s">
        <v>144</v>
      </c>
      <c r="L92" s="4"/>
      <c r="M92" s="4"/>
      <c r="N92" s="4"/>
      <c r="O92" s="5" t="str">
        <f t="shared" si="12"/>
        <v/>
      </c>
      <c r="P92" s="5" t="str">
        <f t="shared" si="13"/>
        <v/>
      </c>
      <c r="Q92" s="5" t="str">
        <f t="shared" si="14"/>
        <v/>
      </c>
      <c r="R92" s="5" t="s">
        <v>166</v>
      </c>
      <c r="S92" s="5" t="s">
        <v>166</v>
      </c>
      <c r="T92" s="5" t="str">
        <f t="shared" si="15"/>
        <v/>
      </c>
      <c r="U92" s="5" t="str">
        <f t="shared" si="16"/>
        <v/>
      </c>
      <c r="V92" s="5" t="str">
        <f>IF($E$4="Embrousaillement",Tableau182982[[#This Row],[SOL]],"")</f>
        <v/>
      </c>
      <c r="W92" s="5" t="str">
        <f>IF($E$4="Embrousaillement",Tableau182982[[#This Row],[L]],"")</f>
        <v/>
      </c>
      <c r="X92" s="5" t="s">
        <v>166</v>
      </c>
      <c r="Y92" s="5" t="str">
        <f t="shared" si="17"/>
        <v/>
      </c>
      <c r="Z92" s="5" t="str">
        <f t="shared" si="18"/>
        <v/>
      </c>
      <c r="AA92" s="5" t="str">
        <f t="shared" si="19"/>
        <v/>
      </c>
      <c r="AB92" s="5" t="s">
        <v>166</v>
      </c>
      <c r="AC92" s="5" t="s">
        <v>166</v>
      </c>
      <c r="AD92" s="5" t="str">
        <f t="shared" si="20"/>
        <v/>
      </c>
      <c r="AE92" s="5" t="s">
        <v>166</v>
      </c>
      <c r="AF92" s="5" t="s">
        <v>166</v>
      </c>
      <c r="AG92" s="5" t="str">
        <f t="shared" si="21"/>
        <v/>
      </c>
      <c r="AH92" s="5" t="s">
        <v>166</v>
      </c>
      <c r="AI92" s="5" t="s">
        <v>166</v>
      </c>
      <c r="AJ92" s="5" t="str">
        <f t="shared" si="22"/>
        <v/>
      </c>
      <c r="AK92" s="5" t="str">
        <f t="shared" si="23"/>
        <v/>
      </c>
      <c r="AL92" s="7" t="str">
        <f>IF(Tableau182982[[#This Row],[Age]]&lt;&gt;"",IF(Tableau182982[[#This Row],[Age]]=0,$AT$10*$B$10+SUMIF($AS$21:$AS$29,Tableau182982[[#This Row],[Age]],$AU$21:$AU$29)*$B$10+$AT$11*$B$10,SUMIF($AS$21:$AS$29,Tableau182982[[#This Row],[Age]],$AU$21:$AU$29)*$B$10+$AT$11*$B$10),"")</f>
        <v/>
      </c>
      <c r="AM92" s="7" t="str">
        <f>IF(Tableau182982[[#This Row],[Age]]&lt;&gt;"",IF(Tableau182982[[#This Row],[Age]]=$B$11,$AT$10*$B$10,0)+Tableau182982[[#This Row],[VBO]]*$AX$21*$B$10+Tableau182982[[#This Row],[VBI]]*$AX$22*$B$10+Tableau182982[[#This Row],[VBE]]*$AX$23*$B$10,"")</f>
        <v/>
      </c>
      <c r="AN92" s="7" t="s">
        <v>166</v>
      </c>
      <c r="AO92" s="7" t="s">
        <v>166</v>
      </c>
      <c r="AP92" s="7" t="str">
        <f>IF(Tableau182982[[#This Row],[Age]]&lt;&gt;"",Tableau182982[[#This Row],[RA]]-Tableau182982[[#This Row],[DA]],"")</f>
        <v/>
      </c>
    </row>
    <row r="93" spans="1:42" ht="15" customHeight="1" x14ac:dyDescent="0.2">
      <c r="A93" s="3" t="s">
        <v>28</v>
      </c>
      <c r="B93" s="3" t="s">
        <v>145</v>
      </c>
      <c r="C93" s="3" t="s">
        <v>146</v>
      </c>
      <c r="L93" s="4"/>
      <c r="M93" s="4"/>
      <c r="N93" s="4"/>
      <c r="O93" s="5" t="str">
        <f t="shared" si="12"/>
        <v/>
      </c>
      <c r="P93" s="5" t="str">
        <f t="shared" si="13"/>
        <v/>
      </c>
      <c r="Q93" s="5" t="str">
        <f t="shared" si="14"/>
        <v/>
      </c>
      <c r="R93" s="5" t="s">
        <v>166</v>
      </c>
      <c r="S93" s="5" t="s">
        <v>166</v>
      </c>
      <c r="T93" s="5" t="str">
        <f t="shared" si="15"/>
        <v/>
      </c>
      <c r="U93" s="5" t="str">
        <f t="shared" si="16"/>
        <v/>
      </c>
      <c r="V93" s="5" t="str">
        <f>IF($E$4="Embrousaillement",Tableau182982[[#This Row],[SOL]],"")</f>
        <v/>
      </c>
      <c r="W93" s="5" t="str">
        <f>IF($E$4="Embrousaillement",Tableau182982[[#This Row],[L]],"")</f>
        <v/>
      </c>
      <c r="X93" s="5" t="s">
        <v>166</v>
      </c>
      <c r="Y93" s="5" t="str">
        <f t="shared" si="17"/>
        <v/>
      </c>
      <c r="Z93" s="5" t="str">
        <f t="shared" si="18"/>
        <v/>
      </c>
      <c r="AA93" s="5" t="str">
        <f t="shared" si="19"/>
        <v/>
      </c>
      <c r="AB93" s="5" t="s">
        <v>166</v>
      </c>
      <c r="AC93" s="5" t="s">
        <v>166</v>
      </c>
      <c r="AD93" s="5" t="str">
        <f t="shared" si="20"/>
        <v/>
      </c>
      <c r="AE93" s="5" t="s">
        <v>166</v>
      </c>
      <c r="AF93" s="5" t="s">
        <v>166</v>
      </c>
      <c r="AG93" s="5" t="str">
        <f t="shared" si="21"/>
        <v/>
      </c>
      <c r="AH93" s="5" t="s">
        <v>166</v>
      </c>
      <c r="AI93" s="5" t="s">
        <v>166</v>
      </c>
      <c r="AJ93" s="5" t="str">
        <f t="shared" si="22"/>
        <v/>
      </c>
      <c r="AK93" s="5" t="str">
        <f t="shared" si="23"/>
        <v/>
      </c>
      <c r="AL93" s="7" t="str">
        <f>IF(Tableau182982[[#This Row],[Age]]&lt;&gt;"",IF(Tableau182982[[#This Row],[Age]]=0,$AT$10*$B$10+SUMIF($AS$21:$AS$29,Tableau182982[[#This Row],[Age]],$AU$21:$AU$29)*$B$10+$AT$11*$B$10,SUMIF($AS$21:$AS$29,Tableau182982[[#This Row],[Age]],$AU$21:$AU$29)*$B$10+$AT$11*$B$10),"")</f>
        <v/>
      </c>
      <c r="AM93" s="7" t="str">
        <f>IF(Tableau182982[[#This Row],[Age]]&lt;&gt;"",IF(Tableau182982[[#This Row],[Age]]=$B$11,$AT$10*$B$10,0)+Tableau182982[[#This Row],[VBO]]*$AX$21*$B$10+Tableau182982[[#This Row],[VBI]]*$AX$22*$B$10+Tableau182982[[#This Row],[VBE]]*$AX$23*$B$10,"")</f>
        <v/>
      </c>
      <c r="AN93" s="7" t="s">
        <v>166</v>
      </c>
      <c r="AO93" s="7" t="s">
        <v>166</v>
      </c>
      <c r="AP93" s="7" t="str">
        <f>IF(Tableau182982[[#This Row],[Age]]&lt;&gt;"",Tableau182982[[#This Row],[RA]]-Tableau182982[[#This Row],[DA]],"")</f>
        <v/>
      </c>
    </row>
    <row r="94" spans="1:42" ht="15" customHeight="1" x14ac:dyDescent="0.2">
      <c r="A94" s="3" t="s">
        <v>29</v>
      </c>
      <c r="B94" s="3" t="s">
        <v>145</v>
      </c>
      <c r="C94" s="3" t="s">
        <v>147</v>
      </c>
      <c r="L94" s="4"/>
      <c r="M94" s="4"/>
      <c r="N94" s="4"/>
      <c r="O94" s="5" t="str">
        <f t="shared" si="12"/>
        <v/>
      </c>
      <c r="P94" s="5" t="str">
        <f t="shared" si="13"/>
        <v/>
      </c>
      <c r="Q94" s="5" t="str">
        <f t="shared" si="14"/>
        <v/>
      </c>
      <c r="R94" s="5" t="s">
        <v>166</v>
      </c>
      <c r="S94" s="5" t="s">
        <v>166</v>
      </c>
      <c r="T94" s="5" t="str">
        <f t="shared" si="15"/>
        <v/>
      </c>
      <c r="U94" s="5" t="str">
        <f t="shared" si="16"/>
        <v/>
      </c>
      <c r="V94" s="5" t="str">
        <f>IF($E$4="Embrousaillement",Tableau182982[[#This Row],[SOL]],"")</f>
        <v/>
      </c>
      <c r="W94" s="5" t="str">
        <f>IF($E$4="Embrousaillement",Tableau182982[[#This Row],[L]],"")</f>
        <v/>
      </c>
      <c r="X94" s="5" t="s">
        <v>166</v>
      </c>
      <c r="Y94" s="5" t="str">
        <f t="shared" si="17"/>
        <v/>
      </c>
      <c r="Z94" s="5" t="str">
        <f t="shared" si="18"/>
        <v/>
      </c>
      <c r="AA94" s="5" t="str">
        <f t="shared" si="19"/>
        <v/>
      </c>
      <c r="AB94" s="5" t="s">
        <v>166</v>
      </c>
      <c r="AC94" s="5" t="s">
        <v>166</v>
      </c>
      <c r="AD94" s="5" t="str">
        <f t="shared" si="20"/>
        <v/>
      </c>
      <c r="AE94" s="5" t="s">
        <v>166</v>
      </c>
      <c r="AF94" s="5" t="s">
        <v>166</v>
      </c>
      <c r="AG94" s="5" t="str">
        <f t="shared" si="21"/>
        <v/>
      </c>
      <c r="AH94" s="5" t="s">
        <v>166</v>
      </c>
      <c r="AI94" s="5" t="s">
        <v>166</v>
      </c>
      <c r="AJ94" s="5" t="str">
        <f t="shared" si="22"/>
        <v/>
      </c>
      <c r="AK94" s="5" t="str">
        <f t="shared" si="23"/>
        <v/>
      </c>
      <c r="AL94" s="7" t="str">
        <f>IF(Tableau182982[[#This Row],[Age]]&lt;&gt;"",IF(Tableau182982[[#This Row],[Age]]=0,$AT$10*$B$10+SUMIF($AS$21:$AS$29,Tableau182982[[#This Row],[Age]],$AU$21:$AU$29)*$B$10+$AT$11*$B$10,SUMIF($AS$21:$AS$29,Tableau182982[[#This Row],[Age]],$AU$21:$AU$29)*$B$10+$AT$11*$B$10),"")</f>
        <v/>
      </c>
      <c r="AM94" s="7" t="str">
        <f>IF(Tableau182982[[#This Row],[Age]]&lt;&gt;"",IF(Tableau182982[[#This Row],[Age]]=$B$11,$AT$10*$B$10,0)+Tableau182982[[#This Row],[VBO]]*$AX$21*$B$10+Tableau182982[[#This Row],[VBI]]*$AX$22*$B$10+Tableau182982[[#This Row],[VBE]]*$AX$23*$B$10,"")</f>
        <v/>
      </c>
      <c r="AN94" s="7" t="s">
        <v>166</v>
      </c>
      <c r="AO94" s="7" t="s">
        <v>166</v>
      </c>
      <c r="AP94" s="7" t="str">
        <f>IF(Tableau182982[[#This Row],[Age]]&lt;&gt;"",Tableau182982[[#This Row],[RA]]-Tableau182982[[#This Row],[DA]],"")</f>
        <v/>
      </c>
    </row>
    <row r="95" spans="1:42" ht="15" customHeight="1" x14ac:dyDescent="0.2">
      <c r="A95" s="3" t="s">
        <v>30</v>
      </c>
      <c r="B95" s="3" t="s">
        <v>145</v>
      </c>
      <c r="C95" s="3" t="s">
        <v>148</v>
      </c>
      <c r="L95" s="4"/>
      <c r="M95" s="4"/>
      <c r="N95" s="4"/>
      <c r="O95" s="5" t="str">
        <f t="shared" si="12"/>
        <v/>
      </c>
      <c r="P95" s="5" t="str">
        <f t="shared" si="13"/>
        <v/>
      </c>
      <c r="Q95" s="5" t="str">
        <f t="shared" si="14"/>
        <v/>
      </c>
      <c r="R95" s="5" t="s">
        <v>166</v>
      </c>
      <c r="S95" s="5" t="s">
        <v>166</v>
      </c>
      <c r="T95" s="5" t="str">
        <f t="shared" si="15"/>
        <v/>
      </c>
      <c r="U95" s="5" t="str">
        <f t="shared" si="16"/>
        <v/>
      </c>
      <c r="V95" s="5" t="str">
        <f>IF($E$4="Embrousaillement",Tableau182982[[#This Row],[SOL]],"")</f>
        <v/>
      </c>
      <c r="W95" s="5" t="str">
        <f>IF($E$4="Embrousaillement",Tableau182982[[#This Row],[L]],"")</f>
        <v/>
      </c>
      <c r="X95" s="5" t="s">
        <v>166</v>
      </c>
      <c r="Y95" s="5" t="str">
        <f t="shared" si="17"/>
        <v/>
      </c>
      <c r="Z95" s="5" t="str">
        <f t="shared" si="18"/>
        <v/>
      </c>
      <c r="AA95" s="5" t="str">
        <f t="shared" si="19"/>
        <v/>
      </c>
      <c r="AB95" s="5" t="s">
        <v>166</v>
      </c>
      <c r="AC95" s="5" t="s">
        <v>166</v>
      </c>
      <c r="AD95" s="5" t="str">
        <f t="shared" si="20"/>
        <v/>
      </c>
      <c r="AE95" s="5" t="s">
        <v>166</v>
      </c>
      <c r="AF95" s="5" t="s">
        <v>166</v>
      </c>
      <c r="AG95" s="5" t="str">
        <f t="shared" si="21"/>
        <v/>
      </c>
      <c r="AH95" s="5" t="s">
        <v>166</v>
      </c>
      <c r="AI95" s="5" t="s">
        <v>166</v>
      </c>
      <c r="AJ95" s="5" t="str">
        <f t="shared" si="22"/>
        <v/>
      </c>
      <c r="AK95" s="5" t="str">
        <f t="shared" si="23"/>
        <v/>
      </c>
      <c r="AL95" s="7" t="str">
        <f>IF(Tableau182982[[#This Row],[Age]]&lt;&gt;"",IF(Tableau182982[[#This Row],[Age]]=0,$AT$10*$B$10+SUMIF($AS$21:$AS$29,Tableau182982[[#This Row],[Age]],$AU$21:$AU$29)*$B$10+$AT$11*$B$10,SUMIF($AS$21:$AS$29,Tableau182982[[#This Row],[Age]],$AU$21:$AU$29)*$B$10+$AT$11*$B$10),"")</f>
        <v/>
      </c>
      <c r="AM95" s="7" t="str">
        <f>IF(Tableau182982[[#This Row],[Age]]&lt;&gt;"",IF(Tableau182982[[#This Row],[Age]]=$B$11,$AT$10*$B$10,0)+Tableau182982[[#This Row],[VBO]]*$AX$21*$B$10+Tableau182982[[#This Row],[VBI]]*$AX$22*$B$10+Tableau182982[[#This Row],[VBE]]*$AX$23*$B$10,"")</f>
        <v/>
      </c>
      <c r="AN95" s="7" t="s">
        <v>166</v>
      </c>
      <c r="AO95" s="7" t="s">
        <v>166</v>
      </c>
      <c r="AP95" s="7" t="str">
        <f>IF(Tableau182982[[#This Row],[Age]]&lt;&gt;"",Tableau182982[[#This Row],[RA]]-Tableau182982[[#This Row],[DA]],"")</f>
        <v/>
      </c>
    </row>
    <row r="96" spans="1:42" ht="15" customHeight="1" x14ac:dyDescent="0.2">
      <c r="A96" s="3" t="s">
        <v>31</v>
      </c>
      <c r="B96" s="3" t="s">
        <v>145</v>
      </c>
      <c r="C96" s="3" t="s">
        <v>149</v>
      </c>
      <c r="L96" s="4"/>
      <c r="M96" s="4"/>
      <c r="N96" s="4"/>
      <c r="O96" s="5" t="str">
        <f t="shared" si="12"/>
        <v/>
      </c>
      <c r="P96" s="5" t="str">
        <f t="shared" si="13"/>
        <v/>
      </c>
      <c r="Q96" s="5" t="str">
        <f t="shared" si="14"/>
        <v/>
      </c>
      <c r="R96" s="5" t="s">
        <v>166</v>
      </c>
      <c r="S96" s="5" t="s">
        <v>166</v>
      </c>
      <c r="T96" s="5" t="str">
        <f t="shared" si="15"/>
        <v/>
      </c>
      <c r="U96" s="5" t="str">
        <f t="shared" si="16"/>
        <v/>
      </c>
      <c r="V96" s="5" t="str">
        <f>IF($E$4="Embrousaillement",Tableau182982[[#This Row],[SOL]],"")</f>
        <v/>
      </c>
      <c r="W96" s="5" t="str">
        <f>IF($E$4="Embrousaillement",Tableau182982[[#This Row],[L]],"")</f>
        <v/>
      </c>
      <c r="X96" s="5" t="s">
        <v>166</v>
      </c>
      <c r="Y96" s="5" t="str">
        <f t="shared" si="17"/>
        <v/>
      </c>
      <c r="Z96" s="5" t="str">
        <f t="shared" si="18"/>
        <v/>
      </c>
      <c r="AA96" s="5" t="str">
        <f t="shared" si="19"/>
        <v/>
      </c>
      <c r="AB96" s="5" t="s">
        <v>166</v>
      </c>
      <c r="AC96" s="5" t="s">
        <v>166</v>
      </c>
      <c r="AD96" s="5" t="str">
        <f t="shared" si="20"/>
        <v/>
      </c>
      <c r="AE96" s="5" t="s">
        <v>166</v>
      </c>
      <c r="AF96" s="5" t="s">
        <v>166</v>
      </c>
      <c r="AG96" s="5" t="str">
        <f t="shared" si="21"/>
        <v/>
      </c>
      <c r="AH96" s="5" t="s">
        <v>166</v>
      </c>
      <c r="AI96" s="5" t="s">
        <v>166</v>
      </c>
      <c r="AJ96" s="5" t="str">
        <f t="shared" si="22"/>
        <v/>
      </c>
      <c r="AK96" s="5" t="str">
        <f t="shared" si="23"/>
        <v/>
      </c>
      <c r="AL96" s="7" t="str">
        <f>IF(Tableau182982[[#This Row],[Age]]&lt;&gt;"",IF(Tableau182982[[#This Row],[Age]]=0,$AT$10*$B$10+SUMIF($AS$21:$AS$29,Tableau182982[[#This Row],[Age]],$AU$21:$AU$29)*$B$10+$AT$11*$B$10,SUMIF($AS$21:$AS$29,Tableau182982[[#This Row],[Age]],$AU$21:$AU$29)*$B$10+$AT$11*$B$10),"")</f>
        <v/>
      </c>
      <c r="AM96" s="7" t="str">
        <f>IF(Tableau182982[[#This Row],[Age]]&lt;&gt;"",IF(Tableau182982[[#This Row],[Age]]=$B$11,$AT$10*$B$10,0)+Tableau182982[[#This Row],[VBO]]*$AX$21*$B$10+Tableau182982[[#This Row],[VBI]]*$AX$22*$B$10+Tableau182982[[#This Row],[VBE]]*$AX$23*$B$10,"")</f>
        <v/>
      </c>
      <c r="AN96" s="7" t="s">
        <v>166</v>
      </c>
      <c r="AO96" s="7" t="s">
        <v>166</v>
      </c>
      <c r="AP96" s="7" t="str">
        <f>IF(Tableau182982[[#This Row],[Age]]&lt;&gt;"",Tableau182982[[#This Row],[RA]]-Tableau182982[[#This Row],[DA]],"")</f>
        <v/>
      </c>
    </row>
    <row r="97" spans="1:42" ht="15" customHeight="1" x14ac:dyDescent="0.2">
      <c r="A97" s="3" t="s">
        <v>32</v>
      </c>
      <c r="B97" s="3" t="s">
        <v>145</v>
      </c>
      <c r="C97" s="3" t="s">
        <v>150</v>
      </c>
      <c r="L97" s="4"/>
      <c r="M97" s="4"/>
      <c r="N97" s="4"/>
      <c r="O97" s="5" t="str">
        <f t="shared" si="12"/>
        <v/>
      </c>
      <c r="P97" s="5" t="str">
        <f t="shared" si="13"/>
        <v/>
      </c>
      <c r="Q97" s="5" t="str">
        <f t="shared" si="14"/>
        <v/>
      </c>
      <c r="R97" s="5" t="s">
        <v>166</v>
      </c>
      <c r="S97" s="5" t="s">
        <v>166</v>
      </c>
      <c r="T97" s="5" t="str">
        <f t="shared" si="15"/>
        <v/>
      </c>
      <c r="U97" s="5" t="str">
        <f t="shared" si="16"/>
        <v/>
      </c>
      <c r="V97" s="5" t="str">
        <f>IF($E$4="Embrousaillement",Tableau182982[[#This Row],[SOL]],"")</f>
        <v/>
      </c>
      <c r="W97" s="5" t="str">
        <f>IF($E$4="Embrousaillement",Tableau182982[[#This Row],[L]],"")</f>
        <v/>
      </c>
      <c r="X97" s="5" t="s">
        <v>166</v>
      </c>
      <c r="Y97" s="5" t="str">
        <f t="shared" si="17"/>
        <v/>
      </c>
      <c r="Z97" s="5" t="str">
        <f t="shared" si="18"/>
        <v/>
      </c>
      <c r="AA97" s="5" t="str">
        <f t="shared" si="19"/>
        <v/>
      </c>
      <c r="AB97" s="5" t="s">
        <v>166</v>
      </c>
      <c r="AC97" s="5" t="s">
        <v>166</v>
      </c>
      <c r="AD97" s="5" t="str">
        <f t="shared" si="20"/>
        <v/>
      </c>
      <c r="AE97" s="5" t="s">
        <v>166</v>
      </c>
      <c r="AF97" s="5" t="s">
        <v>166</v>
      </c>
      <c r="AG97" s="5" t="str">
        <f t="shared" si="21"/>
        <v/>
      </c>
      <c r="AH97" s="5" t="s">
        <v>166</v>
      </c>
      <c r="AI97" s="5" t="s">
        <v>166</v>
      </c>
      <c r="AJ97" s="5" t="str">
        <f t="shared" si="22"/>
        <v/>
      </c>
      <c r="AK97" s="5" t="str">
        <f t="shared" si="23"/>
        <v/>
      </c>
      <c r="AL97" s="7" t="str">
        <f>IF(Tableau182982[[#This Row],[Age]]&lt;&gt;"",IF(Tableau182982[[#This Row],[Age]]=0,$AT$10*$B$10+SUMIF($AS$21:$AS$29,Tableau182982[[#This Row],[Age]],$AU$21:$AU$29)*$B$10+$AT$11*$B$10,SUMIF($AS$21:$AS$29,Tableau182982[[#This Row],[Age]],$AU$21:$AU$29)*$B$10+$AT$11*$B$10),"")</f>
        <v/>
      </c>
      <c r="AM97" s="7" t="str">
        <f>IF(Tableau182982[[#This Row],[Age]]&lt;&gt;"",IF(Tableau182982[[#This Row],[Age]]=$B$11,$AT$10*$B$10,0)+Tableau182982[[#This Row],[VBO]]*$AX$21*$B$10+Tableau182982[[#This Row],[VBI]]*$AX$22*$B$10+Tableau182982[[#This Row],[VBE]]*$AX$23*$B$10,"")</f>
        <v/>
      </c>
      <c r="AN97" s="7" t="s">
        <v>166</v>
      </c>
      <c r="AO97" s="7" t="s">
        <v>166</v>
      </c>
      <c r="AP97" s="7" t="str">
        <f>IF(Tableau182982[[#This Row],[Age]]&lt;&gt;"",Tableau182982[[#This Row],[RA]]-Tableau182982[[#This Row],[DA]],"")</f>
        <v/>
      </c>
    </row>
    <row r="98" spans="1:42" ht="15" customHeight="1" x14ac:dyDescent="0.2">
      <c r="A98" s="3" t="s">
        <v>151</v>
      </c>
      <c r="B98" s="3" t="s">
        <v>145</v>
      </c>
      <c r="C98" s="3" t="s">
        <v>152</v>
      </c>
      <c r="L98" s="4"/>
      <c r="M98" s="4"/>
      <c r="N98" s="4"/>
      <c r="O98" s="5" t="str">
        <f t="shared" si="12"/>
        <v/>
      </c>
      <c r="P98" s="5" t="str">
        <f t="shared" si="13"/>
        <v/>
      </c>
      <c r="Q98" s="5" t="str">
        <f t="shared" si="14"/>
        <v/>
      </c>
      <c r="R98" s="5" t="s">
        <v>166</v>
      </c>
      <c r="S98" s="5" t="s">
        <v>166</v>
      </c>
      <c r="T98" s="5" t="str">
        <f t="shared" si="15"/>
        <v/>
      </c>
      <c r="U98" s="5" t="str">
        <f t="shared" si="16"/>
        <v/>
      </c>
      <c r="V98" s="5" t="str">
        <f>IF($E$4="Embrousaillement",Tableau182982[[#This Row],[SOL]],"")</f>
        <v/>
      </c>
      <c r="W98" s="5" t="str">
        <f>IF($E$4="Embrousaillement",Tableau182982[[#This Row],[L]],"")</f>
        <v/>
      </c>
      <c r="X98" s="5" t="s">
        <v>166</v>
      </c>
      <c r="Y98" s="5" t="str">
        <f t="shared" si="17"/>
        <v/>
      </c>
      <c r="Z98" s="5" t="str">
        <f t="shared" si="18"/>
        <v/>
      </c>
      <c r="AA98" s="5" t="str">
        <f t="shared" si="19"/>
        <v/>
      </c>
      <c r="AB98" s="5" t="s">
        <v>166</v>
      </c>
      <c r="AC98" s="5" t="s">
        <v>166</v>
      </c>
      <c r="AD98" s="5" t="str">
        <f t="shared" si="20"/>
        <v/>
      </c>
      <c r="AE98" s="5" t="s">
        <v>166</v>
      </c>
      <c r="AF98" s="5" t="s">
        <v>166</v>
      </c>
      <c r="AG98" s="5" t="str">
        <f t="shared" si="21"/>
        <v/>
      </c>
      <c r="AH98" s="5" t="s">
        <v>166</v>
      </c>
      <c r="AI98" s="5" t="s">
        <v>166</v>
      </c>
      <c r="AJ98" s="5" t="str">
        <f t="shared" si="22"/>
        <v/>
      </c>
      <c r="AK98" s="5" t="str">
        <f t="shared" si="23"/>
        <v/>
      </c>
      <c r="AL98" s="7" t="str">
        <f>IF(Tableau182982[[#This Row],[Age]]&lt;&gt;"",IF(Tableau182982[[#This Row],[Age]]=0,$AT$10*$B$10+SUMIF($AS$21:$AS$29,Tableau182982[[#This Row],[Age]],$AU$21:$AU$29)*$B$10+$AT$11*$B$10,SUMIF($AS$21:$AS$29,Tableau182982[[#This Row],[Age]],$AU$21:$AU$29)*$B$10+$AT$11*$B$10),"")</f>
        <v/>
      </c>
      <c r="AM98" s="7" t="str">
        <f>IF(Tableau182982[[#This Row],[Age]]&lt;&gt;"",IF(Tableau182982[[#This Row],[Age]]=$B$11,$AT$10*$B$10,0)+Tableau182982[[#This Row],[VBO]]*$AX$21*$B$10+Tableau182982[[#This Row],[VBI]]*$AX$22*$B$10+Tableau182982[[#This Row],[VBE]]*$AX$23*$B$10,"")</f>
        <v/>
      </c>
      <c r="AN98" s="7" t="s">
        <v>166</v>
      </c>
      <c r="AO98" s="7" t="s">
        <v>166</v>
      </c>
      <c r="AP98" s="7" t="str">
        <f>IF(Tableau182982[[#This Row],[Age]]&lt;&gt;"",Tableau182982[[#This Row],[RA]]-Tableau182982[[#This Row],[DA]],"")</f>
        <v/>
      </c>
    </row>
    <row r="99" spans="1:42" ht="15" customHeight="1" x14ac:dyDescent="0.2">
      <c r="A99" s="3" t="s">
        <v>153</v>
      </c>
      <c r="B99" s="3" t="s">
        <v>145</v>
      </c>
      <c r="C99" s="3" t="s">
        <v>154</v>
      </c>
      <c r="L99" s="4"/>
      <c r="M99" s="4"/>
      <c r="N99" s="4"/>
      <c r="O99" s="5" t="str">
        <f t="shared" si="12"/>
        <v/>
      </c>
      <c r="P99" s="5" t="str">
        <f t="shared" si="13"/>
        <v/>
      </c>
      <c r="Q99" s="5" t="str">
        <f t="shared" si="14"/>
        <v/>
      </c>
      <c r="R99" s="5" t="s">
        <v>166</v>
      </c>
      <c r="S99" s="5" t="s">
        <v>166</v>
      </c>
      <c r="T99" s="5" t="str">
        <f t="shared" si="15"/>
        <v/>
      </c>
      <c r="U99" s="5" t="str">
        <f t="shared" si="16"/>
        <v/>
      </c>
      <c r="V99" s="5" t="str">
        <f>IF($E$4="Embrousaillement",Tableau182982[[#This Row],[SOL]],"")</f>
        <v/>
      </c>
      <c r="W99" s="5" t="str">
        <f>IF($E$4="Embrousaillement",Tableau182982[[#This Row],[L]],"")</f>
        <v/>
      </c>
      <c r="X99" s="5" t="s">
        <v>166</v>
      </c>
      <c r="Y99" s="5" t="str">
        <f t="shared" si="17"/>
        <v/>
      </c>
      <c r="Z99" s="5" t="str">
        <f t="shared" si="18"/>
        <v/>
      </c>
      <c r="AA99" s="5" t="str">
        <f t="shared" si="19"/>
        <v/>
      </c>
      <c r="AB99" s="5" t="s">
        <v>166</v>
      </c>
      <c r="AC99" s="5" t="s">
        <v>166</v>
      </c>
      <c r="AD99" s="5" t="str">
        <f t="shared" si="20"/>
        <v/>
      </c>
      <c r="AE99" s="5" t="s">
        <v>166</v>
      </c>
      <c r="AF99" s="5" t="s">
        <v>166</v>
      </c>
      <c r="AG99" s="5" t="str">
        <f t="shared" si="21"/>
        <v/>
      </c>
      <c r="AH99" s="5" t="s">
        <v>166</v>
      </c>
      <c r="AI99" s="5" t="s">
        <v>166</v>
      </c>
      <c r="AJ99" s="5" t="str">
        <f t="shared" si="22"/>
        <v/>
      </c>
      <c r="AK99" s="5" t="str">
        <f t="shared" si="23"/>
        <v/>
      </c>
      <c r="AL99" s="7" t="str">
        <f>IF(Tableau182982[[#This Row],[Age]]&lt;&gt;"",IF(Tableau182982[[#This Row],[Age]]=0,$AT$10*$B$10+SUMIF($AS$21:$AS$29,Tableau182982[[#This Row],[Age]],$AU$21:$AU$29)*$B$10+$AT$11*$B$10,SUMIF($AS$21:$AS$29,Tableau182982[[#This Row],[Age]],$AU$21:$AU$29)*$B$10+$AT$11*$B$10),"")</f>
        <v/>
      </c>
      <c r="AM99" s="7" t="str">
        <f>IF(Tableau182982[[#This Row],[Age]]&lt;&gt;"",IF(Tableau182982[[#This Row],[Age]]=$B$11,$AT$10*$B$10,0)+Tableau182982[[#This Row],[VBO]]*$AX$21*$B$10+Tableau182982[[#This Row],[VBI]]*$AX$22*$B$10+Tableau182982[[#This Row],[VBE]]*$AX$23*$B$10,"")</f>
        <v/>
      </c>
      <c r="AN99" s="7" t="s">
        <v>166</v>
      </c>
      <c r="AO99" s="7" t="s">
        <v>166</v>
      </c>
      <c r="AP99" s="7" t="str">
        <f>IF(Tableau182982[[#This Row],[Age]]&lt;&gt;"",Tableau182982[[#This Row],[RA]]-Tableau182982[[#This Row],[DA]],"")</f>
        <v/>
      </c>
    </row>
    <row r="100" spans="1:42" ht="15" customHeight="1" x14ac:dyDescent="0.2">
      <c r="A100" s="3" t="s">
        <v>155</v>
      </c>
      <c r="B100" s="3" t="s">
        <v>145</v>
      </c>
      <c r="C100" s="3" t="s">
        <v>156</v>
      </c>
      <c r="L100" s="4"/>
      <c r="M100" s="4"/>
      <c r="N100" s="4"/>
      <c r="O100" s="5" t="str">
        <f t="shared" si="12"/>
        <v/>
      </c>
      <c r="P100" s="5" t="str">
        <f t="shared" si="13"/>
        <v/>
      </c>
      <c r="Q100" s="5" t="str">
        <f t="shared" si="14"/>
        <v/>
      </c>
      <c r="R100" s="5" t="s">
        <v>166</v>
      </c>
      <c r="S100" s="5" t="s">
        <v>166</v>
      </c>
      <c r="T100" s="5" t="str">
        <f t="shared" si="15"/>
        <v/>
      </c>
      <c r="U100" s="5" t="str">
        <f t="shared" si="16"/>
        <v/>
      </c>
      <c r="V100" s="5" t="str">
        <f>IF($E$4="Embrousaillement",Tableau182982[[#This Row],[SOL]],"")</f>
        <v/>
      </c>
      <c r="W100" s="5" t="str">
        <f>IF($E$4="Embrousaillement",Tableau182982[[#This Row],[L]],"")</f>
        <v/>
      </c>
      <c r="X100" s="5" t="s">
        <v>166</v>
      </c>
      <c r="Y100" s="5" t="str">
        <f t="shared" si="17"/>
        <v/>
      </c>
      <c r="Z100" s="5" t="str">
        <f t="shared" si="18"/>
        <v/>
      </c>
      <c r="AA100" s="5" t="str">
        <f t="shared" si="19"/>
        <v/>
      </c>
      <c r="AB100" s="5" t="s">
        <v>166</v>
      </c>
      <c r="AC100" s="5" t="s">
        <v>166</v>
      </c>
      <c r="AD100" s="5" t="str">
        <f t="shared" si="20"/>
        <v/>
      </c>
      <c r="AE100" s="5" t="s">
        <v>166</v>
      </c>
      <c r="AF100" s="5" t="s">
        <v>166</v>
      </c>
      <c r="AG100" s="5" t="str">
        <f t="shared" si="21"/>
        <v/>
      </c>
      <c r="AH100" s="5" t="s">
        <v>166</v>
      </c>
      <c r="AI100" s="5" t="s">
        <v>166</v>
      </c>
      <c r="AJ100" s="5" t="str">
        <f t="shared" si="22"/>
        <v/>
      </c>
      <c r="AK100" s="5" t="str">
        <f t="shared" si="23"/>
        <v/>
      </c>
      <c r="AL100" s="7" t="str">
        <f>IF(Tableau182982[[#This Row],[Age]]&lt;&gt;"",IF(Tableau182982[[#This Row],[Age]]=0,$AT$10*$B$10+SUMIF($AS$21:$AS$29,Tableau182982[[#This Row],[Age]],$AU$21:$AU$29)*$B$10+$AT$11*$B$10,SUMIF($AS$21:$AS$29,Tableau182982[[#This Row],[Age]],$AU$21:$AU$29)*$B$10+$AT$11*$B$10),"")</f>
        <v/>
      </c>
      <c r="AM100" s="7" t="str">
        <f>IF(Tableau182982[[#This Row],[Age]]&lt;&gt;"",IF(Tableau182982[[#This Row],[Age]]=$B$11,$AT$10*$B$10,0)+Tableau182982[[#This Row],[VBO]]*$AX$21*$B$10+Tableau182982[[#This Row],[VBI]]*$AX$22*$B$10+Tableau182982[[#This Row],[VBE]]*$AX$23*$B$10,"")</f>
        <v/>
      </c>
      <c r="AN100" s="7" t="s">
        <v>166</v>
      </c>
      <c r="AO100" s="7" t="s">
        <v>166</v>
      </c>
      <c r="AP100" s="7" t="str">
        <f>IF(Tableau182982[[#This Row],[Age]]&lt;&gt;"",Tableau182982[[#This Row],[RA]]-Tableau182982[[#This Row],[DA]],"")</f>
        <v/>
      </c>
    </row>
    <row r="101" spans="1:42" ht="15" customHeight="1" x14ac:dyDescent="0.2">
      <c r="A101" s="3" t="s">
        <v>157</v>
      </c>
      <c r="B101" s="3" t="s">
        <v>145</v>
      </c>
      <c r="C101" s="3" t="s">
        <v>158</v>
      </c>
      <c r="L101" s="4"/>
      <c r="M101" s="4"/>
      <c r="N101" s="4"/>
      <c r="O101" s="5" t="str">
        <f t="shared" si="12"/>
        <v/>
      </c>
      <c r="P101" s="5" t="str">
        <f t="shared" si="13"/>
        <v/>
      </c>
      <c r="Q101" s="5" t="str">
        <f t="shared" si="14"/>
        <v/>
      </c>
      <c r="R101" s="5" t="s">
        <v>166</v>
      </c>
      <c r="S101" s="5" t="s">
        <v>166</v>
      </c>
      <c r="T101" s="5" t="str">
        <f t="shared" si="15"/>
        <v/>
      </c>
      <c r="U101" s="5" t="str">
        <f t="shared" si="16"/>
        <v/>
      </c>
      <c r="V101" s="5" t="str">
        <f>IF($E$4="Embrousaillement",Tableau182982[[#This Row],[SOL]],"")</f>
        <v/>
      </c>
      <c r="W101" s="5" t="str">
        <f>IF($E$4="Embrousaillement",Tableau182982[[#This Row],[L]],"")</f>
        <v/>
      </c>
      <c r="X101" s="5" t="s">
        <v>166</v>
      </c>
      <c r="Y101" s="5" t="str">
        <f t="shared" si="17"/>
        <v/>
      </c>
      <c r="Z101" s="5" t="str">
        <f t="shared" si="18"/>
        <v/>
      </c>
      <c r="AA101" s="5" t="str">
        <f t="shared" si="19"/>
        <v/>
      </c>
      <c r="AB101" s="5" t="s">
        <v>166</v>
      </c>
      <c r="AC101" s="5" t="s">
        <v>166</v>
      </c>
      <c r="AD101" s="5" t="str">
        <f t="shared" si="20"/>
        <v/>
      </c>
      <c r="AE101" s="5" t="s">
        <v>166</v>
      </c>
      <c r="AF101" s="5" t="s">
        <v>166</v>
      </c>
      <c r="AG101" s="5" t="str">
        <f t="shared" si="21"/>
        <v/>
      </c>
      <c r="AH101" s="5" t="s">
        <v>166</v>
      </c>
      <c r="AI101" s="5" t="s">
        <v>166</v>
      </c>
      <c r="AJ101" s="5" t="str">
        <f t="shared" si="22"/>
        <v/>
      </c>
      <c r="AK101" s="5" t="str">
        <f t="shared" si="23"/>
        <v/>
      </c>
      <c r="AL101" s="7" t="str">
        <f>IF(Tableau182982[[#This Row],[Age]]&lt;&gt;"",IF(Tableau182982[[#This Row],[Age]]=0,$AT$10*$B$10+SUMIF($AS$21:$AS$29,Tableau182982[[#This Row],[Age]],$AU$21:$AU$29)*$B$10+$AT$11*$B$10,SUMIF($AS$21:$AS$29,Tableau182982[[#This Row],[Age]],$AU$21:$AU$29)*$B$10+$AT$11*$B$10),"")</f>
        <v/>
      </c>
      <c r="AM101" s="7" t="str">
        <f>IF(Tableau182982[[#This Row],[Age]]&lt;&gt;"",IF(Tableau182982[[#This Row],[Age]]=$B$11,$AT$10*$B$10,0)+Tableau182982[[#This Row],[VBO]]*$AX$21*$B$10+Tableau182982[[#This Row],[VBI]]*$AX$22*$B$10+Tableau182982[[#This Row],[VBE]]*$AX$23*$B$10,"")</f>
        <v/>
      </c>
      <c r="AN101" s="7" t="s">
        <v>166</v>
      </c>
      <c r="AO101" s="7" t="s">
        <v>166</v>
      </c>
      <c r="AP101" s="7" t="str">
        <f>IF(Tableau182982[[#This Row],[Age]]&lt;&gt;"",Tableau182982[[#This Row],[RA]]-Tableau182982[[#This Row],[DA]],"")</f>
        <v/>
      </c>
    </row>
    <row r="102" spans="1:42" ht="15" customHeight="1" x14ac:dyDescent="0.2">
      <c r="A102" s="3" t="s">
        <v>159</v>
      </c>
      <c r="B102" s="3" t="s">
        <v>145</v>
      </c>
      <c r="C102" s="3" t="s">
        <v>160</v>
      </c>
      <c r="L102" s="4"/>
      <c r="M102" s="4"/>
      <c r="N102" s="4"/>
      <c r="O102" s="5" t="str">
        <f t="shared" si="12"/>
        <v/>
      </c>
      <c r="P102" s="5" t="str">
        <f t="shared" si="13"/>
        <v/>
      </c>
      <c r="Q102" s="5" t="str">
        <f t="shared" si="14"/>
        <v/>
      </c>
      <c r="R102" s="5" t="s">
        <v>166</v>
      </c>
      <c r="S102" s="5" t="s">
        <v>166</v>
      </c>
      <c r="T102" s="5" t="str">
        <f t="shared" si="15"/>
        <v/>
      </c>
      <c r="U102" s="5" t="str">
        <f t="shared" si="16"/>
        <v/>
      </c>
      <c r="V102" s="5" t="str">
        <f>IF($E$4="Embrousaillement",Tableau182982[[#This Row],[SOL]],"")</f>
        <v/>
      </c>
      <c r="W102" s="5" t="str">
        <f>IF($E$4="Embrousaillement",Tableau182982[[#This Row],[L]],"")</f>
        <v/>
      </c>
      <c r="X102" s="5" t="s">
        <v>166</v>
      </c>
      <c r="Y102" s="5" t="str">
        <f t="shared" si="17"/>
        <v/>
      </c>
      <c r="Z102" s="5" t="str">
        <f t="shared" si="18"/>
        <v/>
      </c>
      <c r="AA102" s="5" t="str">
        <f t="shared" si="19"/>
        <v/>
      </c>
      <c r="AB102" s="5" t="s">
        <v>166</v>
      </c>
      <c r="AC102" s="5" t="s">
        <v>166</v>
      </c>
      <c r="AD102" s="5" t="str">
        <f t="shared" si="20"/>
        <v/>
      </c>
      <c r="AE102" s="5" t="s">
        <v>166</v>
      </c>
      <c r="AF102" s="5" t="s">
        <v>166</v>
      </c>
      <c r="AG102" s="5" t="str">
        <f t="shared" si="21"/>
        <v/>
      </c>
      <c r="AH102" s="5" t="s">
        <v>166</v>
      </c>
      <c r="AI102" s="5" t="s">
        <v>166</v>
      </c>
      <c r="AJ102" s="5" t="str">
        <f t="shared" si="22"/>
        <v/>
      </c>
      <c r="AK102" s="5" t="str">
        <f t="shared" si="23"/>
        <v/>
      </c>
      <c r="AL102" s="7" t="str">
        <f>IF(Tableau182982[[#This Row],[Age]]&lt;&gt;"",IF(Tableau182982[[#This Row],[Age]]=0,$AT$10*$B$10+SUMIF($AS$21:$AS$29,Tableau182982[[#This Row],[Age]],$AU$21:$AU$29)*$B$10+$AT$11*$B$10,SUMIF($AS$21:$AS$29,Tableau182982[[#This Row],[Age]],$AU$21:$AU$29)*$B$10+$AT$11*$B$10),"")</f>
        <v/>
      </c>
      <c r="AM102" s="7" t="str">
        <f>IF(Tableau182982[[#This Row],[Age]]&lt;&gt;"",IF(Tableau182982[[#This Row],[Age]]=$B$11,$AT$10*$B$10,0)+Tableau182982[[#This Row],[VBO]]*$AX$21*$B$10+Tableau182982[[#This Row],[VBI]]*$AX$22*$B$10+Tableau182982[[#This Row],[VBE]]*$AX$23*$B$10,"")</f>
        <v/>
      </c>
      <c r="AN102" s="7" t="s">
        <v>166</v>
      </c>
      <c r="AO102" s="7" t="s">
        <v>166</v>
      </c>
      <c r="AP102" s="7" t="str">
        <f>IF(Tableau182982[[#This Row],[Age]]&lt;&gt;"",Tableau182982[[#This Row],[RA]]-Tableau182982[[#This Row],[DA]],"")</f>
        <v/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4E0AB5-1ABE-49F5-B3EA-EE4685B90225}">
  <dimension ref="A1:AX102"/>
  <sheetViews>
    <sheetView workbookViewId="0">
      <selection activeCell="B1" sqref="B1"/>
    </sheetView>
  </sheetViews>
  <sheetFormatPr baseColWidth="10" defaultColWidth="14" defaultRowHeight="15" x14ac:dyDescent="0.2"/>
  <cols>
    <col min="1" max="1" width="15.28515625" style="3" customWidth="1"/>
    <col min="2" max="2" width="14" style="3"/>
    <col min="3" max="3" width="7.140625" style="3" customWidth="1"/>
    <col min="4" max="5" width="14" style="3"/>
    <col min="6" max="6" width="7.140625" style="3" customWidth="1"/>
    <col min="7" max="8" width="14" style="3"/>
    <col min="9" max="9" width="7.140625" style="3" customWidth="1"/>
    <col min="10" max="10" width="11.7109375" style="3" customWidth="1"/>
    <col min="11" max="21" width="10.7109375" style="3" customWidth="1"/>
    <col min="22" max="23" width="14" style="3"/>
    <col min="24" max="24" width="10.7109375" style="3" customWidth="1"/>
    <col min="25" max="27" width="14" style="3"/>
    <col min="28" max="28" width="10.7109375" style="3" customWidth="1"/>
    <col min="29" max="29" width="14" style="3"/>
    <col min="30" max="31" width="10.7109375" style="3" customWidth="1"/>
    <col min="32" max="32" width="14" style="3"/>
    <col min="33" max="34" width="10.7109375" style="3" customWidth="1"/>
    <col min="35" max="35" width="14" style="3"/>
    <col min="36" max="42" width="10.7109375" style="3" customWidth="1"/>
    <col min="43" max="43" width="7.140625" style="3" customWidth="1"/>
    <col min="44" max="16384" width="14" style="3"/>
  </cols>
  <sheetData>
    <row r="1" spans="1:49" ht="15" customHeight="1" x14ac:dyDescent="0.25">
      <c r="A1" s="1" t="s">
        <v>0</v>
      </c>
      <c r="B1" s="2">
        <v>2</v>
      </c>
      <c r="K1" s="3" t="s">
        <v>1</v>
      </c>
      <c r="L1" s="3" t="s">
        <v>2</v>
      </c>
      <c r="M1" s="3" t="s">
        <v>3</v>
      </c>
      <c r="N1" s="3" t="s">
        <v>4</v>
      </c>
      <c r="O1" s="3" t="s">
        <v>5</v>
      </c>
      <c r="P1" s="3" t="s">
        <v>6</v>
      </c>
      <c r="Q1" s="3" t="s">
        <v>7</v>
      </c>
      <c r="R1" s="3" t="s">
        <v>8</v>
      </c>
      <c r="S1" s="3" t="s">
        <v>9</v>
      </c>
      <c r="T1" s="3" t="s">
        <v>10</v>
      </c>
      <c r="U1" s="3" t="s">
        <v>11</v>
      </c>
      <c r="V1" s="3" t="s">
        <v>12</v>
      </c>
      <c r="W1" s="3" t="s">
        <v>13</v>
      </c>
      <c r="X1" s="3" t="s">
        <v>14</v>
      </c>
      <c r="Y1" s="3" t="s">
        <v>15</v>
      </c>
      <c r="Z1" s="3" t="s">
        <v>16</v>
      </c>
      <c r="AA1" s="3" t="s">
        <v>17</v>
      </c>
      <c r="AB1" s="3" t="s">
        <v>18</v>
      </c>
      <c r="AC1" s="3" t="s">
        <v>19</v>
      </c>
      <c r="AD1" s="3" t="s">
        <v>20</v>
      </c>
      <c r="AE1" s="3" t="s">
        <v>21</v>
      </c>
      <c r="AF1" s="3" t="s">
        <v>22</v>
      </c>
      <c r="AG1" s="3" t="s">
        <v>23</v>
      </c>
      <c r="AH1" s="3" t="s">
        <v>24</v>
      </c>
      <c r="AI1" s="3" t="s">
        <v>25</v>
      </c>
      <c r="AJ1" s="3" t="s">
        <v>26</v>
      </c>
      <c r="AK1" s="3" t="s">
        <v>27</v>
      </c>
      <c r="AL1" s="3" t="s">
        <v>28</v>
      </c>
      <c r="AM1" s="3" t="s">
        <v>29</v>
      </c>
      <c r="AN1" s="3" t="s">
        <v>30</v>
      </c>
      <c r="AO1" s="3" t="s">
        <v>31</v>
      </c>
      <c r="AP1" s="3" t="s">
        <v>32</v>
      </c>
    </row>
    <row r="2" spans="1:49" ht="15" customHeight="1" x14ac:dyDescent="0.25">
      <c r="K2" s="3">
        <v>0</v>
      </c>
      <c r="L2" s="4">
        <v>0</v>
      </c>
      <c r="M2" s="4">
        <v>0</v>
      </c>
      <c r="N2" s="4">
        <v>0</v>
      </c>
      <c r="O2" s="5">
        <f t="shared" ref="O2:O65" si="0">IF(K2&lt;&gt;"",N2*$B$7*$B$8,"")</f>
        <v>0</v>
      </c>
      <c r="P2" s="5">
        <f t="shared" ref="P2:P65" si="1">IF(K2&lt;&gt;"",IF(O2&gt;0,EXP(-1.0587+0.8836*LN(O2)+0.284),0),"")</f>
        <v>0</v>
      </c>
      <c r="Q2" s="5">
        <f t="shared" ref="Q2:Q65" si="2">IF(K2&lt;&gt;"",45+25*(1-EXP(-0.0175*K2)),"")</f>
        <v>45</v>
      </c>
      <c r="R2" s="5">
        <v>0</v>
      </c>
      <c r="S2" s="5">
        <v>227.69999999999996</v>
      </c>
      <c r="T2" s="5" t="str">
        <f t="shared" ref="T2:T65" si="3">IF(AND(K2&lt;=$E$11,K2&lt;&gt;"",K2&gt;0),IF($E$4="Embrousaillement",1*K2*$E$7*$E$8,0),"")</f>
        <v/>
      </c>
      <c r="U2" s="5" t="str">
        <f t="shared" ref="U2:U65" si="4">IF(AND(K2&lt;=$E$11,K2&lt;&gt;"",K2&gt;0),IF($E$4="Embrousaillement",EXP(-1.0587+0.8836*LN(T2)+0.284),0),"")</f>
        <v/>
      </c>
      <c r="V2" s="5" t="str">
        <f>IF($E$4="Embrousaillement",Tableau182983[[#This Row],[SOL]],"")</f>
        <v/>
      </c>
      <c r="W2" s="5" t="str">
        <f>IF($E$4="Embrousaillement",Tableau182983[[#This Row],[L]],"")</f>
        <v/>
      </c>
      <c r="X2" s="5" t="s">
        <v>166</v>
      </c>
      <c r="Y2" s="5">
        <f t="shared" ref="Y2:Y65" si="5">IF(K2&lt;&gt;"",IF(M2&gt;0,IF($K2&gt;=$AT$7,$AU$7,IF(AND($K2&gt;=$AT$6,$K2&lt;$AT$7),$AU$6,IF(AND($K2&gt;=$AT$5,$K2&lt;$AT$6),$AU$5,IF(AND($K2&gt;=$AT$4,$K2&lt;$AT$5),$AU$4,$AU$4))))*M2,0),"")</f>
        <v>0</v>
      </c>
      <c r="Z2" s="5">
        <f t="shared" ref="Z2:Z65" si="6">IF(K2&lt;&gt;"",IF(M2&gt;0,IF($K2&gt;=$AT$7,$AV$7,IF(AND($K2&gt;=$AT$6,$K2&lt;$AT$7),$AV$6,IF(AND($K2&gt;=$AT$5,$K2&lt;$AT$6),$AV$5,IF(AND($K2&gt;=$AT$4,$K2&lt;$AT$5),$AV$4,$AV$4))))*M2,0),"")</f>
        <v>0</v>
      </c>
      <c r="AA2" s="5">
        <f t="shared" ref="AA2:AA65" si="7">IF(K2&lt;&gt;"",IF(M2&gt;0,IF($K2&gt;=$AT$7,$AW$7,IF(AND($K2&gt;=$AT$6,$K2&lt;$AT$7),$AW$6,IF(AND($K2&gt;=$AT$5,$K2&lt;$AT$6),$AW$5,IF(AND($K2&gt;=$AT$4,$K2&lt;$AT$5),$AW$4,$AW$4))))*M2,0),"")</f>
        <v>0</v>
      </c>
      <c r="AB2" s="5">
        <v>0</v>
      </c>
      <c r="AC2" s="5">
        <v>1.980420515885558E-2</v>
      </c>
      <c r="AD2" s="5" t="str">
        <f t="shared" ref="AD2:AD65" si="8">IF(AND(K2&lt;=30,K2&lt;&gt;"",K2&gt;0),EXP(-AC2)*IF(K2=1,0,AD1)+(((1-EXP(-AC2))/AC2)*AB2),"")</f>
        <v/>
      </c>
      <c r="AE2" s="5">
        <v>0</v>
      </c>
      <c r="AF2" s="5">
        <v>2.7725887222397813E-2</v>
      </c>
      <c r="AG2" s="5" t="str">
        <f t="shared" ref="AG2:AG65" si="9">IF(AND(K2&lt;=30,K2&lt;&gt;"",K2&gt;0),EXP(-AF2)*IF(K2=1,0,AG1)+(((1-EXP(-AF2))/AF2)*AE2),"")</f>
        <v/>
      </c>
      <c r="AH2" s="5">
        <v>0</v>
      </c>
      <c r="AI2" s="5">
        <v>0.34657359027997264</v>
      </c>
      <c r="AJ2" s="5" t="str">
        <f t="shared" ref="AJ2:AJ65" si="10">IF(AND(K2&lt;=30,K2&lt;&gt;"",K2&gt;0),EXP(-AI2)*IF(K2=1,0,AJ1)+(((1-EXP(-AI2))/AI2)*AH2),"")</f>
        <v/>
      </c>
      <c r="AK2" s="5">
        <f t="shared" ref="AK2:AK65" si="11">IF(AND(K2&lt;=30,K2&lt;&gt;""),SUM(Y2:AA2)*$B$10,"")</f>
        <v>0</v>
      </c>
      <c r="AL2" s="6">
        <f>IF(Tableau182983[[#This Row],[Age]]&lt;&gt;"",IF(Tableau182983[[#This Row],[Age]]=0,$AT$10*$B$10+SUMIF($AS$21:$AS$29,Tableau182983[[#This Row],[Age]],$AU$21:$AU$29)*$B$10+$AT$11*$B$10,SUMIF($AS$21:$AS$29,Tableau182983[[#This Row],[Age]],$AU$21:$AU$29)*$B$10+$AT$11*$B$10),"")</f>
        <v>1059.8399999999999</v>
      </c>
      <c r="AM2" s="7">
        <f>IF(Tableau182983[[#This Row],[Age]]&lt;&gt;"",IF(Tableau182983[[#This Row],[Age]]=$B$11,$AT$10*$B$10,0)+Tableau182983[[#This Row],[VBO]]*$AX$21*$B$10+Tableau182983[[#This Row],[VBI]]*$AX$22*$B$10+Tableau182983[[#This Row],[VBE]]*$AX$23*$B$10,"")</f>
        <v>0</v>
      </c>
      <c r="AN2" s="7">
        <v>1059.8399999999999</v>
      </c>
      <c r="AO2" s="7">
        <v>0</v>
      </c>
      <c r="AP2" s="7">
        <f>IF(Tableau182983[[#This Row],[Age]]&lt;&gt;"",Tableau182983[[#This Row],[RA]]-Tableau182983[[#This Row],[DA]],"")</f>
        <v>-1059.8399999999999</v>
      </c>
      <c r="AS2" s="1" t="s">
        <v>33</v>
      </c>
    </row>
    <row r="3" spans="1:49" ht="15" customHeight="1" x14ac:dyDescent="0.25">
      <c r="A3" s="1" t="s">
        <v>34</v>
      </c>
      <c r="D3" s="1" t="s">
        <v>35</v>
      </c>
      <c r="K3" s="3">
        <v>1</v>
      </c>
      <c r="L3" s="4">
        <v>1.1946424546886401E-2</v>
      </c>
      <c r="M3" s="4">
        <v>0</v>
      </c>
      <c r="N3" s="4">
        <v>1.1946424546886401E-2</v>
      </c>
      <c r="O3" s="5">
        <f t="shared" si="0"/>
        <v>1.0436396484159961E-2</v>
      </c>
      <c r="P3" s="5">
        <f t="shared" si="1"/>
        <v>8.1798124923879931E-3</v>
      </c>
      <c r="Q3" s="5">
        <f t="shared" si="2"/>
        <v>45.433694108373167</v>
      </c>
      <c r="R3" s="5">
        <v>0.33333333333333331</v>
      </c>
      <c r="S3" s="5">
        <v>231.62590291331</v>
      </c>
      <c r="T3" s="5">
        <f t="shared" si="3"/>
        <v>0</v>
      </c>
      <c r="U3" s="5">
        <f t="shared" si="4"/>
        <v>0</v>
      </c>
      <c r="V3" s="5" t="str">
        <f>IF($E$4="Embrousaillement",Tableau182983[[#This Row],[SOL]],"")</f>
        <v/>
      </c>
      <c r="W3" s="5" t="str">
        <f>IF($E$4="Embrousaillement",Tableau182983[[#This Row],[L]],"")</f>
        <v/>
      </c>
      <c r="X3" s="5">
        <v>25.299999999999997</v>
      </c>
      <c r="Y3" s="5">
        <f t="shared" si="5"/>
        <v>0</v>
      </c>
      <c r="Z3" s="5">
        <f t="shared" si="6"/>
        <v>0</v>
      </c>
      <c r="AA3" s="5">
        <f t="shared" si="7"/>
        <v>0</v>
      </c>
      <c r="AB3" s="5">
        <v>0</v>
      </c>
      <c r="AC3" s="5">
        <v>1.980420515885558E-2</v>
      </c>
      <c r="AD3" s="5">
        <f t="shared" si="8"/>
        <v>0</v>
      </c>
      <c r="AE3" s="5">
        <v>0</v>
      </c>
      <c r="AF3" s="5">
        <v>2.7725887222397813E-2</v>
      </c>
      <c r="AG3" s="5">
        <f t="shared" si="9"/>
        <v>0</v>
      </c>
      <c r="AH3" s="5">
        <v>0</v>
      </c>
      <c r="AI3" s="5">
        <v>0.34657359027997264</v>
      </c>
      <c r="AJ3" s="5">
        <f t="shared" si="10"/>
        <v>0</v>
      </c>
      <c r="AK3" s="5">
        <f t="shared" si="11"/>
        <v>0</v>
      </c>
      <c r="AL3" s="6">
        <f>IF(Tableau182983[[#This Row],[Age]]&lt;&gt;"",IF(Tableau182983[[#This Row],[Age]]=0,$AT$10*$B$10+SUMIF($AS$21:$AS$29,Tableau182983[[#This Row],[Age]],$AU$21:$AU$29)*$B$10+$AT$11*$B$10,SUMIF($AS$21:$AS$29,Tableau182983[[#This Row],[Age]],$AU$21:$AU$29)*$B$10+$AT$11*$B$10),"")</f>
        <v>5611.08</v>
      </c>
      <c r="AM3" s="7">
        <f>IF(Tableau182983[[#This Row],[Age]]&lt;&gt;"",IF(Tableau182983[[#This Row],[Age]]=$B$11,$AT$10*$B$10,0)+Tableau182983[[#This Row],[VBO]]*$AX$21*$B$10+Tableau182983[[#This Row],[VBI]]*$AX$22*$B$10+Tableau182983[[#This Row],[VBE]]*$AX$23*$B$10,"")</f>
        <v>0</v>
      </c>
      <c r="AN3" s="7">
        <v>5369.454545454546</v>
      </c>
      <c r="AO3" s="7">
        <v>0</v>
      </c>
      <c r="AP3" s="7">
        <f>IF(Tableau182983[[#This Row],[Age]]&lt;&gt;"",Tableau182983[[#This Row],[RA]]-Tableau182983[[#This Row],[DA]],"")</f>
        <v>-5369.454545454546</v>
      </c>
      <c r="AS3" s="8" t="s">
        <v>36</v>
      </c>
      <c r="AT3" s="8" t="s">
        <v>1</v>
      </c>
      <c r="AU3" s="8" t="s">
        <v>37</v>
      </c>
      <c r="AV3" s="8" t="s">
        <v>38</v>
      </c>
      <c r="AW3" s="8" t="s">
        <v>39</v>
      </c>
    </row>
    <row r="4" spans="1:49" ht="15" customHeight="1" x14ac:dyDescent="0.2">
      <c r="A4" s="3" t="s">
        <v>40</v>
      </c>
      <c r="B4" s="9" t="s">
        <v>161</v>
      </c>
      <c r="D4" s="3" t="s">
        <v>42</v>
      </c>
      <c r="E4" s="9" t="s">
        <v>43</v>
      </c>
      <c r="K4" s="3">
        <v>2</v>
      </c>
      <c r="L4" s="4">
        <v>9.2387787410877262E-2</v>
      </c>
      <c r="M4" s="4">
        <v>0</v>
      </c>
      <c r="N4" s="4">
        <v>9.2387787410877262E-2</v>
      </c>
      <c r="O4" s="5">
        <f t="shared" si="0"/>
        <v>8.0709971082142395E-2</v>
      </c>
      <c r="P4" s="5">
        <f t="shared" si="1"/>
        <v>4.9855483390472091E-2</v>
      </c>
      <c r="Q4" s="5">
        <f t="shared" si="2"/>
        <v>45.859864593560836</v>
      </c>
      <c r="R4" s="5">
        <v>0.66666666666666663</v>
      </c>
      <c r="S4" s="5">
        <v>235.73806224657605</v>
      </c>
      <c r="T4" s="5">
        <f t="shared" si="3"/>
        <v>0</v>
      </c>
      <c r="U4" s="5">
        <f t="shared" si="4"/>
        <v>0</v>
      </c>
      <c r="V4" s="5" t="str">
        <f>IF($E$4="Embrousaillement",Tableau182983[[#This Row],[SOL]],"")</f>
        <v/>
      </c>
      <c r="W4" s="5" t="str">
        <f>IF($E$4="Embrousaillement",Tableau182983[[#This Row],[L]],"")</f>
        <v/>
      </c>
      <c r="X4" s="5">
        <v>25.299999999999997</v>
      </c>
      <c r="Y4" s="5">
        <f t="shared" si="5"/>
        <v>0</v>
      </c>
      <c r="Z4" s="5">
        <f t="shared" si="6"/>
        <v>0</v>
      </c>
      <c r="AA4" s="5">
        <f t="shared" si="7"/>
        <v>0</v>
      </c>
      <c r="AB4" s="5">
        <v>0</v>
      </c>
      <c r="AC4" s="5">
        <v>1.980420515885558E-2</v>
      </c>
      <c r="AD4" s="5">
        <f t="shared" si="8"/>
        <v>0</v>
      </c>
      <c r="AE4" s="5">
        <v>0</v>
      </c>
      <c r="AF4" s="5">
        <v>2.7725887222397813E-2</v>
      </c>
      <c r="AG4" s="5">
        <f t="shared" si="9"/>
        <v>0</v>
      </c>
      <c r="AH4" s="5">
        <v>0</v>
      </c>
      <c r="AI4" s="5">
        <v>0.34657359027997264</v>
      </c>
      <c r="AJ4" s="5">
        <f t="shared" si="10"/>
        <v>0</v>
      </c>
      <c r="AK4" s="5">
        <f t="shared" si="11"/>
        <v>0</v>
      </c>
      <c r="AL4" s="6">
        <f>IF(Tableau182983[[#This Row],[Age]]&lt;&gt;"",IF(Tableau182983[[#This Row],[Age]]=0,$AT$10*$B$10+SUMIF($AS$21:$AS$29,Tableau182983[[#This Row],[Age]],$AU$21:$AU$29)*$B$10+$AT$11*$B$10,SUMIF($AS$21:$AS$29,Tableau182983[[#This Row],[Age]],$AU$21:$AU$29)*$B$10+$AT$11*$B$10),"")</f>
        <v>1611.8399999999997</v>
      </c>
      <c r="AM4" s="7">
        <f>IF(Tableau182983[[#This Row],[Age]]&lt;&gt;"",IF(Tableau182983[[#This Row],[Age]]=$B$11,$AT$10*$B$10,0)+Tableau182983[[#This Row],[VBO]]*$AX$21*$B$10+Tableau182983[[#This Row],[VBI]]*$AX$22*$B$10+Tableau182983[[#This Row],[VBE]]*$AX$23*$B$10,"")</f>
        <v>0</v>
      </c>
      <c r="AN4" s="7">
        <v>1476.0101646024586</v>
      </c>
      <c r="AO4" s="7">
        <v>0</v>
      </c>
      <c r="AP4" s="7">
        <f>IF(Tableau182983[[#This Row],[Age]]&lt;&gt;"",Tableau182983[[#This Row],[RA]]-Tableau182983[[#This Row],[DA]],"")</f>
        <v>-1476.0101646024586</v>
      </c>
      <c r="AS4" s="8" t="s">
        <v>44</v>
      </c>
      <c r="AT4" s="8">
        <v>20</v>
      </c>
      <c r="AU4" s="10">
        <v>0</v>
      </c>
      <c r="AV4" s="10">
        <v>0.5</v>
      </c>
      <c r="AW4" s="10">
        <v>0.5</v>
      </c>
    </row>
    <row r="5" spans="1:49" ht="15" customHeight="1" x14ac:dyDescent="0.2">
      <c r="A5" s="3" t="s">
        <v>45</v>
      </c>
      <c r="B5" s="9" t="s">
        <v>46</v>
      </c>
      <c r="D5" s="3" t="s">
        <v>40</v>
      </c>
      <c r="E5" s="9"/>
      <c r="G5" s="3" t="s">
        <v>47</v>
      </c>
      <c r="H5" s="9">
        <v>0</v>
      </c>
      <c r="K5" s="3">
        <v>3</v>
      </c>
      <c r="L5" s="4">
        <v>0.3038819587955251</v>
      </c>
      <c r="M5" s="4">
        <v>0</v>
      </c>
      <c r="N5" s="4">
        <v>0.3038819587955251</v>
      </c>
      <c r="O5" s="5">
        <f t="shared" si="0"/>
        <v>0.26547127920377073</v>
      </c>
      <c r="P5" s="5">
        <f t="shared" si="1"/>
        <v>0.14276244112652339</v>
      </c>
      <c r="Q5" s="5">
        <f t="shared" si="2"/>
        <v>46.278641973604969</v>
      </c>
      <c r="R5" s="5">
        <v>1</v>
      </c>
      <c r="S5" s="5">
        <v>240.21111813325501</v>
      </c>
      <c r="T5" s="5">
        <f t="shared" si="3"/>
        <v>0</v>
      </c>
      <c r="U5" s="5">
        <f t="shared" si="4"/>
        <v>0</v>
      </c>
      <c r="V5" s="5" t="str">
        <f>IF($E$4="Embrousaillement",Tableau182983[[#This Row],[SOL]],"")</f>
        <v/>
      </c>
      <c r="W5" s="5" t="str">
        <f>IF($E$4="Embrousaillement",Tableau182983[[#This Row],[L]],"")</f>
        <v/>
      </c>
      <c r="X5" s="5">
        <v>25.299999999999997</v>
      </c>
      <c r="Y5" s="5">
        <f t="shared" si="5"/>
        <v>0</v>
      </c>
      <c r="Z5" s="5">
        <f t="shared" si="6"/>
        <v>0</v>
      </c>
      <c r="AA5" s="5">
        <f t="shared" si="7"/>
        <v>0</v>
      </c>
      <c r="AB5" s="5">
        <v>0</v>
      </c>
      <c r="AC5" s="5">
        <v>1.980420515885558E-2</v>
      </c>
      <c r="AD5" s="5">
        <f t="shared" si="8"/>
        <v>0</v>
      </c>
      <c r="AE5" s="5">
        <v>0</v>
      </c>
      <c r="AF5" s="5">
        <v>2.7725887222397813E-2</v>
      </c>
      <c r="AG5" s="5">
        <f t="shared" si="9"/>
        <v>0</v>
      </c>
      <c r="AH5" s="5">
        <v>0</v>
      </c>
      <c r="AI5" s="5">
        <v>0.34657359027997264</v>
      </c>
      <c r="AJ5" s="5">
        <f t="shared" si="10"/>
        <v>0</v>
      </c>
      <c r="AK5" s="5">
        <f t="shared" si="11"/>
        <v>0</v>
      </c>
      <c r="AL5" s="6">
        <f>IF(Tableau182983[[#This Row],[Age]]&lt;&gt;"",IF(Tableau182983[[#This Row],[Age]]=0,$AT$10*$B$10+SUMIF($AS$21:$AS$29,Tableau182983[[#This Row],[Age]],$AU$21:$AU$29)*$B$10+$AT$11*$B$10,SUMIF($AS$21:$AS$29,Tableau182983[[#This Row],[Age]],$AU$21:$AU$29)*$B$10+$AT$11*$B$10),"")</f>
        <v>507.83999999999992</v>
      </c>
      <c r="AM5" s="7">
        <f>IF(Tableau182983[[#This Row],[Age]]&lt;&gt;"",IF(Tableau182983[[#This Row],[Age]]=$B$11,$AT$10*$B$10,0)+Tableau182983[[#This Row],[VBO]]*$AX$21*$B$10+Tableau182983[[#This Row],[VBI]]*$AX$22*$B$10+Tableau182983[[#This Row],[VBE]]*$AX$23*$B$10,"")</f>
        <v>0</v>
      </c>
      <c r="AN5" s="7">
        <v>445.0184674032451</v>
      </c>
      <c r="AO5" s="7">
        <v>0</v>
      </c>
      <c r="AP5" s="7">
        <f>IF(Tableau182983[[#This Row],[Age]]&lt;&gt;"",Tableau182983[[#This Row],[RA]]-Tableau182983[[#This Row],[DA]],"")</f>
        <v>-445.0184674032451</v>
      </c>
      <c r="AS5" s="8" t="s">
        <v>48</v>
      </c>
      <c r="AT5" s="8">
        <v>30</v>
      </c>
      <c r="AU5" s="10">
        <v>0.6</v>
      </c>
      <c r="AV5" s="10">
        <v>0.2</v>
      </c>
      <c r="AW5" s="10">
        <v>0.2</v>
      </c>
    </row>
    <row r="6" spans="1:49" ht="15" customHeight="1" x14ac:dyDescent="0.2">
      <c r="A6" s="3" t="s">
        <v>49</v>
      </c>
      <c r="B6" s="3" t="s">
        <v>168</v>
      </c>
      <c r="D6" s="3" t="s">
        <v>49</v>
      </c>
      <c r="K6" s="3">
        <v>4</v>
      </c>
      <c r="L6" s="4">
        <v>0.70437124517720917</v>
      </c>
      <c r="M6" s="4">
        <v>0</v>
      </c>
      <c r="N6" s="4">
        <v>0.70437124517720917</v>
      </c>
      <c r="O6" s="5">
        <f t="shared" si="0"/>
        <v>0.61533871978680998</v>
      </c>
      <c r="P6" s="5">
        <f t="shared" si="1"/>
        <v>0.30006366574947096</v>
      </c>
      <c r="Q6" s="5">
        <f t="shared" si="2"/>
        <v>46.690154502351291</v>
      </c>
      <c r="R6" s="5">
        <v>1.3333333333333333</v>
      </c>
      <c r="S6" s="5">
        <v>245.19901808220064</v>
      </c>
      <c r="T6" s="5">
        <f t="shared" si="3"/>
        <v>0</v>
      </c>
      <c r="U6" s="5">
        <f t="shared" si="4"/>
        <v>0</v>
      </c>
      <c r="V6" s="5" t="str">
        <f>IF($E$4="Embrousaillement",Tableau182983[[#This Row],[SOL]],"")</f>
        <v/>
      </c>
      <c r="W6" s="5" t="str">
        <f>IF($E$4="Embrousaillement",Tableau182983[[#This Row],[L]],"")</f>
        <v/>
      </c>
      <c r="X6" s="5">
        <v>25.299999999999997</v>
      </c>
      <c r="Y6" s="5">
        <f t="shared" si="5"/>
        <v>0</v>
      </c>
      <c r="Z6" s="5">
        <f t="shared" si="6"/>
        <v>0</v>
      </c>
      <c r="AA6" s="5">
        <f t="shared" si="7"/>
        <v>0</v>
      </c>
      <c r="AB6" s="5">
        <v>0</v>
      </c>
      <c r="AC6" s="5">
        <v>1.980420515885558E-2</v>
      </c>
      <c r="AD6" s="5">
        <f t="shared" si="8"/>
        <v>0</v>
      </c>
      <c r="AE6" s="5">
        <v>0</v>
      </c>
      <c r="AF6" s="5">
        <v>2.7725887222397813E-2</v>
      </c>
      <c r="AG6" s="5">
        <f t="shared" si="9"/>
        <v>0</v>
      </c>
      <c r="AH6" s="5">
        <v>0</v>
      </c>
      <c r="AI6" s="5">
        <v>0.34657359027997264</v>
      </c>
      <c r="AJ6" s="5">
        <f t="shared" si="10"/>
        <v>0</v>
      </c>
      <c r="AK6" s="5">
        <f t="shared" si="11"/>
        <v>0</v>
      </c>
      <c r="AL6" s="6">
        <f>IF(Tableau182983[[#This Row],[Age]]&lt;&gt;"",IF(Tableau182983[[#This Row],[Age]]=0,$AT$10*$B$10+SUMIF($AS$21:$AS$29,Tableau182983[[#This Row],[Age]],$AU$21:$AU$29)*$B$10+$AT$11*$B$10,SUMIF($AS$21:$AS$29,Tableau182983[[#This Row],[Age]],$AU$21:$AU$29)*$B$10+$AT$11*$B$10),"")</f>
        <v>369.84</v>
      </c>
      <c r="AM6" s="7">
        <f>IF(Tableau182983[[#This Row],[Age]]&lt;&gt;"",IF(Tableau182983[[#This Row],[Age]]=$B$11,$AT$10*$B$10,0)+Tableau182983[[#This Row],[VBO]]*$AX$21*$B$10+Tableau182983[[#This Row],[VBI]]*$AX$22*$B$10+Tableau182983[[#This Row],[VBE]]*$AX$23*$B$10,"")</f>
        <v>0</v>
      </c>
      <c r="AN6" s="7">
        <v>310.13352731451459</v>
      </c>
      <c r="AO6" s="7">
        <v>0</v>
      </c>
      <c r="AP6" s="7">
        <f>IF(Tableau182983[[#This Row],[Age]]&lt;&gt;"",Tableau182983[[#This Row],[RA]]-Tableau182983[[#This Row],[DA]],"")</f>
        <v>-310.13352731451459</v>
      </c>
      <c r="AS6" s="8" t="s">
        <v>50</v>
      </c>
      <c r="AT6" s="8">
        <v>40</v>
      </c>
      <c r="AU6" s="10">
        <v>0.6</v>
      </c>
      <c r="AV6" s="10">
        <v>0.3</v>
      </c>
      <c r="AW6" s="10">
        <v>0.1</v>
      </c>
    </row>
    <row r="7" spans="1:49" ht="15" customHeight="1" x14ac:dyDescent="0.2">
      <c r="A7" s="3" t="s">
        <v>51</v>
      </c>
      <c r="B7" s="3">
        <v>0.56000000000000005</v>
      </c>
      <c r="D7" s="3" t="s">
        <v>51</v>
      </c>
      <c r="K7" s="3">
        <v>5</v>
      </c>
      <c r="L7" s="4">
        <v>1.3478097381969256</v>
      </c>
      <c r="M7" s="4">
        <v>0</v>
      </c>
      <c r="N7" s="4">
        <v>1.3478097381969256</v>
      </c>
      <c r="O7" s="5">
        <f t="shared" si="0"/>
        <v>1.1774465872888344</v>
      </c>
      <c r="P7" s="5">
        <f t="shared" si="1"/>
        <v>0.53239715087992845</v>
      </c>
      <c r="Q7" s="5">
        <f t="shared" si="2"/>
        <v>47.094528208728065</v>
      </c>
      <c r="R7" s="5">
        <v>1.6666666666666665</v>
      </c>
      <c r="S7" s="5">
        <v>250.84125549418593</v>
      </c>
      <c r="T7" s="5">
        <f t="shared" si="3"/>
        <v>0</v>
      </c>
      <c r="U7" s="5">
        <f t="shared" si="4"/>
        <v>0</v>
      </c>
      <c r="V7" s="5" t="str">
        <f>IF($E$4="Embrousaillement",Tableau182983[[#This Row],[SOL]],"")</f>
        <v/>
      </c>
      <c r="W7" s="5" t="str">
        <f>IF($E$4="Embrousaillement",Tableau182983[[#This Row],[L]],"")</f>
        <v/>
      </c>
      <c r="X7" s="5">
        <v>25.299999999999997</v>
      </c>
      <c r="Y7" s="5">
        <f t="shared" si="5"/>
        <v>0</v>
      </c>
      <c r="Z7" s="5">
        <f t="shared" si="6"/>
        <v>0</v>
      </c>
      <c r="AA7" s="5">
        <f t="shared" si="7"/>
        <v>0</v>
      </c>
      <c r="AB7" s="5">
        <v>0</v>
      </c>
      <c r="AC7" s="5">
        <v>1.980420515885558E-2</v>
      </c>
      <c r="AD7" s="5">
        <f t="shared" si="8"/>
        <v>0</v>
      </c>
      <c r="AE7" s="5">
        <v>0</v>
      </c>
      <c r="AF7" s="5">
        <v>2.7725887222397813E-2</v>
      </c>
      <c r="AG7" s="5">
        <f t="shared" si="9"/>
        <v>0</v>
      </c>
      <c r="AH7" s="5">
        <v>0</v>
      </c>
      <c r="AI7" s="5">
        <v>0.34657359027997264</v>
      </c>
      <c r="AJ7" s="5">
        <f t="shared" si="10"/>
        <v>0</v>
      </c>
      <c r="AK7" s="5">
        <f t="shared" si="11"/>
        <v>0</v>
      </c>
      <c r="AL7" s="6">
        <f>IF(Tableau182983[[#This Row],[Age]]&lt;&gt;"",IF(Tableau182983[[#This Row],[Age]]=0,$AT$10*$B$10+SUMIF($AS$21:$AS$29,Tableau182983[[#This Row],[Age]],$AU$21:$AU$29)*$B$10+$AT$11*$B$10,SUMIF($AS$21:$AS$29,Tableau182983[[#This Row],[Age]],$AU$21:$AU$29)*$B$10+$AT$11*$B$10),"")</f>
        <v>24.839999999999996</v>
      </c>
      <c r="AM7" s="7">
        <f>IF(Tableau182983[[#This Row],[Age]]&lt;&gt;"",IF(Tableau182983[[#This Row],[Age]]=$B$11,$AT$10*$B$10,0)+Tableau182983[[#This Row],[VBO]]*$AX$21*$B$10+Tableau182983[[#This Row],[VBI]]*$AX$22*$B$10+Tableau182983[[#This Row],[VBE]]*$AX$23*$B$10,"")</f>
        <v>0</v>
      </c>
      <c r="AN7" s="7">
        <v>19.932883995076992</v>
      </c>
      <c r="AO7" s="7">
        <v>0</v>
      </c>
      <c r="AP7" s="7">
        <f>IF(Tableau182983[[#This Row],[Age]]&lt;&gt;"",Tableau182983[[#This Row],[RA]]-Tableau182983[[#This Row],[DA]],"")</f>
        <v>-19.932883995076992</v>
      </c>
      <c r="AS7" s="8" t="s">
        <v>52</v>
      </c>
      <c r="AT7" s="8" t="s">
        <v>166</v>
      </c>
      <c r="AU7" s="10" t="s">
        <v>166</v>
      </c>
      <c r="AV7" s="10" t="s">
        <v>166</v>
      </c>
      <c r="AW7" s="10" t="s">
        <v>166</v>
      </c>
    </row>
    <row r="8" spans="1:49" ht="15" customHeight="1" x14ac:dyDescent="0.2">
      <c r="A8" s="3" t="s">
        <v>53</v>
      </c>
      <c r="B8" s="3">
        <v>1.56</v>
      </c>
      <c r="D8" s="3" t="s">
        <v>53</v>
      </c>
      <c r="K8" s="3">
        <v>6</v>
      </c>
      <c r="L8" s="4">
        <v>2.2845322350124242</v>
      </c>
      <c r="M8" s="4">
        <v>0</v>
      </c>
      <c r="N8" s="4">
        <v>2.2845322350124242</v>
      </c>
      <c r="O8" s="5">
        <f t="shared" si="0"/>
        <v>1.995767360506854</v>
      </c>
      <c r="P8" s="5">
        <f t="shared" si="1"/>
        <v>0.84865111551310202</v>
      </c>
      <c r="Q8" s="5">
        <f t="shared" si="2"/>
        <v>47.491886935343359</v>
      </c>
      <c r="R8" s="5">
        <v>2</v>
      </c>
      <c r="S8" s="5">
        <v>257.26550769995134</v>
      </c>
      <c r="T8" s="5">
        <f t="shared" si="3"/>
        <v>0</v>
      </c>
      <c r="U8" s="5">
        <f t="shared" si="4"/>
        <v>0</v>
      </c>
      <c r="V8" s="5" t="str">
        <f>IF($E$4="Embrousaillement",Tableau182983[[#This Row],[SOL]],"")</f>
        <v/>
      </c>
      <c r="W8" s="5" t="str">
        <f>IF($E$4="Embrousaillement",Tableau182983[[#This Row],[L]],"")</f>
        <v/>
      </c>
      <c r="X8" s="5">
        <v>25.299999999999997</v>
      </c>
      <c r="Y8" s="5">
        <f t="shared" si="5"/>
        <v>0</v>
      </c>
      <c r="Z8" s="5">
        <f t="shared" si="6"/>
        <v>0</v>
      </c>
      <c r="AA8" s="5">
        <f t="shared" si="7"/>
        <v>0</v>
      </c>
      <c r="AB8" s="5">
        <v>0</v>
      </c>
      <c r="AC8" s="5">
        <v>1.980420515885558E-2</v>
      </c>
      <c r="AD8" s="5">
        <f t="shared" si="8"/>
        <v>0</v>
      </c>
      <c r="AE8" s="5">
        <v>0</v>
      </c>
      <c r="AF8" s="5">
        <v>2.7725887222397813E-2</v>
      </c>
      <c r="AG8" s="5">
        <f t="shared" si="9"/>
        <v>0</v>
      </c>
      <c r="AH8" s="5">
        <v>0</v>
      </c>
      <c r="AI8" s="5">
        <v>0.34657359027997264</v>
      </c>
      <c r="AJ8" s="5">
        <f t="shared" si="10"/>
        <v>0</v>
      </c>
      <c r="AK8" s="5">
        <f t="shared" si="11"/>
        <v>0</v>
      </c>
      <c r="AL8" s="7">
        <f>IF(Tableau182983[[#This Row],[Age]]&lt;&gt;"",IF(Tableau182983[[#This Row],[Age]]=0,$AT$10*$B$10+SUMIF($AS$21:$AS$29,Tableau182983[[#This Row],[Age]],$AU$21:$AU$29)*$B$10+$AT$11*$B$10,SUMIF($AS$21:$AS$29,Tableau182983[[#This Row],[Age]],$AU$21:$AU$29)*$B$10+$AT$11*$B$10),"")</f>
        <v>24.839999999999996</v>
      </c>
      <c r="AM8" s="7">
        <f>IF(Tableau182983[[#This Row],[Age]]&lt;&gt;"",IF(Tableau182983[[#This Row],[Age]]=$B$11,$AT$10*$B$10,0)+Tableau182983[[#This Row],[VBO]]*$AX$21*$B$10+Tableau182983[[#This Row],[VBI]]*$AX$22*$B$10+Tableau182983[[#This Row],[VBE]]*$AX$23*$B$10,"")</f>
        <v>0</v>
      </c>
      <c r="AN8" s="7">
        <v>19.074530138829662</v>
      </c>
      <c r="AO8" s="7">
        <v>0</v>
      </c>
      <c r="AP8" s="7">
        <f>IF(Tableau182983[[#This Row],[Age]]&lt;&gt;"",Tableau182983[[#This Row],[RA]]-Tableau182983[[#This Row],[DA]],"")</f>
        <v>-19.074530138829662</v>
      </c>
    </row>
    <row r="9" spans="1:49" ht="15" customHeight="1" x14ac:dyDescent="0.25">
      <c r="A9" s="11" t="s">
        <v>54</v>
      </c>
      <c r="B9" s="11">
        <v>0.25</v>
      </c>
      <c r="D9" s="3" t="s">
        <v>55</v>
      </c>
      <c r="E9" s="3">
        <f>E11*1</f>
        <v>60</v>
      </c>
      <c r="K9" s="3">
        <v>7</v>
      </c>
      <c r="L9" s="4">
        <v>3.5615315423636607</v>
      </c>
      <c r="M9" s="4">
        <v>0</v>
      </c>
      <c r="N9" s="4">
        <v>3.5615315423636607</v>
      </c>
      <c r="O9" s="5">
        <f t="shared" si="0"/>
        <v>3.1113539554088945</v>
      </c>
      <c r="P9" s="5">
        <f t="shared" si="1"/>
        <v>1.2563833509662181</v>
      </c>
      <c r="Q9" s="5">
        <f t="shared" si="2"/>
        <v>47.882352376412911</v>
      </c>
      <c r="R9" s="5">
        <v>2.333333333333333</v>
      </c>
      <c r="S9" s="5">
        <v>264.58922630718854</v>
      </c>
      <c r="T9" s="5">
        <f t="shared" si="3"/>
        <v>0</v>
      </c>
      <c r="U9" s="5">
        <f t="shared" si="4"/>
        <v>0</v>
      </c>
      <c r="V9" s="5" t="str">
        <f>IF($E$4="Embrousaillement",Tableau182983[[#This Row],[SOL]],"")</f>
        <v/>
      </c>
      <c r="W9" s="5" t="str">
        <f>IF($E$4="Embrousaillement",Tableau182983[[#This Row],[L]],"")</f>
        <v/>
      </c>
      <c r="X9" s="5">
        <v>25.299999999999997</v>
      </c>
      <c r="Y9" s="5">
        <f t="shared" si="5"/>
        <v>0</v>
      </c>
      <c r="Z9" s="5">
        <f t="shared" si="6"/>
        <v>0</v>
      </c>
      <c r="AA9" s="5">
        <f t="shared" si="7"/>
        <v>0</v>
      </c>
      <c r="AB9" s="5">
        <v>0</v>
      </c>
      <c r="AC9" s="5">
        <v>1.980420515885558E-2</v>
      </c>
      <c r="AD9" s="5">
        <f t="shared" si="8"/>
        <v>0</v>
      </c>
      <c r="AE9" s="5">
        <v>0</v>
      </c>
      <c r="AF9" s="5">
        <v>2.7725887222397813E-2</v>
      </c>
      <c r="AG9" s="5">
        <f t="shared" si="9"/>
        <v>0</v>
      </c>
      <c r="AH9" s="5">
        <v>0</v>
      </c>
      <c r="AI9" s="5">
        <v>0.34657359027997264</v>
      </c>
      <c r="AJ9" s="5">
        <f t="shared" si="10"/>
        <v>0</v>
      </c>
      <c r="AK9" s="5">
        <f t="shared" si="11"/>
        <v>0</v>
      </c>
      <c r="AL9" s="7">
        <f>IF(Tableau182983[[#This Row],[Age]]&lt;&gt;"",IF(Tableau182983[[#This Row],[Age]]=0,$AT$10*$B$10+SUMIF($AS$21:$AS$29,Tableau182983[[#This Row],[Age]],$AU$21:$AU$29)*$B$10+$AT$11*$B$10,SUMIF($AS$21:$AS$29,Tableau182983[[#This Row],[Age]],$AU$21:$AU$29)*$B$10+$AT$11*$B$10),"")</f>
        <v>24.839999999999996</v>
      </c>
      <c r="AM9" s="7">
        <f>IF(Tableau182983[[#This Row],[Age]]&lt;&gt;"",IF(Tableau182983[[#This Row],[Age]]=$B$11,$AT$10*$B$10,0)+Tableau182983[[#This Row],[VBO]]*$AX$21*$B$10+Tableau182983[[#This Row],[VBI]]*$AX$22*$B$10+Tableau182983[[#This Row],[VBE]]*$AX$23*$B$10,"")</f>
        <v>0</v>
      </c>
      <c r="AN9" s="7">
        <v>18.253138888832211</v>
      </c>
      <c r="AO9" s="7">
        <v>0</v>
      </c>
      <c r="AP9" s="7">
        <f>IF(Tableau182983[[#This Row],[Age]]&lt;&gt;"",Tableau182983[[#This Row],[RA]]-Tableau182983[[#This Row],[DA]],"")</f>
        <v>-18.253138888832211</v>
      </c>
      <c r="AS9" s="1" t="s">
        <v>56</v>
      </c>
    </row>
    <row r="10" spans="1:49" ht="15" customHeight="1" x14ac:dyDescent="0.2">
      <c r="A10" s="3" t="s">
        <v>57</v>
      </c>
      <c r="B10" s="9">
        <v>1.38</v>
      </c>
      <c r="D10" s="11" t="s">
        <v>58</v>
      </c>
      <c r="E10" s="9"/>
      <c r="K10" s="3">
        <v>8</v>
      </c>
      <c r="L10" s="4">
        <v>5.2226881831443128</v>
      </c>
      <c r="M10" s="4">
        <v>0</v>
      </c>
      <c r="N10" s="4">
        <v>5.2226881831443128</v>
      </c>
      <c r="O10" s="5">
        <f t="shared" si="0"/>
        <v>4.5625403967948719</v>
      </c>
      <c r="P10" s="5">
        <f t="shared" si="1"/>
        <v>1.7620860989821692</v>
      </c>
      <c r="Q10" s="5">
        <f t="shared" si="2"/>
        <v>48.266044115029857</v>
      </c>
      <c r="R10" s="5">
        <v>2.6666666666666665</v>
      </c>
      <c r="S10" s="5">
        <v>272.92075633798453</v>
      </c>
      <c r="T10" s="5">
        <f t="shared" si="3"/>
        <v>0</v>
      </c>
      <c r="U10" s="5">
        <f t="shared" si="4"/>
        <v>0</v>
      </c>
      <c r="V10" s="5" t="str">
        <f>IF($E$4="Embrousaillement",Tableau182983[[#This Row],[SOL]],"")</f>
        <v/>
      </c>
      <c r="W10" s="5" t="str">
        <f>IF($E$4="Embrousaillement",Tableau182983[[#This Row],[L]],"")</f>
        <v/>
      </c>
      <c r="X10" s="5">
        <v>25.299999999999997</v>
      </c>
      <c r="Y10" s="5">
        <f t="shared" si="5"/>
        <v>0</v>
      </c>
      <c r="Z10" s="5">
        <f t="shared" si="6"/>
        <v>0</v>
      </c>
      <c r="AA10" s="5">
        <f t="shared" si="7"/>
        <v>0</v>
      </c>
      <c r="AB10" s="5">
        <v>0</v>
      </c>
      <c r="AC10" s="5">
        <v>1.980420515885558E-2</v>
      </c>
      <c r="AD10" s="5">
        <f t="shared" si="8"/>
        <v>0</v>
      </c>
      <c r="AE10" s="5">
        <v>0</v>
      </c>
      <c r="AF10" s="5">
        <v>2.7725887222397813E-2</v>
      </c>
      <c r="AG10" s="5">
        <f t="shared" si="9"/>
        <v>0</v>
      </c>
      <c r="AH10" s="5">
        <v>0</v>
      </c>
      <c r="AI10" s="5">
        <v>0.34657359027997264</v>
      </c>
      <c r="AJ10" s="5">
        <f t="shared" si="10"/>
        <v>0</v>
      </c>
      <c r="AK10" s="5">
        <f t="shared" si="11"/>
        <v>0</v>
      </c>
      <c r="AL10" s="7">
        <f>IF(Tableau182983[[#This Row],[Age]]&lt;&gt;"",IF(Tableau182983[[#This Row],[Age]]=0,$AT$10*$B$10+SUMIF($AS$21:$AS$29,Tableau182983[[#This Row],[Age]],$AU$21:$AU$29)*$B$10+$AT$11*$B$10,SUMIF($AS$21:$AS$29,Tableau182983[[#This Row],[Age]],$AU$21:$AU$29)*$B$10+$AT$11*$B$10),"")</f>
        <v>24.839999999999996</v>
      </c>
      <c r="AM10" s="7">
        <f>IF(Tableau182983[[#This Row],[Age]]&lt;&gt;"",IF(Tableau182983[[#This Row],[Age]]=$B$11,$AT$10*$B$10,0)+Tableau182983[[#This Row],[VBO]]*$AX$21*$B$10+Tableau182983[[#This Row],[VBI]]*$AX$22*$B$10+Tableau182983[[#This Row],[VBE]]*$AX$23*$B$10,"")</f>
        <v>0</v>
      </c>
      <c r="AN10" s="7">
        <v>17.467118553906428</v>
      </c>
      <c r="AO10" s="7">
        <v>0</v>
      </c>
      <c r="AP10" s="7">
        <f>IF(Tableau182983[[#This Row],[Age]]&lt;&gt;"",Tableau182983[[#This Row],[RA]]-Tableau182983[[#This Row],[DA]],"")</f>
        <v>-17.467118553906428</v>
      </c>
      <c r="AS10" s="3" t="s">
        <v>59</v>
      </c>
      <c r="AT10" s="9">
        <v>0</v>
      </c>
    </row>
    <row r="11" spans="1:49" ht="15" customHeight="1" x14ac:dyDescent="0.2">
      <c r="A11" s="3" t="s">
        <v>60</v>
      </c>
      <c r="B11" s="3">
        <f>MAX(K:K)</f>
        <v>60</v>
      </c>
      <c r="D11" s="3" t="s">
        <v>61</v>
      </c>
      <c r="E11" s="9">
        <v>60</v>
      </c>
      <c r="K11" s="3">
        <v>9</v>
      </c>
      <c r="L11" s="4">
        <v>7.3089703299498474</v>
      </c>
      <c r="M11" s="4">
        <v>0</v>
      </c>
      <c r="N11" s="4">
        <v>7.3089703299498474</v>
      </c>
      <c r="O11" s="5">
        <f t="shared" si="0"/>
        <v>6.3851164802441884</v>
      </c>
      <c r="P11" s="5">
        <f t="shared" si="1"/>
        <v>2.3713695449054359</v>
      </c>
      <c r="Q11" s="5">
        <f t="shared" si="2"/>
        <v>48.643079659788015</v>
      </c>
      <c r="R11" s="5">
        <v>3</v>
      </c>
      <c r="S11" s="5">
        <v>282.36019723997447</v>
      </c>
      <c r="T11" s="5">
        <f t="shared" si="3"/>
        <v>0</v>
      </c>
      <c r="U11" s="5">
        <f t="shared" si="4"/>
        <v>0</v>
      </c>
      <c r="V11" s="5" t="str">
        <f>IF($E$4="Embrousaillement",Tableau182983[[#This Row],[SOL]],"")</f>
        <v/>
      </c>
      <c r="W11" s="5" t="str">
        <f>IF($E$4="Embrousaillement",Tableau182983[[#This Row],[L]],"")</f>
        <v/>
      </c>
      <c r="X11" s="5">
        <v>25.299999999999997</v>
      </c>
      <c r="Y11" s="5">
        <f t="shared" si="5"/>
        <v>0</v>
      </c>
      <c r="Z11" s="5">
        <f t="shared" si="6"/>
        <v>0</v>
      </c>
      <c r="AA11" s="5">
        <f t="shared" si="7"/>
        <v>0</v>
      </c>
      <c r="AB11" s="5">
        <v>0</v>
      </c>
      <c r="AC11" s="5">
        <v>1.980420515885558E-2</v>
      </c>
      <c r="AD11" s="5">
        <f t="shared" si="8"/>
        <v>0</v>
      </c>
      <c r="AE11" s="5">
        <v>0</v>
      </c>
      <c r="AF11" s="5">
        <v>2.7725887222397813E-2</v>
      </c>
      <c r="AG11" s="5">
        <f t="shared" si="9"/>
        <v>0</v>
      </c>
      <c r="AH11" s="5">
        <v>0</v>
      </c>
      <c r="AI11" s="5">
        <v>0.34657359027997264</v>
      </c>
      <c r="AJ11" s="5">
        <f t="shared" si="10"/>
        <v>0</v>
      </c>
      <c r="AK11" s="5">
        <f t="shared" si="11"/>
        <v>0</v>
      </c>
      <c r="AL11" s="7">
        <f>IF(Tableau182983[[#This Row],[Age]]&lt;&gt;"",IF(Tableau182983[[#This Row],[Age]]=0,$AT$10*$B$10+SUMIF($AS$21:$AS$29,Tableau182983[[#This Row],[Age]],$AU$21:$AU$29)*$B$10+$AT$11*$B$10,SUMIF($AS$21:$AS$29,Tableau182983[[#This Row],[Age]],$AU$21:$AU$29)*$B$10+$AT$11*$B$10),"")</f>
        <v>24.839999999999996</v>
      </c>
      <c r="AM11" s="7">
        <f>IF(Tableau182983[[#This Row],[Age]]&lt;&gt;"",IF(Tableau182983[[#This Row],[Age]]=$B$11,$AT$10*$B$10,0)+Tableau182983[[#This Row],[VBO]]*$AX$21*$B$10+Tableau182983[[#This Row],[VBI]]*$AX$22*$B$10+Tableau182983[[#This Row],[VBE]]*$AX$23*$B$10,"")</f>
        <v>0</v>
      </c>
      <c r="AN11" s="7">
        <v>16.714945984599453</v>
      </c>
      <c r="AO11" s="7">
        <v>0</v>
      </c>
      <c r="AP11" s="7">
        <f>IF(Tableau182983[[#This Row],[Age]]&lt;&gt;"",Tableau182983[[#This Row],[RA]]-Tableau182983[[#This Row],[DA]],"")</f>
        <v>-16.714945984599453</v>
      </c>
      <c r="AS11" s="3" t="s">
        <v>62</v>
      </c>
      <c r="AT11" s="9">
        <v>18</v>
      </c>
    </row>
    <row r="12" spans="1:49" ht="15" customHeight="1" x14ac:dyDescent="0.2">
      <c r="K12" s="3">
        <v>10</v>
      </c>
      <c r="L12" s="4">
        <v>9.858612812493142</v>
      </c>
      <c r="M12" s="4">
        <v>0</v>
      </c>
      <c r="N12" s="4">
        <v>9.858612812493142</v>
      </c>
      <c r="O12" s="5">
        <f t="shared" si="0"/>
        <v>8.6124841529940088</v>
      </c>
      <c r="P12" s="5">
        <f t="shared" si="1"/>
        <v>3.0890970359946461</v>
      </c>
      <c r="Q12" s="5">
        <f t="shared" si="2"/>
        <v>49.013574480769819</v>
      </c>
      <c r="R12" s="5">
        <v>3.333333333333333</v>
      </c>
      <c r="S12" s="5">
        <v>293.00010392709618</v>
      </c>
      <c r="T12" s="5">
        <f t="shared" si="3"/>
        <v>0</v>
      </c>
      <c r="U12" s="5">
        <f t="shared" si="4"/>
        <v>0</v>
      </c>
      <c r="V12" s="5" t="str">
        <f>IF($E$4="Embrousaillement",Tableau182983[[#This Row],[SOL]],"")</f>
        <v/>
      </c>
      <c r="W12" s="5" t="str">
        <f>IF($E$4="Embrousaillement",Tableau182983[[#This Row],[L]],"")</f>
        <v/>
      </c>
      <c r="X12" s="5">
        <v>25.299999999999997</v>
      </c>
      <c r="Y12" s="5">
        <f t="shared" si="5"/>
        <v>0</v>
      </c>
      <c r="Z12" s="5">
        <f t="shared" si="6"/>
        <v>0</v>
      </c>
      <c r="AA12" s="5">
        <f t="shared" si="7"/>
        <v>0</v>
      </c>
      <c r="AB12" s="5">
        <v>0</v>
      </c>
      <c r="AC12" s="5">
        <v>1.980420515885558E-2</v>
      </c>
      <c r="AD12" s="5">
        <f t="shared" si="8"/>
        <v>0</v>
      </c>
      <c r="AE12" s="5">
        <v>0</v>
      </c>
      <c r="AF12" s="5">
        <v>2.7725887222397813E-2</v>
      </c>
      <c r="AG12" s="5">
        <f t="shared" si="9"/>
        <v>0</v>
      </c>
      <c r="AH12" s="5">
        <v>0</v>
      </c>
      <c r="AI12" s="5">
        <v>0.34657359027997264</v>
      </c>
      <c r="AJ12" s="5">
        <f t="shared" si="10"/>
        <v>0</v>
      </c>
      <c r="AK12" s="5">
        <f t="shared" si="11"/>
        <v>0</v>
      </c>
      <c r="AL12" s="7">
        <f>IF(Tableau182983[[#This Row],[Age]]&lt;&gt;"",IF(Tableau182983[[#This Row],[Age]]=0,$AT$10*$B$10+SUMIF($AS$21:$AS$29,Tableau182983[[#This Row],[Age]],$AU$21:$AU$29)*$B$10+$AT$11*$B$10,SUMIF($AS$21:$AS$29,Tableau182983[[#This Row],[Age]],$AU$21:$AU$29)*$B$10+$AT$11*$B$10),"")</f>
        <v>24.839999999999996</v>
      </c>
      <c r="AM12" s="7">
        <f>IF(Tableau182983[[#This Row],[Age]]&lt;&gt;"",IF(Tableau182983[[#This Row],[Age]]=$B$11,$AT$10*$B$10,0)+Tableau182983[[#This Row],[VBO]]*$AX$21*$B$10+Tableau182983[[#This Row],[VBI]]*$AX$22*$B$10+Tableau182983[[#This Row],[VBE]]*$AX$23*$B$10,"")</f>
        <v>0</v>
      </c>
      <c r="AN12" s="7">
        <v>15.995163621626272</v>
      </c>
      <c r="AO12" s="7">
        <v>0</v>
      </c>
      <c r="AP12" s="7">
        <f>IF(Tableau182983[[#This Row],[Age]]&lt;&gt;"",Tableau182983[[#This Row],[RA]]-Tableau182983[[#This Row],[DA]],"")</f>
        <v>-15.995163621626272</v>
      </c>
    </row>
    <row r="13" spans="1:49" ht="15" customHeight="1" x14ac:dyDescent="0.2">
      <c r="K13" s="3">
        <v>11</v>
      </c>
      <c r="L13" s="4">
        <v>12.907280202738706</v>
      </c>
      <c r="M13" s="4">
        <v>0</v>
      </c>
      <c r="N13" s="4">
        <v>12.907280202738706</v>
      </c>
      <c r="O13" s="5">
        <f t="shared" si="0"/>
        <v>11.275799985112535</v>
      </c>
      <c r="P13" s="5">
        <f t="shared" si="1"/>
        <v>3.9194892290285455</v>
      </c>
      <c r="Q13" s="5">
        <f t="shared" si="2"/>
        <v>49.377642044909919</v>
      </c>
      <c r="R13" s="5">
        <v>3.6666666666666665</v>
      </c>
      <c r="S13" s="5">
        <v>304.92607970676551</v>
      </c>
      <c r="T13" s="5">
        <f t="shared" si="3"/>
        <v>0</v>
      </c>
      <c r="U13" s="5">
        <f t="shared" si="4"/>
        <v>0</v>
      </c>
      <c r="V13" s="5" t="str">
        <f>IF($E$4="Embrousaillement",Tableau182983[[#This Row],[SOL]],"")</f>
        <v/>
      </c>
      <c r="W13" s="5" t="str">
        <f>IF($E$4="Embrousaillement",Tableau182983[[#This Row],[L]],"")</f>
        <v/>
      </c>
      <c r="X13" s="5">
        <v>25.299999999999997</v>
      </c>
      <c r="Y13" s="5">
        <f t="shared" si="5"/>
        <v>0</v>
      </c>
      <c r="Z13" s="5">
        <f t="shared" si="6"/>
        <v>0</v>
      </c>
      <c r="AA13" s="5">
        <f t="shared" si="7"/>
        <v>0</v>
      </c>
      <c r="AB13" s="5">
        <v>0</v>
      </c>
      <c r="AC13" s="5">
        <v>1.980420515885558E-2</v>
      </c>
      <c r="AD13" s="5">
        <f t="shared" si="8"/>
        <v>0</v>
      </c>
      <c r="AE13" s="5">
        <v>0</v>
      </c>
      <c r="AF13" s="5">
        <v>2.7725887222397813E-2</v>
      </c>
      <c r="AG13" s="5">
        <f t="shared" si="9"/>
        <v>0</v>
      </c>
      <c r="AH13" s="5">
        <v>0</v>
      </c>
      <c r="AI13" s="5">
        <v>0.34657359027997264</v>
      </c>
      <c r="AJ13" s="5">
        <f t="shared" si="10"/>
        <v>0</v>
      </c>
      <c r="AK13" s="5">
        <f t="shared" si="11"/>
        <v>0</v>
      </c>
      <c r="AL13" s="7">
        <f>IF(Tableau182983[[#This Row],[Age]]&lt;&gt;"",IF(Tableau182983[[#This Row],[Age]]=0,$AT$10*$B$10+SUMIF($AS$21:$AS$29,Tableau182983[[#This Row],[Age]],$AU$21:$AU$29)*$B$10+$AT$11*$B$10,SUMIF($AS$21:$AS$29,Tableau182983[[#This Row],[Age]],$AU$21:$AU$29)*$B$10+$AT$11*$B$10),"")</f>
        <v>24.839999999999996</v>
      </c>
      <c r="AM13" s="7">
        <f>IF(Tableau182983[[#This Row],[Age]]&lt;&gt;"",IF(Tableau182983[[#This Row],[Age]]=$B$11,$AT$10*$B$10,0)+Tableau182983[[#This Row],[VBO]]*$AX$21*$B$10+Tableau182983[[#This Row],[VBI]]*$AX$22*$B$10+Tableau182983[[#This Row],[VBE]]*$AX$23*$B$10,"")</f>
        <v>0</v>
      </c>
      <c r="AN13" s="7">
        <v>15.306376671412702</v>
      </c>
      <c r="AO13" s="7">
        <v>0</v>
      </c>
      <c r="AP13" s="7">
        <f>IF(Tableau182983[[#This Row],[Age]]&lt;&gt;"",Tableau182983[[#This Row],[RA]]-Tableau182983[[#This Row],[DA]],"")</f>
        <v>-15.306376671412702</v>
      </c>
    </row>
    <row r="14" spans="1:49" ht="15" customHeight="1" x14ac:dyDescent="0.2">
      <c r="K14" s="3">
        <v>12</v>
      </c>
      <c r="L14" s="4">
        <v>16.488217087592126</v>
      </c>
      <c r="M14" s="4">
        <v>0</v>
      </c>
      <c r="N14" s="4">
        <v>16.488217087592126</v>
      </c>
      <c r="O14" s="5">
        <f t="shared" si="0"/>
        <v>14.404106447720485</v>
      </c>
      <c r="P14" s="5">
        <f t="shared" si="1"/>
        <v>4.8662070003842333</v>
      </c>
      <c r="Q14" s="5">
        <f t="shared" si="2"/>
        <v>49.735393850745325</v>
      </c>
      <c r="R14" s="5">
        <v>4</v>
      </c>
      <c r="S14" s="5">
        <v>318.21729125729098</v>
      </c>
      <c r="T14" s="5">
        <f t="shared" si="3"/>
        <v>0</v>
      </c>
      <c r="U14" s="5">
        <f t="shared" si="4"/>
        <v>0</v>
      </c>
      <c r="V14" s="5" t="str">
        <f>IF($E$4="Embrousaillement",Tableau182983[[#This Row],[SOL]],"")</f>
        <v/>
      </c>
      <c r="W14" s="5" t="str">
        <f>IF($E$4="Embrousaillement",Tableau182983[[#This Row],[L]],"")</f>
        <v/>
      </c>
      <c r="X14" s="5">
        <v>25.299999999999997</v>
      </c>
      <c r="Y14" s="5">
        <f t="shared" si="5"/>
        <v>0</v>
      </c>
      <c r="Z14" s="5">
        <f t="shared" si="6"/>
        <v>0</v>
      </c>
      <c r="AA14" s="5">
        <f t="shared" si="7"/>
        <v>0</v>
      </c>
      <c r="AB14" s="5">
        <v>0</v>
      </c>
      <c r="AC14" s="5">
        <v>1.980420515885558E-2</v>
      </c>
      <c r="AD14" s="5">
        <f t="shared" si="8"/>
        <v>0</v>
      </c>
      <c r="AE14" s="5">
        <v>0</v>
      </c>
      <c r="AF14" s="5">
        <v>2.7725887222397813E-2</v>
      </c>
      <c r="AG14" s="5">
        <f t="shared" si="9"/>
        <v>0</v>
      </c>
      <c r="AH14" s="5">
        <v>0</v>
      </c>
      <c r="AI14" s="5">
        <v>0.34657359027997264</v>
      </c>
      <c r="AJ14" s="5">
        <f t="shared" si="10"/>
        <v>0</v>
      </c>
      <c r="AK14" s="5">
        <f t="shared" si="11"/>
        <v>0</v>
      </c>
      <c r="AL14" s="7">
        <f>IF(Tableau182983[[#This Row],[Age]]&lt;&gt;"",IF(Tableau182983[[#This Row],[Age]]=0,$AT$10*$B$10+SUMIF($AS$21:$AS$29,Tableau182983[[#This Row],[Age]],$AU$21:$AU$29)*$B$10+$AT$11*$B$10,SUMIF($AS$21:$AS$29,Tableau182983[[#This Row],[Age]],$AU$21:$AU$29)*$B$10+$AT$11*$B$10),"")</f>
        <v>24.839999999999996</v>
      </c>
      <c r="AM14" s="7">
        <f>IF(Tableau182983[[#This Row],[Age]]&lt;&gt;"",IF(Tableau182983[[#This Row],[Age]]=$B$11,$AT$10*$B$10,0)+Tableau182983[[#This Row],[VBO]]*$AX$21*$B$10+Tableau182983[[#This Row],[VBI]]*$AX$22*$B$10+Tableau182983[[#This Row],[VBE]]*$AX$23*$B$10,"")</f>
        <v>0</v>
      </c>
      <c r="AN14" s="7">
        <v>14.647250403265746</v>
      </c>
      <c r="AO14" s="7">
        <v>0</v>
      </c>
      <c r="AP14" s="7">
        <f>IF(Tableau182983[[#This Row],[Age]]&lt;&gt;"",Tableau182983[[#This Row],[RA]]-Tableau182983[[#This Row],[DA]],"")</f>
        <v>-14.647250403265746</v>
      </c>
    </row>
    <row r="15" spans="1:49" ht="15" customHeight="1" x14ac:dyDescent="0.25">
      <c r="A15" s="1" t="s">
        <v>63</v>
      </c>
      <c r="B15" s="1" t="s">
        <v>64</v>
      </c>
      <c r="C15" s="1"/>
      <c r="D15" s="1"/>
      <c r="E15" s="1"/>
      <c r="F15" s="1"/>
      <c r="G15" s="1"/>
      <c r="H15" s="1"/>
      <c r="K15" s="3">
        <v>13</v>
      </c>
      <c r="L15" s="4">
        <v>20.632387607366834</v>
      </c>
      <c r="M15" s="4">
        <v>0</v>
      </c>
      <c r="N15" s="4">
        <v>20.632387607366834</v>
      </c>
      <c r="O15" s="5">
        <f t="shared" si="0"/>
        <v>18.024453813795667</v>
      </c>
      <c r="P15" s="5">
        <f t="shared" si="1"/>
        <v>5.9324191514285456</v>
      </c>
      <c r="Q15" s="5">
        <f t="shared" si="2"/>
        <v>50.086939462562704</v>
      </c>
      <c r="R15" s="5">
        <v>4.333333333333333</v>
      </c>
      <c r="S15" s="5">
        <v>332.94692451915034</v>
      </c>
      <c r="T15" s="5">
        <f t="shared" si="3"/>
        <v>0</v>
      </c>
      <c r="U15" s="5">
        <f t="shared" si="4"/>
        <v>0</v>
      </c>
      <c r="V15" s="5" t="str">
        <f>IF($E$4="Embrousaillement",Tableau182983[[#This Row],[SOL]],"")</f>
        <v/>
      </c>
      <c r="W15" s="5" t="str">
        <f>IF($E$4="Embrousaillement",Tableau182983[[#This Row],[L]],"")</f>
        <v/>
      </c>
      <c r="X15" s="5">
        <v>25.299999999999997</v>
      </c>
      <c r="Y15" s="5">
        <f t="shared" si="5"/>
        <v>0</v>
      </c>
      <c r="Z15" s="5">
        <f t="shared" si="6"/>
        <v>0</v>
      </c>
      <c r="AA15" s="5">
        <f t="shared" si="7"/>
        <v>0</v>
      </c>
      <c r="AB15" s="5">
        <v>0</v>
      </c>
      <c r="AC15" s="5">
        <v>1.980420515885558E-2</v>
      </c>
      <c r="AD15" s="5">
        <f t="shared" si="8"/>
        <v>0</v>
      </c>
      <c r="AE15" s="5">
        <v>0</v>
      </c>
      <c r="AF15" s="5">
        <v>2.7725887222397813E-2</v>
      </c>
      <c r="AG15" s="5">
        <f t="shared" si="9"/>
        <v>0</v>
      </c>
      <c r="AH15" s="5">
        <v>0</v>
      </c>
      <c r="AI15" s="5">
        <v>0.34657359027997264</v>
      </c>
      <c r="AJ15" s="5">
        <f t="shared" si="10"/>
        <v>0</v>
      </c>
      <c r="AK15" s="5">
        <f t="shared" si="11"/>
        <v>0</v>
      </c>
      <c r="AL15" s="7">
        <f>IF(Tableau182983[[#This Row],[Age]]&lt;&gt;"",IF(Tableau182983[[#This Row],[Age]]=0,$AT$10*$B$10+SUMIF($AS$21:$AS$29,Tableau182983[[#This Row],[Age]],$AU$21:$AU$29)*$B$10+$AT$11*$B$10,SUMIF($AS$21:$AS$29,Tableau182983[[#This Row],[Age]],$AU$21:$AU$29)*$B$10+$AT$11*$B$10),"")</f>
        <v>24.839999999999996</v>
      </c>
      <c r="AM15" s="7">
        <f>IF(Tableau182983[[#This Row],[Age]]&lt;&gt;"",IF(Tableau182983[[#This Row],[Age]]=$B$11,$AT$10*$B$10,0)+Tableau182983[[#This Row],[VBO]]*$AX$21*$B$10+Tableau182983[[#This Row],[VBI]]*$AX$22*$B$10+Tableau182983[[#This Row],[VBE]]*$AX$23*$B$10,"")</f>
        <v>0</v>
      </c>
      <c r="AN15" s="7">
        <v>14.016507562933727</v>
      </c>
      <c r="AO15" s="7">
        <v>0</v>
      </c>
      <c r="AP15" s="7">
        <f>IF(Tableau182983[[#This Row],[Age]]&lt;&gt;"",Tableau182983[[#This Row],[RA]]-Tableau182983[[#This Row],[DA]],"")</f>
        <v>-14.016507562933727</v>
      </c>
    </row>
    <row r="16" spans="1:49" ht="15" customHeight="1" x14ac:dyDescent="0.2">
      <c r="A16" s="12"/>
      <c r="B16" s="13"/>
      <c r="C16" s="13"/>
      <c r="D16" s="13"/>
      <c r="E16" s="13"/>
      <c r="F16" s="13"/>
      <c r="G16" s="13"/>
      <c r="H16" s="13"/>
      <c r="I16" s="14"/>
      <c r="K16" s="3">
        <v>14</v>
      </c>
      <c r="L16" s="4">
        <v>25.368605732080852</v>
      </c>
      <c r="M16" s="4">
        <v>0</v>
      </c>
      <c r="N16" s="4">
        <v>25.368605732080852</v>
      </c>
      <c r="O16" s="5">
        <f t="shared" si="0"/>
        <v>22.162013967545835</v>
      </c>
      <c r="P16" s="5">
        <f t="shared" si="1"/>
        <v>7.1208588200038081</v>
      </c>
      <c r="Q16" s="5">
        <f t="shared" si="2"/>
        <v>50.432386543953299</v>
      </c>
      <c r="R16" s="5">
        <v>4.6666666666666661</v>
      </c>
      <c r="S16" s="5">
        <v>349.18259399061259</v>
      </c>
      <c r="T16" s="5">
        <f t="shared" si="3"/>
        <v>0</v>
      </c>
      <c r="U16" s="5">
        <f t="shared" si="4"/>
        <v>0</v>
      </c>
      <c r="V16" s="5" t="str">
        <f>IF($E$4="Embrousaillement",Tableau182983[[#This Row],[SOL]],"")</f>
        <v/>
      </c>
      <c r="W16" s="5" t="str">
        <f>IF($E$4="Embrousaillement",Tableau182983[[#This Row],[L]],"")</f>
        <v/>
      </c>
      <c r="X16" s="5">
        <v>25.299999999999997</v>
      </c>
      <c r="Y16" s="5">
        <f t="shared" si="5"/>
        <v>0</v>
      </c>
      <c r="Z16" s="5">
        <f t="shared" si="6"/>
        <v>0</v>
      </c>
      <c r="AA16" s="5">
        <f t="shared" si="7"/>
        <v>0</v>
      </c>
      <c r="AB16" s="5">
        <v>0</v>
      </c>
      <c r="AC16" s="5">
        <v>1.980420515885558E-2</v>
      </c>
      <c r="AD16" s="5">
        <f t="shared" si="8"/>
        <v>0</v>
      </c>
      <c r="AE16" s="5">
        <v>0</v>
      </c>
      <c r="AF16" s="5">
        <v>2.7725887222397813E-2</v>
      </c>
      <c r="AG16" s="5">
        <f t="shared" si="9"/>
        <v>0</v>
      </c>
      <c r="AH16" s="5">
        <v>0</v>
      </c>
      <c r="AI16" s="5">
        <v>0.34657359027997264</v>
      </c>
      <c r="AJ16" s="5">
        <f t="shared" si="10"/>
        <v>0</v>
      </c>
      <c r="AK16" s="5">
        <f t="shared" si="11"/>
        <v>0</v>
      </c>
      <c r="AL16" s="7">
        <f>IF(Tableau182983[[#This Row],[Age]]&lt;&gt;"",IF(Tableau182983[[#This Row],[Age]]=0,$AT$10*$B$10+SUMIF($AS$21:$AS$29,Tableau182983[[#This Row],[Age]],$AU$21:$AU$29)*$B$10+$AT$11*$B$10,SUMIF($AS$21:$AS$29,Tableau182983[[#This Row],[Age]],$AU$21:$AU$29)*$B$10+$AT$11*$B$10),"")</f>
        <v>24.839999999999996</v>
      </c>
      <c r="AM16" s="7">
        <f>IF(Tableau182983[[#This Row],[Age]]&lt;&gt;"",IF(Tableau182983[[#This Row],[Age]]=$B$11,$AT$10*$B$10,0)+Tableau182983[[#This Row],[VBO]]*$AX$21*$B$10+Tableau182983[[#This Row],[VBI]]*$AX$22*$B$10+Tableau182983[[#This Row],[VBE]]*$AX$23*$B$10,"")</f>
        <v>0</v>
      </c>
      <c r="AN16" s="7">
        <v>13.412925897544239</v>
      </c>
      <c r="AO16" s="7">
        <v>0</v>
      </c>
      <c r="AP16" s="7">
        <f>IF(Tableau182983[[#This Row],[Age]]&lt;&gt;"",Tableau182983[[#This Row],[RA]]-Tableau182983[[#This Row],[DA]],"")</f>
        <v>-13.412925897544239</v>
      </c>
      <c r="AS16" s="3" t="s">
        <v>65</v>
      </c>
      <c r="AT16" s="9"/>
    </row>
    <row r="17" spans="1:50" ht="15" customHeight="1" x14ac:dyDescent="0.2">
      <c r="A17" s="15" t="s">
        <v>66</v>
      </c>
      <c r="B17" s="16">
        <f>AT16*B10+SUM(AP:AP)</f>
        <v>-7258.1565057106163</v>
      </c>
      <c r="I17" s="17"/>
      <c r="K17" s="3">
        <v>15</v>
      </c>
      <c r="L17" s="4">
        <v>30.723657369337403</v>
      </c>
      <c r="M17" s="4">
        <v>7.6809143423343507</v>
      </c>
      <c r="N17" s="4">
        <v>23.042743027003052</v>
      </c>
      <c r="O17" s="5">
        <f t="shared" si="0"/>
        <v>20.130140308389869</v>
      </c>
      <c r="P17" s="5">
        <f t="shared" si="1"/>
        <v>6.5408034534134982</v>
      </c>
      <c r="Q17" s="5">
        <f t="shared" si="2"/>
        <v>50.771840890785739</v>
      </c>
      <c r="R17" s="5">
        <v>5</v>
      </c>
      <c r="S17" s="5">
        <v>346.30912823887019</v>
      </c>
      <c r="T17" s="5">
        <f t="shared" si="3"/>
        <v>0</v>
      </c>
      <c r="U17" s="5">
        <f t="shared" si="4"/>
        <v>0</v>
      </c>
      <c r="V17" s="5" t="str">
        <f>IF($E$4="Embrousaillement",Tableau182983[[#This Row],[SOL]],"")</f>
        <v/>
      </c>
      <c r="W17" s="5" t="str">
        <f>IF($E$4="Embrousaillement",Tableau182983[[#This Row],[L]],"")</f>
        <v/>
      </c>
      <c r="X17" s="5">
        <v>25.299999999999997</v>
      </c>
      <c r="Y17" s="5">
        <f t="shared" si="5"/>
        <v>0</v>
      </c>
      <c r="Z17" s="5">
        <f t="shared" si="6"/>
        <v>3.8404571711671753</v>
      </c>
      <c r="AA17" s="5">
        <f t="shared" si="7"/>
        <v>3.8404571711671753</v>
      </c>
      <c r="AB17" s="5">
        <v>0</v>
      </c>
      <c r="AC17" s="5">
        <v>1.980420515885558E-2</v>
      </c>
      <c r="AD17" s="5">
        <f t="shared" si="8"/>
        <v>0</v>
      </c>
      <c r="AE17" s="5">
        <v>5.1691017341041707</v>
      </c>
      <c r="AF17" s="5">
        <v>2.7725887222397813E-2</v>
      </c>
      <c r="AG17" s="5">
        <f t="shared" si="9"/>
        <v>5.0981004725482073</v>
      </c>
      <c r="AH17" s="5">
        <v>5.1691017341041707</v>
      </c>
      <c r="AI17" s="5">
        <v>0.34657359027997264</v>
      </c>
      <c r="AJ17" s="5">
        <f t="shared" si="10"/>
        <v>4.3684657104221891</v>
      </c>
      <c r="AK17" s="5">
        <f t="shared" si="11"/>
        <v>10.599661792421402</v>
      </c>
      <c r="AL17" s="7">
        <f>IF(Tableau182983[[#This Row],[Age]]&lt;&gt;"",IF(Tableau182983[[#This Row],[Age]]=0,$AT$10*$B$10+SUMIF($AS$21:$AS$29,Tableau182983[[#This Row],[Age]],$AU$21:$AU$29)*$B$10+$AT$11*$B$10,SUMIF($AS$21:$AS$29,Tableau182983[[#This Row],[Age]],$AU$21:$AU$29)*$B$10+$AT$11*$B$10),"")</f>
        <v>24.839999999999996</v>
      </c>
      <c r="AM17" s="7">
        <f>IF(Tableau182983[[#This Row],[Age]]&lt;&gt;"",IF(Tableau182983[[#This Row],[Age]]=$B$11,$AT$10*$B$10,0)+Tableau182983[[#This Row],[VBO]]*$AX$21*$B$10+Tableau182983[[#This Row],[VBI]]*$AX$22*$B$10+Tableau182983[[#This Row],[VBE]]*$AX$23*$B$10,"")</f>
        <v>52.998308962107011</v>
      </c>
      <c r="AN17" s="7">
        <v>12.835335787123674</v>
      </c>
      <c r="AO17" s="7">
        <v>27.385309648887663</v>
      </c>
      <c r="AP17" s="7">
        <f>IF(Tableau182983[[#This Row],[Age]]&lt;&gt;"",Tableau182983[[#This Row],[RA]]-Tableau182983[[#This Row],[DA]],"")</f>
        <v>14.54997386176399</v>
      </c>
      <c r="AS17" s="3" t="s">
        <v>67</v>
      </c>
    </row>
    <row r="18" spans="1:50" ht="15" customHeight="1" x14ac:dyDescent="0.2">
      <c r="A18" s="15" t="s">
        <v>68</v>
      </c>
      <c r="B18" s="16">
        <v>0</v>
      </c>
      <c r="I18" s="17"/>
      <c r="K18" s="3">
        <v>16</v>
      </c>
      <c r="L18" s="4">
        <v>27.541811362100272</v>
      </c>
      <c r="M18" s="4">
        <v>0</v>
      </c>
      <c r="N18" s="4">
        <v>27.541811362100272</v>
      </c>
      <c r="O18" s="5">
        <f t="shared" si="0"/>
        <v>24.060526405930801</v>
      </c>
      <c r="P18" s="5">
        <f t="shared" si="1"/>
        <v>7.6572578743202921</v>
      </c>
      <c r="Q18" s="5">
        <f t="shared" si="2"/>
        <v>51.105406463606862</v>
      </c>
      <c r="R18" s="5">
        <v>5.333333333333333</v>
      </c>
      <c r="S18" s="5">
        <v>361.8137178901008</v>
      </c>
      <c r="T18" s="5">
        <f t="shared" si="3"/>
        <v>0</v>
      </c>
      <c r="U18" s="5">
        <f t="shared" si="4"/>
        <v>0</v>
      </c>
      <c r="V18" s="5" t="str">
        <f>IF($E$4="Embrousaillement",Tableau182983[[#This Row],[SOL]],"")</f>
        <v/>
      </c>
      <c r="W18" s="5" t="str">
        <f>IF($E$4="Embrousaillement",Tableau182983[[#This Row],[L]],"")</f>
        <v/>
      </c>
      <c r="X18" s="5">
        <v>25.299999999999997</v>
      </c>
      <c r="Y18" s="5">
        <f t="shared" si="5"/>
        <v>0</v>
      </c>
      <c r="Z18" s="5">
        <f t="shared" si="6"/>
        <v>0</v>
      </c>
      <c r="AA18" s="5">
        <f t="shared" si="7"/>
        <v>0</v>
      </c>
      <c r="AB18" s="5">
        <v>0</v>
      </c>
      <c r="AC18" s="5">
        <v>1.980420515885558E-2</v>
      </c>
      <c r="AD18" s="5">
        <f t="shared" si="8"/>
        <v>0</v>
      </c>
      <c r="AE18" s="5">
        <v>0</v>
      </c>
      <c r="AF18" s="5">
        <v>2.7725887222397813E-2</v>
      </c>
      <c r="AG18" s="5">
        <f t="shared" si="9"/>
        <v>4.9586926470289248</v>
      </c>
      <c r="AH18" s="5">
        <v>0</v>
      </c>
      <c r="AI18" s="5">
        <v>0.34657359027997264</v>
      </c>
      <c r="AJ18" s="5">
        <f t="shared" si="10"/>
        <v>3.0889717272204389</v>
      </c>
      <c r="AK18" s="5">
        <f t="shared" si="11"/>
        <v>0</v>
      </c>
      <c r="AL18" s="7">
        <f>IF(Tableau182983[[#This Row],[Age]]&lt;&gt;"",IF(Tableau182983[[#This Row],[Age]]=0,$AT$10*$B$10+SUMIF($AS$21:$AS$29,Tableau182983[[#This Row],[Age]],$AU$21:$AU$29)*$B$10+$AT$11*$B$10,SUMIF($AS$21:$AS$29,Tableau182983[[#This Row],[Age]],$AU$21:$AU$29)*$B$10+$AT$11*$B$10),"")</f>
        <v>24.839999999999996</v>
      </c>
      <c r="AM18" s="7">
        <f>IF(Tableau182983[[#This Row],[Age]]&lt;&gt;"",IF(Tableau182983[[#This Row],[Age]]=$B$11,$AT$10*$B$10,0)+Tableau182983[[#This Row],[VBO]]*$AX$21*$B$10+Tableau182983[[#This Row],[VBI]]*$AX$22*$B$10+Tableau182983[[#This Row],[VBE]]*$AX$23*$B$10,"")</f>
        <v>0</v>
      </c>
      <c r="AN18" s="7">
        <v>12.282617978108783</v>
      </c>
      <c r="AO18" s="7">
        <v>0</v>
      </c>
      <c r="AP18" s="7">
        <f>IF(Tableau182983[[#This Row],[Age]]&lt;&gt;"",Tableau182983[[#This Row],[RA]]-Tableau182983[[#This Row],[DA]],"")</f>
        <v>-12.282617978108783</v>
      </c>
    </row>
    <row r="19" spans="1:50" ht="15" customHeight="1" x14ac:dyDescent="0.2">
      <c r="A19" s="15" t="s">
        <v>69</v>
      </c>
      <c r="B19" s="16">
        <f>B17-B18</f>
        <v>-7258.1565057106163</v>
      </c>
      <c r="I19" s="17"/>
      <c r="K19" s="3">
        <v>17</v>
      </c>
      <c r="L19" s="4">
        <v>32.540959922985884</v>
      </c>
      <c r="M19" s="4">
        <v>0</v>
      </c>
      <c r="N19" s="4">
        <v>32.540959922985884</v>
      </c>
      <c r="O19" s="5">
        <f t="shared" si="0"/>
        <v>28.427782588720472</v>
      </c>
      <c r="P19" s="5">
        <f t="shared" si="1"/>
        <v>8.8731815343458855</v>
      </c>
      <c r="Q19" s="5">
        <f t="shared" si="2"/>
        <v>51.433185419480445</v>
      </c>
      <c r="R19" s="5">
        <v>5.6666666666666661</v>
      </c>
      <c r="S19" s="5">
        <v>378.57811882569433</v>
      </c>
      <c r="T19" s="5">
        <f t="shared" si="3"/>
        <v>0</v>
      </c>
      <c r="U19" s="5">
        <f t="shared" si="4"/>
        <v>0</v>
      </c>
      <c r="V19" s="5" t="str">
        <f>IF($E$4="Embrousaillement",Tableau182983[[#This Row],[SOL]],"")</f>
        <v/>
      </c>
      <c r="W19" s="5" t="str">
        <f>IF($E$4="Embrousaillement",Tableau182983[[#This Row],[L]],"")</f>
        <v/>
      </c>
      <c r="X19" s="5">
        <v>25.299999999999997</v>
      </c>
      <c r="Y19" s="5">
        <f t="shared" si="5"/>
        <v>0</v>
      </c>
      <c r="Z19" s="5">
        <f t="shared" si="6"/>
        <v>0</v>
      </c>
      <c r="AA19" s="5">
        <f t="shared" si="7"/>
        <v>0</v>
      </c>
      <c r="AB19" s="5">
        <v>0</v>
      </c>
      <c r="AC19" s="5">
        <v>1.980420515885558E-2</v>
      </c>
      <c r="AD19" s="5">
        <f t="shared" si="8"/>
        <v>0</v>
      </c>
      <c r="AE19" s="5">
        <v>0</v>
      </c>
      <c r="AF19" s="5">
        <v>2.7725887222397813E-2</v>
      </c>
      <c r="AG19" s="5">
        <f t="shared" si="9"/>
        <v>4.8230969358296054</v>
      </c>
      <c r="AH19" s="5">
        <v>0</v>
      </c>
      <c r="AI19" s="5">
        <v>0.34657359027997264</v>
      </c>
      <c r="AJ19" s="5">
        <f t="shared" si="10"/>
        <v>2.184232855211095</v>
      </c>
      <c r="AK19" s="5">
        <f t="shared" si="11"/>
        <v>0</v>
      </c>
      <c r="AL19" s="7">
        <f>IF(Tableau182983[[#This Row],[Age]]&lt;&gt;"",IF(Tableau182983[[#This Row],[Age]]=0,$AT$10*$B$10+SUMIF($AS$21:$AS$29,Tableau182983[[#This Row],[Age]],$AU$21:$AU$29)*$B$10+$AT$11*$B$10,SUMIF($AS$21:$AS$29,Tableau182983[[#This Row],[Age]],$AU$21:$AU$29)*$B$10+$AT$11*$B$10),"")</f>
        <v>24.839999999999996</v>
      </c>
      <c r="AM19" s="7">
        <f>IF(Tableau182983[[#This Row],[Age]]&lt;&gt;"",IF(Tableau182983[[#This Row],[Age]]=$B$11,$AT$10*$B$10,0)+Tableau182983[[#This Row],[VBO]]*$AX$21*$B$10+Tableau182983[[#This Row],[VBI]]*$AX$22*$B$10+Tableau182983[[#This Row],[VBE]]*$AX$23*$B$10,"")</f>
        <v>0</v>
      </c>
      <c r="AN19" s="7">
        <v>11.753701414458165</v>
      </c>
      <c r="AO19" s="7">
        <v>0</v>
      </c>
      <c r="AP19" s="7">
        <f>IF(Tableau182983[[#This Row],[Age]]&lt;&gt;"",Tableau182983[[#This Row],[RA]]-Tableau182983[[#This Row],[DA]],"")</f>
        <v>-11.753701414458165</v>
      </c>
      <c r="AS19" s="18" t="s">
        <v>70</v>
      </c>
      <c r="AW19" s="18" t="s">
        <v>29</v>
      </c>
    </row>
    <row r="20" spans="1:50" ht="15" customHeight="1" x14ac:dyDescent="0.2">
      <c r="A20" s="19"/>
      <c r="B20" s="20"/>
      <c r="C20" s="20"/>
      <c r="D20" s="20"/>
      <c r="E20" s="20"/>
      <c r="F20" s="20"/>
      <c r="G20" s="20"/>
      <c r="H20" s="20"/>
      <c r="I20" s="21"/>
      <c r="K20" s="3">
        <v>18</v>
      </c>
      <c r="L20" s="4">
        <v>38.056212009856011</v>
      </c>
      <c r="M20" s="4">
        <v>0</v>
      </c>
      <c r="N20" s="4">
        <v>38.056212009856011</v>
      </c>
      <c r="O20" s="5">
        <f t="shared" si="0"/>
        <v>33.245906811810215</v>
      </c>
      <c r="P20" s="5">
        <f t="shared" si="1"/>
        <v>10.189665407803121</v>
      </c>
      <c r="Q20" s="5">
        <f t="shared" si="2"/>
        <v>51.755278143273578</v>
      </c>
      <c r="R20" s="5">
        <v>6</v>
      </c>
      <c r="S20" s="5">
        <v>396.6391052348049</v>
      </c>
      <c r="T20" s="5">
        <f t="shared" si="3"/>
        <v>0</v>
      </c>
      <c r="U20" s="5">
        <f t="shared" si="4"/>
        <v>0</v>
      </c>
      <c r="V20" s="5" t="str">
        <f>IF($E$4="Embrousaillement",Tableau182983[[#This Row],[SOL]],"")</f>
        <v/>
      </c>
      <c r="W20" s="5" t="str">
        <f>IF($E$4="Embrousaillement",Tableau182983[[#This Row],[L]],"")</f>
        <v/>
      </c>
      <c r="X20" s="5">
        <v>25.299999999999997</v>
      </c>
      <c r="Y20" s="5">
        <f t="shared" si="5"/>
        <v>0</v>
      </c>
      <c r="Z20" s="5">
        <f t="shared" si="6"/>
        <v>0</v>
      </c>
      <c r="AA20" s="5">
        <f t="shared" si="7"/>
        <v>0</v>
      </c>
      <c r="AB20" s="5">
        <v>0</v>
      </c>
      <c r="AC20" s="5">
        <v>1.980420515885558E-2</v>
      </c>
      <c r="AD20" s="5">
        <f t="shared" si="8"/>
        <v>0</v>
      </c>
      <c r="AE20" s="5">
        <v>0</v>
      </c>
      <c r="AF20" s="5">
        <v>2.7725887222397813E-2</v>
      </c>
      <c r="AG20" s="5">
        <f t="shared" si="9"/>
        <v>4.6912090964837008</v>
      </c>
      <c r="AH20" s="5">
        <v>0</v>
      </c>
      <c r="AI20" s="5">
        <v>0.34657359027997264</v>
      </c>
      <c r="AJ20" s="5">
        <f t="shared" si="10"/>
        <v>1.5444858636102199</v>
      </c>
      <c r="AK20" s="5">
        <f t="shared" si="11"/>
        <v>0</v>
      </c>
      <c r="AL20" s="7">
        <f>IF(Tableau182983[[#This Row],[Age]]&lt;&gt;"",IF(Tableau182983[[#This Row],[Age]]=0,$AT$10*$B$10+SUMIF($AS$21:$AS$29,Tableau182983[[#This Row],[Age]],$AU$21:$AU$29)*$B$10+$AT$11*$B$10,SUMIF($AS$21:$AS$29,Tableau182983[[#This Row],[Age]],$AU$21:$AU$29)*$B$10+$AT$11*$B$10),"")</f>
        <v>24.839999999999996</v>
      </c>
      <c r="AM20" s="7">
        <f>IF(Tableau182983[[#This Row],[Age]]&lt;&gt;"",IF(Tableau182983[[#This Row],[Age]]=$B$11,$AT$10*$B$10,0)+Tableau182983[[#This Row],[VBO]]*$AX$21*$B$10+Tableau182983[[#This Row],[VBI]]*$AX$22*$B$10+Tableau182983[[#This Row],[VBE]]*$AX$23*$B$10,"")</f>
        <v>0</v>
      </c>
      <c r="AN20" s="7">
        <v>11.247561162160926</v>
      </c>
      <c r="AO20" s="7">
        <v>0</v>
      </c>
      <c r="AP20" s="7">
        <f>IF(Tableau182983[[#This Row],[Age]]&lt;&gt;"",Tableau182983[[#This Row],[RA]]-Tableau182983[[#This Row],[DA]],"")</f>
        <v>-11.247561162160926</v>
      </c>
      <c r="AS20" s="3" t="s">
        <v>71</v>
      </c>
      <c r="AT20" s="3" t="s">
        <v>72</v>
      </c>
      <c r="AU20" s="3" t="s">
        <v>73</v>
      </c>
      <c r="AW20" s="3" t="s">
        <v>49</v>
      </c>
      <c r="AX20" s="3" t="s">
        <v>74</v>
      </c>
    </row>
    <row r="21" spans="1:50" ht="15" customHeight="1" x14ac:dyDescent="0.2">
      <c r="K21" s="3">
        <v>19</v>
      </c>
      <c r="L21" s="4">
        <v>44.102385922851703</v>
      </c>
      <c r="M21" s="4">
        <v>0</v>
      </c>
      <c r="N21" s="4">
        <v>44.102385922851703</v>
      </c>
      <c r="O21" s="5">
        <f t="shared" si="0"/>
        <v>38.527844342203252</v>
      </c>
      <c r="P21" s="5">
        <f t="shared" si="1"/>
        <v>11.607604419827066</v>
      </c>
      <c r="Q21" s="5">
        <f t="shared" si="2"/>
        <v>52.07178327840036</v>
      </c>
      <c r="R21" s="5">
        <v>6.333333333333333</v>
      </c>
      <c r="S21" s="5">
        <v>416.0304411549123</v>
      </c>
      <c r="T21" s="5">
        <f t="shared" si="3"/>
        <v>0</v>
      </c>
      <c r="U21" s="5">
        <f t="shared" si="4"/>
        <v>0</v>
      </c>
      <c r="V21" s="5" t="str">
        <f>IF($E$4="Embrousaillement",Tableau182983[[#This Row],[SOL]],"")</f>
        <v/>
      </c>
      <c r="W21" s="5" t="str">
        <f>IF($E$4="Embrousaillement",Tableau182983[[#This Row],[L]],"")</f>
        <v/>
      </c>
      <c r="X21" s="5">
        <v>25.299999999999997</v>
      </c>
      <c r="Y21" s="5">
        <f t="shared" si="5"/>
        <v>0</v>
      </c>
      <c r="Z21" s="5">
        <f t="shared" si="6"/>
        <v>0</v>
      </c>
      <c r="AA21" s="5">
        <f t="shared" si="7"/>
        <v>0</v>
      </c>
      <c r="AB21" s="5">
        <v>0</v>
      </c>
      <c r="AC21" s="5">
        <v>1.980420515885558E-2</v>
      </c>
      <c r="AD21" s="5">
        <f t="shared" si="8"/>
        <v>0</v>
      </c>
      <c r="AE21" s="5">
        <v>0</v>
      </c>
      <c r="AF21" s="5">
        <v>2.7725887222397813E-2</v>
      </c>
      <c r="AG21" s="5">
        <f t="shared" si="9"/>
        <v>4.5629277370403898</v>
      </c>
      <c r="AH21" s="5">
        <v>0</v>
      </c>
      <c r="AI21" s="5">
        <v>0.34657359027997264</v>
      </c>
      <c r="AJ21" s="5">
        <f t="shared" si="10"/>
        <v>1.0921164276055477</v>
      </c>
      <c r="AK21" s="5">
        <f t="shared" si="11"/>
        <v>0</v>
      </c>
      <c r="AL21" s="7">
        <f>IF(Tableau182983[[#This Row],[Age]]&lt;&gt;"",IF(Tableau182983[[#This Row],[Age]]=0,$AT$10*$B$10+SUMIF($AS$21:$AS$29,Tableau182983[[#This Row],[Age]],$AU$21:$AU$29)*$B$10+$AT$11*$B$10,SUMIF($AS$21:$AS$29,Tableau182983[[#This Row],[Age]],$AU$21:$AU$29)*$B$10+$AT$11*$B$10),"")</f>
        <v>24.839999999999996</v>
      </c>
      <c r="AM21" s="7">
        <f>IF(Tableau182983[[#This Row],[Age]]&lt;&gt;"",IF(Tableau182983[[#This Row],[Age]]=$B$11,$AT$10*$B$10,0)+Tableau182983[[#This Row],[VBO]]*$AX$21*$B$10+Tableau182983[[#This Row],[VBI]]*$AX$22*$B$10+Tableau182983[[#This Row],[VBE]]*$AX$23*$B$10,"")</f>
        <v>0</v>
      </c>
      <c r="AN21" s="7">
        <v>10.763216423120504</v>
      </c>
      <c r="AO21" s="7">
        <v>0</v>
      </c>
      <c r="AP21" s="7">
        <f>IF(Tableau182983[[#This Row],[Age]]&lt;&gt;"",Tableau182983[[#This Row],[RA]]-Tableau182983[[#This Row],[DA]],"")</f>
        <v>-10.763216423120504</v>
      </c>
      <c r="AS21" s="3">
        <v>0</v>
      </c>
      <c r="AT21" s="3" t="s">
        <v>75</v>
      </c>
      <c r="AU21" s="22">
        <v>750</v>
      </c>
      <c r="AW21" s="3" t="s">
        <v>76</v>
      </c>
      <c r="AX21" s="23">
        <v>50</v>
      </c>
    </row>
    <row r="22" spans="1:50" ht="15" customHeight="1" x14ac:dyDescent="0.2">
      <c r="K22" s="3">
        <v>20</v>
      </c>
      <c r="L22" s="4">
        <v>50.69316336436367</v>
      </c>
      <c r="M22" s="4">
        <v>12.673290841090918</v>
      </c>
      <c r="N22" s="4">
        <v>38.019872523272753</v>
      </c>
      <c r="O22" s="5">
        <f t="shared" si="0"/>
        <v>33.21416063633108</v>
      </c>
      <c r="P22" s="5">
        <f t="shared" si="1"/>
        <v>10.181067495646316</v>
      </c>
      <c r="Q22" s="5">
        <f t="shared" si="2"/>
        <v>52.382797757032165</v>
      </c>
      <c r="R22" s="5">
        <v>6.6666666666666661</v>
      </c>
      <c r="S22" s="5">
        <v>403.09072079912369</v>
      </c>
      <c r="T22" s="5">
        <f t="shared" si="3"/>
        <v>0</v>
      </c>
      <c r="U22" s="5">
        <f t="shared" si="4"/>
        <v>0</v>
      </c>
      <c r="V22" s="5" t="str">
        <f>IF($E$4="Embrousaillement",Tableau182983[[#This Row],[SOL]],"")</f>
        <v/>
      </c>
      <c r="W22" s="5" t="str">
        <f>IF($E$4="Embrousaillement",Tableau182983[[#This Row],[L]],"")</f>
        <v/>
      </c>
      <c r="X22" s="5">
        <v>25.299999999999997</v>
      </c>
      <c r="Y22" s="5">
        <f t="shared" si="5"/>
        <v>0</v>
      </c>
      <c r="Z22" s="5">
        <f t="shared" si="6"/>
        <v>6.3366454205454588</v>
      </c>
      <c r="AA22" s="5">
        <f t="shared" si="7"/>
        <v>6.3366454205454588</v>
      </c>
      <c r="AB22" s="5">
        <v>0</v>
      </c>
      <c r="AC22" s="5">
        <v>1.980420515885558E-2</v>
      </c>
      <c r="AD22" s="5">
        <f t="shared" si="8"/>
        <v>0</v>
      </c>
      <c r="AE22" s="5">
        <v>8.5288712702373637</v>
      </c>
      <c r="AF22" s="5">
        <v>2.7725887222397813E-2</v>
      </c>
      <c r="AG22" s="5">
        <f t="shared" si="9"/>
        <v>12.849875440318453</v>
      </c>
      <c r="AH22" s="5">
        <v>8.5288712702373637</v>
      </c>
      <c r="AI22" s="5">
        <v>0.34657359027997264</v>
      </c>
      <c r="AJ22" s="5">
        <f t="shared" si="10"/>
        <v>7.9800874682783043</v>
      </c>
      <c r="AK22" s="5">
        <f t="shared" si="11"/>
        <v>17.489141360705464</v>
      </c>
      <c r="AL22" s="7">
        <f>IF(Tableau182983[[#This Row],[Age]]&lt;&gt;"",IF(Tableau182983[[#This Row],[Age]]=0,$AT$10*$B$10+SUMIF($AS$21:$AS$29,Tableau182983[[#This Row],[Age]],$AU$21:$AU$29)*$B$10+$AT$11*$B$10,SUMIF($AS$21:$AS$29,Tableau182983[[#This Row],[Age]],$AU$21:$AU$29)*$B$10+$AT$11*$B$10),"")</f>
        <v>24.839999999999996</v>
      </c>
      <c r="AM22" s="7">
        <f>IF(Tableau182983[[#This Row],[Age]]&lt;&gt;"",IF(Tableau182983[[#This Row],[Age]]=$B$11,$AT$10*$B$10,0)+Tableau182983[[#This Row],[VBO]]*$AX$21*$B$10+Tableau182983[[#This Row],[VBI]]*$AX$22*$B$10+Tableau182983[[#This Row],[VBE]]*$AX$23*$B$10,"")</f>
        <v>87.445706803527329</v>
      </c>
      <c r="AN22" s="7">
        <v>10.299728634565078</v>
      </c>
      <c r="AO22" s="7">
        <v>36.258737936154304</v>
      </c>
      <c r="AP22" s="7">
        <f>IF(Tableau182983[[#This Row],[Age]]&lt;&gt;"",Tableau182983[[#This Row],[RA]]-Tableau182983[[#This Row],[DA]],"")</f>
        <v>25.959009301589226</v>
      </c>
      <c r="AS22" s="3">
        <v>1</v>
      </c>
      <c r="AT22" s="3" t="s">
        <v>77</v>
      </c>
      <c r="AU22" s="22">
        <v>400</v>
      </c>
      <c r="AW22" s="3" t="s">
        <v>78</v>
      </c>
      <c r="AX22" s="23">
        <v>5</v>
      </c>
    </row>
    <row r="23" spans="1:50" ht="15" customHeight="1" x14ac:dyDescent="0.2">
      <c r="K23" s="3">
        <v>21</v>
      </c>
      <c r="L23" s="4">
        <v>43.380865641122448</v>
      </c>
      <c r="M23" s="4">
        <v>0</v>
      </c>
      <c r="N23" s="4">
        <v>43.380865641122448</v>
      </c>
      <c r="O23" s="5">
        <f t="shared" si="0"/>
        <v>37.897524224084577</v>
      </c>
      <c r="P23" s="5">
        <f t="shared" si="1"/>
        <v>11.439646447730917</v>
      </c>
      <c r="Q23" s="5">
        <f t="shared" si="2"/>
        <v>52.688416829783918</v>
      </c>
      <c r="R23" s="5">
        <v>7</v>
      </c>
      <c r="S23" s="5">
        <v>420.6052788684151</v>
      </c>
      <c r="T23" s="5">
        <f t="shared" si="3"/>
        <v>0</v>
      </c>
      <c r="U23" s="5">
        <f t="shared" si="4"/>
        <v>0</v>
      </c>
      <c r="V23" s="5" t="str">
        <f>IF($E$4="Embrousaillement",Tableau182983[[#This Row],[SOL]],"")</f>
        <v/>
      </c>
      <c r="W23" s="5" t="str">
        <f>IF($E$4="Embrousaillement",Tableau182983[[#This Row],[L]],"")</f>
        <v/>
      </c>
      <c r="X23" s="5">
        <v>25.299999999999997</v>
      </c>
      <c r="Y23" s="5">
        <f t="shared" si="5"/>
        <v>0</v>
      </c>
      <c r="Z23" s="5">
        <f t="shared" si="6"/>
        <v>0</v>
      </c>
      <c r="AA23" s="5">
        <f t="shared" si="7"/>
        <v>0</v>
      </c>
      <c r="AB23" s="5">
        <v>0</v>
      </c>
      <c r="AC23" s="5">
        <v>1.980420515885558E-2</v>
      </c>
      <c r="AD23" s="5">
        <f t="shared" si="8"/>
        <v>0</v>
      </c>
      <c r="AE23" s="5">
        <v>0</v>
      </c>
      <c r="AF23" s="5">
        <v>2.7725887222397813E-2</v>
      </c>
      <c r="AG23" s="5">
        <f t="shared" si="9"/>
        <v>12.498494920657365</v>
      </c>
      <c r="AH23" s="5">
        <v>0</v>
      </c>
      <c r="AI23" s="5">
        <v>0.34657359027997264</v>
      </c>
      <c r="AJ23" s="5">
        <f t="shared" si="10"/>
        <v>5.6427739632813774</v>
      </c>
      <c r="AK23" s="5">
        <f t="shared" si="11"/>
        <v>0</v>
      </c>
      <c r="AL23" s="7">
        <f>IF(Tableau182983[[#This Row],[Age]]&lt;&gt;"",IF(Tableau182983[[#This Row],[Age]]=0,$AT$10*$B$10+SUMIF($AS$21:$AS$29,Tableau182983[[#This Row],[Age]],$AU$21:$AU$29)*$B$10+$AT$11*$B$10,SUMIF($AS$21:$AS$29,Tableau182983[[#This Row],[Age]],$AU$21:$AU$29)*$B$10+$AT$11*$B$10),"")</f>
        <v>24.839999999999996</v>
      </c>
      <c r="AM23" s="7">
        <f>IF(Tableau182983[[#This Row],[Age]]&lt;&gt;"",IF(Tableau182983[[#This Row],[Age]]=$B$11,$AT$10*$B$10,0)+Tableau182983[[#This Row],[VBO]]*$AX$21*$B$10+Tableau182983[[#This Row],[VBI]]*$AX$22*$B$10+Tableau182983[[#This Row],[VBE]]*$AX$23*$B$10,"")</f>
        <v>0</v>
      </c>
      <c r="AN23" s="7">
        <v>9.8561996503015088</v>
      </c>
      <c r="AO23" s="7">
        <v>0</v>
      </c>
      <c r="AP23" s="7">
        <f>IF(Tableau182983[[#This Row],[Age]]&lt;&gt;"",Tableau182983[[#This Row],[RA]]-Tableau182983[[#This Row],[DA]],"")</f>
        <v>-9.8561996503015088</v>
      </c>
      <c r="AS23" s="3">
        <v>1</v>
      </c>
      <c r="AT23" s="3" t="s">
        <v>79</v>
      </c>
      <c r="AU23" s="22">
        <v>2368</v>
      </c>
      <c r="AW23" s="3" t="s">
        <v>80</v>
      </c>
      <c r="AX23" s="23">
        <v>5</v>
      </c>
    </row>
    <row r="24" spans="1:50" ht="15" customHeight="1" x14ac:dyDescent="0.25">
      <c r="A24" s="1" t="s">
        <v>81</v>
      </c>
      <c r="B24" s="1" t="s">
        <v>82</v>
      </c>
      <c r="K24" s="3">
        <v>22</v>
      </c>
      <c r="L24" s="4">
        <v>49.168468296016684</v>
      </c>
      <c r="M24" s="4">
        <v>0</v>
      </c>
      <c r="N24" s="4">
        <v>49.168468296016684</v>
      </c>
      <c r="O24" s="5">
        <f t="shared" si="0"/>
        <v>42.953573903400176</v>
      </c>
      <c r="P24" s="5">
        <f t="shared" si="1"/>
        <v>12.778216746968662</v>
      </c>
      <c r="Q24" s="5">
        <f t="shared" si="2"/>
        <v>52.988734094885309</v>
      </c>
      <c r="R24" s="5">
        <v>7.333333333333333</v>
      </c>
      <c r="S24" s="5">
        <v>439.18102001494776</v>
      </c>
      <c r="T24" s="5">
        <f t="shared" si="3"/>
        <v>0</v>
      </c>
      <c r="U24" s="5">
        <f t="shared" si="4"/>
        <v>0</v>
      </c>
      <c r="V24" s="5" t="str">
        <f>IF($E$4="Embrousaillement",Tableau182983[[#This Row],[SOL]],"")</f>
        <v/>
      </c>
      <c r="W24" s="5" t="str">
        <f>IF($E$4="Embrousaillement",Tableau182983[[#This Row],[L]],"")</f>
        <v/>
      </c>
      <c r="X24" s="5">
        <v>25.299999999999997</v>
      </c>
      <c r="Y24" s="5">
        <f t="shared" si="5"/>
        <v>0</v>
      </c>
      <c r="Z24" s="5">
        <f t="shared" si="6"/>
        <v>0</v>
      </c>
      <c r="AA24" s="5">
        <f t="shared" si="7"/>
        <v>0</v>
      </c>
      <c r="AB24" s="5">
        <v>0</v>
      </c>
      <c r="AC24" s="5">
        <v>1.980420515885558E-2</v>
      </c>
      <c r="AD24" s="5">
        <f t="shared" si="8"/>
        <v>0</v>
      </c>
      <c r="AE24" s="5">
        <v>0</v>
      </c>
      <c r="AF24" s="5">
        <v>2.7725887222397813E-2</v>
      </c>
      <c r="AG24" s="5">
        <f t="shared" si="9"/>
        <v>12.156722919784707</v>
      </c>
      <c r="AH24" s="5">
        <v>0</v>
      </c>
      <c r="AI24" s="5">
        <v>0.34657359027997264</v>
      </c>
      <c r="AJ24" s="5">
        <f t="shared" si="10"/>
        <v>3.9900437341391526</v>
      </c>
      <c r="AK24" s="5">
        <f t="shared" si="11"/>
        <v>0</v>
      </c>
      <c r="AL24" s="7">
        <f>IF(Tableau182983[[#This Row],[Age]]&lt;&gt;"",IF(Tableau182983[[#This Row],[Age]]=0,$AT$10*$B$10+SUMIF($AS$21:$AS$29,Tableau182983[[#This Row],[Age]],$AU$21:$AU$29)*$B$10+$AT$11*$B$10,SUMIF($AS$21:$AS$29,Tableau182983[[#This Row],[Age]],$AU$21:$AU$29)*$B$10+$AT$11*$B$10),"")</f>
        <v>24.839999999999996</v>
      </c>
      <c r="AM24" s="7">
        <f>IF(Tableau182983[[#This Row],[Age]]&lt;&gt;"",IF(Tableau182983[[#This Row],[Age]]=$B$11,$AT$10*$B$10,0)+Tableau182983[[#This Row],[VBO]]*$AX$21*$B$10+Tableau182983[[#This Row],[VBI]]*$AX$22*$B$10+Tableau182983[[#This Row],[VBE]]*$AX$23*$B$10,"")</f>
        <v>0</v>
      </c>
      <c r="AN24" s="7">
        <v>9.4317700002885285</v>
      </c>
      <c r="AO24" s="7">
        <v>0</v>
      </c>
      <c r="AP24" s="7">
        <f>IF(Tableau182983[[#This Row],[Age]]&lt;&gt;"",Tableau182983[[#This Row],[RA]]-Tableau182983[[#This Row],[DA]],"")</f>
        <v>-9.4317700002885285</v>
      </c>
      <c r="AS24" s="3">
        <v>1</v>
      </c>
      <c r="AT24" s="3" t="s">
        <v>83</v>
      </c>
      <c r="AU24" s="22">
        <v>1280</v>
      </c>
    </row>
    <row r="25" spans="1:50" ht="15" customHeight="1" x14ac:dyDescent="0.2">
      <c r="A25" s="12"/>
      <c r="B25" s="13"/>
      <c r="C25" s="13"/>
      <c r="D25" s="13"/>
      <c r="E25" s="13"/>
      <c r="F25" s="13"/>
      <c r="G25" s="13"/>
      <c r="H25" s="13"/>
      <c r="I25" s="14"/>
      <c r="K25" s="3">
        <v>23</v>
      </c>
      <c r="L25" s="4">
        <v>55.390665685591259</v>
      </c>
      <c r="M25" s="4">
        <v>0</v>
      </c>
      <c r="N25" s="4">
        <v>55.390665685591259</v>
      </c>
      <c r="O25" s="5">
        <f t="shared" si="0"/>
        <v>48.389285542932534</v>
      </c>
      <c r="P25" s="5">
        <f t="shared" si="1"/>
        <v>14.196996220991513</v>
      </c>
      <c r="Q25" s="5">
        <f t="shared" si="2"/>
        <v>53.283841526846018</v>
      </c>
      <c r="R25" s="5">
        <v>7.6666666666666661</v>
      </c>
      <c r="S25" s="5">
        <v>458.83569967876559</v>
      </c>
      <c r="T25" s="5">
        <f t="shared" si="3"/>
        <v>0</v>
      </c>
      <c r="U25" s="5">
        <f t="shared" si="4"/>
        <v>0</v>
      </c>
      <c r="V25" s="5" t="str">
        <f>IF($E$4="Embrousaillement",Tableau182983[[#This Row],[SOL]],"")</f>
        <v/>
      </c>
      <c r="W25" s="5" t="str">
        <f>IF($E$4="Embrousaillement",Tableau182983[[#This Row],[L]],"")</f>
        <v/>
      </c>
      <c r="X25" s="5">
        <v>25.299999999999997</v>
      </c>
      <c r="Y25" s="5">
        <f t="shared" si="5"/>
        <v>0</v>
      </c>
      <c r="Z25" s="5">
        <f t="shared" si="6"/>
        <v>0</v>
      </c>
      <c r="AA25" s="5">
        <f t="shared" si="7"/>
        <v>0</v>
      </c>
      <c r="AB25" s="5">
        <v>0</v>
      </c>
      <c r="AC25" s="5">
        <v>1.980420515885558E-2</v>
      </c>
      <c r="AD25" s="5">
        <f t="shared" si="8"/>
        <v>0</v>
      </c>
      <c r="AE25" s="5">
        <v>0</v>
      </c>
      <c r="AF25" s="5">
        <v>2.7725887222397813E-2</v>
      </c>
      <c r="AG25" s="5">
        <f t="shared" si="9"/>
        <v>11.82429669224892</v>
      </c>
      <c r="AH25" s="5">
        <v>0</v>
      </c>
      <c r="AI25" s="5">
        <v>0.34657359027997264</v>
      </c>
      <c r="AJ25" s="5">
        <f t="shared" si="10"/>
        <v>2.8213869816406891</v>
      </c>
      <c r="AK25" s="5">
        <f t="shared" si="11"/>
        <v>0</v>
      </c>
      <c r="AL25" s="7">
        <f>IF(Tableau182983[[#This Row],[Age]]&lt;&gt;"",IF(Tableau182983[[#This Row],[Age]]=0,$AT$10*$B$10+SUMIF($AS$21:$AS$29,Tableau182983[[#This Row],[Age]],$AU$21:$AU$29)*$B$10+$AT$11*$B$10,SUMIF($AS$21:$AS$29,Tableau182983[[#This Row],[Age]],$AU$21:$AU$29)*$B$10+$AT$11*$B$10),"")</f>
        <v>24.839999999999996</v>
      </c>
      <c r="AM25" s="7">
        <f>IF(Tableau182983[[#This Row],[Age]]&lt;&gt;"",IF(Tableau182983[[#This Row],[Age]]=$B$11,$AT$10*$B$10,0)+Tableau182983[[#This Row],[VBO]]*$AX$21*$B$10+Tableau182983[[#This Row],[VBI]]*$AX$22*$B$10+Tableau182983[[#This Row],[VBE]]*$AX$23*$B$10,"")</f>
        <v>0</v>
      </c>
      <c r="AN25" s="7">
        <v>9.0256172251564859</v>
      </c>
      <c r="AO25" s="7">
        <v>0</v>
      </c>
      <c r="AP25" s="7">
        <f>IF(Tableau182983[[#This Row],[Age]]&lt;&gt;"",Tableau182983[[#This Row],[RA]]-Tableau182983[[#This Row],[DA]],"")</f>
        <v>-9.0256172251564859</v>
      </c>
      <c r="AS25" s="3">
        <v>2</v>
      </c>
      <c r="AT25" s="3" t="s">
        <v>84</v>
      </c>
      <c r="AU25" s="22">
        <v>250</v>
      </c>
    </row>
    <row r="26" spans="1:50" ht="15" customHeight="1" x14ac:dyDescent="0.25">
      <c r="A26" s="24" t="s">
        <v>85</v>
      </c>
      <c r="D26" s="1" t="s">
        <v>86</v>
      </c>
      <c r="G26" s="1" t="s">
        <v>87</v>
      </c>
      <c r="I26" s="17"/>
      <c r="K26" s="3">
        <v>24</v>
      </c>
      <c r="L26" s="4">
        <v>62.054770024167361</v>
      </c>
      <c r="M26" s="4">
        <v>0</v>
      </c>
      <c r="N26" s="4">
        <v>62.054770024167361</v>
      </c>
      <c r="O26" s="5">
        <f t="shared" si="0"/>
        <v>54.211047093112619</v>
      </c>
      <c r="P26" s="5">
        <f t="shared" si="1"/>
        <v>15.696110275476371</v>
      </c>
      <c r="Q26" s="5">
        <f t="shared" si="2"/>
        <v>53.573829504623582</v>
      </c>
      <c r="R26" s="5">
        <v>8</v>
      </c>
      <c r="S26" s="5">
        <v>479.58543002879895</v>
      </c>
      <c r="T26" s="5">
        <f t="shared" si="3"/>
        <v>0</v>
      </c>
      <c r="U26" s="5">
        <f t="shared" si="4"/>
        <v>0</v>
      </c>
      <c r="V26" s="5" t="str">
        <f>IF($E$4="Embrousaillement",Tableau182983[[#This Row],[SOL]],"")</f>
        <v/>
      </c>
      <c r="W26" s="5" t="str">
        <f>IF($E$4="Embrousaillement",Tableau182983[[#This Row],[L]],"")</f>
        <v/>
      </c>
      <c r="X26" s="5">
        <v>25.299999999999997</v>
      </c>
      <c r="Y26" s="5">
        <f t="shared" si="5"/>
        <v>0</v>
      </c>
      <c r="Z26" s="5">
        <f t="shared" si="6"/>
        <v>0</v>
      </c>
      <c r="AA26" s="5">
        <f t="shared" si="7"/>
        <v>0</v>
      </c>
      <c r="AB26" s="5">
        <v>0</v>
      </c>
      <c r="AC26" s="5">
        <v>1.980420515885558E-2</v>
      </c>
      <c r="AD26" s="5">
        <f t="shared" si="8"/>
        <v>0</v>
      </c>
      <c r="AE26" s="5">
        <v>0</v>
      </c>
      <c r="AF26" s="5">
        <v>2.7725887222397813E-2</v>
      </c>
      <c r="AG26" s="5">
        <f t="shared" si="9"/>
        <v>11.500960677386635</v>
      </c>
      <c r="AH26" s="5">
        <v>0</v>
      </c>
      <c r="AI26" s="5">
        <v>0.34657359027997264</v>
      </c>
      <c r="AJ26" s="5">
        <f t="shared" si="10"/>
        <v>1.9950218670695767</v>
      </c>
      <c r="AK26" s="5">
        <f t="shared" si="11"/>
        <v>0</v>
      </c>
      <c r="AL26" s="7">
        <f>IF(Tableau182983[[#This Row],[Age]]&lt;&gt;"",IF(Tableau182983[[#This Row],[Age]]=0,$AT$10*$B$10+SUMIF($AS$21:$AS$29,Tableau182983[[#This Row],[Age]],$AU$21:$AU$29)*$B$10+$AT$11*$B$10,SUMIF($AS$21:$AS$29,Tableau182983[[#This Row],[Age]],$AU$21:$AU$29)*$B$10+$AT$11*$B$10),"")</f>
        <v>24.839999999999996</v>
      </c>
      <c r="AM26" s="7">
        <f>IF(Tableau182983[[#This Row],[Age]]&lt;&gt;"",IF(Tableau182983[[#This Row],[Age]]=$B$11,$AT$10*$B$10,0)+Tableau182983[[#This Row],[VBO]]*$AX$21*$B$10+Tableau182983[[#This Row],[VBI]]*$AX$22*$B$10+Tableau182983[[#This Row],[VBE]]*$AX$23*$B$10,"")</f>
        <v>0</v>
      </c>
      <c r="AN26" s="7">
        <v>8.6369542824463998</v>
      </c>
      <c r="AO26" s="7">
        <v>0</v>
      </c>
      <c r="AP26" s="7">
        <f>IF(Tableau182983[[#This Row],[Age]]&lt;&gt;"",Tableau182983[[#This Row],[RA]]-Tableau182983[[#This Row],[DA]],"")</f>
        <v>-8.6369542824463998</v>
      </c>
      <c r="AS26" s="3">
        <v>3</v>
      </c>
      <c r="AT26" s="3" t="s">
        <v>88</v>
      </c>
      <c r="AU26" s="22">
        <v>350</v>
      </c>
    </row>
    <row r="27" spans="1:50" ht="15" customHeight="1" x14ac:dyDescent="0.2">
      <c r="A27" s="15" t="s">
        <v>89</v>
      </c>
      <c r="B27" s="25">
        <f>S32</f>
        <v>554.96102093308184</v>
      </c>
      <c r="D27" s="3" t="s">
        <v>90</v>
      </c>
      <c r="E27" s="25">
        <f>SUM(AD2:AD32)</f>
        <v>11.16022072373255</v>
      </c>
      <c r="G27" s="3" t="s">
        <v>91</v>
      </c>
      <c r="H27" s="25">
        <f>SUM(AK2:AK32)</f>
        <v>66.609292322852781</v>
      </c>
      <c r="I27" s="17"/>
      <c r="K27" s="3">
        <v>25</v>
      </c>
      <c r="L27" s="4">
        <v>69.167459722919133</v>
      </c>
      <c r="M27" s="4">
        <v>0</v>
      </c>
      <c r="N27" s="4">
        <v>69.167459722919133</v>
      </c>
      <c r="O27" s="5">
        <f t="shared" si="0"/>
        <v>60.424692813942166</v>
      </c>
      <c r="P27" s="5">
        <f t="shared" si="1"/>
        <v>17.275600563049252</v>
      </c>
      <c r="Q27" s="5">
        <f t="shared" si="2"/>
        <v>53.858786839302695</v>
      </c>
      <c r="R27" s="5">
        <v>8.3333333333333321</v>
      </c>
      <c r="S27" s="5">
        <v>501.44478320513707</v>
      </c>
      <c r="T27" s="5">
        <f t="shared" si="3"/>
        <v>0</v>
      </c>
      <c r="U27" s="5">
        <f t="shared" si="4"/>
        <v>0</v>
      </c>
      <c r="V27" s="5" t="str">
        <f>IF($E$4="Embrousaillement",Tableau182983[[#This Row],[SOL]],"")</f>
        <v/>
      </c>
      <c r="W27" s="5" t="str">
        <f>IF($E$4="Embrousaillement",Tableau182983[[#This Row],[L]],"")</f>
        <v/>
      </c>
      <c r="X27" s="5">
        <v>25.299999999999997</v>
      </c>
      <c r="Y27" s="5">
        <f t="shared" si="5"/>
        <v>0</v>
      </c>
      <c r="Z27" s="5">
        <f t="shared" si="6"/>
        <v>0</v>
      </c>
      <c r="AA27" s="5">
        <f t="shared" si="7"/>
        <v>0</v>
      </c>
      <c r="AB27" s="5">
        <v>0</v>
      </c>
      <c r="AC27" s="5">
        <v>1.980420515885558E-2</v>
      </c>
      <c r="AD27" s="5">
        <f t="shared" si="8"/>
        <v>0</v>
      </c>
      <c r="AE27" s="5">
        <v>0</v>
      </c>
      <c r="AF27" s="5">
        <v>2.7725887222397813E-2</v>
      </c>
      <c r="AG27" s="5">
        <f t="shared" si="9"/>
        <v>11.186466302854262</v>
      </c>
      <c r="AH27" s="5">
        <v>0</v>
      </c>
      <c r="AI27" s="5">
        <v>0.34657359027997264</v>
      </c>
      <c r="AJ27" s="5">
        <f t="shared" si="10"/>
        <v>1.4106934908203448</v>
      </c>
      <c r="AK27" s="5">
        <f t="shared" si="11"/>
        <v>0</v>
      </c>
      <c r="AL27" s="7">
        <f>IF(Tableau182983[[#This Row],[Age]]&lt;&gt;"",IF(Tableau182983[[#This Row],[Age]]=0,$AT$10*$B$10+SUMIF($AS$21:$AS$29,Tableau182983[[#This Row],[Age]],$AU$21:$AU$29)*$B$10+$AT$11*$B$10,SUMIF($AS$21:$AS$29,Tableau182983[[#This Row],[Age]],$AU$21:$AU$29)*$B$10+$AT$11*$B$10),"")</f>
        <v>24.839999999999996</v>
      </c>
      <c r="AM27" s="7">
        <f>IF(Tableau182983[[#This Row],[Age]]&lt;&gt;"",IF(Tableau182983[[#This Row],[Age]]=$B$11,$AT$10*$B$10,0)+Tableau182983[[#This Row],[VBO]]*$AX$21*$B$10+Tableau182983[[#This Row],[VBI]]*$AX$22*$B$10+Tableau182983[[#This Row],[VBE]]*$AX$23*$B$10,"")</f>
        <v>0</v>
      </c>
      <c r="AN27" s="7">
        <v>8.2650280214798091</v>
      </c>
      <c r="AO27" s="7">
        <v>0</v>
      </c>
      <c r="AP27" s="7">
        <f>IF(Tableau182983[[#This Row],[Age]]&lt;&gt;"",Tableau182983[[#This Row],[RA]]-Tableau182983[[#This Row],[DA]],"")</f>
        <v>-8.2650280214798091</v>
      </c>
      <c r="AS27" s="3">
        <v>4</v>
      </c>
      <c r="AT27" s="3" t="s">
        <v>92</v>
      </c>
      <c r="AU27" s="22">
        <v>250</v>
      </c>
    </row>
    <row r="28" spans="1:50" ht="15" customHeight="1" x14ac:dyDescent="0.2">
      <c r="A28" s="15" t="s">
        <v>93</v>
      </c>
      <c r="B28" s="25">
        <f>SUM(S:S)/$B$11</f>
        <v>625.87446754605196</v>
      </c>
      <c r="D28" s="3" t="s">
        <v>94</v>
      </c>
      <c r="E28" s="25">
        <f>SUM(AG2:AG32)</f>
        <v>155.06951055968335</v>
      </c>
      <c r="G28" s="3" t="s">
        <v>95</v>
      </c>
      <c r="H28" s="25">
        <f>IF(OR($E$6="Résineux lents",$E$6="Résineux rapides"),$B$10*20,0)</f>
        <v>0</v>
      </c>
      <c r="I28" s="17"/>
      <c r="K28" s="3">
        <v>26</v>
      </c>
      <c r="L28" s="4">
        <v>76.734816548946142</v>
      </c>
      <c r="M28" s="4">
        <v>0</v>
      </c>
      <c r="N28" s="4">
        <v>76.734816548946142</v>
      </c>
      <c r="O28" s="5">
        <f t="shared" si="0"/>
        <v>67.035535737159364</v>
      </c>
      <c r="P28" s="5">
        <f t="shared" si="1"/>
        <v>18.93543286521373</v>
      </c>
      <c r="Q28" s="5">
        <f t="shared" si="2"/>
        <v>54.138800801294295</v>
      </c>
      <c r="R28" s="5">
        <v>8.6666666666666661</v>
      </c>
      <c r="S28" s="5">
        <v>524.42688842368614</v>
      </c>
      <c r="T28" s="5">
        <f t="shared" si="3"/>
        <v>0</v>
      </c>
      <c r="U28" s="5">
        <f t="shared" si="4"/>
        <v>0</v>
      </c>
      <c r="V28" s="5" t="str">
        <f>IF($E$4="Embrousaillement",Tableau182983[[#This Row],[SOL]],"")</f>
        <v/>
      </c>
      <c r="W28" s="5" t="str">
        <f>IF($E$4="Embrousaillement",Tableau182983[[#This Row],[L]],"")</f>
        <v/>
      </c>
      <c r="X28" s="5">
        <v>25.299999999999997</v>
      </c>
      <c r="Y28" s="5">
        <f t="shared" si="5"/>
        <v>0</v>
      </c>
      <c r="Z28" s="5">
        <f t="shared" si="6"/>
        <v>0</v>
      </c>
      <c r="AA28" s="5">
        <f t="shared" si="7"/>
        <v>0</v>
      </c>
      <c r="AB28" s="5">
        <v>0</v>
      </c>
      <c r="AC28" s="5">
        <v>1.980420515885558E-2</v>
      </c>
      <c r="AD28" s="5">
        <f t="shared" si="8"/>
        <v>0</v>
      </c>
      <c r="AE28" s="5">
        <v>0</v>
      </c>
      <c r="AF28" s="5">
        <v>2.7725887222397813E-2</v>
      </c>
      <c r="AG28" s="5">
        <f t="shared" si="9"/>
        <v>10.880571793532017</v>
      </c>
      <c r="AH28" s="5">
        <v>0</v>
      </c>
      <c r="AI28" s="5">
        <v>0.34657359027997264</v>
      </c>
      <c r="AJ28" s="5">
        <f t="shared" si="10"/>
        <v>0.99751093353478848</v>
      </c>
      <c r="AK28" s="5">
        <f t="shared" si="11"/>
        <v>0</v>
      </c>
      <c r="AL28" s="7">
        <f>IF(Tableau182983[[#This Row],[Age]]&lt;&gt;"",IF(Tableau182983[[#This Row],[Age]]=0,$AT$10*$B$10+SUMIF($AS$21:$AS$29,Tableau182983[[#This Row],[Age]],$AU$21:$AU$29)*$B$10+$AT$11*$B$10,SUMIF($AS$21:$AS$29,Tableau182983[[#This Row],[Age]],$AU$21:$AU$29)*$B$10+$AT$11*$B$10),"")</f>
        <v>24.839999999999996</v>
      </c>
      <c r="AM28" s="7">
        <f>IF(Tableau182983[[#This Row],[Age]]&lt;&gt;"",IF(Tableau182983[[#This Row],[Age]]=$B$11,$AT$10*$B$10,0)+Tableau182983[[#This Row],[VBO]]*$AX$21*$B$10+Tableau182983[[#This Row],[VBI]]*$AX$22*$B$10+Tableau182983[[#This Row],[VBE]]*$AX$23*$B$10,"")</f>
        <v>0</v>
      </c>
      <c r="AN28" s="7">
        <v>7.9091177239041262</v>
      </c>
      <c r="AO28" s="7">
        <v>0</v>
      </c>
      <c r="AP28" s="7">
        <f>IF(Tableau182983[[#This Row],[Age]]&lt;&gt;"",Tableau182983[[#This Row],[RA]]-Tableau182983[[#This Row],[DA]],"")</f>
        <v>-7.9091177239041262</v>
      </c>
      <c r="AT28" s="3" t="s">
        <v>96</v>
      </c>
      <c r="AU28" s="22"/>
    </row>
    <row r="29" spans="1:50" ht="15" customHeight="1" x14ac:dyDescent="0.2">
      <c r="A29" s="15" t="s">
        <v>97</v>
      </c>
      <c r="B29" s="25">
        <f>X32</f>
        <v>25.299999999999997</v>
      </c>
      <c r="D29" s="3" t="s">
        <v>98</v>
      </c>
      <c r="E29" s="25">
        <f>SUM(AJ2:AJ32)</f>
        <v>45.272163409672672</v>
      </c>
      <c r="H29" s="25"/>
      <c r="I29" s="17"/>
      <c r="K29" s="3">
        <v>27</v>
      </c>
      <c r="L29" s="4">
        <v>84.762360872265475</v>
      </c>
      <c r="M29" s="4">
        <v>0</v>
      </c>
      <c r="N29" s="4">
        <v>84.762360872265475</v>
      </c>
      <c r="O29" s="5">
        <f t="shared" si="0"/>
        <v>74.048398458011135</v>
      </c>
      <c r="P29" s="5">
        <f t="shared" si="1"/>
        <v>20.675504275471269</v>
      </c>
      <c r="Q29" s="5">
        <f t="shared" si="2"/>
        <v>54.413957147062774</v>
      </c>
      <c r="R29" s="5">
        <v>9</v>
      </c>
      <c r="S29" s="5">
        <v>548.5435233840625</v>
      </c>
      <c r="T29" s="5">
        <f t="shared" si="3"/>
        <v>0</v>
      </c>
      <c r="U29" s="5">
        <f t="shared" si="4"/>
        <v>0</v>
      </c>
      <c r="V29" s="5" t="str">
        <f>IF($E$4="Embrousaillement",Tableau182983[[#This Row],[SOL]],"")</f>
        <v/>
      </c>
      <c r="W29" s="5" t="str">
        <f>IF($E$4="Embrousaillement",Tableau182983[[#This Row],[L]],"")</f>
        <v/>
      </c>
      <c r="X29" s="5">
        <v>25.299999999999997</v>
      </c>
      <c r="Y29" s="5">
        <f t="shared" si="5"/>
        <v>0</v>
      </c>
      <c r="Z29" s="5">
        <f t="shared" si="6"/>
        <v>0</v>
      </c>
      <c r="AA29" s="5">
        <f t="shared" si="7"/>
        <v>0</v>
      </c>
      <c r="AB29" s="5">
        <v>0</v>
      </c>
      <c r="AC29" s="5">
        <v>1.980420515885558E-2</v>
      </c>
      <c r="AD29" s="5">
        <f t="shared" si="8"/>
        <v>0</v>
      </c>
      <c r="AE29" s="5">
        <v>0</v>
      </c>
      <c r="AF29" s="5">
        <v>2.7725887222397813E-2</v>
      </c>
      <c r="AG29" s="5">
        <f t="shared" si="9"/>
        <v>10.58304198565348</v>
      </c>
      <c r="AH29" s="5">
        <v>0</v>
      </c>
      <c r="AI29" s="5">
        <v>0.34657359027997264</v>
      </c>
      <c r="AJ29" s="5">
        <f t="shared" si="10"/>
        <v>0.7053467454101725</v>
      </c>
      <c r="AK29" s="5">
        <f t="shared" si="11"/>
        <v>0</v>
      </c>
      <c r="AL29" s="7">
        <f>IF(Tableau182983[[#This Row],[Age]]&lt;&gt;"",IF(Tableau182983[[#This Row],[Age]]=0,$AT$10*$B$10+SUMIF($AS$21:$AS$29,Tableau182983[[#This Row],[Age]],$AU$21:$AU$29)*$B$10+$AT$11*$B$10,SUMIF($AS$21:$AS$29,Tableau182983[[#This Row],[Age]],$AU$21:$AU$29)*$B$10+$AT$11*$B$10),"")</f>
        <v>24.839999999999996</v>
      </c>
      <c r="AM29" s="7">
        <f>IF(Tableau182983[[#This Row],[Age]]&lt;&gt;"",IF(Tableau182983[[#This Row],[Age]]=$B$11,$AT$10*$B$10,0)+Tableau182983[[#This Row],[VBO]]*$AX$21*$B$10+Tableau182983[[#This Row],[VBI]]*$AX$22*$B$10+Tableau182983[[#This Row],[VBE]]*$AX$23*$B$10,"")</f>
        <v>0</v>
      </c>
      <c r="AN29" s="7">
        <v>7.5685337070852876</v>
      </c>
      <c r="AO29" s="7">
        <v>0</v>
      </c>
      <c r="AP29" s="7">
        <f>IF(Tableau182983[[#This Row],[Age]]&lt;&gt;"",Tableau182983[[#This Row],[RA]]-Tableau182983[[#This Row],[DA]],"")</f>
        <v>-7.5685337070852876</v>
      </c>
      <c r="AS29" s="3">
        <v>2</v>
      </c>
      <c r="AT29" s="3" t="s">
        <v>99</v>
      </c>
      <c r="AU29" s="22">
        <v>900</v>
      </c>
    </row>
    <row r="30" spans="1:50" ht="15" customHeight="1" x14ac:dyDescent="0.2">
      <c r="A30" s="15" t="s">
        <v>100</v>
      </c>
      <c r="B30" s="25">
        <f>SUM(X:X)/$E$11</f>
        <v>25.299999999999972</v>
      </c>
      <c r="D30" s="3" t="s">
        <v>101</v>
      </c>
      <c r="E30" s="25">
        <v>0</v>
      </c>
      <c r="H30" s="25"/>
      <c r="I30" s="17"/>
      <c r="K30" s="3">
        <v>28</v>
      </c>
      <c r="L30" s="4">
        <v>93.255085101823141</v>
      </c>
      <c r="M30" s="4">
        <v>0</v>
      </c>
      <c r="N30" s="4">
        <v>93.255085101823141</v>
      </c>
      <c r="O30" s="5">
        <f t="shared" si="0"/>
        <v>81.467642344952708</v>
      </c>
      <c r="P30" s="5">
        <f t="shared" si="1"/>
        <v>22.495649758859212</v>
      </c>
      <c r="Q30" s="5">
        <f t="shared" si="2"/>
        <v>54.684340145389598</v>
      </c>
      <c r="R30" s="5">
        <v>9.3333333333333321</v>
      </c>
      <c r="S30" s="5">
        <v>573.80520037384986</v>
      </c>
      <c r="T30" s="5">
        <f t="shared" si="3"/>
        <v>0</v>
      </c>
      <c r="U30" s="5">
        <f t="shared" si="4"/>
        <v>0</v>
      </c>
      <c r="V30" s="5" t="str">
        <f>IF($E$4="Embrousaillement",Tableau182983[[#This Row],[SOL]],"")</f>
        <v/>
      </c>
      <c r="W30" s="5" t="str">
        <f>IF($E$4="Embrousaillement",Tableau182983[[#This Row],[L]],"")</f>
        <v/>
      </c>
      <c r="X30" s="5">
        <v>25.299999999999997</v>
      </c>
      <c r="Y30" s="5">
        <f t="shared" si="5"/>
        <v>0</v>
      </c>
      <c r="Z30" s="5">
        <f t="shared" si="6"/>
        <v>0</v>
      </c>
      <c r="AA30" s="5">
        <f t="shared" si="7"/>
        <v>0</v>
      </c>
      <c r="AB30" s="5">
        <v>0</v>
      </c>
      <c r="AC30" s="5">
        <v>1.980420515885558E-2</v>
      </c>
      <c r="AD30" s="5">
        <f t="shared" si="8"/>
        <v>0</v>
      </c>
      <c r="AE30" s="5">
        <v>0</v>
      </c>
      <c r="AF30" s="5">
        <v>2.7725887222397813E-2</v>
      </c>
      <c r="AG30" s="5">
        <f t="shared" si="9"/>
        <v>10.293648146017796</v>
      </c>
      <c r="AH30" s="5">
        <v>0</v>
      </c>
      <c r="AI30" s="5">
        <v>0.34657359027997264</v>
      </c>
      <c r="AJ30" s="5">
        <f t="shared" si="10"/>
        <v>0.49875546676739435</v>
      </c>
      <c r="AK30" s="5">
        <f t="shared" si="11"/>
        <v>0</v>
      </c>
      <c r="AL30" s="7">
        <f>IF(Tableau182983[[#This Row],[Age]]&lt;&gt;"",IF(Tableau182983[[#This Row],[Age]]=0,$AT$10*$B$10+SUMIF($AS$21:$AS$29,Tableau182983[[#This Row],[Age]],$AU$21:$AU$29)*$B$10+$AT$11*$B$10,SUMIF($AS$21:$AS$29,Tableau182983[[#This Row],[Age]],$AU$21:$AU$29)*$B$10+$AT$11*$B$10),"")</f>
        <v>24.839999999999996</v>
      </c>
      <c r="AM30" s="7">
        <f>IF(Tableau182983[[#This Row],[Age]]&lt;&gt;"",IF(Tableau182983[[#This Row],[Age]]=$B$11,$AT$10*$B$10,0)+Tableau182983[[#This Row],[VBO]]*$AX$21*$B$10+Tableau182983[[#This Row],[VBI]]*$AX$22*$B$10+Tableau182983[[#This Row],[VBE]]*$AX$23*$B$10,"")</f>
        <v>0</v>
      </c>
      <c r="AN30" s="7">
        <v>7.2426159876414262</v>
      </c>
      <c r="AO30" s="7">
        <v>0</v>
      </c>
      <c r="AP30" s="7">
        <f>IF(Tableau182983[[#This Row],[Age]]&lt;&gt;"",Tableau182983[[#This Row],[RA]]-Tableau182983[[#This Row],[DA]],"")</f>
        <v>-7.2426159876414262</v>
      </c>
      <c r="AS30" s="3">
        <v>5</v>
      </c>
      <c r="AT30" s="3" t="s">
        <v>102</v>
      </c>
      <c r="AU30" s="3">
        <v>1350</v>
      </c>
    </row>
    <row r="31" spans="1:50" ht="15" customHeight="1" x14ac:dyDescent="0.2">
      <c r="A31" s="15"/>
      <c r="B31" s="25"/>
      <c r="E31" s="25"/>
      <c r="H31" s="25"/>
      <c r="I31" s="17"/>
      <c r="K31" s="3">
        <v>29</v>
      </c>
      <c r="L31" s="4">
        <v>102.21748540467379</v>
      </c>
      <c r="M31" s="4">
        <v>0</v>
      </c>
      <c r="N31" s="4">
        <v>102.21748540467379</v>
      </c>
      <c r="O31" s="5">
        <f t="shared" si="0"/>
        <v>89.297195249523043</v>
      </c>
      <c r="P31" s="5">
        <f t="shared" si="1"/>
        <v>24.395648152569407</v>
      </c>
      <c r="Q31" s="5">
        <f t="shared" si="2"/>
        <v>54.950032603181285</v>
      </c>
      <c r="R31" s="5">
        <v>9.6666666666666661</v>
      </c>
      <c r="S31" s="5">
        <v>600.22124742235974</v>
      </c>
      <c r="T31" s="5">
        <f t="shared" si="3"/>
        <v>0</v>
      </c>
      <c r="U31" s="5">
        <f t="shared" si="4"/>
        <v>0</v>
      </c>
      <c r="V31" s="5" t="str">
        <f>IF($E$4="Embrousaillement",Tableau182983[[#This Row],[SOL]],"")</f>
        <v/>
      </c>
      <c r="W31" s="5" t="str">
        <f>IF($E$4="Embrousaillement",Tableau182983[[#This Row],[L]],"")</f>
        <v/>
      </c>
      <c r="X31" s="5">
        <v>25.299999999999997</v>
      </c>
      <c r="Y31" s="5">
        <f t="shared" si="5"/>
        <v>0</v>
      </c>
      <c r="Z31" s="5">
        <f t="shared" si="6"/>
        <v>0</v>
      </c>
      <c r="AA31" s="5">
        <f t="shared" si="7"/>
        <v>0</v>
      </c>
      <c r="AB31" s="5">
        <v>0</v>
      </c>
      <c r="AC31" s="5">
        <v>1.980420515885558E-2</v>
      </c>
      <c r="AD31" s="5">
        <f t="shared" si="8"/>
        <v>0</v>
      </c>
      <c r="AE31" s="5">
        <v>0</v>
      </c>
      <c r="AF31" s="5">
        <v>2.7725887222397813E-2</v>
      </c>
      <c r="AG31" s="5">
        <f t="shared" si="9"/>
        <v>10.01216779614551</v>
      </c>
      <c r="AH31" s="5">
        <v>0</v>
      </c>
      <c r="AI31" s="5">
        <v>0.34657359027997264</v>
      </c>
      <c r="AJ31" s="5">
        <f t="shared" si="10"/>
        <v>0.35267337270508631</v>
      </c>
      <c r="AK31" s="5">
        <f t="shared" si="11"/>
        <v>0</v>
      </c>
      <c r="AL31" s="7">
        <f>IF(Tableau182983[[#This Row],[Age]]&lt;&gt;"",IF(Tableau182983[[#This Row],[Age]]=0,$AT$10*$B$10+SUMIF($AS$21:$AS$29,Tableau182983[[#This Row],[Age]],$AU$21:$AU$29)*$B$10+$AT$11*$B$10,SUMIF($AS$21:$AS$29,Tableau182983[[#This Row],[Age]],$AU$21:$AU$29)*$B$10+$AT$11*$B$10),"")</f>
        <v>24.839999999999996</v>
      </c>
      <c r="AM31" s="7">
        <f>IF(Tableau182983[[#This Row],[Age]]&lt;&gt;"",IF(Tableau182983[[#This Row],[Age]]=$B$11,$AT$10*$B$10,0)+Tableau182983[[#This Row],[VBO]]*$AX$21*$B$10+Tableau182983[[#This Row],[VBI]]*$AX$22*$B$10+Tableau182983[[#This Row],[VBE]]*$AX$23*$B$10,"")</f>
        <v>0</v>
      </c>
      <c r="AN31" s="7">
        <v>6.9307330025276794</v>
      </c>
      <c r="AO31" s="7">
        <v>0</v>
      </c>
      <c r="AP31" s="7">
        <f>IF(Tableau182983[[#This Row],[Age]]&lt;&gt;"",Tableau182983[[#This Row],[RA]]-Tableau182983[[#This Row],[DA]],"")</f>
        <v>-6.9307330025276794</v>
      </c>
    </row>
    <row r="32" spans="1:50" ht="15" customHeight="1" x14ac:dyDescent="0.2">
      <c r="A32" s="15" t="s">
        <v>103</v>
      </c>
      <c r="B32" s="25">
        <f>IF(B11&gt;=30,B27-B29,"")</f>
        <v>529.66102093308189</v>
      </c>
      <c r="E32" s="25"/>
      <c r="H32" s="25"/>
      <c r="I32" s="17"/>
      <c r="K32" s="26">
        <v>30</v>
      </c>
      <c r="L32" s="27">
        <v>111.65359179630698</v>
      </c>
      <c r="M32" s="27">
        <v>27.913397949076746</v>
      </c>
      <c r="N32" s="27">
        <v>83.740193847230231</v>
      </c>
      <c r="O32" s="27">
        <f t="shared" si="0"/>
        <v>73.155433344940334</v>
      </c>
      <c r="P32" s="27">
        <f t="shared" si="1"/>
        <v>20.455040765933003</v>
      </c>
      <c r="Q32" s="27">
        <f t="shared" si="2"/>
        <v>55.211115890829625</v>
      </c>
      <c r="R32" s="27">
        <v>10</v>
      </c>
      <c r="S32" s="27">
        <v>554.96102093308184</v>
      </c>
      <c r="T32" s="27">
        <f t="shared" si="3"/>
        <v>0</v>
      </c>
      <c r="U32" s="27">
        <f t="shared" si="4"/>
        <v>0</v>
      </c>
      <c r="V32" s="27" t="str">
        <f>IF($E$4="Embrousaillement",Tableau182983[[#This Row],[SOL]],"")</f>
        <v/>
      </c>
      <c r="W32" s="27" t="str">
        <f>IF($E$4="Embrousaillement",Tableau182983[[#This Row],[L]],"")</f>
        <v/>
      </c>
      <c r="X32" s="27">
        <v>25.299999999999997</v>
      </c>
      <c r="Y32" s="27">
        <f t="shared" si="5"/>
        <v>16.748038769446048</v>
      </c>
      <c r="Z32" s="27">
        <f t="shared" si="6"/>
        <v>5.5826795898153492</v>
      </c>
      <c r="AA32" s="27">
        <f t="shared" si="7"/>
        <v>5.5826795898153492</v>
      </c>
      <c r="AB32" s="27">
        <v>11.2710951310618</v>
      </c>
      <c r="AC32" s="27">
        <v>1.980420515885558E-2</v>
      </c>
      <c r="AD32" s="27">
        <f t="shared" si="8"/>
        <v>11.16022072373255</v>
      </c>
      <c r="AE32" s="27">
        <v>7.514063420707866</v>
      </c>
      <c r="AF32" s="27">
        <v>2.7725887222397813E-2</v>
      </c>
      <c r="AG32" s="27">
        <f t="shared" si="9"/>
        <v>17.149236996153384</v>
      </c>
      <c r="AH32" s="27">
        <v>7.514063420707866</v>
      </c>
      <c r="AI32" s="27">
        <v>0.34657359027997264</v>
      </c>
      <c r="AJ32" s="27">
        <f t="shared" si="10"/>
        <v>6.5995968019562916</v>
      </c>
      <c r="AK32" s="27">
        <f t="shared" si="11"/>
        <v>38.520489169725906</v>
      </c>
      <c r="AL32" s="28">
        <f>IF(Tableau182983[[#This Row],[Age]]&lt;&gt;"",IF(Tableau182983[[#This Row],[Age]]=0,$AT$10*$B$10+SUMIF($AS$21:$AS$29,Tableau182983[[#This Row],[Age]],$AU$21:$AU$29)*$B$10+$AT$11*$B$10,SUMIF($AS$21:$AS$29,Tableau182983[[#This Row],[Age]],$AU$21:$AU$29)*$B$10+$AT$11*$B$10),"")</f>
        <v>24.839999999999996</v>
      </c>
      <c r="AM32" s="28">
        <f>IF(Tableau182983[[#This Row],[Age]]&lt;&gt;"",IF(Tableau182983[[#This Row],[Age]]=$B$11,$AT$10*$B$10,0)+Tableau182983[[#This Row],[VBO]]*$AX$21*$B$10+Tableau182983[[#This Row],[VBI]]*$AX$22*$B$10+Tableau182983[[#This Row],[VBE]]*$AX$23*$B$10,"")</f>
        <v>1232.6556534312288</v>
      </c>
      <c r="AN32" s="28">
        <v>6.6322803851939538</v>
      </c>
      <c r="AO32" s="28">
        <v>329.11907858093298</v>
      </c>
      <c r="AP32" s="28">
        <f>IF(Tableau182983[[#This Row],[Age]]&lt;&gt;"",Tableau182983[[#This Row],[RA]]-Tableau182983[[#This Row],[DA]],"")</f>
        <v>322.48679819573903</v>
      </c>
      <c r="AS32" s="3" t="s">
        <v>70</v>
      </c>
      <c r="AT32" s="29">
        <f>SUM(AL2:AL7)</f>
        <v>9185.2800000000007</v>
      </c>
    </row>
    <row r="33" spans="1:42" ht="15" customHeight="1" x14ac:dyDescent="0.2">
      <c r="A33" s="15" t="s">
        <v>104</v>
      </c>
      <c r="B33" s="25">
        <f>B28-B30</f>
        <v>600.57446754605201</v>
      </c>
      <c r="E33" s="25"/>
      <c r="H33" s="25"/>
      <c r="I33" s="17"/>
      <c r="K33" s="3">
        <v>31</v>
      </c>
      <c r="L33" s="4">
        <v>91.175247513433149</v>
      </c>
      <c r="M33" s="4">
        <v>0</v>
      </c>
      <c r="N33" s="4">
        <v>91.175247513433149</v>
      </c>
      <c r="O33" s="5">
        <f t="shared" si="0"/>
        <v>79.65069622773521</v>
      </c>
      <c r="P33" s="5">
        <f t="shared" si="1"/>
        <v>22.051755801676755</v>
      </c>
      <c r="Q33" s="5">
        <f t="shared" si="2"/>
        <v>55.467669967132053</v>
      </c>
      <c r="R33" s="5">
        <v>10.333333333333332</v>
      </c>
      <c r="S33" s="5">
        <v>577.39492015304643</v>
      </c>
      <c r="T33" s="5">
        <f t="shared" si="3"/>
        <v>0</v>
      </c>
      <c r="U33" s="5">
        <f t="shared" si="4"/>
        <v>0</v>
      </c>
      <c r="V33" s="5" t="str">
        <f>IF($E$4="Embrousaillement",Tableau182983[[#This Row],[SOL]],"")</f>
        <v/>
      </c>
      <c r="W33" s="5" t="str">
        <f>IF($E$4="Embrousaillement",Tableau182983[[#This Row],[L]],"")</f>
        <v/>
      </c>
      <c r="X33" s="5">
        <v>25.299999999999997</v>
      </c>
      <c r="Y33" s="5">
        <f t="shared" si="5"/>
        <v>0</v>
      </c>
      <c r="Z33" s="5">
        <f t="shared" si="6"/>
        <v>0</v>
      </c>
      <c r="AA33" s="5">
        <f t="shared" si="7"/>
        <v>0</v>
      </c>
      <c r="AB33" s="5" t="s">
        <v>166</v>
      </c>
      <c r="AC33" s="5" t="s">
        <v>166</v>
      </c>
      <c r="AD33" s="5" t="str">
        <f t="shared" si="8"/>
        <v/>
      </c>
      <c r="AE33" s="5" t="s">
        <v>166</v>
      </c>
      <c r="AF33" s="5" t="s">
        <v>166</v>
      </c>
      <c r="AG33" s="5" t="str">
        <f t="shared" si="9"/>
        <v/>
      </c>
      <c r="AH33" s="5" t="s">
        <v>166</v>
      </c>
      <c r="AI33" s="5" t="s">
        <v>166</v>
      </c>
      <c r="AJ33" s="5" t="str">
        <f t="shared" si="10"/>
        <v/>
      </c>
      <c r="AK33" s="5" t="str">
        <f t="shared" si="11"/>
        <v/>
      </c>
      <c r="AL33" s="7">
        <f>IF(Tableau182983[[#This Row],[Age]]&lt;&gt;"",IF(Tableau182983[[#This Row],[Age]]=0,$AT$10*$B$10+SUMIF($AS$21:$AS$29,Tableau182983[[#This Row],[Age]],$AU$21:$AU$29)*$B$10+$AT$11*$B$10,SUMIF($AS$21:$AS$29,Tableau182983[[#This Row],[Age]],$AU$21:$AU$29)*$B$10+$AT$11*$B$10),"")</f>
        <v>24.839999999999996</v>
      </c>
      <c r="AM33" s="7">
        <f>IF(Tableau182983[[#This Row],[Age]]&lt;&gt;"",IF(Tableau182983[[#This Row],[Age]]=$B$11,$AT$10*$B$10,0)+Tableau182983[[#This Row],[VBO]]*$AX$21*$B$10+Tableau182983[[#This Row],[VBI]]*$AX$22*$B$10+Tableau182983[[#This Row],[VBE]]*$AX$23*$B$10,"")</f>
        <v>0</v>
      </c>
      <c r="AN33" s="7">
        <v>6.3466797944439737</v>
      </c>
      <c r="AO33" s="7">
        <v>0</v>
      </c>
      <c r="AP33" s="7">
        <f>IF(Tableau182983[[#This Row],[Age]]&lt;&gt;"",Tableau182983[[#This Row],[RA]]-Tableau182983[[#This Row],[DA]],"")</f>
        <v>-6.3466797944439737</v>
      </c>
    </row>
    <row r="34" spans="1:42" ht="15" customHeight="1" x14ac:dyDescent="0.2">
      <c r="A34" s="15"/>
      <c r="B34" s="25"/>
      <c r="E34" s="25"/>
      <c r="H34" s="25"/>
      <c r="I34" s="17"/>
      <c r="K34" s="3">
        <v>32</v>
      </c>
      <c r="L34" s="4">
        <v>98.970661458538302</v>
      </c>
      <c r="M34" s="4">
        <v>0</v>
      </c>
      <c r="N34" s="4">
        <v>98.970661458538302</v>
      </c>
      <c r="O34" s="5">
        <f t="shared" si="0"/>
        <v>86.460769850179062</v>
      </c>
      <c r="P34" s="5">
        <f t="shared" si="1"/>
        <v>23.709665123835951</v>
      </c>
      <c r="Q34" s="5">
        <f t="shared" si="2"/>
        <v>55.719773403779627</v>
      </c>
      <c r="R34" s="5">
        <v>10.666666666666666</v>
      </c>
      <c r="S34" s="5">
        <v>600.71002721650325</v>
      </c>
      <c r="T34" s="5">
        <f t="shared" si="3"/>
        <v>0</v>
      </c>
      <c r="U34" s="5">
        <f t="shared" si="4"/>
        <v>0</v>
      </c>
      <c r="V34" s="5" t="str">
        <f>IF($E$4="Embrousaillement",Tableau182983[[#This Row],[SOL]],"")</f>
        <v/>
      </c>
      <c r="W34" s="5" t="str">
        <f>IF($E$4="Embrousaillement",Tableau182983[[#This Row],[L]],"")</f>
        <v/>
      </c>
      <c r="X34" s="5">
        <v>25.299999999999997</v>
      </c>
      <c r="Y34" s="5">
        <f t="shared" si="5"/>
        <v>0</v>
      </c>
      <c r="Z34" s="5">
        <f t="shared" si="6"/>
        <v>0</v>
      </c>
      <c r="AA34" s="5">
        <f t="shared" si="7"/>
        <v>0</v>
      </c>
      <c r="AB34" s="5" t="s">
        <v>166</v>
      </c>
      <c r="AC34" s="5" t="s">
        <v>166</v>
      </c>
      <c r="AD34" s="5" t="str">
        <f t="shared" si="8"/>
        <v/>
      </c>
      <c r="AE34" s="5" t="s">
        <v>166</v>
      </c>
      <c r="AF34" s="5" t="s">
        <v>166</v>
      </c>
      <c r="AG34" s="5" t="str">
        <f t="shared" si="9"/>
        <v/>
      </c>
      <c r="AH34" s="5" t="s">
        <v>166</v>
      </c>
      <c r="AI34" s="5" t="s">
        <v>166</v>
      </c>
      <c r="AJ34" s="5" t="str">
        <f t="shared" si="10"/>
        <v/>
      </c>
      <c r="AK34" s="5" t="str">
        <f t="shared" si="11"/>
        <v/>
      </c>
      <c r="AL34" s="7">
        <f>IF(Tableau182983[[#This Row],[Age]]&lt;&gt;"",IF(Tableau182983[[#This Row],[Age]]=0,$AT$10*$B$10+SUMIF($AS$21:$AS$29,Tableau182983[[#This Row],[Age]],$AU$21:$AU$29)*$B$10+$AT$11*$B$10,SUMIF($AS$21:$AS$29,Tableau182983[[#This Row],[Age]],$AU$21:$AU$29)*$B$10+$AT$11*$B$10),"")</f>
        <v>24.839999999999996</v>
      </c>
      <c r="AM34" s="7">
        <f>IF(Tableau182983[[#This Row],[Age]]&lt;&gt;"",IF(Tableau182983[[#This Row],[Age]]=$B$11,$AT$10*$B$10,0)+Tableau182983[[#This Row],[VBO]]*$AX$21*$B$10+Tableau182983[[#This Row],[VBI]]*$AX$22*$B$10+Tableau182983[[#This Row],[VBE]]*$AX$23*$B$10,"")</f>
        <v>0</v>
      </c>
      <c r="AN34" s="7">
        <v>6.0733777937262934</v>
      </c>
      <c r="AO34" s="7">
        <v>0</v>
      </c>
      <c r="AP34" s="7">
        <f>IF(Tableau182983[[#This Row],[Age]]&lt;&gt;"",Tableau182983[[#This Row],[RA]]-Tableau182983[[#This Row],[DA]],"")</f>
        <v>-6.0733777937262934</v>
      </c>
    </row>
    <row r="35" spans="1:42" ht="15" customHeight="1" x14ac:dyDescent="0.2">
      <c r="A35" s="15" t="s">
        <v>105</v>
      </c>
      <c r="B35" s="25">
        <f>IF(ISERROR(MIN(B32:B33)),0,IF(B11&gt;=30,MIN(B32:B33),B33))</f>
        <v>529.66102093308189</v>
      </c>
      <c r="D35" s="3" t="s">
        <v>106</v>
      </c>
      <c r="E35" s="25">
        <f>IF(ISNA((SUM(E27:E29)-E30)/30),0,(SUM(E27:E29)-E30)/30)</f>
        <v>7.050063156436285</v>
      </c>
      <c r="G35" s="3" t="s">
        <v>107</v>
      </c>
      <c r="H35" s="25">
        <f>IF(ISNA((H27-H28)*$B$9),0,(H27-H28)*$B$9)</f>
        <v>16.652323080713195</v>
      </c>
      <c r="I35" s="17"/>
      <c r="K35" s="3">
        <v>33</v>
      </c>
      <c r="L35" s="4">
        <v>107.12853344879179</v>
      </c>
      <c r="M35" s="4">
        <v>0</v>
      </c>
      <c r="N35" s="4">
        <v>107.12853344879179</v>
      </c>
      <c r="O35" s="5">
        <f t="shared" si="0"/>
        <v>93.587486820864513</v>
      </c>
      <c r="P35" s="5">
        <f t="shared" si="1"/>
        <v>25.428462369794637</v>
      </c>
      <c r="Q35" s="5">
        <f t="shared" si="2"/>
        <v>55.96750340942021</v>
      </c>
      <c r="R35" s="5">
        <v>11</v>
      </c>
      <c r="S35" s="5">
        <v>624.91040113141548</v>
      </c>
      <c r="T35" s="5">
        <f t="shared" si="3"/>
        <v>0</v>
      </c>
      <c r="U35" s="5">
        <f t="shared" si="4"/>
        <v>0</v>
      </c>
      <c r="V35" s="5" t="str">
        <f>IF($E$4="Embrousaillement",Tableau182983[[#This Row],[SOL]],"")</f>
        <v/>
      </c>
      <c r="W35" s="5" t="str">
        <f>IF($E$4="Embrousaillement",Tableau182983[[#This Row],[L]],"")</f>
        <v/>
      </c>
      <c r="X35" s="5">
        <v>25.299999999999997</v>
      </c>
      <c r="Y35" s="5">
        <f t="shared" si="5"/>
        <v>0</v>
      </c>
      <c r="Z35" s="5">
        <f t="shared" si="6"/>
        <v>0</v>
      </c>
      <c r="AA35" s="5">
        <f t="shared" si="7"/>
        <v>0</v>
      </c>
      <c r="AB35" s="5" t="s">
        <v>166</v>
      </c>
      <c r="AC35" s="5" t="s">
        <v>166</v>
      </c>
      <c r="AD35" s="5" t="str">
        <f t="shared" si="8"/>
        <v/>
      </c>
      <c r="AE35" s="5" t="s">
        <v>166</v>
      </c>
      <c r="AF35" s="5" t="s">
        <v>166</v>
      </c>
      <c r="AG35" s="5" t="str">
        <f t="shared" si="9"/>
        <v/>
      </c>
      <c r="AH35" s="5" t="s">
        <v>166</v>
      </c>
      <c r="AI35" s="5" t="s">
        <v>166</v>
      </c>
      <c r="AJ35" s="5" t="str">
        <f t="shared" si="10"/>
        <v/>
      </c>
      <c r="AK35" s="5" t="str">
        <f t="shared" si="11"/>
        <v/>
      </c>
      <c r="AL35" s="7">
        <f>IF(Tableau182983[[#This Row],[Age]]&lt;&gt;"",IF(Tableau182983[[#This Row],[Age]]=0,$AT$10*$B$10+SUMIF($AS$21:$AS$29,Tableau182983[[#This Row],[Age]],$AU$21:$AU$29)*$B$10+$AT$11*$B$10,SUMIF($AS$21:$AS$29,Tableau182983[[#This Row],[Age]],$AU$21:$AU$29)*$B$10+$AT$11*$B$10),"")</f>
        <v>24.839999999999996</v>
      </c>
      <c r="AM35" s="7">
        <f>IF(Tableau182983[[#This Row],[Age]]&lt;&gt;"",IF(Tableau182983[[#This Row],[Age]]=$B$11,$AT$10*$B$10,0)+Tableau182983[[#This Row],[VBO]]*$AX$21*$B$10+Tableau182983[[#This Row],[VBI]]*$AX$22*$B$10+Tableau182983[[#This Row],[VBE]]*$AX$23*$B$10,"")</f>
        <v>0</v>
      </c>
      <c r="AN35" s="7">
        <v>5.8118447786854492</v>
      </c>
      <c r="AO35" s="7">
        <v>0</v>
      </c>
      <c r="AP35" s="7">
        <f>IF(Tableau182983[[#This Row],[Age]]&lt;&gt;"",Tableau182983[[#This Row],[RA]]-Tableau182983[[#This Row],[DA]],"")</f>
        <v>-5.8118447786854492</v>
      </c>
    </row>
    <row r="36" spans="1:42" ht="15" customHeight="1" x14ac:dyDescent="0.2">
      <c r="A36" s="19"/>
      <c r="B36" s="20"/>
      <c r="C36" s="20"/>
      <c r="D36" s="20"/>
      <c r="E36" s="20"/>
      <c r="F36" s="20"/>
      <c r="G36" s="20"/>
      <c r="H36" s="20"/>
      <c r="I36" s="21"/>
      <c r="K36" s="3">
        <v>34</v>
      </c>
      <c r="L36" s="4">
        <v>115.65069087419933</v>
      </c>
      <c r="M36" s="4">
        <v>0</v>
      </c>
      <c r="N36" s="4">
        <v>115.65069087419933</v>
      </c>
      <c r="O36" s="5">
        <f t="shared" si="0"/>
        <v>101.03244354770055</v>
      </c>
      <c r="P36" s="5">
        <f t="shared" si="1"/>
        <v>27.207815755063127</v>
      </c>
      <c r="Q36" s="5">
        <f t="shared" si="2"/>
        <v>56.210935853304257</v>
      </c>
      <c r="R36" s="5">
        <v>11.333333333333332</v>
      </c>
      <c r="S36" s="5">
        <v>649.9994653185787</v>
      </c>
      <c r="T36" s="5">
        <f t="shared" si="3"/>
        <v>0</v>
      </c>
      <c r="U36" s="5">
        <f t="shared" si="4"/>
        <v>0</v>
      </c>
      <c r="V36" s="5" t="str">
        <f>IF($E$4="Embrousaillement",Tableau182983[[#This Row],[SOL]],"")</f>
        <v/>
      </c>
      <c r="W36" s="5" t="str">
        <f>IF($E$4="Embrousaillement",Tableau182983[[#This Row],[L]],"")</f>
        <v/>
      </c>
      <c r="X36" s="5">
        <v>25.299999999999997</v>
      </c>
      <c r="Y36" s="5">
        <f t="shared" si="5"/>
        <v>0</v>
      </c>
      <c r="Z36" s="5">
        <f t="shared" si="6"/>
        <v>0</v>
      </c>
      <c r="AA36" s="5">
        <f t="shared" si="7"/>
        <v>0</v>
      </c>
      <c r="AB36" s="5" t="s">
        <v>166</v>
      </c>
      <c r="AC36" s="5" t="s">
        <v>166</v>
      </c>
      <c r="AD36" s="5" t="str">
        <f t="shared" si="8"/>
        <v/>
      </c>
      <c r="AE36" s="5" t="s">
        <v>166</v>
      </c>
      <c r="AF36" s="5" t="s">
        <v>166</v>
      </c>
      <c r="AG36" s="5" t="str">
        <f t="shared" si="9"/>
        <v/>
      </c>
      <c r="AH36" s="5" t="s">
        <v>166</v>
      </c>
      <c r="AI36" s="5" t="s">
        <v>166</v>
      </c>
      <c r="AJ36" s="5" t="str">
        <f t="shared" si="10"/>
        <v/>
      </c>
      <c r="AK36" s="5" t="str">
        <f t="shared" si="11"/>
        <v/>
      </c>
      <c r="AL36" s="7">
        <f>IF(Tableau182983[[#This Row],[Age]]&lt;&gt;"",IF(Tableau182983[[#This Row],[Age]]=0,$AT$10*$B$10+SUMIF($AS$21:$AS$29,Tableau182983[[#This Row],[Age]],$AU$21:$AU$29)*$B$10+$AT$11*$B$10,SUMIF($AS$21:$AS$29,Tableau182983[[#This Row],[Age]],$AU$21:$AU$29)*$B$10+$AT$11*$B$10),"")</f>
        <v>24.839999999999996</v>
      </c>
      <c r="AM36" s="7">
        <f>IF(Tableau182983[[#This Row],[Age]]&lt;&gt;"",IF(Tableau182983[[#This Row],[Age]]=$B$11,$AT$10*$B$10,0)+Tableau182983[[#This Row],[VBO]]*$AX$21*$B$10+Tableau182983[[#This Row],[VBI]]*$AX$22*$B$10+Tableau182983[[#This Row],[VBE]]*$AX$23*$B$10,"")</f>
        <v>0</v>
      </c>
      <c r="AN36" s="7">
        <v>5.5615739508951672</v>
      </c>
      <c r="AO36" s="7">
        <v>0</v>
      </c>
      <c r="AP36" s="7">
        <f>IF(Tableau182983[[#This Row],[Age]]&lt;&gt;"",Tableau182983[[#This Row],[RA]]-Tableau182983[[#This Row],[DA]],"")</f>
        <v>-5.5615739508951672</v>
      </c>
    </row>
    <row r="37" spans="1:42" ht="15" customHeight="1" x14ac:dyDescent="0.2">
      <c r="K37" s="3">
        <v>35</v>
      </c>
      <c r="L37" s="4">
        <v>124.53870806589124</v>
      </c>
      <c r="M37" s="4">
        <v>0</v>
      </c>
      <c r="N37" s="4">
        <v>124.53870806589124</v>
      </c>
      <c r="O37" s="5">
        <f t="shared" si="0"/>
        <v>108.7970153663626</v>
      </c>
      <c r="P37" s="5">
        <f t="shared" si="1"/>
        <v>29.047370869985954</v>
      </c>
      <c r="Q37" s="5">
        <f t="shared" si="2"/>
        <v>56.450145288520318</v>
      </c>
      <c r="R37" s="5">
        <v>11.666666666666666</v>
      </c>
      <c r="S37" s="5">
        <v>675.98005081230986</v>
      </c>
      <c r="T37" s="5">
        <f t="shared" si="3"/>
        <v>0</v>
      </c>
      <c r="U37" s="5">
        <f t="shared" si="4"/>
        <v>0</v>
      </c>
      <c r="V37" s="5" t="str">
        <f>IF($E$4="Embrousaillement",Tableau182983[[#This Row],[SOL]],"")</f>
        <v/>
      </c>
      <c r="W37" s="5" t="str">
        <f>IF($E$4="Embrousaillement",Tableau182983[[#This Row],[L]],"")</f>
        <v/>
      </c>
      <c r="X37" s="5">
        <v>25.299999999999997</v>
      </c>
      <c r="Y37" s="5">
        <f t="shared" si="5"/>
        <v>0</v>
      </c>
      <c r="Z37" s="5">
        <f t="shared" si="6"/>
        <v>0</v>
      </c>
      <c r="AA37" s="5">
        <f t="shared" si="7"/>
        <v>0</v>
      </c>
      <c r="AB37" s="5" t="s">
        <v>166</v>
      </c>
      <c r="AC37" s="5" t="s">
        <v>166</v>
      </c>
      <c r="AD37" s="5" t="str">
        <f t="shared" si="8"/>
        <v/>
      </c>
      <c r="AE37" s="5" t="s">
        <v>166</v>
      </c>
      <c r="AF37" s="5" t="s">
        <v>166</v>
      </c>
      <c r="AG37" s="5" t="str">
        <f t="shared" si="9"/>
        <v/>
      </c>
      <c r="AH37" s="5" t="s">
        <v>166</v>
      </c>
      <c r="AI37" s="5" t="s">
        <v>166</v>
      </c>
      <c r="AJ37" s="5" t="str">
        <f t="shared" si="10"/>
        <v/>
      </c>
      <c r="AK37" s="5" t="str">
        <f t="shared" si="11"/>
        <v/>
      </c>
      <c r="AL37" s="7">
        <f>IF(Tableau182983[[#This Row],[Age]]&lt;&gt;"",IF(Tableau182983[[#This Row],[Age]]=0,$AT$10*$B$10+SUMIF($AS$21:$AS$29,Tableau182983[[#This Row],[Age]],$AU$21:$AU$29)*$B$10+$AT$11*$B$10,SUMIF($AS$21:$AS$29,Tableau182983[[#This Row],[Age]],$AU$21:$AU$29)*$B$10+$AT$11*$B$10),"")</f>
        <v>24.839999999999996</v>
      </c>
      <c r="AM37" s="7">
        <f>IF(Tableau182983[[#This Row],[Age]]&lt;&gt;"",IF(Tableau182983[[#This Row],[Age]]=$B$11,$AT$10*$B$10,0)+Tableau182983[[#This Row],[VBO]]*$AX$21*$B$10+Tableau182983[[#This Row],[VBI]]*$AX$22*$B$10+Tableau182983[[#This Row],[VBE]]*$AX$23*$B$10,"")</f>
        <v>0</v>
      </c>
      <c r="AN37" s="7">
        <v>5.3220803357848494</v>
      </c>
      <c r="AO37" s="7">
        <v>0</v>
      </c>
      <c r="AP37" s="7">
        <f>IF(Tableau182983[[#This Row],[Age]]&lt;&gt;"",Tableau182983[[#This Row],[RA]]-Tableau182983[[#This Row],[DA]],"")</f>
        <v>-5.3220803357848494</v>
      </c>
    </row>
    <row r="38" spans="1:42" ht="15" customHeight="1" x14ac:dyDescent="0.2">
      <c r="K38" s="3">
        <v>36</v>
      </c>
      <c r="L38" s="4">
        <v>133.79392271306537</v>
      </c>
      <c r="M38" s="4">
        <v>0</v>
      </c>
      <c r="N38" s="4">
        <v>133.79392271306537</v>
      </c>
      <c r="O38" s="5">
        <f t="shared" si="0"/>
        <v>116.88237088213391</v>
      </c>
      <c r="P38" s="5">
        <f t="shared" si="1"/>
        <v>30.946753255608147</v>
      </c>
      <c r="Q38" s="5">
        <f t="shared" si="2"/>
        <v>56.68520497482757</v>
      </c>
      <c r="R38" s="5">
        <v>12</v>
      </c>
      <c r="S38" s="5">
        <v>702.85443703769045</v>
      </c>
      <c r="T38" s="5">
        <f t="shared" si="3"/>
        <v>0</v>
      </c>
      <c r="U38" s="5">
        <f t="shared" si="4"/>
        <v>0</v>
      </c>
      <c r="V38" s="5" t="str">
        <f>IF($E$4="Embrousaillement",Tableau182983[[#This Row],[SOL]],"")</f>
        <v/>
      </c>
      <c r="W38" s="5" t="str">
        <f>IF($E$4="Embrousaillement",Tableau182983[[#This Row],[L]],"")</f>
        <v/>
      </c>
      <c r="X38" s="5">
        <v>25.299999999999997</v>
      </c>
      <c r="Y38" s="5">
        <f t="shared" si="5"/>
        <v>0</v>
      </c>
      <c r="Z38" s="5">
        <f t="shared" si="6"/>
        <v>0</v>
      </c>
      <c r="AA38" s="5">
        <f t="shared" si="7"/>
        <v>0</v>
      </c>
      <c r="AB38" s="5" t="s">
        <v>166</v>
      </c>
      <c r="AC38" s="5" t="s">
        <v>166</v>
      </c>
      <c r="AD38" s="5" t="str">
        <f t="shared" si="8"/>
        <v/>
      </c>
      <c r="AE38" s="5" t="s">
        <v>166</v>
      </c>
      <c r="AF38" s="5" t="s">
        <v>166</v>
      </c>
      <c r="AG38" s="5" t="str">
        <f t="shared" si="9"/>
        <v/>
      </c>
      <c r="AH38" s="5" t="s">
        <v>166</v>
      </c>
      <c r="AI38" s="5" t="s">
        <v>166</v>
      </c>
      <c r="AJ38" s="5" t="str">
        <f t="shared" si="10"/>
        <v/>
      </c>
      <c r="AK38" s="5" t="str">
        <f t="shared" si="11"/>
        <v/>
      </c>
      <c r="AL38" s="7">
        <f>IF(Tableau182983[[#This Row],[Age]]&lt;&gt;"",IF(Tableau182983[[#This Row],[Age]]=0,$AT$10*$B$10+SUMIF($AS$21:$AS$29,Tableau182983[[#This Row],[Age]],$AU$21:$AU$29)*$B$10+$AT$11*$B$10,SUMIF($AS$21:$AS$29,Tableau182983[[#This Row],[Age]],$AU$21:$AU$29)*$B$10+$AT$11*$B$10),"")</f>
        <v>24.839999999999996</v>
      </c>
      <c r="AM38" s="7">
        <f>IF(Tableau182983[[#This Row],[Age]]&lt;&gt;"",IF(Tableau182983[[#This Row],[Age]]=$B$11,$AT$10*$B$10,0)+Tableau182983[[#This Row],[VBO]]*$AX$21*$B$10+Tableau182983[[#This Row],[VBI]]*$AX$22*$B$10+Tableau182983[[#This Row],[VBE]]*$AX$23*$B$10,"")</f>
        <v>0</v>
      </c>
      <c r="AN38" s="7">
        <v>5.0928998428563164</v>
      </c>
      <c r="AO38" s="7">
        <v>0</v>
      </c>
      <c r="AP38" s="7">
        <f>IF(Tableau182983[[#This Row],[Age]]&lt;&gt;"",Tableau182983[[#This Row],[RA]]-Tableau182983[[#This Row],[DA]],"")</f>
        <v>-5.0928998428563164</v>
      </c>
    </row>
    <row r="39" spans="1:42" ht="15" customHeight="1" x14ac:dyDescent="0.2">
      <c r="K39" s="3">
        <v>37</v>
      </c>
      <c r="L39" s="4">
        <v>143.41745142323236</v>
      </c>
      <c r="M39" s="4">
        <v>0</v>
      </c>
      <c r="N39" s="4">
        <v>143.41745142323236</v>
      </c>
      <c r="O39" s="5">
        <f t="shared" si="0"/>
        <v>125.2894855633358</v>
      </c>
      <c r="P39" s="5">
        <f t="shared" si="1"/>
        <v>32.905570777025261</v>
      </c>
      <c r="Q39" s="5">
        <f t="shared" si="2"/>
        <v>56.916186901092118</v>
      </c>
      <c r="R39" s="5">
        <v>12.333333333333332</v>
      </c>
      <c r="S39" s="5">
        <v>730.62439030025052</v>
      </c>
      <c r="T39" s="5">
        <f t="shared" si="3"/>
        <v>0</v>
      </c>
      <c r="U39" s="5">
        <f t="shared" si="4"/>
        <v>0</v>
      </c>
      <c r="V39" s="5" t="str">
        <f>IF($E$4="Embrousaillement",Tableau182983[[#This Row],[SOL]],"")</f>
        <v/>
      </c>
      <c r="W39" s="5" t="str">
        <f>IF($E$4="Embrousaillement",Tableau182983[[#This Row],[L]],"")</f>
        <v/>
      </c>
      <c r="X39" s="5">
        <v>25.299999999999997</v>
      </c>
      <c r="Y39" s="5">
        <f t="shared" si="5"/>
        <v>0</v>
      </c>
      <c r="Z39" s="5">
        <f t="shared" si="6"/>
        <v>0</v>
      </c>
      <c r="AA39" s="5">
        <f t="shared" si="7"/>
        <v>0</v>
      </c>
      <c r="AB39" s="5" t="s">
        <v>166</v>
      </c>
      <c r="AC39" s="5" t="s">
        <v>166</v>
      </c>
      <c r="AD39" s="5" t="str">
        <f t="shared" si="8"/>
        <v/>
      </c>
      <c r="AE39" s="5" t="s">
        <v>166</v>
      </c>
      <c r="AF39" s="5" t="s">
        <v>166</v>
      </c>
      <c r="AG39" s="5" t="str">
        <f t="shared" si="9"/>
        <v/>
      </c>
      <c r="AH39" s="5" t="s">
        <v>166</v>
      </c>
      <c r="AI39" s="5" t="s">
        <v>166</v>
      </c>
      <c r="AJ39" s="5" t="str">
        <f t="shared" si="10"/>
        <v/>
      </c>
      <c r="AK39" s="5" t="str">
        <f t="shared" si="11"/>
        <v/>
      </c>
      <c r="AL39" s="7">
        <f>IF(Tableau182983[[#This Row],[Age]]&lt;&gt;"",IF(Tableau182983[[#This Row],[Age]]=0,$AT$10*$B$10+SUMIF($AS$21:$AS$29,Tableau182983[[#This Row],[Age]],$AU$21:$AU$29)*$B$10+$AT$11*$B$10,SUMIF($AS$21:$AS$29,Tableau182983[[#This Row],[Age]],$AU$21:$AU$29)*$B$10+$AT$11*$B$10),"")</f>
        <v>24.839999999999996</v>
      </c>
      <c r="AM39" s="7">
        <f>IF(Tableau182983[[#This Row],[Age]]&lt;&gt;"",IF(Tableau182983[[#This Row],[Age]]=$B$11,$AT$10*$B$10,0)+Tableau182983[[#This Row],[VBO]]*$AX$21*$B$10+Tableau182983[[#This Row],[VBI]]*$AX$22*$B$10+Tableau182983[[#This Row],[VBE]]*$AX$23*$B$10,"")</f>
        <v>0</v>
      </c>
      <c r="AN39" s="7">
        <v>4.8735883663696811</v>
      </c>
      <c r="AO39" s="7">
        <v>0</v>
      </c>
      <c r="AP39" s="7">
        <f>IF(Tableau182983[[#This Row],[Age]]&lt;&gt;"",Tableau182983[[#This Row],[RA]]-Tableau182983[[#This Row],[DA]],"")</f>
        <v>-4.8735883663696811</v>
      </c>
    </row>
    <row r="40" spans="1:42" ht="15" customHeight="1" x14ac:dyDescent="0.2">
      <c r="K40" s="3">
        <v>38</v>
      </c>
      <c r="L40" s="4">
        <v>153.41020446722425</v>
      </c>
      <c r="M40" s="4">
        <v>0</v>
      </c>
      <c r="N40" s="4">
        <v>153.41020446722425</v>
      </c>
      <c r="O40" s="5">
        <f t="shared" si="0"/>
        <v>134.0191546225671</v>
      </c>
      <c r="P40" s="5">
        <f t="shared" si="1"/>
        <v>34.92341581069001</v>
      </c>
      <c r="Q40" s="5">
        <f t="shared" si="2"/>
        <v>57.143161807334202</v>
      </c>
      <c r="R40" s="5">
        <v>12.666666666666666</v>
      </c>
      <c r="S40" s="5">
        <v>759.29120011477767</v>
      </c>
      <c r="T40" s="5">
        <f t="shared" si="3"/>
        <v>0</v>
      </c>
      <c r="U40" s="5">
        <f t="shared" si="4"/>
        <v>0</v>
      </c>
      <c r="V40" s="5" t="str">
        <f>IF($E$4="Embrousaillement",Tableau182983[[#This Row],[SOL]],"")</f>
        <v/>
      </c>
      <c r="W40" s="5" t="str">
        <f>IF($E$4="Embrousaillement",Tableau182983[[#This Row],[L]],"")</f>
        <v/>
      </c>
      <c r="X40" s="5">
        <v>25.299999999999997</v>
      </c>
      <c r="Y40" s="5">
        <f t="shared" si="5"/>
        <v>0</v>
      </c>
      <c r="Z40" s="5">
        <f t="shared" si="6"/>
        <v>0</v>
      </c>
      <c r="AA40" s="5">
        <f t="shared" si="7"/>
        <v>0</v>
      </c>
      <c r="AB40" s="5" t="s">
        <v>166</v>
      </c>
      <c r="AC40" s="5" t="s">
        <v>166</v>
      </c>
      <c r="AD40" s="5" t="str">
        <f t="shared" si="8"/>
        <v/>
      </c>
      <c r="AE40" s="5" t="s">
        <v>166</v>
      </c>
      <c r="AF40" s="5" t="s">
        <v>166</v>
      </c>
      <c r="AG40" s="5" t="str">
        <f t="shared" si="9"/>
        <v/>
      </c>
      <c r="AH40" s="5" t="s">
        <v>166</v>
      </c>
      <c r="AI40" s="5" t="s">
        <v>166</v>
      </c>
      <c r="AJ40" s="5" t="str">
        <f t="shared" si="10"/>
        <v/>
      </c>
      <c r="AK40" s="5" t="str">
        <f t="shared" si="11"/>
        <v/>
      </c>
      <c r="AL40" s="7">
        <f>IF(Tableau182983[[#This Row],[Age]]&lt;&gt;"",IF(Tableau182983[[#This Row],[Age]]=0,$AT$10*$B$10+SUMIF($AS$21:$AS$29,Tableau182983[[#This Row],[Age]],$AU$21:$AU$29)*$B$10+$AT$11*$B$10,SUMIF($AS$21:$AS$29,Tableau182983[[#This Row],[Age]],$AU$21:$AU$29)*$B$10+$AT$11*$B$10),"")</f>
        <v>24.839999999999996</v>
      </c>
      <c r="AM40" s="7">
        <f>IF(Tableau182983[[#This Row],[Age]]&lt;&gt;"",IF(Tableau182983[[#This Row],[Age]]=$B$11,$AT$10*$B$10,0)+Tableau182983[[#This Row],[VBO]]*$AX$21*$B$10+Tableau182983[[#This Row],[VBI]]*$AX$22*$B$10+Tableau182983[[#This Row],[VBE]]*$AX$23*$B$10,"")</f>
        <v>0</v>
      </c>
      <c r="AN40" s="7">
        <v>4.6637209247556761</v>
      </c>
      <c r="AO40" s="7">
        <v>0</v>
      </c>
      <c r="AP40" s="7">
        <f>IF(Tableau182983[[#This Row],[Age]]&lt;&gt;"",Tableau182983[[#This Row],[RA]]-Tableau182983[[#This Row],[DA]],"")</f>
        <v>-4.6637209247556761</v>
      </c>
    </row>
    <row r="41" spans="1:42" ht="15" customHeight="1" x14ac:dyDescent="0.2">
      <c r="K41" s="3">
        <v>39</v>
      </c>
      <c r="L41" s="4">
        <v>163.77289974832257</v>
      </c>
      <c r="M41" s="4">
        <v>0</v>
      </c>
      <c r="N41" s="4">
        <v>163.77289974832257</v>
      </c>
      <c r="O41" s="5">
        <f t="shared" si="0"/>
        <v>143.07200522013463</v>
      </c>
      <c r="P41" s="5">
        <f t="shared" si="1"/>
        <v>36.999867260534081</v>
      </c>
      <c r="Q41" s="5">
        <f t="shared" si="2"/>
        <v>57.366199206392857</v>
      </c>
      <c r="R41" s="5">
        <v>13</v>
      </c>
      <c r="S41" s="5">
        <v>788.85571349163502</v>
      </c>
      <c r="T41" s="5">
        <f t="shared" si="3"/>
        <v>0</v>
      </c>
      <c r="U41" s="5">
        <f t="shared" si="4"/>
        <v>0</v>
      </c>
      <c r="V41" s="5" t="str">
        <f>IF($E$4="Embrousaillement",Tableau182983[[#This Row],[SOL]],"")</f>
        <v/>
      </c>
      <c r="W41" s="5" t="str">
        <f>IF($E$4="Embrousaillement",Tableau182983[[#This Row],[L]],"")</f>
        <v/>
      </c>
      <c r="X41" s="5">
        <v>25.299999999999997</v>
      </c>
      <c r="Y41" s="5">
        <f t="shared" si="5"/>
        <v>0</v>
      </c>
      <c r="Z41" s="5">
        <f t="shared" si="6"/>
        <v>0</v>
      </c>
      <c r="AA41" s="5">
        <f t="shared" si="7"/>
        <v>0</v>
      </c>
      <c r="AB41" s="5" t="s">
        <v>166</v>
      </c>
      <c r="AC41" s="5" t="s">
        <v>166</v>
      </c>
      <c r="AD41" s="5" t="str">
        <f t="shared" si="8"/>
        <v/>
      </c>
      <c r="AE41" s="5" t="s">
        <v>166</v>
      </c>
      <c r="AF41" s="5" t="s">
        <v>166</v>
      </c>
      <c r="AG41" s="5" t="str">
        <f t="shared" si="9"/>
        <v/>
      </c>
      <c r="AH41" s="5" t="s">
        <v>166</v>
      </c>
      <c r="AI41" s="5" t="s">
        <v>166</v>
      </c>
      <c r="AJ41" s="5" t="str">
        <f t="shared" si="10"/>
        <v/>
      </c>
      <c r="AK41" s="5" t="str">
        <f t="shared" si="11"/>
        <v/>
      </c>
      <c r="AL41" s="7">
        <f>IF(Tableau182983[[#This Row],[Age]]&lt;&gt;"",IF(Tableau182983[[#This Row],[Age]]=0,$AT$10*$B$10+SUMIF($AS$21:$AS$29,Tableau182983[[#This Row],[Age]],$AU$21:$AU$29)*$B$10+$AT$11*$B$10,SUMIF($AS$21:$AS$29,Tableau182983[[#This Row],[Age]],$AU$21:$AU$29)*$B$10+$AT$11*$B$10),"")</f>
        <v>24.839999999999996</v>
      </c>
      <c r="AM41" s="7">
        <f>IF(Tableau182983[[#This Row],[Age]]&lt;&gt;"",IF(Tableau182983[[#This Row],[Age]]=$B$11,$AT$10*$B$10,0)+Tableau182983[[#This Row],[VBO]]*$AX$21*$B$10+Tableau182983[[#This Row],[VBI]]*$AX$22*$B$10+Tableau182983[[#This Row],[VBE]]*$AX$23*$B$10,"")</f>
        <v>0</v>
      </c>
      <c r="AN41" s="7">
        <v>4.4628908370867713</v>
      </c>
      <c r="AO41" s="7">
        <v>0</v>
      </c>
      <c r="AP41" s="7">
        <f>IF(Tableau182983[[#This Row],[Age]]&lt;&gt;"",Tableau182983[[#This Row],[RA]]-Tableau182983[[#This Row],[DA]],"")</f>
        <v>-4.4628908370867713</v>
      </c>
    </row>
    <row r="42" spans="1:42" ht="15" customHeight="1" x14ac:dyDescent="0.2">
      <c r="K42" s="3">
        <v>40</v>
      </c>
      <c r="L42" s="4">
        <v>174.50607603288989</v>
      </c>
      <c r="M42" s="4">
        <v>43.626519008222473</v>
      </c>
      <c r="N42" s="4">
        <v>130.87955702466741</v>
      </c>
      <c r="O42" s="5">
        <f t="shared" si="0"/>
        <v>114.33638101674946</v>
      </c>
      <c r="P42" s="5">
        <f t="shared" si="1"/>
        <v>30.350359357651264</v>
      </c>
      <c r="Q42" s="5">
        <f t="shared" si="2"/>
        <v>57.585367405214768</v>
      </c>
      <c r="R42" s="5">
        <v>13.333333333333332</v>
      </c>
      <c r="S42" s="5">
        <v>706.60320622692541</v>
      </c>
      <c r="T42" s="5">
        <f t="shared" si="3"/>
        <v>0</v>
      </c>
      <c r="U42" s="5">
        <f t="shared" si="4"/>
        <v>0</v>
      </c>
      <c r="V42" s="5" t="str">
        <f>IF($E$4="Embrousaillement",Tableau182983[[#This Row],[SOL]],"")</f>
        <v/>
      </c>
      <c r="W42" s="5" t="str">
        <f>IF($E$4="Embrousaillement",Tableau182983[[#This Row],[L]],"")</f>
        <v/>
      </c>
      <c r="X42" s="5">
        <v>25.299999999999997</v>
      </c>
      <c r="Y42" s="5">
        <f t="shared" si="5"/>
        <v>26.175911404933483</v>
      </c>
      <c r="Z42" s="5">
        <f t="shared" si="6"/>
        <v>13.087955702466742</v>
      </c>
      <c r="AA42" s="5">
        <f t="shared" si="7"/>
        <v>4.3626519008222475</v>
      </c>
      <c r="AB42" s="5" t="s">
        <v>166</v>
      </c>
      <c r="AC42" s="5" t="s">
        <v>166</v>
      </c>
      <c r="AD42" s="5" t="str">
        <f t="shared" si="8"/>
        <v/>
      </c>
      <c r="AE42" s="5" t="s">
        <v>166</v>
      </c>
      <c r="AF42" s="5" t="s">
        <v>166</v>
      </c>
      <c r="AG42" s="5" t="str">
        <f t="shared" si="9"/>
        <v/>
      </c>
      <c r="AH42" s="5" t="s">
        <v>166</v>
      </c>
      <c r="AI42" s="5" t="s">
        <v>166</v>
      </c>
      <c r="AJ42" s="5" t="str">
        <f t="shared" si="10"/>
        <v/>
      </c>
      <c r="AK42" s="5" t="str">
        <f t="shared" si="11"/>
        <v/>
      </c>
      <c r="AL42" s="7">
        <f>IF(Tableau182983[[#This Row],[Age]]&lt;&gt;"",IF(Tableau182983[[#This Row],[Age]]=0,$AT$10*$B$10+SUMIF($AS$21:$AS$29,Tableau182983[[#This Row],[Age]],$AU$21:$AU$29)*$B$10+$AT$11*$B$10,SUMIF($AS$21:$AS$29,Tableau182983[[#This Row],[Age]],$AU$21:$AU$29)*$B$10+$AT$11*$B$10),"")</f>
        <v>24.839999999999996</v>
      </c>
      <c r="AM42" s="7">
        <f>IF(Tableau182983[[#This Row],[Age]]&lt;&gt;"",IF(Tableau182983[[#This Row],[Age]]=$B$11,$AT$10*$B$10,0)+Tableau182983[[#This Row],[VBO]]*$AX$21*$B$10+Tableau182983[[#This Row],[VBI]]*$AX$22*$B$10+Tableau182983[[#This Row],[VBE]]*$AX$23*$B$10,"")</f>
        <v>1926.5470794031039</v>
      </c>
      <c r="AN42" s="7">
        <v>4.2707089350112657</v>
      </c>
      <c r="AO42" s="7">
        <v>331.22873694551913</v>
      </c>
      <c r="AP42" s="7">
        <f>IF(Tableau182983[[#This Row],[Age]]&lt;&gt;"",Tableau182983[[#This Row],[RA]]-Tableau182983[[#This Row],[DA]],"")</f>
        <v>326.95802801050786</v>
      </c>
    </row>
    <row r="43" spans="1:42" ht="15" customHeight="1" x14ac:dyDescent="0.2">
      <c r="K43" s="3">
        <v>41</v>
      </c>
      <c r="L43" s="4">
        <v>139.20757910852964</v>
      </c>
      <c r="M43" s="4">
        <v>0</v>
      </c>
      <c r="N43" s="4">
        <v>139.20757910852964</v>
      </c>
      <c r="O43" s="5">
        <f t="shared" si="0"/>
        <v>121.61174110921151</v>
      </c>
      <c r="P43" s="5">
        <f t="shared" si="1"/>
        <v>32.050619049978337</v>
      </c>
      <c r="Q43" s="5">
        <f t="shared" si="2"/>
        <v>57.800733525773801</v>
      </c>
      <c r="R43" s="5">
        <v>13.666666666666666</v>
      </c>
      <c r="S43" s="5">
        <v>730.95252761636141</v>
      </c>
      <c r="T43" s="5">
        <f t="shared" si="3"/>
        <v>0</v>
      </c>
      <c r="U43" s="5">
        <f t="shared" si="4"/>
        <v>0</v>
      </c>
      <c r="V43" s="5" t="str">
        <f>IF($E$4="Embrousaillement",Tableau182983[[#This Row],[SOL]],"")</f>
        <v/>
      </c>
      <c r="W43" s="5" t="str">
        <f>IF($E$4="Embrousaillement",Tableau182983[[#This Row],[L]],"")</f>
        <v/>
      </c>
      <c r="X43" s="5">
        <v>25.299999999999997</v>
      </c>
      <c r="Y43" s="5">
        <f t="shared" si="5"/>
        <v>0</v>
      </c>
      <c r="Z43" s="5">
        <f t="shared" si="6"/>
        <v>0</v>
      </c>
      <c r="AA43" s="5">
        <f t="shared" si="7"/>
        <v>0</v>
      </c>
      <c r="AB43" s="5" t="s">
        <v>166</v>
      </c>
      <c r="AC43" s="5" t="s">
        <v>166</v>
      </c>
      <c r="AD43" s="5" t="str">
        <f t="shared" si="8"/>
        <v/>
      </c>
      <c r="AE43" s="5" t="s">
        <v>166</v>
      </c>
      <c r="AF43" s="5" t="s">
        <v>166</v>
      </c>
      <c r="AG43" s="5" t="str">
        <f t="shared" si="9"/>
        <v/>
      </c>
      <c r="AH43" s="5" t="s">
        <v>166</v>
      </c>
      <c r="AI43" s="5" t="s">
        <v>166</v>
      </c>
      <c r="AJ43" s="5" t="str">
        <f t="shared" si="10"/>
        <v/>
      </c>
      <c r="AK43" s="5" t="str">
        <f t="shared" si="11"/>
        <v/>
      </c>
      <c r="AL43" s="7">
        <f>IF(Tableau182983[[#This Row],[Age]]&lt;&gt;"",IF(Tableau182983[[#This Row],[Age]]=0,$AT$10*$B$10+SUMIF($AS$21:$AS$29,Tableau182983[[#This Row],[Age]],$AU$21:$AU$29)*$B$10+$AT$11*$B$10,SUMIF($AS$21:$AS$29,Tableau182983[[#This Row],[Age]],$AU$21:$AU$29)*$B$10+$AT$11*$B$10),"")</f>
        <v>24.839999999999996</v>
      </c>
      <c r="AM43" s="7">
        <f>IF(Tableau182983[[#This Row],[Age]]&lt;&gt;"",IF(Tableau182983[[#This Row],[Age]]=$B$11,$AT$10*$B$10,0)+Tableau182983[[#This Row],[VBO]]*$AX$21*$B$10+Tableau182983[[#This Row],[VBI]]*$AX$22*$B$10+Tableau182983[[#This Row],[VBE]]*$AX$23*$B$10,"")</f>
        <v>0</v>
      </c>
      <c r="AN43" s="7">
        <v>4.0868028086232213</v>
      </c>
      <c r="AO43" s="7">
        <v>0</v>
      </c>
      <c r="AP43" s="7">
        <f>IF(Tableau182983[[#This Row],[Age]]&lt;&gt;"",Tableau182983[[#This Row],[RA]]-Tableau182983[[#This Row],[DA]],"")</f>
        <v>-4.0868028086232213</v>
      </c>
    </row>
    <row r="44" spans="1:42" ht="15" customHeight="1" x14ac:dyDescent="0.2">
      <c r="K44" s="3">
        <v>42</v>
      </c>
      <c r="L44" s="4">
        <v>147.81390411760708</v>
      </c>
      <c r="M44" s="4">
        <v>0</v>
      </c>
      <c r="N44" s="4">
        <v>147.81390411760708</v>
      </c>
      <c r="O44" s="5">
        <f t="shared" si="0"/>
        <v>129.13022663714156</v>
      </c>
      <c r="P44" s="5">
        <f t="shared" si="1"/>
        <v>33.795301790409745</v>
      </c>
      <c r="Q44" s="5">
        <f t="shared" si="2"/>
        <v>58.012363525627649</v>
      </c>
      <c r="R44" s="5">
        <v>14</v>
      </c>
      <c r="S44" s="5">
        <v>755.97406701529542</v>
      </c>
      <c r="T44" s="5">
        <f t="shared" si="3"/>
        <v>0</v>
      </c>
      <c r="U44" s="5">
        <f t="shared" si="4"/>
        <v>0</v>
      </c>
      <c r="V44" s="5" t="str">
        <f>IF($E$4="Embrousaillement",Tableau182983[[#This Row],[SOL]],"")</f>
        <v/>
      </c>
      <c r="W44" s="5" t="str">
        <f>IF($E$4="Embrousaillement",Tableau182983[[#This Row],[L]],"")</f>
        <v/>
      </c>
      <c r="X44" s="5">
        <v>25.299999999999997</v>
      </c>
      <c r="Y44" s="5">
        <f t="shared" si="5"/>
        <v>0</v>
      </c>
      <c r="Z44" s="5">
        <f t="shared" si="6"/>
        <v>0</v>
      </c>
      <c r="AA44" s="5">
        <f t="shared" si="7"/>
        <v>0</v>
      </c>
      <c r="AB44" s="5" t="s">
        <v>166</v>
      </c>
      <c r="AC44" s="5" t="s">
        <v>166</v>
      </c>
      <c r="AD44" s="5" t="str">
        <f t="shared" si="8"/>
        <v/>
      </c>
      <c r="AE44" s="5" t="s">
        <v>166</v>
      </c>
      <c r="AF44" s="5" t="s">
        <v>166</v>
      </c>
      <c r="AG44" s="5" t="str">
        <f t="shared" si="9"/>
        <v/>
      </c>
      <c r="AH44" s="5" t="s">
        <v>166</v>
      </c>
      <c r="AI44" s="5" t="s">
        <v>166</v>
      </c>
      <c r="AJ44" s="5" t="str">
        <f t="shared" si="10"/>
        <v/>
      </c>
      <c r="AK44" s="5" t="str">
        <f t="shared" si="11"/>
        <v/>
      </c>
      <c r="AL44" s="7">
        <f>IF(Tableau182983[[#This Row],[Age]]&lt;&gt;"",IF(Tableau182983[[#This Row],[Age]]=0,$AT$10*$B$10+SUMIF($AS$21:$AS$29,Tableau182983[[#This Row],[Age]],$AU$21:$AU$29)*$B$10+$AT$11*$B$10,SUMIF($AS$21:$AS$29,Tableau182983[[#This Row],[Age]],$AU$21:$AU$29)*$B$10+$AT$11*$B$10),"")</f>
        <v>24.839999999999996</v>
      </c>
      <c r="AM44" s="7">
        <f>IF(Tableau182983[[#This Row],[Age]]&lt;&gt;"",IF(Tableau182983[[#This Row],[Age]]=$B$11,$AT$10*$B$10,0)+Tableau182983[[#This Row],[VBO]]*$AX$21*$B$10+Tableau182983[[#This Row],[VBI]]*$AX$22*$B$10+Tableau182983[[#This Row],[VBE]]*$AX$23*$B$10,"")</f>
        <v>0</v>
      </c>
      <c r="AN44" s="7">
        <v>3.9108160848069109</v>
      </c>
      <c r="AO44" s="7">
        <v>0</v>
      </c>
      <c r="AP44" s="7">
        <f>IF(Tableau182983[[#This Row],[Age]]&lt;&gt;"",Tableau182983[[#This Row],[RA]]-Tableau182983[[#This Row],[DA]],"")</f>
        <v>-3.9108160848069109</v>
      </c>
    </row>
    <row r="45" spans="1:42" ht="15" customHeight="1" x14ac:dyDescent="0.2">
      <c r="K45" s="3">
        <v>43</v>
      </c>
      <c r="L45" s="4">
        <v>156.69858745975242</v>
      </c>
      <c r="M45" s="4">
        <v>0</v>
      </c>
      <c r="N45" s="4">
        <v>156.69858745975242</v>
      </c>
      <c r="O45" s="5">
        <f t="shared" si="0"/>
        <v>136.89188600483973</v>
      </c>
      <c r="P45" s="5">
        <f t="shared" si="1"/>
        <v>35.584052534157976</v>
      </c>
      <c r="Q45" s="5">
        <f t="shared" si="2"/>
        <v>58.220322218117829</v>
      </c>
      <c r="R45" s="5">
        <v>14.333333333333332</v>
      </c>
      <c r="S45" s="5">
        <v>781.66741536882375</v>
      </c>
      <c r="T45" s="5">
        <f t="shared" si="3"/>
        <v>0</v>
      </c>
      <c r="U45" s="5">
        <f t="shared" si="4"/>
        <v>0</v>
      </c>
      <c r="V45" s="5" t="str">
        <f>IF($E$4="Embrousaillement",Tableau182983[[#This Row],[SOL]],"")</f>
        <v/>
      </c>
      <c r="W45" s="5" t="str">
        <f>IF($E$4="Embrousaillement",Tableau182983[[#This Row],[L]],"")</f>
        <v/>
      </c>
      <c r="X45" s="5">
        <v>25.299999999999997</v>
      </c>
      <c r="Y45" s="5">
        <f t="shared" si="5"/>
        <v>0</v>
      </c>
      <c r="Z45" s="5">
        <f t="shared" si="6"/>
        <v>0</v>
      </c>
      <c r="AA45" s="5">
        <f t="shared" si="7"/>
        <v>0</v>
      </c>
      <c r="AB45" s="5" t="s">
        <v>166</v>
      </c>
      <c r="AC45" s="5" t="s">
        <v>166</v>
      </c>
      <c r="AD45" s="5" t="str">
        <f t="shared" si="8"/>
        <v/>
      </c>
      <c r="AE45" s="5" t="s">
        <v>166</v>
      </c>
      <c r="AF45" s="5" t="s">
        <v>166</v>
      </c>
      <c r="AG45" s="5" t="str">
        <f t="shared" si="9"/>
        <v/>
      </c>
      <c r="AH45" s="5" t="s">
        <v>166</v>
      </c>
      <c r="AI45" s="5" t="s">
        <v>166</v>
      </c>
      <c r="AJ45" s="5" t="str">
        <f t="shared" si="10"/>
        <v/>
      </c>
      <c r="AK45" s="5" t="str">
        <f t="shared" si="11"/>
        <v/>
      </c>
      <c r="AL45" s="7">
        <f>IF(Tableau182983[[#This Row],[Age]]&lt;&gt;"",IF(Tableau182983[[#This Row],[Age]]=0,$AT$10*$B$10+SUMIF($AS$21:$AS$29,Tableau182983[[#This Row],[Age]],$AU$21:$AU$29)*$B$10+$AT$11*$B$10,SUMIF($AS$21:$AS$29,Tableau182983[[#This Row],[Age]],$AU$21:$AU$29)*$B$10+$AT$11*$B$10),"")</f>
        <v>24.839999999999996</v>
      </c>
      <c r="AM45" s="7">
        <f>IF(Tableau182983[[#This Row],[Age]]&lt;&gt;"",IF(Tableau182983[[#This Row],[Age]]=$B$11,$AT$10*$B$10,0)+Tableau182983[[#This Row],[VBO]]*$AX$21*$B$10+Tableau182983[[#This Row],[VBI]]*$AX$22*$B$10+Tableau182983[[#This Row],[VBE]]*$AX$23*$B$10,"")</f>
        <v>0</v>
      </c>
      <c r="AN45" s="7">
        <v>3.7424077366573307</v>
      </c>
      <c r="AO45" s="7">
        <v>0</v>
      </c>
      <c r="AP45" s="7">
        <f>IF(Tableau182983[[#This Row],[Age]]&lt;&gt;"",Tableau182983[[#This Row],[RA]]-Tableau182983[[#This Row],[DA]],"")</f>
        <v>-3.7424077366573307</v>
      </c>
    </row>
    <row r="46" spans="1:42" ht="15" customHeight="1" x14ac:dyDescent="0.2">
      <c r="K46" s="3">
        <v>44</v>
      </c>
      <c r="L46" s="4">
        <v>165.86158485723772</v>
      </c>
      <c r="M46" s="4">
        <v>0</v>
      </c>
      <c r="N46" s="4">
        <v>165.86158485723772</v>
      </c>
      <c r="O46" s="5">
        <f t="shared" si="0"/>
        <v>144.8966805312829</v>
      </c>
      <c r="P46" s="5">
        <f t="shared" si="1"/>
        <v>37.416511947694566</v>
      </c>
      <c r="Q46" s="5">
        <f t="shared" si="2"/>
        <v>58.424673292219296</v>
      </c>
      <c r="R46" s="5">
        <v>14.666666666666666</v>
      </c>
      <c r="S46" s="5">
        <v>808.03193831518502</v>
      </c>
      <c r="T46" s="5">
        <f t="shared" si="3"/>
        <v>0</v>
      </c>
      <c r="U46" s="5">
        <f t="shared" si="4"/>
        <v>0</v>
      </c>
      <c r="V46" s="5" t="str">
        <f>IF($E$4="Embrousaillement",Tableau182983[[#This Row],[SOL]],"")</f>
        <v/>
      </c>
      <c r="W46" s="5" t="str">
        <f>IF($E$4="Embrousaillement",Tableau182983[[#This Row],[L]],"")</f>
        <v/>
      </c>
      <c r="X46" s="5">
        <v>25.299999999999997</v>
      </c>
      <c r="Y46" s="5">
        <f t="shared" si="5"/>
        <v>0</v>
      </c>
      <c r="Z46" s="5">
        <f t="shared" si="6"/>
        <v>0</v>
      </c>
      <c r="AA46" s="5">
        <f t="shared" si="7"/>
        <v>0</v>
      </c>
      <c r="AB46" s="5" t="s">
        <v>166</v>
      </c>
      <c r="AC46" s="5" t="s">
        <v>166</v>
      </c>
      <c r="AD46" s="5" t="str">
        <f t="shared" si="8"/>
        <v/>
      </c>
      <c r="AE46" s="5" t="s">
        <v>166</v>
      </c>
      <c r="AF46" s="5" t="s">
        <v>166</v>
      </c>
      <c r="AG46" s="5" t="str">
        <f t="shared" si="9"/>
        <v/>
      </c>
      <c r="AH46" s="5" t="s">
        <v>166</v>
      </c>
      <c r="AI46" s="5" t="s">
        <v>166</v>
      </c>
      <c r="AJ46" s="5" t="str">
        <f t="shared" si="10"/>
        <v/>
      </c>
      <c r="AK46" s="5" t="str">
        <f t="shared" si="11"/>
        <v/>
      </c>
      <c r="AL46" s="7">
        <f>IF(Tableau182983[[#This Row],[Age]]&lt;&gt;"",IF(Tableau182983[[#This Row],[Age]]=0,$AT$10*$B$10+SUMIF($AS$21:$AS$29,Tableau182983[[#This Row],[Age]],$AU$21:$AU$29)*$B$10+$AT$11*$B$10,SUMIF($AS$21:$AS$29,Tableau182983[[#This Row],[Age]],$AU$21:$AU$29)*$B$10+$AT$11*$B$10),"")</f>
        <v>24.839999999999996</v>
      </c>
      <c r="AM46" s="7">
        <f>IF(Tableau182983[[#This Row],[Age]]&lt;&gt;"",IF(Tableau182983[[#This Row],[Age]]=$B$11,$AT$10*$B$10,0)+Tableau182983[[#This Row],[VBO]]*$AX$21*$B$10+Tableau182983[[#This Row],[VBI]]*$AX$22*$B$10+Tableau182983[[#This Row],[VBE]]*$AX$23*$B$10,"")</f>
        <v>0</v>
      </c>
      <c r="AN46" s="7">
        <v>3.5812514226385948</v>
      </c>
      <c r="AO46" s="7">
        <v>0</v>
      </c>
      <c r="AP46" s="7">
        <f>IF(Tableau182983[[#This Row],[Age]]&lt;&gt;"",Tableau182983[[#This Row],[RA]]-Tableau182983[[#This Row],[DA]],"")</f>
        <v>-3.5812514226385948</v>
      </c>
    </row>
    <row r="47" spans="1:42" ht="15" customHeight="1" x14ac:dyDescent="0.2">
      <c r="K47" s="3">
        <v>45</v>
      </c>
      <c r="L47" s="4">
        <v>175.30275987518826</v>
      </c>
      <c r="M47" s="4">
        <v>0</v>
      </c>
      <c r="N47" s="4">
        <v>175.30275987518826</v>
      </c>
      <c r="O47" s="5">
        <f t="shared" si="0"/>
        <v>153.14449102696449</v>
      </c>
      <c r="P47" s="5">
        <f t="shared" si="1"/>
        <v>39.292317364425607</v>
      </c>
      <c r="Q47" s="5">
        <f t="shared" si="2"/>
        <v>58.625479332045664</v>
      </c>
      <c r="R47" s="5">
        <v>15</v>
      </c>
      <c r="S47" s="5">
        <v>835.06679438885703</v>
      </c>
      <c r="T47" s="5">
        <f t="shared" si="3"/>
        <v>0</v>
      </c>
      <c r="U47" s="5">
        <f t="shared" si="4"/>
        <v>0</v>
      </c>
      <c r="V47" s="5" t="str">
        <f>IF($E$4="Embrousaillement",Tableau182983[[#This Row],[SOL]],"")</f>
        <v/>
      </c>
      <c r="W47" s="5" t="str">
        <f>IF($E$4="Embrousaillement",Tableau182983[[#This Row],[L]],"")</f>
        <v/>
      </c>
      <c r="X47" s="5">
        <v>25.299999999999997</v>
      </c>
      <c r="Y47" s="5">
        <f t="shared" si="5"/>
        <v>0</v>
      </c>
      <c r="Z47" s="5">
        <f t="shared" si="6"/>
        <v>0</v>
      </c>
      <c r="AA47" s="5">
        <f t="shared" si="7"/>
        <v>0</v>
      </c>
      <c r="AB47" s="5" t="s">
        <v>166</v>
      </c>
      <c r="AC47" s="5" t="s">
        <v>166</v>
      </c>
      <c r="AD47" s="5" t="str">
        <f t="shared" si="8"/>
        <v/>
      </c>
      <c r="AE47" s="5" t="s">
        <v>166</v>
      </c>
      <c r="AF47" s="5" t="s">
        <v>166</v>
      </c>
      <c r="AG47" s="5" t="str">
        <f t="shared" si="9"/>
        <v/>
      </c>
      <c r="AH47" s="5" t="s">
        <v>166</v>
      </c>
      <c r="AI47" s="5" t="s">
        <v>166</v>
      </c>
      <c r="AJ47" s="5" t="str">
        <f t="shared" si="10"/>
        <v/>
      </c>
      <c r="AK47" s="5" t="str">
        <f t="shared" si="11"/>
        <v/>
      </c>
      <c r="AL47" s="7">
        <f>IF(Tableau182983[[#This Row],[Age]]&lt;&gt;"",IF(Tableau182983[[#This Row],[Age]]=0,$AT$10*$B$10+SUMIF($AS$21:$AS$29,Tableau182983[[#This Row],[Age]],$AU$21:$AU$29)*$B$10+$AT$11*$B$10,SUMIF($AS$21:$AS$29,Tableau182983[[#This Row],[Age]],$AU$21:$AU$29)*$B$10+$AT$11*$B$10),"")</f>
        <v>24.839999999999996</v>
      </c>
      <c r="AM47" s="7">
        <f>IF(Tableau182983[[#This Row],[Age]]&lt;&gt;"",IF(Tableau182983[[#This Row],[Age]]=$B$11,$AT$10*$B$10,0)+Tableau182983[[#This Row],[VBO]]*$AX$21*$B$10+Tableau182983[[#This Row],[VBI]]*$AX$22*$B$10+Tableau182983[[#This Row],[VBE]]*$AX$23*$B$10,"")</f>
        <v>0</v>
      </c>
      <c r="AN47" s="7">
        <v>3.4270348541996118</v>
      </c>
      <c r="AO47" s="7">
        <v>0</v>
      </c>
      <c r="AP47" s="7">
        <f>IF(Tableau182983[[#This Row],[Age]]&lt;&gt;"",Tableau182983[[#This Row],[RA]]-Tableau182983[[#This Row],[DA]],"")</f>
        <v>-3.4270348541996118</v>
      </c>
    </row>
    <row r="48" spans="1:42" ht="15" customHeight="1" x14ac:dyDescent="0.2">
      <c r="K48" s="3">
        <v>46</v>
      </c>
      <c r="L48" s="4">
        <v>185.02189103794106</v>
      </c>
      <c r="M48" s="4">
        <v>0</v>
      </c>
      <c r="N48" s="4">
        <v>185.02189103794106</v>
      </c>
      <c r="O48" s="5">
        <f t="shared" si="0"/>
        <v>161.63512401074533</v>
      </c>
      <c r="P48" s="5">
        <f t="shared" si="1"/>
        <v>41.211103663679459</v>
      </c>
      <c r="Q48" s="5">
        <f t="shared" si="2"/>
        <v>58.82280183601609</v>
      </c>
      <c r="R48" s="5">
        <v>15.333333333333332</v>
      </c>
      <c r="S48" s="5">
        <v>862.77095217238798</v>
      </c>
      <c r="T48" s="5">
        <f t="shared" si="3"/>
        <v>0</v>
      </c>
      <c r="U48" s="5">
        <f t="shared" si="4"/>
        <v>0</v>
      </c>
      <c r="V48" s="5" t="str">
        <f>IF($E$4="Embrousaillement",Tableau182983[[#This Row],[SOL]],"")</f>
        <v/>
      </c>
      <c r="W48" s="5" t="str">
        <f>IF($E$4="Embrousaillement",Tableau182983[[#This Row],[L]],"")</f>
        <v/>
      </c>
      <c r="X48" s="5">
        <v>25.299999999999997</v>
      </c>
      <c r="Y48" s="5">
        <f t="shared" si="5"/>
        <v>0</v>
      </c>
      <c r="Z48" s="5">
        <f t="shared" si="6"/>
        <v>0</v>
      </c>
      <c r="AA48" s="5">
        <f t="shared" si="7"/>
        <v>0</v>
      </c>
      <c r="AB48" s="5" t="s">
        <v>166</v>
      </c>
      <c r="AC48" s="5" t="s">
        <v>166</v>
      </c>
      <c r="AD48" s="5" t="str">
        <f t="shared" si="8"/>
        <v/>
      </c>
      <c r="AE48" s="5" t="s">
        <v>166</v>
      </c>
      <c r="AF48" s="5" t="s">
        <v>166</v>
      </c>
      <c r="AG48" s="5" t="str">
        <f t="shared" si="9"/>
        <v/>
      </c>
      <c r="AH48" s="5" t="s">
        <v>166</v>
      </c>
      <c r="AI48" s="5" t="s">
        <v>166</v>
      </c>
      <c r="AJ48" s="5" t="str">
        <f t="shared" si="10"/>
        <v/>
      </c>
      <c r="AK48" s="5" t="str">
        <f t="shared" si="11"/>
        <v/>
      </c>
      <c r="AL48" s="7">
        <f>IF(Tableau182983[[#This Row],[Age]]&lt;&gt;"",IF(Tableau182983[[#This Row],[Age]]=0,$AT$10*$B$10+SUMIF($AS$21:$AS$29,Tableau182983[[#This Row],[Age]],$AU$21:$AU$29)*$B$10+$AT$11*$B$10,SUMIF($AS$21:$AS$29,Tableau182983[[#This Row],[Age]],$AU$21:$AU$29)*$B$10+$AT$11*$B$10),"")</f>
        <v>24.839999999999996</v>
      </c>
      <c r="AM48" s="7">
        <f>IF(Tableau182983[[#This Row],[Age]]&lt;&gt;"",IF(Tableau182983[[#This Row],[Age]]=$B$11,$AT$10*$B$10,0)+Tableau182983[[#This Row],[VBO]]*$AX$21*$B$10+Tableau182983[[#This Row],[VBI]]*$AX$22*$B$10+Tableau182983[[#This Row],[VBE]]*$AX$23*$B$10,"")</f>
        <v>0</v>
      </c>
      <c r="AN48" s="7">
        <v>3.279459190621639</v>
      </c>
      <c r="AO48" s="7">
        <v>0</v>
      </c>
      <c r="AP48" s="7">
        <f>IF(Tableau182983[[#This Row],[Age]]&lt;&gt;"",Tableau182983[[#This Row],[RA]]-Tableau182983[[#This Row],[DA]],"")</f>
        <v>-3.279459190621639</v>
      </c>
    </row>
    <row r="49" spans="11:42" ht="15" customHeight="1" x14ac:dyDescent="0.2">
      <c r="K49" s="3">
        <v>47</v>
      </c>
      <c r="L49" s="4">
        <v>195.01867855318812</v>
      </c>
      <c r="M49" s="4">
        <v>0</v>
      </c>
      <c r="N49" s="4">
        <v>195.01867855318812</v>
      </c>
      <c r="O49" s="5">
        <f t="shared" si="0"/>
        <v>170.36831758406518</v>
      </c>
      <c r="P49" s="5">
        <f t="shared" si="1"/>
        <v>43.172504078540676</v>
      </c>
      <c r="Q49" s="5">
        <f t="shared" si="2"/>
        <v>59.016701235689659</v>
      </c>
      <c r="R49" s="5">
        <v>15.666666666666666</v>
      </c>
      <c r="S49" s="5">
        <v>891.14320645199609</v>
      </c>
      <c r="T49" s="5">
        <f t="shared" si="3"/>
        <v>0</v>
      </c>
      <c r="U49" s="5">
        <f t="shared" si="4"/>
        <v>0</v>
      </c>
      <c r="V49" s="5" t="str">
        <f>IF($E$4="Embrousaillement",Tableau182983[[#This Row],[SOL]],"")</f>
        <v/>
      </c>
      <c r="W49" s="5" t="str">
        <f>IF($E$4="Embrousaillement",Tableau182983[[#This Row],[L]],"")</f>
        <v/>
      </c>
      <c r="X49" s="5">
        <v>25.299999999999997</v>
      </c>
      <c r="Y49" s="5">
        <f t="shared" si="5"/>
        <v>0</v>
      </c>
      <c r="Z49" s="5">
        <f t="shared" si="6"/>
        <v>0</v>
      </c>
      <c r="AA49" s="5">
        <f t="shared" si="7"/>
        <v>0</v>
      </c>
      <c r="AB49" s="5" t="s">
        <v>166</v>
      </c>
      <c r="AC49" s="5" t="s">
        <v>166</v>
      </c>
      <c r="AD49" s="5" t="str">
        <f t="shared" si="8"/>
        <v/>
      </c>
      <c r="AE49" s="5" t="s">
        <v>166</v>
      </c>
      <c r="AF49" s="5" t="s">
        <v>166</v>
      </c>
      <c r="AG49" s="5" t="str">
        <f t="shared" si="9"/>
        <v/>
      </c>
      <c r="AH49" s="5" t="s">
        <v>166</v>
      </c>
      <c r="AI49" s="5" t="s">
        <v>166</v>
      </c>
      <c r="AJ49" s="5" t="str">
        <f t="shared" si="10"/>
        <v/>
      </c>
      <c r="AK49" s="5" t="str">
        <f t="shared" si="11"/>
        <v/>
      </c>
      <c r="AL49" s="7">
        <f>IF(Tableau182983[[#This Row],[Age]]&lt;&gt;"",IF(Tableau182983[[#This Row],[Age]]=0,$AT$10*$B$10+SUMIF($AS$21:$AS$29,Tableau182983[[#This Row],[Age]],$AU$21:$AU$29)*$B$10+$AT$11*$B$10,SUMIF($AS$21:$AS$29,Tableau182983[[#This Row],[Age]],$AU$21:$AU$29)*$B$10+$AT$11*$B$10),"")</f>
        <v>24.839999999999996</v>
      </c>
      <c r="AM49" s="7">
        <f>IF(Tableau182983[[#This Row],[Age]]&lt;&gt;"",IF(Tableau182983[[#This Row],[Age]]=$B$11,$AT$10*$B$10,0)+Tableau182983[[#This Row],[VBO]]*$AX$21*$B$10+Tableau182983[[#This Row],[VBI]]*$AX$22*$B$10+Tableau182983[[#This Row],[VBE]]*$AX$23*$B$10,"")</f>
        <v>0</v>
      </c>
      <c r="AN49" s="7">
        <v>3.138238459925013</v>
      </c>
      <c r="AO49" s="7">
        <v>0</v>
      </c>
      <c r="AP49" s="7">
        <f>IF(Tableau182983[[#This Row],[Age]]&lt;&gt;"",Tableau182983[[#This Row],[RA]]-Tableau182983[[#This Row],[DA]],"")</f>
        <v>-3.138238459925013</v>
      </c>
    </row>
    <row r="50" spans="11:42" ht="15" customHeight="1" x14ac:dyDescent="0.2">
      <c r="K50" s="3">
        <v>48</v>
      </c>
      <c r="L50" s="4">
        <v>205.29275066283546</v>
      </c>
      <c r="M50" s="4">
        <v>0</v>
      </c>
      <c r="N50" s="4">
        <v>205.29275066283546</v>
      </c>
      <c r="O50" s="5">
        <f t="shared" si="0"/>
        <v>179.34374697905309</v>
      </c>
      <c r="P50" s="5">
        <f t="shared" si="1"/>
        <v>45.17615093762398</v>
      </c>
      <c r="Q50" s="5">
        <f t="shared" si="2"/>
        <v>59.207236914273011</v>
      </c>
      <c r="R50" s="5">
        <v>16</v>
      </c>
      <c r="S50" s="5">
        <v>920.18219342895452</v>
      </c>
      <c r="T50" s="5">
        <f t="shared" si="3"/>
        <v>0</v>
      </c>
      <c r="U50" s="5">
        <f t="shared" si="4"/>
        <v>0</v>
      </c>
      <c r="V50" s="5" t="str">
        <f>IF($E$4="Embrousaillement",Tableau182983[[#This Row],[SOL]],"")</f>
        <v/>
      </c>
      <c r="W50" s="5" t="str">
        <f>IF($E$4="Embrousaillement",Tableau182983[[#This Row],[L]],"")</f>
        <v/>
      </c>
      <c r="X50" s="5">
        <v>25.299999999999997</v>
      </c>
      <c r="Y50" s="5">
        <f t="shared" si="5"/>
        <v>0</v>
      </c>
      <c r="Z50" s="5">
        <f t="shared" si="6"/>
        <v>0</v>
      </c>
      <c r="AA50" s="5">
        <f t="shared" si="7"/>
        <v>0</v>
      </c>
      <c r="AB50" s="5" t="s">
        <v>166</v>
      </c>
      <c r="AC50" s="5" t="s">
        <v>166</v>
      </c>
      <c r="AD50" s="5" t="str">
        <f t="shared" si="8"/>
        <v/>
      </c>
      <c r="AE50" s="5" t="s">
        <v>166</v>
      </c>
      <c r="AF50" s="5" t="s">
        <v>166</v>
      </c>
      <c r="AG50" s="5" t="str">
        <f t="shared" si="9"/>
        <v/>
      </c>
      <c r="AH50" s="5" t="s">
        <v>166</v>
      </c>
      <c r="AI50" s="5" t="s">
        <v>166</v>
      </c>
      <c r="AJ50" s="5" t="str">
        <f t="shared" si="10"/>
        <v/>
      </c>
      <c r="AK50" s="5" t="str">
        <f t="shared" si="11"/>
        <v/>
      </c>
      <c r="AL50" s="7">
        <f>IF(Tableau182983[[#This Row],[Age]]&lt;&gt;"",IF(Tableau182983[[#This Row],[Age]]=0,$AT$10*$B$10+SUMIF($AS$21:$AS$29,Tableau182983[[#This Row],[Age]],$AU$21:$AU$29)*$B$10+$AT$11*$B$10,SUMIF($AS$21:$AS$29,Tableau182983[[#This Row],[Age]],$AU$21:$AU$29)*$B$10+$AT$11*$B$10),"")</f>
        <v>24.839999999999996</v>
      </c>
      <c r="AM50" s="7">
        <f>IF(Tableau182983[[#This Row],[Age]]&lt;&gt;"",IF(Tableau182983[[#This Row],[Age]]=$B$11,$AT$10*$B$10,0)+Tableau182983[[#This Row],[VBO]]*$AX$21*$B$10+Tableau182983[[#This Row],[VBI]]*$AX$22*$B$10+Tableau182983[[#This Row],[VBE]]*$AX$23*$B$10,"")</f>
        <v>0</v>
      </c>
      <c r="AN50" s="7">
        <v>3.0030990047129325</v>
      </c>
      <c r="AO50" s="7">
        <v>0</v>
      </c>
      <c r="AP50" s="7">
        <f>IF(Tableau182983[[#This Row],[Age]]&lt;&gt;"",Tableau182983[[#This Row],[RA]]-Tableau182983[[#This Row],[DA]],"")</f>
        <v>-3.0030990047129325</v>
      </c>
    </row>
    <row r="51" spans="11:42" ht="15" customHeight="1" x14ac:dyDescent="0.2">
      <c r="K51" s="3">
        <v>49</v>
      </c>
      <c r="L51" s="4">
        <v>215.8436696386261</v>
      </c>
      <c r="M51" s="4">
        <v>0</v>
      </c>
      <c r="N51" s="4">
        <v>215.8436696386261</v>
      </c>
      <c r="O51" s="5">
        <f t="shared" si="0"/>
        <v>188.56102979630379</v>
      </c>
      <c r="P51" s="5">
        <f t="shared" si="1"/>
        <v>47.221676345484909</v>
      </c>
      <c r="Q51" s="5">
        <f t="shared" si="2"/>
        <v>59.394467224806895</v>
      </c>
      <c r="R51" s="5">
        <v>16.333333333333332</v>
      </c>
      <c r="S51" s="5">
        <v>949.88640503597856</v>
      </c>
      <c r="T51" s="5">
        <f t="shared" si="3"/>
        <v>0</v>
      </c>
      <c r="U51" s="5">
        <f t="shared" si="4"/>
        <v>0</v>
      </c>
      <c r="V51" s="5" t="str">
        <f>IF($E$4="Embrousaillement",Tableau182983[[#This Row],[SOL]],"")</f>
        <v/>
      </c>
      <c r="W51" s="5" t="str">
        <f>IF($E$4="Embrousaillement",Tableau182983[[#This Row],[L]],"")</f>
        <v/>
      </c>
      <c r="X51" s="5">
        <v>25.299999999999997</v>
      </c>
      <c r="Y51" s="5">
        <f t="shared" si="5"/>
        <v>0</v>
      </c>
      <c r="Z51" s="5">
        <f t="shared" si="6"/>
        <v>0</v>
      </c>
      <c r="AA51" s="5">
        <f t="shared" si="7"/>
        <v>0</v>
      </c>
      <c r="AB51" s="5" t="s">
        <v>166</v>
      </c>
      <c r="AC51" s="5" t="s">
        <v>166</v>
      </c>
      <c r="AD51" s="5" t="str">
        <f t="shared" si="8"/>
        <v/>
      </c>
      <c r="AE51" s="5" t="s">
        <v>166</v>
      </c>
      <c r="AF51" s="5" t="s">
        <v>166</v>
      </c>
      <c r="AG51" s="5" t="str">
        <f t="shared" si="9"/>
        <v/>
      </c>
      <c r="AH51" s="5" t="s">
        <v>166</v>
      </c>
      <c r="AI51" s="5" t="s">
        <v>166</v>
      </c>
      <c r="AJ51" s="5" t="str">
        <f t="shared" si="10"/>
        <v/>
      </c>
      <c r="AK51" s="5" t="str">
        <f t="shared" si="11"/>
        <v/>
      </c>
      <c r="AL51" s="7">
        <f>IF(Tableau182983[[#This Row],[Age]]&lt;&gt;"",IF(Tableau182983[[#This Row],[Age]]=0,$AT$10*$B$10+SUMIF($AS$21:$AS$29,Tableau182983[[#This Row],[Age]],$AU$21:$AU$29)*$B$10+$AT$11*$B$10,SUMIF($AS$21:$AS$29,Tableau182983[[#This Row],[Age]],$AU$21:$AU$29)*$B$10+$AT$11*$B$10),"")</f>
        <v>24.839999999999996</v>
      </c>
      <c r="AM51" s="7">
        <f>IF(Tableau182983[[#This Row],[Age]]&lt;&gt;"",IF(Tableau182983[[#This Row],[Age]]=$B$11,$AT$10*$B$10,0)+Tableau182983[[#This Row],[VBO]]*$AX$21*$B$10+Tableau182983[[#This Row],[VBI]]*$AX$22*$B$10+Tableau182983[[#This Row],[VBE]]*$AX$23*$B$10,"")</f>
        <v>0</v>
      </c>
      <c r="AN51" s="7">
        <v>2.8737789518784043</v>
      </c>
      <c r="AO51" s="7">
        <v>0</v>
      </c>
      <c r="AP51" s="7">
        <f>IF(Tableau182983[[#This Row],[Age]]&lt;&gt;"",Tableau182983[[#This Row],[RA]]-Tableau182983[[#This Row],[DA]],"")</f>
        <v>-2.8737789518784043</v>
      </c>
    </row>
    <row r="52" spans="11:42" ht="15" customHeight="1" x14ac:dyDescent="0.2">
      <c r="K52" s="3">
        <v>50</v>
      </c>
      <c r="L52" s="4">
        <v>226.67093743973973</v>
      </c>
      <c r="M52" s="4">
        <v>0</v>
      </c>
      <c r="N52" s="4">
        <v>226.67093743973973</v>
      </c>
      <c r="O52" s="5">
        <f t="shared" si="0"/>
        <v>198.01973094735663</v>
      </c>
      <c r="P52" s="5">
        <f t="shared" si="1"/>
        <v>49.308712806004969</v>
      </c>
      <c r="Q52" s="5">
        <f t="shared" si="2"/>
        <v>59.578449508037295</v>
      </c>
      <c r="R52" s="5">
        <v>16.666666666666664</v>
      </c>
      <c r="S52" s="5">
        <v>980.25420240520646</v>
      </c>
      <c r="T52" s="5">
        <f t="shared" si="3"/>
        <v>0</v>
      </c>
      <c r="U52" s="5">
        <f t="shared" si="4"/>
        <v>0</v>
      </c>
      <c r="V52" s="5" t="str">
        <f>IF($E$4="Embrousaillement",Tableau182983[[#This Row],[SOL]],"")</f>
        <v/>
      </c>
      <c r="W52" s="5" t="str">
        <f>IF($E$4="Embrousaillement",Tableau182983[[#This Row],[L]],"")</f>
        <v/>
      </c>
      <c r="X52" s="5">
        <v>25.299999999999997</v>
      </c>
      <c r="Y52" s="5">
        <f t="shared" si="5"/>
        <v>0</v>
      </c>
      <c r="Z52" s="5">
        <f t="shared" si="6"/>
        <v>0</v>
      </c>
      <c r="AA52" s="5">
        <f t="shared" si="7"/>
        <v>0</v>
      </c>
      <c r="AB52" s="5" t="s">
        <v>166</v>
      </c>
      <c r="AC52" s="5" t="s">
        <v>166</v>
      </c>
      <c r="AD52" s="5" t="str">
        <f t="shared" si="8"/>
        <v/>
      </c>
      <c r="AE52" s="5" t="s">
        <v>166</v>
      </c>
      <c r="AF52" s="5" t="s">
        <v>166</v>
      </c>
      <c r="AG52" s="5" t="str">
        <f t="shared" si="9"/>
        <v/>
      </c>
      <c r="AH52" s="5" t="s">
        <v>166</v>
      </c>
      <c r="AI52" s="5" t="s">
        <v>166</v>
      </c>
      <c r="AJ52" s="5" t="str">
        <f t="shared" si="10"/>
        <v/>
      </c>
      <c r="AK52" s="5" t="str">
        <f t="shared" si="11"/>
        <v/>
      </c>
      <c r="AL52" s="7">
        <f>IF(Tableau182983[[#This Row],[Age]]&lt;&gt;"",IF(Tableau182983[[#This Row],[Age]]=0,$AT$10*$B$10+SUMIF($AS$21:$AS$29,Tableau182983[[#This Row],[Age]],$AU$21:$AU$29)*$B$10+$AT$11*$B$10,SUMIF($AS$21:$AS$29,Tableau182983[[#This Row],[Age]],$AU$21:$AU$29)*$B$10+$AT$11*$B$10),"")</f>
        <v>24.839999999999996</v>
      </c>
      <c r="AM52" s="7">
        <f>IF(Tableau182983[[#This Row],[Age]]&lt;&gt;"",IF(Tableau182983[[#This Row],[Age]]=$B$11,$AT$10*$B$10,0)+Tableau182983[[#This Row],[VBO]]*$AX$21*$B$10+Tableau182983[[#This Row],[VBI]]*$AX$22*$B$10+Tableau182983[[#This Row],[VBE]]*$AX$23*$B$10,"")</f>
        <v>0</v>
      </c>
      <c r="AN52" s="7">
        <v>2.750027705146799</v>
      </c>
      <c r="AO52" s="7">
        <v>0</v>
      </c>
      <c r="AP52" s="7">
        <f>IF(Tableau182983[[#This Row],[Age]]&lt;&gt;"",Tableau182983[[#This Row],[RA]]-Tableau182983[[#This Row],[DA]],"")</f>
        <v>-2.750027705146799</v>
      </c>
    </row>
    <row r="53" spans="11:42" ht="15" customHeight="1" x14ac:dyDescent="0.2">
      <c r="K53" s="3">
        <v>51</v>
      </c>
      <c r="L53" s="4">
        <v>237.7740010487868</v>
      </c>
      <c r="M53" s="4">
        <v>0</v>
      </c>
      <c r="N53" s="4">
        <v>237.7740010487868</v>
      </c>
      <c r="O53" s="5">
        <f t="shared" si="0"/>
        <v>207.7193673162202</v>
      </c>
      <c r="P53" s="5">
        <f t="shared" si="1"/>
        <v>51.436893792760593</v>
      </c>
      <c r="Q53" s="5">
        <f t="shared" si="2"/>
        <v>59.759240109976403</v>
      </c>
      <c r="R53" s="5">
        <v>17</v>
      </c>
      <c r="S53" s="5">
        <v>1011.2838285319159</v>
      </c>
      <c r="T53" s="5">
        <f t="shared" si="3"/>
        <v>0</v>
      </c>
      <c r="U53" s="5">
        <f t="shared" si="4"/>
        <v>0</v>
      </c>
      <c r="V53" s="5" t="str">
        <f>IF($E$4="Embrousaillement",Tableau182983[[#This Row],[SOL]],"")</f>
        <v/>
      </c>
      <c r="W53" s="5" t="str">
        <f>IF($E$4="Embrousaillement",Tableau182983[[#This Row],[L]],"")</f>
        <v/>
      </c>
      <c r="X53" s="5">
        <v>25.299999999999997</v>
      </c>
      <c r="Y53" s="5">
        <f t="shared" si="5"/>
        <v>0</v>
      </c>
      <c r="Z53" s="5">
        <f t="shared" si="6"/>
        <v>0</v>
      </c>
      <c r="AA53" s="5">
        <f t="shared" si="7"/>
        <v>0</v>
      </c>
      <c r="AB53" s="5" t="s">
        <v>166</v>
      </c>
      <c r="AC53" s="5" t="s">
        <v>166</v>
      </c>
      <c r="AD53" s="5" t="str">
        <f t="shared" si="8"/>
        <v/>
      </c>
      <c r="AE53" s="5" t="s">
        <v>166</v>
      </c>
      <c r="AF53" s="5" t="s">
        <v>166</v>
      </c>
      <c r="AG53" s="5" t="str">
        <f t="shared" si="9"/>
        <v/>
      </c>
      <c r="AH53" s="5" t="s">
        <v>166</v>
      </c>
      <c r="AI53" s="5" t="s">
        <v>166</v>
      </c>
      <c r="AJ53" s="5" t="str">
        <f t="shared" si="10"/>
        <v/>
      </c>
      <c r="AK53" s="5" t="str">
        <f t="shared" si="11"/>
        <v/>
      </c>
      <c r="AL53" s="7">
        <f>IF(Tableau182983[[#This Row],[Age]]&lt;&gt;"",IF(Tableau182983[[#This Row],[Age]]=0,$AT$10*$B$10+SUMIF($AS$21:$AS$29,Tableau182983[[#This Row],[Age]],$AU$21:$AU$29)*$B$10+$AT$11*$B$10,SUMIF($AS$21:$AS$29,Tableau182983[[#This Row],[Age]],$AU$21:$AU$29)*$B$10+$AT$11*$B$10),"")</f>
        <v>24.839999999999996</v>
      </c>
      <c r="AM53" s="7">
        <f>IF(Tableau182983[[#This Row],[Age]]&lt;&gt;"",IF(Tableau182983[[#This Row],[Age]]=$B$11,$AT$10*$B$10,0)+Tableau182983[[#This Row],[VBO]]*$AX$21*$B$10+Tableau182983[[#This Row],[VBI]]*$AX$22*$B$10+Tableau182983[[#This Row],[VBE]]*$AX$23*$B$10,"")</f>
        <v>0</v>
      </c>
      <c r="AN53" s="7">
        <v>2.6316054594706211</v>
      </c>
      <c r="AO53" s="7">
        <v>0</v>
      </c>
      <c r="AP53" s="7">
        <f>IF(Tableau182983[[#This Row],[Age]]&lt;&gt;"",Tableau182983[[#This Row],[RA]]-Tableau182983[[#This Row],[DA]],"")</f>
        <v>-2.6316054594706211</v>
      </c>
    </row>
    <row r="54" spans="11:42" ht="15" customHeight="1" x14ac:dyDescent="0.2">
      <c r="K54" s="3">
        <v>52</v>
      </c>
      <c r="L54" s="4">
        <v>249.15225750185573</v>
      </c>
      <c r="M54" s="4">
        <v>0</v>
      </c>
      <c r="N54" s="4">
        <v>249.15225750185573</v>
      </c>
      <c r="O54" s="5">
        <f t="shared" si="0"/>
        <v>217.65941215362119</v>
      </c>
      <c r="P54" s="5">
        <f t="shared" si="1"/>
        <v>53.605854270088635</v>
      </c>
      <c r="Q54" s="5">
        <f t="shared" si="2"/>
        <v>59.936894399159101</v>
      </c>
      <c r="R54" s="5">
        <v>17.333333333333332</v>
      </c>
      <c r="S54" s="5">
        <v>1042.9734201757983</v>
      </c>
      <c r="T54" s="5">
        <f t="shared" si="3"/>
        <v>0</v>
      </c>
      <c r="U54" s="5">
        <f t="shared" si="4"/>
        <v>0</v>
      </c>
      <c r="V54" s="5" t="str">
        <f>IF($E$4="Embrousaillement",Tableau182983[[#This Row],[SOL]],"")</f>
        <v/>
      </c>
      <c r="W54" s="5" t="str">
        <f>IF($E$4="Embrousaillement",Tableau182983[[#This Row],[L]],"")</f>
        <v/>
      </c>
      <c r="X54" s="5">
        <v>25.299999999999997</v>
      </c>
      <c r="Y54" s="5">
        <f t="shared" si="5"/>
        <v>0</v>
      </c>
      <c r="Z54" s="5">
        <f t="shared" si="6"/>
        <v>0</v>
      </c>
      <c r="AA54" s="5">
        <f t="shared" si="7"/>
        <v>0</v>
      </c>
      <c r="AB54" s="5" t="s">
        <v>166</v>
      </c>
      <c r="AC54" s="5" t="s">
        <v>166</v>
      </c>
      <c r="AD54" s="5" t="str">
        <f t="shared" si="8"/>
        <v/>
      </c>
      <c r="AE54" s="5" t="s">
        <v>166</v>
      </c>
      <c r="AF54" s="5" t="s">
        <v>166</v>
      </c>
      <c r="AG54" s="5" t="str">
        <f t="shared" si="9"/>
        <v/>
      </c>
      <c r="AH54" s="5" t="s">
        <v>166</v>
      </c>
      <c r="AI54" s="5" t="s">
        <v>166</v>
      </c>
      <c r="AJ54" s="5" t="str">
        <f t="shared" si="10"/>
        <v/>
      </c>
      <c r="AK54" s="5" t="str">
        <f t="shared" si="11"/>
        <v/>
      </c>
      <c r="AL54" s="7">
        <f>IF(Tableau182983[[#This Row],[Age]]&lt;&gt;"",IF(Tableau182983[[#This Row],[Age]]=0,$AT$10*$B$10+SUMIF($AS$21:$AS$29,Tableau182983[[#This Row],[Age]],$AU$21:$AU$29)*$B$10+$AT$11*$B$10,SUMIF($AS$21:$AS$29,Tableau182983[[#This Row],[Age]],$AU$21:$AU$29)*$B$10+$AT$11*$B$10),"")</f>
        <v>24.839999999999996</v>
      </c>
      <c r="AM54" s="7">
        <f>IF(Tableau182983[[#This Row],[Age]]&lt;&gt;"",IF(Tableau182983[[#This Row],[Age]]=$B$11,$AT$10*$B$10,0)+Tableau182983[[#This Row],[VBO]]*$AX$21*$B$10+Tableau182983[[#This Row],[VBI]]*$AX$22*$B$10+Tableau182983[[#This Row],[VBE]]*$AX$23*$B$10,"")</f>
        <v>0</v>
      </c>
      <c r="AN54" s="7">
        <v>2.5182827363355229</v>
      </c>
      <c r="AO54" s="7">
        <v>0</v>
      </c>
      <c r="AP54" s="7">
        <f>IF(Tableau182983[[#This Row],[Age]]&lt;&gt;"",Tableau182983[[#This Row],[RA]]-Tableau182983[[#This Row],[DA]],"")</f>
        <v>-2.5182827363355229</v>
      </c>
    </row>
    <row r="55" spans="11:42" ht="15" customHeight="1" x14ac:dyDescent="0.2">
      <c r="K55" s="3">
        <v>53</v>
      </c>
      <c r="L55" s="4">
        <v>260.80505862755336</v>
      </c>
      <c r="M55" s="4">
        <v>0</v>
      </c>
      <c r="N55" s="4">
        <v>260.80505862755336</v>
      </c>
      <c r="O55" s="5">
        <f t="shared" si="0"/>
        <v>227.83929921703063</v>
      </c>
      <c r="P55" s="5">
        <f t="shared" si="1"/>
        <v>55.815231168289259</v>
      </c>
      <c r="Q55" s="5">
        <f t="shared" si="2"/>
        <v>60.111466783599973</v>
      </c>
      <c r="R55" s="5">
        <v>17.666666666666664</v>
      </c>
      <c r="S55" s="5">
        <v>1075.3210190394655</v>
      </c>
      <c r="T55" s="5">
        <f t="shared" si="3"/>
        <v>0</v>
      </c>
      <c r="U55" s="5">
        <f t="shared" si="4"/>
        <v>0</v>
      </c>
      <c r="V55" s="5" t="str">
        <f>IF($E$4="Embrousaillement",Tableau182983[[#This Row],[SOL]],"")</f>
        <v/>
      </c>
      <c r="W55" s="5" t="str">
        <f>IF($E$4="Embrousaillement",Tableau182983[[#This Row],[L]],"")</f>
        <v/>
      </c>
      <c r="X55" s="5">
        <v>25.299999999999997</v>
      </c>
      <c r="Y55" s="5">
        <f t="shared" si="5"/>
        <v>0</v>
      </c>
      <c r="Z55" s="5">
        <f t="shared" si="6"/>
        <v>0</v>
      </c>
      <c r="AA55" s="5">
        <f t="shared" si="7"/>
        <v>0</v>
      </c>
      <c r="AB55" s="5" t="s">
        <v>166</v>
      </c>
      <c r="AC55" s="5" t="s">
        <v>166</v>
      </c>
      <c r="AD55" s="5" t="str">
        <f t="shared" si="8"/>
        <v/>
      </c>
      <c r="AE55" s="5" t="s">
        <v>166</v>
      </c>
      <c r="AF55" s="5" t="s">
        <v>166</v>
      </c>
      <c r="AG55" s="5" t="str">
        <f t="shared" si="9"/>
        <v/>
      </c>
      <c r="AH55" s="5" t="s">
        <v>166</v>
      </c>
      <c r="AI55" s="5" t="s">
        <v>166</v>
      </c>
      <c r="AJ55" s="5" t="str">
        <f t="shared" si="10"/>
        <v/>
      </c>
      <c r="AK55" s="5" t="str">
        <f t="shared" si="11"/>
        <v/>
      </c>
      <c r="AL55" s="7">
        <f>IF(Tableau182983[[#This Row],[Age]]&lt;&gt;"",IF(Tableau182983[[#This Row],[Age]]=0,$AT$10*$B$10+SUMIF($AS$21:$AS$29,Tableau182983[[#This Row],[Age]],$AU$21:$AU$29)*$B$10+$AT$11*$B$10,SUMIF($AS$21:$AS$29,Tableau182983[[#This Row],[Age]],$AU$21:$AU$29)*$B$10+$AT$11*$B$10),"")</f>
        <v>24.839999999999996</v>
      </c>
      <c r="AM55" s="7">
        <f>IF(Tableau182983[[#This Row],[Age]]&lt;&gt;"",IF(Tableau182983[[#This Row],[Age]]=$B$11,$AT$10*$B$10,0)+Tableau182983[[#This Row],[VBO]]*$AX$21*$B$10+Tableau182983[[#This Row],[VBI]]*$AX$22*$B$10+Tableau182983[[#This Row],[VBE]]*$AX$23*$B$10,"")</f>
        <v>0</v>
      </c>
      <c r="AN55" s="7">
        <v>2.4098399390770555</v>
      </c>
      <c r="AO55" s="7">
        <v>0</v>
      </c>
      <c r="AP55" s="7">
        <f>IF(Tableau182983[[#This Row],[Age]]&lt;&gt;"",Tableau182983[[#This Row],[RA]]-Tableau182983[[#This Row],[DA]],"")</f>
        <v>-2.4098399390770555</v>
      </c>
    </row>
    <row r="56" spans="11:42" ht="15" customHeight="1" x14ac:dyDescent="0.2">
      <c r="K56" s="3">
        <v>54</v>
      </c>
      <c r="L56" s="4">
        <v>272.73171550929288</v>
      </c>
      <c r="M56" s="4">
        <v>0</v>
      </c>
      <c r="N56" s="4">
        <v>272.73171550929288</v>
      </c>
      <c r="O56" s="5">
        <f t="shared" si="0"/>
        <v>238.2584266689183</v>
      </c>
      <c r="P56" s="5">
        <f t="shared" si="1"/>
        <v>58.064663816157562</v>
      </c>
      <c r="Q56" s="5">
        <f t="shared" si="2"/>
        <v>60.283010727456173</v>
      </c>
      <c r="R56" s="5">
        <v>18</v>
      </c>
      <c r="S56" s="5">
        <v>1108.3245822618078</v>
      </c>
      <c r="T56" s="5">
        <f t="shared" si="3"/>
        <v>0</v>
      </c>
      <c r="U56" s="5">
        <f t="shared" si="4"/>
        <v>0</v>
      </c>
      <c r="V56" s="5" t="str">
        <f>IF($E$4="Embrousaillement",Tableau182983[[#This Row],[SOL]],"")</f>
        <v/>
      </c>
      <c r="W56" s="5" t="str">
        <f>IF($E$4="Embrousaillement",Tableau182983[[#This Row],[L]],"")</f>
        <v/>
      </c>
      <c r="X56" s="5">
        <v>25.299999999999997</v>
      </c>
      <c r="Y56" s="5">
        <f t="shared" si="5"/>
        <v>0</v>
      </c>
      <c r="Z56" s="5">
        <f t="shared" si="6"/>
        <v>0</v>
      </c>
      <c r="AA56" s="5">
        <f t="shared" si="7"/>
        <v>0</v>
      </c>
      <c r="AB56" s="5" t="s">
        <v>166</v>
      </c>
      <c r="AC56" s="5" t="s">
        <v>166</v>
      </c>
      <c r="AD56" s="5" t="str">
        <f t="shared" si="8"/>
        <v/>
      </c>
      <c r="AE56" s="5" t="s">
        <v>166</v>
      </c>
      <c r="AF56" s="5" t="s">
        <v>166</v>
      </c>
      <c r="AG56" s="5" t="str">
        <f t="shared" si="9"/>
        <v/>
      </c>
      <c r="AH56" s="5" t="s">
        <v>166</v>
      </c>
      <c r="AI56" s="5" t="s">
        <v>166</v>
      </c>
      <c r="AJ56" s="5" t="str">
        <f t="shared" si="10"/>
        <v/>
      </c>
      <c r="AK56" s="5" t="str">
        <f t="shared" si="11"/>
        <v/>
      </c>
      <c r="AL56" s="7">
        <f>IF(Tableau182983[[#This Row],[Age]]&lt;&gt;"",IF(Tableau182983[[#This Row],[Age]]=0,$AT$10*$B$10+SUMIF($AS$21:$AS$29,Tableau182983[[#This Row],[Age]],$AU$21:$AU$29)*$B$10+$AT$11*$B$10,SUMIF($AS$21:$AS$29,Tableau182983[[#This Row],[Age]],$AU$21:$AU$29)*$B$10+$AT$11*$B$10),"")</f>
        <v>24.839999999999996</v>
      </c>
      <c r="AM56" s="7">
        <f>IF(Tableau182983[[#This Row],[Age]]&lt;&gt;"",IF(Tableau182983[[#This Row],[Age]]=$B$11,$AT$10*$B$10,0)+Tableau182983[[#This Row],[VBO]]*$AX$21*$B$10+Tableau182983[[#This Row],[VBI]]*$AX$22*$B$10+Tableau182983[[#This Row],[VBE]]*$AX$23*$B$10,"")</f>
        <v>0</v>
      </c>
      <c r="AN56" s="7">
        <v>2.3060669273464653</v>
      </c>
      <c r="AO56" s="7">
        <v>0</v>
      </c>
      <c r="AP56" s="7">
        <f>IF(Tableau182983[[#This Row],[Age]]&lt;&gt;"",Tableau182983[[#This Row],[RA]]-Tableau182983[[#This Row],[DA]],"")</f>
        <v>-2.3060669273464653</v>
      </c>
    </row>
    <row r="57" spans="11:42" ht="15" customHeight="1" x14ac:dyDescent="0.2">
      <c r="K57" s="3">
        <v>55</v>
      </c>
      <c r="L57" s="4">
        <v>284.93150268442804</v>
      </c>
      <c r="M57" s="4">
        <v>0</v>
      </c>
      <c r="N57" s="4">
        <v>284.93150268442804</v>
      </c>
      <c r="O57" s="5">
        <f t="shared" si="0"/>
        <v>248.9161607451164</v>
      </c>
      <c r="P57" s="5">
        <f t="shared" si="1"/>
        <v>60.353794333810228</v>
      </c>
      <c r="Q57" s="5">
        <f t="shared" si="2"/>
        <v>60.45157876740128</v>
      </c>
      <c r="R57" s="5">
        <v>18.333333333333332</v>
      </c>
      <c r="S57" s="5">
        <v>1141.9819922619172</v>
      </c>
      <c r="T57" s="5">
        <f t="shared" si="3"/>
        <v>0</v>
      </c>
      <c r="U57" s="5">
        <f t="shared" si="4"/>
        <v>0</v>
      </c>
      <c r="V57" s="5" t="str">
        <f>IF($E$4="Embrousaillement",Tableau182983[[#This Row],[SOL]],"")</f>
        <v/>
      </c>
      <c r="W57" s="5" t="str">
        <f>IF($E$4="Embrousaillement",Tableau182983[[#This Row],[L]],"")</f>
        <v/>
      </c>
      <c r="X57" s="5">
        <v>25.299999999999997</v>
      </c>
      <c r="Y57" s="5">
        <f t="shared" si="5"/>
        <v>0</v>
      </c>
      <c r="Z57" s="5">
        <f t="shared" si="6"/>
        <v>0</v>
      </c>
      <c r="AA57" s="5">
        <f t="shared" si="7"/>
        <v>0</v>
      </c>
      <c r="AB57" s="5" t="s">
        <v>166</v>
      </c>
      <c r="AC57" s="5" t="s">
        <v>166</v>
      </c>
      <c r="AD57" s="5" t="str">
        <f t="shared" si="8"/>
        <v/>
      </c>
      <c r="AE57" s="5" t="s">
        <v>166</v>
      </c>
      <c r="AF57" s="5" t="s">
        <v>166</v>
      </c>
      <c r="AG57" s="5" t="str">
        <f t="shared" si="9"/>
        <v/>
      </c>
      <c r="AH57" s="5" t="s">
        <v>166</v>
      </c>
      <c r="AI57" s="5" t="s">
        <v>166</v>
      </c>
      <c r="AJ57" s="5" t="str">
        <f t="shared" si="10"/>
        <v/>
      </c>
      <c r="AK57" s="5" t="str">
        <f t="shared" si="11"/>
        <v/>
      </c>
      <c r="AL57" s="7">
        <f>IF(Tableau182983[[#This Row],[Age]]&lt;&gt;"",IF(Tableau182983[[#This Row],[Age]]=0,$AT$10*$B$10+SUMIF($AS$21:$AS$29,Tableau182983[[#This Row],[Age]],$AU$21:$AU$29)*$B$10+$AT$11*$B$10,SUMIF($AS$21:$AS$29,Tableau182983[[#This Row],[Age]],$AU$21:$AU$29)*$B$10+$AT$11*$B$10),"")</f>
        <v>24.839999999999996</v>
      </c>
      <c r="AM57" s="7">
        <f>IF(Tableau182983[[#This Row],[Age]]&lt;&gt;"",IF(Tableau182983[[#This Row],[Age]]=$B$11,$AT$10*$B$10,0)+Tableau182983[[#This Row],[VBO]]*$AX$21*$B$10+Tableau182983[[#This Row],[VBI]]*$AX$22*$B$10+Tableau182983[[#This Row],[VBE]]*$AX$23*$B$10,"")</f>
        <v>0</v>
      </c>
      <c r="AN57" s="7">
        <v>2.2067626099009234</v>
      </c>
      <c r="AO57" s="7">
        <v>0</v>
      </c>
      <c r="AP57" s="7">
        <f>IF(Tableau182983[[#This Row],[Age]]&lt;&gt;"",Tableau182983[[#This Row],[RA]]-Tableau182983[[#This Row],[DA]],"")</f>
        <v>-2.2067626099009234</v>
      </c>
    </row>
    <row r="58" spans="11:42" ht="15" customHeight="1" x14ac:dyDescent="0.2">
      <c r="K58" s="3">
        <v>56</v>
      </c>
      <c r="L58" s="4">
        <v>297.40366209321161</v>
      </c>
      <c r="M58" s="4">
        <v>0</v>
      </c>
      <c r="N58" s="4">
        <v>297.40366209321161</v>
      </c>
      <c r="O58" s="5">
        <f t="shared" si="0"/>
        <v>259.81183920462973</v>
      </c>
      <c r="P58" s="5">
        <f t="shared" si="1"/>
        <v>62.682267988561172</v>
      </c>
      <c r="Q58" s="5">
        <f t="shared" si="2"/>
        <v>60.617222528715011</v>
      </c>
      <c r="R58" s="5">
        <v>18.666666666666664</v>
      </c>
      <c r="S58" s="5">
        <v>1176.2910659674656</v>
      </c>
      <c r="T58" s="5">
        <f t="shared" si="3"/>
        <v>0</v>
      </c>
      <c r="U58" s="5">
        <f t="shared" si="4"/>
        <v>0</v>
      </c>
      <c r="V58" s="5" t="str">
        <f>IF($E$4="Embrousaillement",Tableau182983[[#This Row],[SOL]],"")</f>
        <v/>
      </c>
      <c r="W58" s="5" t="str">
        <f>IF($E$4="Embrousaillement",Tableau182983[[#This Row],[L]],"")</f>
        <v/>
      </c>
      <c r="X58" s="5">
        <v>25.299999999999997</v>
      </c>
      <c r="Y58" s="5">
        <f t="shared" si="5"/>
        <v>0</v>
      </c>
      <c r="Z58" s="5">
        <f t="shared" si="6"/>
        <v>0</v>
      </c>
      <c r="AA58" s="5">
        <f t="shared" si="7"/>
        <v>0</v>
      </c>
      <c r="AB58" s="5" t="s">
        <v>166</v>
      </c>
      <c r="AC58" s="5" t="s">
        <v>166</v>
      </c>
      <c r="AD58" s="5" t="str">
        <f t="shared" si="8"/>
        <v/>
      </c>
      <c r="AE58" s="5" t="s">
        <v>166</v>
      </c>
      <c r="AF58" s="5" t="s">
        <v>166</v>
      </c>
      <c r="AG58" s="5" t="str">
        <f t="shared" si="9"/>
        <v/>
      </c>
      <c r="AH58" s="5" t="s">
        <v>166</v>
      </c>
      <c r="AI58" s="5" t="s">
        <v>166</v>
      </c>
      <c r="AJ58" s="5" t="str">
        <f t="shared" si="10"/>
        <v/>
      </c>
      <c r="AK58" s="5" t="str">
        <f t="shared" si="11"/>
        <v/>
      </c>
      <c r="AL58" s="7">
        <f>IF(Tableau182983[[#This Row],[Age]]&lt;&gt;"",IF(Tableau182983[[#This Row],[Age]]=0,$AT$10*$B$10+SUMIF($AS$21:$AS$29,Tableau182983[[#This Row],[Age]],$AU$21:$AU$29)*$B$10+$AT$11*$B$10,SUMIF($AS$21:$AS$29,Tableau182983[[#This Row],[Age]],$AU$21:$AU$29)*$B$10+$AT$11*$B$10),"")</f>
        <v>24.839999999999996</v>
      </c>
      <c r="AM58" s="7">
        <f>IF(Tableau182983[[#This Row],[Age]]&lt;&gt;"",IF(Tableau182983[[#This Row],[Age]]=$B$11,$AT$10*$B$10,0)+Tableau182983[[#This Row],[VBO]]*$AX$21*$B$10+Tableau182983[[#This Row],[VBI]]*$AX$22*$B$10+Tableau182983[[#This Row],[VBE]]*$AX$23*$B$10,"")</f>
        <v>0</v>
      </c>
      <c r="AN58" s="7">
        <v>2.111734554929114</v>
      </c>
      <c r="AO58" s="7">
        <v>0</v>
      </c>
      <c r="AP58" s="7">
        <f>IF(Tableau182983[[#This Row],[Age]]&lt;&gt;"",Tableau182983[[#This Row],[RA]]-Tableau182983[[#This Row],[DA]],"")</f>
        <v>-2.111734554929114</v>
      </c>
    </row>
    <row r="59" spans="11:42" ht="15" customHeight="1" x14ac:dyDescent="0.2">
      <c r="K59" s="3">
        <v>57</v>
      </c>
      <c r="L59" s="4">
        <v>310.14740678996162</v>
      </c>
      <c r="M59" s="4">
        <v>0</v>
      </c>
      <c r="N59" s="4">
        <v>310.14740678996162</v>
      </c>
      <c r="O59" s="5">
        <f t="shared" si="0"/>
        <v>270.94477457171052</v>
      </c>
      <c r="P59" s="5">
        <f t="shared" si="1"/>
        <v>65.04973351641145</v>
      </c>
      <c r="Q59" s="5">
        <f t="shared" si="2"/>
        <v>60.77999274109392</v>
      </c>
      <c r="R59" s="5">
        <v>19</v>
      </c>
      <c r="S59" s="5">
        <v>1211.2495634597362</v>
      </c>
      <c r="T59" s="5">
        <f t="shared" si="3"/>
        <v>0</v>
      </c>
      <c r="U59" s="5">
        <f t="shared" si="4"/>
        <v>0</v>
      </c>
      <c r="V59" s="5" t="str">
        <f>IF($E$4="Embrousaillement",Tableau182983[[#This Row],[SOL]],"")</f>
        <v/>
      </c>
      <c r="W59" s="5" t="str">
        <f>IF($E$4="Embrousaillement",Tableau182983[[#This Row],[L]],"")</f>
        <v/>
      </c>
      <c r="X59" s="5">
        <v>25.299999999999997</v>
      </c>
      <c r="Y59" s="5">
        <f t="shared" si="5"/>
        <v>0</v>
      </c>
      <c r="Z59" s="5">
        <f t="shared" si="6"/>
        <v>0</v>
      </c>
      <c r="AA59" s="5">
        <f t="shared" si="7"/>
        <v>0</v>
      </c>
      <c r="AB59" s="5" t="s">
        <v>166</v>
      </c>
      <c r="AC59" s="5" t="s">
        <v>166</v>
      </c>
      <c r="AD59" s="5" t="str">
        <f t="shared" si="8"/>
        <v/>
      </c>
      <c r="AE59" s="5" t="s">
        <v>166</v>
      </c>
      <c r="AF59" s="5" t="s">
        <v>166</v>
      </c>
      <c r="AG59" s="5" t="str">
        <f t="shared" si="9"/>
        <v/>
      </c>
      <c r="AH59" s="5" t="s">
        <v>166</v>
      </c>
      <c r="AI59" s="5" t="s">
        <v>166</v>
      </c>
      <c r="AJ59" s="5" t="str">
        <f t="shared" si="10"/>
        <v/>
      </c>
      <c r="AK59" s="5" t="str">
        <f t="shared" si="11"/>
        <v/>
      </c>
      <c r="AL59" s="7">
        <f>IF(Tableau182983[[#This Row],[Age]]&lt;&gt;"",IF(Tableau182983[[#This Row],[Age]]=0,$AT$10*$B$10+SUMIF($AS$21:$AS$29,Tableau182983[[#This Row],[Age]],$AU$21:$AU$29)*$B$10+$AT$11*$B$10,SUMIF($AS$21:$AS$29,Tableau182983[[#This Row],[Age]],$AU$21:$AU$29)*$B$10+$AT$11*$B$10),"")</f>
        <v>24.839999999999996</v>
      </c>
      <c r="AM59" s="7">
        <f>IF(Tableau182983[[#This Row],[Age]]&lt;&gt;"",IF(Tableau182983[[#This Row],[Age]]=$B$11,$AT$10*$B$10,0)+Tableau182983[[#This Row],[VBO]]*$AX$21*$B$10+Tableau182983[[#This Row],[VBI]]*$AX$22*$B$10+Tableau182983[[#This Row],[VBE]]*$AX$23*$B$10,"")</f>
        <v>0</v>
      </c>
      <c r="AN59" s="7">
        <v>2.0207986171570473</v>
      </c>
      <c r="AO59" s="7">
        <v>0</v>
      </c>
      <c r="AP59" s="7">
        <f>IF(Tableau182983[[#This Row],[Age]]&lt;&gt;"",Tableau182983[[#This Row],[RA]]-Tableau182983[[#This Row],[DA]],"")</f>
        <v>-2.0207986171570473</v>
      </c>
    </row>
    <row r="60" spans="11:42" ht="15" customHeight="1" x14ac:dyDescent="0.2">
      <c r="K60" s="3">
        <v>58</v>
      </c>
      <c r="L60" s="4">
        <v>323.16192442824945</v>
      </c>
      <c r="M60" s="4">
        <v>0</v>
      </c>
      <c r="N60" s="4">
        <v>323.16192442824945</v>
      </c>
      <c r="O60" s="5">
        <f t="shared" si="0"/>
        <v>282.31425718051878</v>
      </c>
      <c r="P60" s="5">
        <f t="shared" si="1"/>
        <v>67.455843411540457</v>
      </c>
      <c r="Q60" s="5">
        <f t="shared" si="2"/>
        <v>60.939939254187742</v>
      </c>
      <c r="R60" s="5">
        <v>19.333333333333332</v>
      </c>
      <c r="S60" s="5">
        <v>1246.8551960658708</v>
      </c>
      <c r="T60" s="5">
        <f t="shared" si="3"/>
        <v>0</v>
      </c>
      <c r="U60" s="5">
        <f t="shared" si="4"/>
        <v>0</v>
      </c>
      <c r="V60" s="5" t="str">
        <f>IF($E$4="Embrousaillement",Tableau182983[[#This Row],[SOL]],"")</f>
        <v/>
      </c>
      <c r="W60" s="5" t="str">
        <f>IF($E$4="Embrousaillement",Tableau182983[[#This Row],[L]],"")</f>
        <v/>
      </c>
      <c r="X60" s="5">
        <v>25.299999999999997</v>
      </c>
      <c r="Y60" s="5">
        <f t="shared" si="5"/>
        <v>0</v>
      </c>
      <c r="Z60" s="5">
        <f t="shared" si="6"/>
        <v>0</v>
      </c>
      <c r="AA60" s="5">
        <f t="shared" si="7"/>
        <v>0</v>
      </c>
      <c r="AB60" s="5" t="s">
        <v>166</v>
      </c>
      <c r="AC60" s="5" t="s">
        <v>166</v>
      </c>
      <c r="AD60" s="5" t="str">
        <f t="shared" si="8"/>
        <v/>
      </c>
      <c r="AE60" s="5" t="s">
        <v>166</v>
      </c>
      <c r="AF60" s="5" t="s">
        <v>166</v>
      </c>
      <c r="AG60" s="5" t="str">
        <f t="shared" si="9"/>
        <v/>
      </c>
      <c r="AH60" s="5" t="s">
        <v>166</v>
      </c>
      <c r="AI60" s="5" t="s">
        <v>166</v>
      </c>
      <c r="AJ60" s="5" t="str">
        <f t="shared" si="10"/>
        <v/>
      </c>
      <c r="AK60" s="5" t="str">
        <f t="shared" si="11"/>
        <v/>
      </c>
      <c r="AL60" s="7">
        <f>IF(Tableau182983[[#This Row],[Age]]&lt;&gt;"",IF(Tableau182983[[#This Row],[Age]]=0,$AT$10*$B$10+SUMIF($AS$21:$AS$29,Tableau182983[[#This Row],[Age]],$AU$21:$AU$29)*$B$10+$AT$11*$B$10,SUMIF($AS$21:$AS$29,Tableau182983[[#This Row],[Age]],$AU$21:$AU$29)*$B$10+$AT$11*$B$10),"")</f>
        <v>24.839999999999996</v>
      </c>
      <c r="AM60" s="7">
        <f>IF(Tableau182983[[#This Row],[Age]]&lt;&gt;"",IF(Tableau182983[[#This Row],[Age]]=$B$11,$AT$10*$B$10,0)+Tableau182983[[#This Row],[VBO]]*$AX$21*$B$10+Tableau182983[[#This Row],[VBI]]*$AX$22*$B$10+Tableau182983[[#This Row],[VBE]]*$AX$23*$B$10,"")</f>
        <v>0</v>
      </c>
      <c r="AN60" s="7">
        <v>1.9337785810115287</v>
      </c>
      <c r="AO60" s="7">
        <v>0</v>
      </c>
      <c r="AP60" s="7">
        <f>IF(Tableau182983[[#This Row],[Age]]&lt;&gt;"",Tableau182983[[#This Row],[RA]]-Tableau182983[[#This Row],[DA]],"")</f>
        <v>-1.9337785810115287</v>
      </c>
    </row>
    <row r="61" spans="11:42" ht="15" customHeight="1" x14ac:dyDescent="0.2">
      <c r="K61" s="3">
        <v>59</v>
      </c>
      <c r="L61" s="4">
        <v>336.44638053138709</v>
      </c>
      <c r="M61" s="4">
        <v>0</v>
      </c>
      <c r="N61" s="4">
        <v>336.44638053138709</v>
      </c>
      <c r="O61" s="5">
        <f t="shared" si="0"/>
        <v>293.91955803221981</v>
      </c>
      <c r="P61" s="5">
        <f t="shared" si="1"/>
        <v>69.900254186021954</v>
      </c>
      <c r="Q61" s="5">
        <f t="shared" si="2"/>
        <v>61.097111052866211</v>
      </c>
      <c r="R61" s="5">
        <v>19.666666666666664</v>
      </c>
      <c r="S61" s="5">
        <v>1283.1056339273803</v>
      </c>
      <c r="T61" s="5">
        <f t="shared" si="3"/>
        <v>0</v>
      </c>
      <c r="U61" s="5">
        <f t="shared" si="4"/>
        <v>0</v>
      </c>
      <c r="V61" s="5" t="str">
        <f>IF($E$4="Embrousaillement",Tableau182983[[#This Row],[SOL]],"")</f>
        <v/>
      </c>
      <c r="W61" s="5" t="str">
        <f>IF($E$4="Embrousaillement",Tableau182983[[#This Row],[L]],"")</f>
        <v/>
      </c>
      <c r="X61" s="5">
        <v>25.299999999999997</v>
      </c>
      <c r="Y61" s="5">
        <f t="shared" si="5"/>
        <v>0</v>
      </c>
      <c r="Z61" s="5">
        <f t="shared" si="6"/>
        <v>0</v>
      </c>
      <c r="AA61" s="5">
        <f t="shared" si="7"/>
        <v>0</v>
      </c>
      <c r="AB61" s="5" t="s">
        <v>166</v>
      </c>
      <c r="AC61" s="5" t="s">
        <v>166</v>
      </c>
      <c r="AD61" s="5" t="str">
        <f t="shared" si="8"/>
        <v/>
      </c>
      <c r="AE61" s="5" t="s">
        <v>166</v>
      </c>
      <c r="AF61" s="5" t="s">
        <v>166</v>
      </c>
      <c r="AG61" s="5" t="str">
        <f t="shared" si="9"/>
        <v/>
      </c>
      <c r="AH61" s="5" t="s">
        <v>166</v>
      </c>
      <c r="AI61" s="5" t="s">
        <v>166</v>
      </c>
      <c r="AJ61" s="5" t="str">
        <f t="shared" si="10"/>
        <v/>
      </c>
      <c r="AK61" s="5" t="str">
        <f t="shared" si="11"/>
        <v/>
      </c>
      <c r="AL61" s="7">
        <f>IF(Tableau182983[[#This Row],[Age]]&lt;&gt;"",IF(Tableau182983[[#This Row],[Age]]=0,$AT$10*$B$10+SUMIF($AS$21:$AS$29,Tableau182983[[#This Row],[Age]],$AU$21:$AU$29)*$B$10+$AT$11*$B$10,SUMIF($AS$21:$AS$29,Tableau182983[[#This Row],[Age]],$AU$21:$AU$29)*$B$10+$AT$11*$B$10),"")</f>
        <v>24.839999999999996</v>
      </c>
      <c r="AM61" s="7">
        <f>IF(Tableau182983[[#This Row],[Age]]&lt;&gt;"",IF(Tableau182983[[#This Row],[Age]]=$B$11,$AT$10*$B$10,0)+Tableau182983[[#This Row],[VBO]]*$AX$21*$B$10+Tableau182983[[#This Row],[VBI]]*$AX$22*$B$10+Tableau182983[[#This Row],[VBE]]*$AX$23*$B$10,"")</f>
        <v>0</v>
      </c>
      <c r="AN61" s="7">
        <v>1.8505058191497883</v>
      </c>
      <c r="AO61" s="7">
        <v>0</v>
      </c>
      <c r="AP61" s="7">
        <f>IF(Tableau182983[[#This Row],[Age]]&lt;&gt;"",Tableau182983[[#This Row],[RA]]-Tableau182983[[#This Row],[DA]],"")</f>
        <v>-1.8505058191497883</v>
      </c>
    </row>
    <row r="62" spans="11:42" ht="15" customHeight="1" x14ac:dyDescent="0.2">
      <c r="K62" s="3">
        <v>60</v>
      </c>
      <c r="L62" s="4">
        <v>349.99992155897269</v>
      </c>
      <c r="M62" s="4">
        <v>349.99992155897269</v>
      </c>
      <c r="N62" s="4">
        <v>0</v>
      </c>
      <c r="O62" s="5">
        <f t="shared" si="0"/>
        <v>0</v>
      </c>
      <c r="P62" s="5">
        <f t="shared" si="1"/>
        <v>0</v>
      </c>
      <c r="Q62" s="5">
        <f t="shared" si="2"/>
        <v>61.251556272221123</v>
      </c>
      <c r="R62" s="5">
        <v>20</v>
      </c>
      <c r="S62" s="5">
        <v>411.13287473743884</v>
      </c>
      <c r="T62" s="5">
        <f t="shared" si="3"/>
        <v>0</v>
      </c>
      <c r="U62" s="5">
        <f t="shared" si="4"/>
        <v>0</v>
      </c>
      <c r="V62" s="5" t="str">
        <f>IF($E$4="Embrousaillement",Tableau182983[[#This Row],[SOL]],"")</f>
        <v/>
      </c>
      <c r="W62" s="5" t="str">
        <f>IF($E$4="Embrousaillement",Tableau182983[[#This Row],[L]],"")</f>
        <v/>
      </c>
      <c r="X62" s="5">
        <v>25.299999999999997</v>
      </c>
      <c r="Y62" s="5">
        <f t="shared" si="5"/>
        <v>209.99995293538362</v>
      </c>
      <c r="Z62" s="5">
        <f t="shared" si="6"/>
        <v>104.99997646769181</v>
      </c>
      <c r="AA62" s="5">
        <f t="shared" si="7"/>
        <v>34.999992155897267</v>
      </c>
      <c r="AB62" s="5" t="s">
        <v>166</v>
      </c>
      <c r="AC62" s="5" t="s">
        <v>166</v>
      </c>
      <c r="AD62" s="5" t="str">
        <f t="shared" si="8"/>
        <v/>
      </c>
      <c r="AE62" s="5" t="s">
        <v>166</v>
      </c>
      <c r="AF62" s="5" t="s">
        <v>166</v>
      </c>
      <c r="AG62" s="5" t="str">
        <f t="shared" si="9"/>
        <v/>
      </c>
      <c r="AH62" s="5" t="s">
        <v>166</v>
      </c>
      <c r="AI62" s="5" t="s">
        <v>166</v>
      </c>
      <c r="AJ62" s="5" t="str">
        <f t="shared" si="10"/>
        <v/>
      </c>
      <c r="AK62" s="5" t="str">
        <f t="shared" si="11"/>
        <v/>
      </c>
      <c r="AL62" s="7">
        <f>IF(Tableau182983[[#This Row],[Age]]&lt;&gt;"",IF(Tableau182983[[#This Row],[Age]]=0,$AT$10*$B$10+SUMIF($AS$21:$AS$29,Tableau182983[[#This Row],[Age]],$AU$21:$AU$29)*$B$10+$AT$11*$B$10,SUMIF($AS$21:$AS$29,Tableau182983[[#This Row],[Age]],$AU$21:$AU$29)*$B$10+$AT$11*$B$10),"")</f>
        <v>24.839999999999996</v>
      </c>
      <c r="AM62" s="7">
        <f>IF(Tableau182983[[#This Row],[Age]]&lt;&gt;"",IF(Tableau182983[[#This Row],[Age]]=$B$11,$AT$10*$B$10,0)+Tableau182983[[#This Row],[VBO]]*$AX$21*$B$10+Tableau182983[[#This Row],[VBI]]*$AX$22*$B$10+Tableau182983[[#This Row],[VBE]]*$AX$23*$B$10,"")</f>
        <v>15455.996536044235</v>
      </c>
      <c r="AN62" s="7">
        <v>1.7708189656935776</v>
      </c>
      <c r="AO62" s="7">
        <v>1101.8426650451438</v>
      </c>
      <c r="AP62" s="7">
        <f>IF(Tableau182983[[#This Row],[Age]]&lt;&gt;"",Tableau182983[[#This Row],[RA]]-Tableau182983[[#This Row],[DA]],"")</f>
        <v>1100.0718460794503</v>
      </c>
    </row>
    <row r="63" spans="11:42" ht="15" customHeight="1" x14ac:dyDescent="0.2">
      <c r="L63" s="4"/>
      <c r="M63" s="4"/>
      <c r="N63" s="4"/>
      <c r="O63" s="5" t="str">
        <f t="shared" si="0"/>
        <v/>
      </c>
      <c r="P63" s="5" t="str">
        <f t="shared" si="1"/>
        <v/>
      </c>
      <c r="Q63" s="5" t="str">
        <f t="shared" si="2"/>
        <v/>
      </c>
      <c r="R63" s="5" t="s">
        <v>166</v>
      </c>
      <c r="S63" s="5" t="s">
        <v>166</v>
      </c>
      <c r="T63" s="5" t="str">
        <f t="shared" si="3"/>
        <v/>
      </c>
      <c r="U63" s="5" t="str">
        <f t="shared" si="4"/>
        <v/>
      </c>
      <c r="V63" s="5" t="str">
        <f>IF($E$4="Embrousaillement",Tableau182983[[#This Row],[SOL]],"")</f>
        <v/>
      </c>
      <c r="W63" s="5" t="str">
        <f>IF($E$4="Embrousaillement",Tableau182983[[#This Row],[L]],"")</f>
        <v/>
      </c>
      <c r="X63" s="5" t="s">
        <v>166</v>
      </c>
      <c r="Y63" s="5" t="str">
        <f t="shared" si="5"/>
        <v/>
      </c>
      <c r="Z63" s="5" t="str">
        <f t="shared" si="6"/>
        <v/>
      </c>
      <c r="AA63" s="5" t="str">
        <f t="shared" si="7"/>
        <v/>
      </c>
      <c r="AB63" s="5" t="s">
        <v>166</v>
      </c>
      <c r="AC63" s="5" t="s">
        <v>166</v>
      </c>
      <c r="AD63" s="5" t="str">
        <f t="shared" si="8"/>
        <v/>
      </c>
      <c r="AE63" s="5" t="s">
        <v>166</v>
      </c>
      <c r="AF63" s="5" t="s">
        <v>166</v>
      </c>
      <c r="AG63" s="5" t="str">
        <f t="shared" si="9"/>
        <v/>
      </c>
      <c r="AH63" s="5" t="s">
        <v>166</v>
      </c>
      <c r="AI63" s="5" t="s">
        <v>166</v>
      </c>
      <c r="AJ63" s="5" t="str">
        <f t="shared" si="10"/>
        <v/>
      </c>
      <c r="AK63" s="5" t="str">
        <f t="shared" si="11"/>
        <v/>
      </c>
      <c r="AL63" s="7" t="str">
        <f>IF(Tableau182983[[#This Row],[Age]]&lt;&gt;"",IF(Tableau182983[[#This Row],[Age]]=0,$AT$10*$B$10+SUMIF($AS$21:$AS$29,Tableau182983[[#This Row],[Age]],$AU$21:$AU$29)*$B$10+$AT$11*$B$10,SUMIF($AS$21:$AS$29,Tableau182983[[#This Row],[Age]],$AU$21:$AU$29)*$B$10+$AT$11*$B$10),"")</f>
        <v/>
      </c>
      <c r="AM63" s="7" t="str">
        <f>IF(Tableau182983[[#This Row],[Age]]&lt;&gt;"",IF(Tableau182983[[#This Row],[Age]]=$B$11,$AT$10*$B$10,0)+Tableau182983[[#This Row],[VBO]]*$AX$21*$B$10+Tableau182983[[#This Row],[VBI]]*$AX$22*$B$10+Tableau182983[[#This Row],[VBE]]*$AX$23*$B$10,"")</f>
        <v/>
      </c>
      <c r="AN63" s="7" t="s">
        <v>166</v>
      </c>
      <c r="AO63" s="7" t="s">
        <v>166</v>
      </c>
      <c r="AP63" s="7" t="str">
        <f>IF(Tableau182983[[#This Row],[Age]]&lt;&gt;"",Tableau182983[[#This Row],[RA]]-Tableau182983[[#This Row],[DA]],"")</f>
        <v/>
      </c>
    </row>
    <row r="64" spans="11:42" ht="15" customHeight="1" x14ac:dyDescent="0.2">
      <c r="L64" s="4"/>
      <c r="M64" s="4"/>
      <c r="N64" s="4"/>
      <c r="O64" s="5" t="str">
        <f t="shared" si="0"/>
        <v/>
      </c>
      <c r="P64" s="5" t="str">
        <f t="shared" si="1"/>
        <v/>
      </c>
      <c r="Q64" s="5" t="str">
        <f t="shared" si="2"/>
        <v/>
      </c>
      <c r="R64" s="5" t="s">
        <v>166</v>
      </c>
      <c r="S64" s="5" t="s">
        <v>166</v>
      </c>
      <c r="T64" s="5" t="str">
        <f t="shared" si="3"/>
        <v/>
      </c>
      <c r="U64" s="5" t="str">
        <f t="shared" si="4"/>
        <v/>
      </c>
      <c r="V64" s="5" t="str">
        <f>IF($E$4="Embrousaillement",Tableau182983[[#This Row],[SOL]],"")</f>
        <v/>
      </c>
      <c r="W64" s="5" t="str">
        <f>IF($E$4="Embrousaillement",Tableau182983[[#This Row],[L]],"")</f>
        <v/>
      </c>
      <c r="X64" s="5" t="s">
        <v>166</v>
      </c>
      <c r="Y64" s="5" t="str">
        <f t="shared" si="5"/>
        <v/>
      </c>
      <c r="Z64" s="5" t="str">
        <f t="shared" si="6"/>
        <v/>
      </c>
      <c r="AA64" s="5" t="str">
        <f t="shared" si="7"/>
        <v/>
      </c>
      <c r="AB64" s="5" t="s">
        <v>166</v>
      </c>
      <c r="AC64" s="5" t="s">
        <v>166</v>
      </c>
      <c r="AD64" s="5" t="str">
        <f t="shared" si="8"/>
        <v/>
      </c>
      <c r="AE64" s="5" t="s">
        <v>166</v>
      </c>
      <c r="AF64" s="5" t="s">
        <v>166</v>
      </c>
      <c r="AG64" s="5" t="str">
        <f t="shared" si="9"/>
        <v/>
      </c>
      <c r="AH64" s="5" t="s">
        <v>166</v>
      </c>
      <c r="AI64" s="5" t="s">
        <v>166</v>
      </c>
      <c r="AJ64" s="5" t="str">
        <f t="shared" si="10"/>
        <v/>
      </c>
      <c r="AK64" s="5" t="str">
        <f t="shared" si="11"/>
        <v/>
      </c>
      <c r="AL64" s="7" t="str">
        <f>IF(Tableau182983[[#This Row],[Age]]&lt;&gt;"",IF(Tableau182983[[#This Row],[Age]]=0,$AT$10*$B$10+SUMIF($AS$21:$AS$29,Tableau182983[[#This Row],[Age]],$AU$21:$AU$29)*$B$10+$AT$11*$B$10,SUMIF($AS$21:$AS$29,Tableau182983[[#This Row],[Age]],$AU$21:$AU$29)*$B$10+$AT$11*$B$10),"")</f>
        <v/>
      </c>
      <c r="AM64" s="7" t="str">
        <f>IF(Tableau182983[[#This Row],[Age]]&lt;&gt;"",IF(Tableau182983[[#This Row],[Age]]=$B$11,$AT$10*$B$10,0)+Tableau182983[[#This Row],[VBO]]*$AX$21*$B$10+Tableau182983[[#This Row],[VBI]]*$AX$22*$B$10+Tableau182983[[#This Row],[VBE]]*$AX$23*$B$10,"")</f>
        <v/>
      </c>
      <c r="AN64" s="7" t="s">
        <v>166</v>
      </c>
      <c r="AO64" s="7" t="s">
        <v>166</v>
      </c>
      <c r="AP64" s="7" t="str">
        <f>IF(Tableau182983[[#This Row],[Age]]&lt;&gt;"",Tableau182983[[#This Row],[RA]]-Tableau182983[[#This Row],[DA]],"")</f>
        <v/>
      </c>
    </row>
    <row r="65" spans="1:42" ht="15" customHeight="1" x14ac:dyDescent="0.2">
      <c r="A65" s="30" t="s">
        <v>108</v>
      </c>
      <c r="B65" s="30" t="s">
        <v>109</v>
      </c>
      <c r="C65" s="30" t="s">
        <v>110</v>
      </c>
      <c r="L65" s="4"/>
      <c r="M65" s="4"/>
      <c r="N65" s="4"/>
      <c r="O65" s="5" t="str">
        <f t="shared" si="0"/>
        <v/>
      </c>
      <c r="P65" s="5" t="str">
        <f t="shared" si="1"/>
        <v/>
      </c>
      <c r="Q65" s="5" t="str">
        <f t="shared" si="2"/>
        <v/>
      </c>
      <c r="R65" s="5" t="s">
        <v>166</v>
      </c>
      <c r="S65" s="5" t="s">
        <v>166</v>
      </c>
      <c r="T65" s="5" t="str">
        <f t="shared" si="3"/>
        <v/>
      </c>
      <c r="U65" s="5" t="str">
        <f t="shared" si="4"/>
        <v/>
      </c>
      <c r="V65" s="5" t="str">
        <f>IF($E$4="Embrousaillement",Tableau182983[[#This Row],[SOL]],"")</f>
        <v/>
      </c>
      <c r="W65" s="5" t="str">
        <f>IF($E$4="Embrousaillement",Tableau182983[[#This Row],[L]],"")</f>
        <v/>
      </c>
      <c r="X65" s="5" t="s">
        <v>166</v>
      </c>
      <c r="Y65" s="5" t="str">
        <f t="shared" si="5"/>
        <v/>
      </c>
      <c r="Z65" s="5" t="str">
        <f t="shared" si="6"/>
        <v/>
      </c>
      <c r="AA65" s="5" t="str">
        <f t="shared" si="7"/>
        <v/>
      </c>
      <c r="AB65" s="5" t="s">
        <v>166</v>
      </c>
      <c r="AC65" s="5" t="s">
        <v>166</v>
      </c>
      <c r="AD65" s="5" t="str">
        <f t="shared" si="8"/>
        <v/>
      </c>
      <c r="AE65" s="5" t="s">
        <v>166</v>
      </c>
      <c r="AF65" s="5" t="s">
        <v>166</v>
      </c>
      <c r="AG65" s="5" t="str">
        <f t="shared" si="9"/>
        <v/>
      </c>
      <c r="AH65" s="5" t="s">
        <v>166</v>
      </c>
      <c r="AI65" s="5" t="s">
        <v>166</v>
      </c>
      <c r="AJ65" s="5" t="str">
        <f t="shared" si="10"/>
        <v/>
      </c>
      <c r="AK65" s="5" t="str">
        <f t="shared" si="11"/>
        <v/>
      </c>
      <c r="AL65" s="7" t="str">
        <f>IF(Tableau182983[[#This Row],[Age]]&lt;&gt;"",IF(Tableau182983[[#This Row],[Age]]=0,$AT$10*$B$10+SUMIF($AS$21:$AS$29,Tableau182983[[#This Row],[Age]],$AU$21:$AU$29)*$B$10+$AT$11*$B$10,SUMIF($AS$21:$AS$29,Tableau182983[[#This Row],[Age]],$AU$21:$AU$29)*$B$10+$AT$11*$B$10),"")</f>
        <v/>
      </c>
      <c r="AM65" s="7" t="str">
        <f>IF(Tableau182983[[#This Row],[Age]]&lt;&gt;"",IF(Tableau182983[[#This Row],[Age]]=$B$11,$AT$10*$B$10,0)+Tableau182983[[#This Row],[VBO]]*$AX$21*$B$10+Tableau182983[[#This Row],[VBI]]*$AX$22*$B$10+Tableau182983[[#This Row],[VBE]]*$AX$23*$B$10,"")</f>
        <v/>
      </c>
      <c r="AN65" s="7" t="s">
        <v>166</v>
      </c>
      <c r="AO65" s="7" t="s">
        <v>166</v>
      </c>
      <c r="AP65" s="7" t="str">
        <f>IF(Tableau182983[[#This Row],[Age]]&lt;&gt;"",Tableau182983[[#This Row],[RA]]-Tableau182983[[#This Row],[DA]],"")</f>
        <v/>
      </c>
    </row>
    <row r="66" spans="1:42" ht="15" customHeight="1" x14ac:dyDescent="0.2">
      <c r="A66" s="3" t="s">
        <v>1</v>
      </c>
      <c r="B66" s="3" t="s">
        <v>111</v>
      </c>
      <c r="C66" s="3" t="s">
        <v>112</v>
      </c>
      <c r="L66" s="4"/>
      <c r="M66" s="4"/>
      <c r="N66" s="4"/>
      <c r="O66" s="5" t="str">
        <f t="shared" ref="O66:O102" si="12">IF(K66&lt;&gt;"",N66*$B$7*$B$8,"")</f>
        <v/>
      </c>
      <c r="P66" s="5" t="str">
        <f t="shared" ref="P66:P102" si="13">IF(K66&lt;&gt;"",IF(O66&gt;0,EXP(-1.0587+0.8836*LN(O66)+0.284),0),"")</f>
        <v/>
      </c>
      <c r="Q66" s="5" t="str">
        <f t="shared" ref="Q66:Q102" si="14">IF(K66&lt;&gt;"",45+25*(1-EXP(-0.0175*K66)),"")</f>
        <v/>
      </c>
      <c r="R66" s="5" t="s">
        <v>166</v>
      </c>
      <c r="S66" s="5" t="s">
        <v>166</v>
      </c>
      <c r="T66" s="5" t="str">
        <f t="shared" ref="T66:T102" si="15">IF(AND(K66&lt;=$E$11,K66&lt;&gt;"",K66&gt;0),IF($E$4="Embrousaillement",1*K66*$E$7*$E$8,0),"")</f>
        <v/>
      </c>
      <c r="U66" s="5" t="str">
        <f t="shared" ref="U66:U102" si="16">IF(AND(K66&lt;=$E$11,K66&lt;&gt;"",K66&gt;0),IF($E$4="Embrousaillement",EXP(-1.0587+0.8836*LN(T66)+0.284),0),"")</f>
        <v/>
      </c>
      <c r="V66" s="5" t="str">
        <f>IF($E$4="Embrousaillement",Tableau182983[[#This Row],[SOL]],"")</f>
        <v/>
      </c>
      <c r="W66" s="5" t="str">
        <f>IF($E$4="Embrousaillement",Tableau182983[[#This Row],[L]],"")</f>
        <v/>
      </c>
      <c r="X66" s="5" t="s">
        <v>166</v>
      </c>
      <c r="Y66" s="5" t="str">
        <f t="shared" ref="Y66:Y102" si="17">IF(K66&lt;&gt;"",IF(M66&gt;0,IF($K66&gt;=$AT$7,$AU$7,IF(AND($K66&gt;=$AT$6,$K66&lt;$AT$7),$AU$6,IF(AND($K66&gt;=$AT$5,$K66&lt;$AT$6),$AU$5,IF(AND($K66&gt;=$AT$4,$K66&lt;$AT$5),$AU$4,$AU$4))))*M66,0),"")</f>
        <v/>
      </c>
      <c r="Z66" s="5" t="str">
        <f t="shared" ref="Z66:Z102" si="18">IF(K66&lt;&gt;"",IF(M66&gt;0,IF($K66&gt;=$AT$7,$AV$7,IF(AND($K66&gt;=$AT$6,$K66&lt;$AT$7),$AV$6,IF(AND($K66&gt;=$AT$5,$K66&lt;$AT$6),$AV$5,IF(AND($K66&gt;=$AT$4,$K66&lt;$AT$5),$AV$4,$AV$4))))*M66,0),"")</f>
        <v/>
      </c>
      <c r="AA66" s="5" t="str">
        <f t="shared" ref="AA66:AA102" si="19">IF(K66&lt;&gt;"",IF(M66&gt;0,IF($K66&gt;=$AT$7,$AW$7,IF(AND($K66&gt;=$AT$6,$K66&lt;$AT$7),$AW$6,IF(AND($K66&gt;=$AT$5,$K66&lt;$AT$6),$AW$5,IF(AND($K66&gt;=$AT$4,$K66&lt;$AT$5),$AW$4,$AW$4))))*M66,0),"")</f>
        <v/>
      </c>
      <c r="AB66" s="5" t="s">
        <v>166</v>
      </c>
      <c r="AC66" s="5" t="s">
        <v>166</v>
      </c>
      <c r="AD66" s="5" t="str">
        <f t="shared" ref="AD66:AD102" si="20">IF(AND(K66&lt;=30,K66&lt;&gt;"",K66&gt;0),EXP(-AC66)*IF(K66=1,0,AD65)+(((1-EXP(-AC66))/AC66)*AB66),"")</f>
        <v/>
      </c>
      <c r="AE66" s="5" t="s">
        <v>166</v>
      </c>
      <c r="AF66" s="5" t="s">
        <v>166</v>
      </c>
      <c r="AG66" s="5" t="str">
        <f t="shared" ref="AG66:AG102" si="21">IF(AND(K66&lt;=30,K66&lt;&gt;"",K66&gt;0),EXP(-AF66)*IF(K66=1,0,AG65)+(((1-EXP(-AF66))/AF66)*AE66),"")</f>
        <v/>
      </c>
      <c r="AH66" s="5" t="s">
        <v>166</v>
      </c>
      <c r="AI66" s="5" t="s">
        <v>166</v>
      </c>
      <c r="AJ66" s="5" t="str">
        <f t="shared" ref="AJ66:AJ102" si="22">IF(AND(K66&lt;=30,K66&lt;&gt;"",K66&gt;0),EXP(-AI66)*IF(K66=1,0,AJ65)+(((1-EXP(-AI66))/AI66)*AH66),"")</f>
        <v/>
      </c>
      <c r="AK66" s="5" t="str">
        <f t="shared" ref="AK66:AK102" si="23">IF(AND(K66&lt;=30,K66&lt;&gt;""),SUM(Y66:AA66)*$B$10,"")</f>
        <v/>
      </c>
      <c r="AL66" s="7" t="str">
        <f>IF(Tableau182983[[#This Row],[Age]]&lt;&gt;"",IF(Tableau182983[[#This Row],[Age]]=0,$AT$10*$B$10+SUMIF($AS$21:$AS$29,Tableau182983[[#This Row],[Age]],$AU$21:$AU$29)*$B$10+$AT$11*$B$10,SUMIF($AS$21:$AS$29,Tableau182983[[#This Row],[Age]],$AU$21:$AU$29)*$B$10+$AT$11*$B$10),"")</f>
        <v/>
      </c>
      <c r="AM66" s="7" t="str">
        <f>IF(Tableau182983[[#This Row],[Age]]&lt;&gt;"",IF(Tableau182983[[#This Row],[Age]]=$B$11,$AT$10*$B$10,0)+Tableau182983[[#This Row],[VBO]]*$AX$21*$B$10+Tableau182983[[#This Row],[VBI]]*$AX$22*$B$10+Tableau182983[[#This Row],[VBE]]*$AX$23*$B$10,"")</f>
        <v/>
      </c>
      <c r="AN66" s="7" t="s">
        <v>166</v>
      </c>
      <c r="AO66" s="7" t="s">
        <v>166</v>
      </c>
      <c r="AP66" s="7" t="str">
        <f>IF(Tableau182983[[#This Row],[Age]]&lt;&gt;"",Tableau182983[[#This Row],[RA]]-Tableau182983[[#This Row],[DA]],"")</f>
        <v/>
      </c>
    </row>
    <row r="67" spans="1:42" ht="15" customHeight="1" x14ac:dyDescent="0.2">
      <c r="A67" s="3" t="s">
        <v>2</v>
      </c>
      <c r="B67" s="3" t="s">
        <v>113</v>
      </c>
      <c r="C67" s="3" t="s">
        <v>114</v>
      </c>
      <c r="L67" s="4"/>
      <c r="M67" s="4"/>
      <c r="N67" s="4"/>
      <c r="O67" s="5" t="str">
        <f t="shared" si="12"/>
        <v/>
      </c>
      <c r="P67" s="5" t="str">
        <f t="shared" si="13"/>
        <v/>
      </c>
      <c r="Q67" s="5" t="str">
        <f t="shared" si="14"/>
        <v/>
      </c>
      <c r="R67" s="5" t="s">
        <v>166</v>
      </c>
      <c r="S67" s="5" t="s">
        <v>166</v>
      </c>
      <c r="T67" s="5" t="str">
        <f t="shared" si="15"/>
        <v/>
      </c>
      <c r="U67" s="5" t="str">
        <f t="shared" si="16"/>
        <v/>
      </c>
      <c r="V67" s="5" t="str">
        <f>IF($E$4="Embrousaillement",Tableau182983[[#This Row],[SOL]],"")</f>
        <v/>
      </c>
      <c r="W67" s="5" t="str">
        <f>IF($E$4="Embrousaillement",Tableau182983[[#This Row],[L]],"")</f>
        <v/>
      </c>
      <c r="X67" s="5" t="s">
        <v>166</v>
      </c>
      <c r="Y67" s="5" t="str">
        <f t="shared" si="17"/>
        <v/>
      </c>
      <c r="Z67" s="5" t="str">
        <f t="shared" si="18"/>
        <v/>
      </c>
      <c r="AA67" s="5" t="str">
        <f t="shared" si="19"/>
        <v/>
      </c>
      <c r="AB67" s="5" t="s">
        <v>166</v>
      </c>
      <c r="AC67" s="5" t="s">
        <v>166</v>
      </c>
      <c r="AD67" s="5" t="str">
        <f t="shared" si="20"/>
        <v/>
      </c>
      <c r="AE67" s="5" t="s">
        <v>166</v>
      </c>
      <c r="AF67" s="5" t="s">
        <v>166</v>
      </c>
      <c r="AG67" s="5" t="str">
        <f t="shared" si="21"/>
        <v/>
      </c>
      <c r="AH67" s="5" t="s">
        <v>166</v>
      </c>
      <c r="AI67" s="5" t="s">
        <v>166</v>
      </c>
      <c r="AJ67" s="5" t="str">
        <f t="shared" si="22"/>
        <v/>
      </c>
      <c r="AK67" s="5" t="str">
        <f t="shared" si="23"/>
        <v/>
      </c>
      <c r="AL67" s="7" t="str">
        <f>IF(Tableau182983[[#This Row],[Age]]&lt;&gt;"",IF(Tableau182983[[#This Row],[Age]]=0,$AT$10*$B$10+SUMIF($AS$21:$AS$29,Tableau182983[[#This Row],[Age]],$AU$21:$AU$29)*$B$10+$AT$11*$B$10,SUMIF($AS$21:$AS$29,Tableau182983[[#This Row],[Age]],$AU$21:$AU$29)*$B$10+$AT$11*$B$10),"")</f>
        <v/>
      </c>
      <c r="AM67" s="7" t="str">
        <f>IF(Tableau182983[[#This Row],[Age]]&lt;&gt;"",IF(Tableau182983[[#This Row],[Age]]=$B$11,$AT$10*$B$10,0)+Tableau182983[[#This Row],[VBO]]*$AX$21*$B$10+Tableau182983[[#This Row],[VBI]]*$AX$22*$B$10+Tableau182983[[#This Row],[VBE]]*$AX$23*$B$10,"")</f>
        <v/>
      </c>
      <c r="AN67" s="7" t="s">
        <v>166</v>
      </c>
      <c r="AO67" s="7" t="s">
        <v>166</v>
      </c>
      <c r="AP67" s="7" t="str">
        <f>IF(Tableau182983[[#This Row],[Age]]&lt;&gt;"",Tableau182983[[#This Row],[RA]]-Tableau182983[[#This Row],[DA]],"")</f>
        <v/>
      </c>
    </row>
    <row r="68" spans="1:42" ht="15" customHeight="1" x14ac:dyDescent="0.2">
      <c r="A68" s="3" t="s">
        <v>3</v>
      </c>
      <c r="B68" s="3" t="s">
        <v>113</v>
      </c>
      <c r="C68" s="3" t="s">
        <v>115</v>
      </c>
      <c r="L68" s="4"/>
      <c r="M68" s="4"/>
      <c r="N68" s="4"/>
      <c r="O68" s="5" t="str">
        <f t="shared" si="12"/>
        <v/>
      </c>
      <c r="P68" s="5" t="str">
        <f t="shared" si="13"/>
        <v/>
      </c>
      <c r="Q68" s="5" t="str">
        <f t="shared" si="14"/>
        <v/>
      </c>
      <c r="R68" s="5" t="s">
        <v>166</v>
      </c>
      <c r="S68" s="5" t="s">
        <v>166</v>
      </c>
      <c r="T68" s="5" t="str">
        <f t="shared" si="15"/>
        <v/>
      </c>
      <c r="U68" s="5" t="str">
        <f t="shared" si="16"/>
        <v/>
      </c>
      <c r="V68" s="5" t="str">
        <f>IF($E$4="Embrousaillement",Tableau182983[[#This Row],[SOL]],"")</f>
        <v/>
      </c>
      <c r="W68" s="5" t="str">
        <f>IF($E$4="Embrousaillement",Tableau182983[[#This Row],[L]],"")</f>
        <v/>
      </c>
      <c r="X68" s="5" t="s">
        <v>166</v>
      </c>
      <c r="Y68" s="5" t="str">
        <f t="shared" si="17"/>
        <v/>
      </c>
      <c r="Z68" s="5" t="str">
        <f t="shared" si="18"/>
        <v/>
      </c>
      <c r="AA68" s="5" t="str">
        <f t="shared" si="19"/>
        <v/>
      </c>
      <c r="AB68" s="5" t="s">
        <v>166</v>
      </c>
      <c r="AC68" s="5" t="s">
        <v>166</v>
      </c>
      <c r="AD68" s="5" t="str">
        <f t="shared" si="20"/>
        <v/>
      </c>
      <c r="AE68" s="5" t="s">
        <v>166</v>
      </c>
      <c r="AF68" s="5" t="s">
        <v>166</v>
      </c>
      <c r="AG68" s="5" t="str">
        <f t="shared" si="21"/>
        <v/>
      </c>
      <c r="AH68" s="5" t="s">
        <v>166</v>
      </c>
      <c r="AI68" s="5" t="s">
        <v>166</v>
      </c>
      <c r="AJ68" s="5" t="str">
        <f t="shared" si="22"/>
        <v/>
      </c>
      <c r="AK68" s="5" t="str">
        <f t="shared" si="23"/>
        <v/>
      </c>
      <c r="AL68" s="7" t="str">
        <f>IF(Tableau182983[[#This Row],[Age]]&lt;&gt;"",IF(Tableau182983[[#This Row],[Age]]=0,$AT$10*$B$10+SUMIF($AS$21:$AS$29,Tableau182983[[#This Row],[Age]],$AU$21:$AU$29)*$B$10+$AT$11*$B$10,SUMIF($AS$21:$AS$29,Tableau182983[[#This Row],[Age]],$AU$21:$AU$29)*$B$10+$AT$11*$B$10),"")</f>
        <v/>
      </c>
      <c r="AM68" s="7" t="str">
        <f>IF(Tableau182983[[#This Row],[Age]]&lt;&gt;"",IF(Tableau182983[[#This Row],[Age]]=$B$11,$AT$10*$B$10,0)+Tableau182983[[#This Row],[VBO]]*$AX$21*$B$10+Tableau182983[[#This Row],[VBI]]*$AX$22*$B$10+Tableau182983[[#This Row],[VBE]]*$AX$23*$B$10,"")</f>
        <v/>
      </c>
      <c r="AN68" s="7" t="s">
        <v>166</v>
      </c>
      <c r="AO68" s="7" t="s">
        <v>166</v>
      </c>
      <c r="AP68" s="7" t="str">
        <f>IF(Tableau182983[[#This Row],[Age]]&lt;&gt;"",Tableau182983[[#This Row],[RA]]-Tableau182983[[#This Row],[DA]],"")</f>
        <v/>
      </c>
    </row>
    <row r="69" spans="1:42" ht="15" customHeight="1" x14ac:dyDescent="0.2">
      <c r="A69" s="3" t="s">
        <v>4</v>
      </c>
      <c r="B69" s="3" t="s">
        <v>113</v>
      </c>
      <c r="C69" s="3" t="s">
        <v>116</v>
      </c>
      <c r="L69" s="4"/>
      <c r="M69" s="4"/>
      <c r="N69" s="4"/>
      <c r="O69" s="5" t="str">
        <f t="shared" si="12"/>
        <v/>
      </c>
      <c r="P69" s="5" t="str">
        <f t="shared" si="13"/>
        <v/>
      </c>
      <c r="Q69" s="5" t="str">
        <f t="shared" si="14"/>
        <v/>
      </c>
      <c r="R69" s="5" t="s">
        <v>166</v>
      </c>
      <c r="S69" s="5" t="s">
        <v>166</v>
      </c>
      <c r="T69" s="5" t="str">
        <f t="shared" si="15"/>
        <v/>
      </c>
      <c r="U69" s="5" t="str">
        <f t="shared" si="16"/>
        <v/>
      </c>
      <c r="V69" s="5" t="str">
        <f>IF($E$4="Embrousaillement",Tableau182983[[#This Row],[SOL]],"")</f>
        <v/>
      </c>
      <c r="W69" s="5" t="str">
        <f>IF($E$4="Embrousaillement",Tableau182983[[#This Row],[L]],"")</f>
        <v/>
      </c>
      <c r="X69" s="5" t="s">
        <v>166</v>
      </c>
      <c r="Y69" s="5" t="str">
        <f t="shared" si="17"/>
        <v/>
      </c>
      <c r="Z69" s="5" t="str">
        <f t="shared" si="18"/>
        <v/>
      </c>
      <c r="AA69" s="5" t="str">
        <f t="shared" si="19"/>
        <v/>
      </c>
      <c r="AB69" s="5" t="s">
        <v>166</v>
      </c>
      <c r="AC69" s="5" t="s">
        <v>166</v>
      </c>
      <c r="AD69" s="5" t="str">
        <f t="shared" si="20"/>
        <v/>
      </c>
      <c r="AE69" s="5" t="s">
        <v>166</v>
      </c>
      <c r="AF69" s="5" t="s">
        <v>166</v>
      </c>
      <c r="AG69" s="5" t="str">
        <f t="shared" si="21"/>
        <v/>
      </c>
      <c r="AH69" s="5" t="s">
        <v>166</v>
      </c>
      <c r="AI69" s="5" t="s">
        <v>166</v>
      </c>
      <c r="AJ69" s="5" t="str">
        <f t="shared" si="22"/>
        <v/>
      </c>
      <c r="AK69" s="5" t="str">
        <f t="shared" si="23"/>
        <v/>
      </c>
      <c r="AL69" s="7" t="str">
        <f>IF(Tableau182983[[#This Row],[Age]]&lt;&gt;"",IF(Tableau182983[[#This Row],[Age]]=0,$AT$10*$B$10+SUMIF($AS$21:$AS$29,Tableau182983[[#This Row],[Age]],$AU$21:$AU$29)*$B$10+$AT$11*$B$10,SUMIF($AS$21:$AS$29,Tableau182983[[#This Row],[Age]],$AU$21:$AU$29)*$B$10+$AT$11*$B$10),"")</f>
        <v/>
      </c>
      <c r="AM69" s="7" t="str">
        <f>IF(Tableau182983[[#This Row],[Age]]&lt;&gt;"",IF(Tableau182983[[#This Row],[Age]]=$B$11,$AT$10*$B$10,0)+Tableau182983[[#This Row],[VBO]]*$AX$21*$B$10+Tableau182983[[#This Row],[VBI]]*$AX$22*$B$10+Tableau182983[[#This Row],[VBE]]*$AX$23*$B$10,"")</f>
        <v/>
      </c>
      <c r="AN69" s="7" t="s">
        <v>166</v>
      </c>
      <c r="AO69" s="7" t="s">
        <v>166</v>
      </c>
      <c r="AP69" s="7" t="str">
        <f>IF(Tableau182983[[#This Row],[Age]]&lt;&gt;"",Tableau182983[[#This Row],[RA]]-Tableau182983[[#This Row],[DA]],"")</f>
        <v/>
      </c>
    </row>
    <row r="70" spans="1:42" ht="15" customHeight="1" x14ac:dyDescent="0.2">
      <c r="A70" s="3" t="s">
        <v>5</v>
      </c>
      <c r="B70" s="3" t="s">
        <v>117</v>
      </c>
      <c r="C70" s="3" t="s">
        <v>118</v>
      </c>
      <c r="L70" s="4"/>
      <c r="M70" s="4"/>
      <c r="N70" s="4"/>
      <c r="O70" s="5" t="str">
        <f t="shared" si="12"/>
        <v/>
      </c>
      <c r="P70" s="5" t="str">
        <f t="shared" si="13"/>
        <v/>
      </c>
      <c r="Q70" s="5" t="str">
        <f t="shared" si="14"/>
        <v/>
      </c>
      <c r="R70" s="5" t="s">
        <v>166</v>
      </c>
      <c r="S70" s="5" t="s">
        <v>166</v>
      </c>
      <c r="T70" s="5" t="str">
        <f t="shared" si="15"/>
        <v/>
      </c>
      <c r="U70" s="5" t="str">
        <f t="shared" si="16"/>
        <v/>
      </c>
      <c r="V70" s="5" t="str">
        <f>IF($E$4="Embrousaillement",Tableau182983[[#This Row],[SOL]],"")</f>
        <v/>
      </c>
      <c r="W70" s="5" t="str">
        <f>IF($E$4="Embrousaillement",Tableau182983[[#This Row],[L]],"")</f>
        <v/>
      </c>
      <c r="X70" s="5" t="s">
        <v>166</v>
      </c>
      <c r="Y70" s="5" t="str">
        <f t="shared" si="17"/>
        <v/>
      </c>
      <c r="Z70" s="5" t="str">
        <f t="shared" si="18"/>
        <v/>
      </c>
      <c r="AA70" s="5" t="str">
        <f t="shared" si="19"/>
        <v/>
      </c>
      <c r="AB70" s="5" t="s">
        <v>166</v>
      </c>
      <c r="AC70" s="5" t="s">
        <v>166</v>
      </c>
      <c r="AD70" s="5" t="str">
        <f t="shared" si="20"/>
        <v/>
      </c>
      <c r="AE70" s="5" t="s">
        <v>166</v>
      </c>
      <c r="AF70" s="5" t="s">
        <v>166</v>
      </c>
      <c r="AG70" s="5" t="str">
        <f t="shared" si="21"/>
        <v/>
      </c>
      <c r="AH70" s="5" t="s">
        <v>166</v>
      </c>
      <c r="AI70" s="5" t="s">
        <v>166</v>
      </c>
      <c r="AJ70" s="5" t="str">
        <f t="shared" si="22"/>
        <v/>
      </c>
      <c r="AK70" s="5" t="str">
        <f t="shared" si="23"/>
        <v/>
      </c>
      <c r="AL70" s="7" t="str">
        <f>IF(Tableau182983[[#This Row],[Age]]&lt;&gt;"",IF(Tableau182983[[#This Row],[Age]]=0,$AT$10*$B$10+SUMIF($AS$21:$AS$29,Tableau182983[[#This Row],[Age]],$AU$21:$AU$29)*$B$10+$AT$11*$B$10,SUMIF($AS$21:$AS$29,Tableau182983[[#This Row],[Age]],$AU$21:$AU$29)*$B$10+$AT$11*$B$10),"")</f>
        <v/>
      </c>
      <c r="AM70" s="7" t="str">
        <f>IF(Tableau182983[[#This Row],[Age]]&lt;&gt;"",IF(Tableau182983[[#This Row],[Age]]=$B$11,$AT$10*$B$10,0)+Tableau182983[[#This Row],[VBO]]*$AX$21*$B$10+Tableau182983[[#This Row],[VBI]]*$AX$22*$B$10+Tableau182983[[#This Row],[VBE]]*$AX$23*$B$10,"")</f>
        <v/>
      </c>
      <c r="AN70" s="7" t="s">
        <v>166</v>
      </c>
      <c r="AO70" s="7" t="s">
        <v>166</v>
      </c>
      <c r="AP70" s="7" t="str">
        <f>IF(Tableau182983[[#This Row],[Age]]&lt;&gt;"",Tableau182983[[#This Row],[RA]]-Tableau182983[[#This Row],[DA]],"")</f>
        <v/>
      </c>
    </row>
    <row r="71" spans="1:42" ht="15" customHeight="1" x14ac:dyDescent="0.2">
      <c r="A71" s="3" t="s">
        <v>6</v>
      </c>
      <c r="B71" s="3" t="s">
        <v>117</v>
      </c>
      <c r="C71" s="3" t="s">
        <v>119</v>
      </c>
      <c r="L71" s="4"/>
      <c r="M71" s="4"/>
      <c r="N71" s="4"/>
      <c r="O71" s="5" t="str">
        <f t="shared" si="12"/>
        <v/>
      </c>
      <c r="P71" s="5" t="str">
        <f t="shared" si="13"/>
        <v/>
      </c>
      <c r="Q71" s="5" t="str">
        <f t="shared" si="14"/>
        <v/>
      </c>
      <c r="R71" s="5" t="s">
        <v>166</v>
      </c>
      <c r="S71" s="5" t="s">
        <v>166</v>
      </c>
      <c r="T71" s="5" t="str">
        <f t="shared" si="15"/>
        <v/>
      </c>
      <c r="U71" s="5" t="str">
        <f t="shared" si="16"/>
        <v/>
      </c>
      <c r="V71" s="5" t="str">
        <f>IF($E$4="Embrousaillement",Tableau182983[[#This Row],[SOL]],"")</f>
        <v/>
      </c>
      <c r="W71" s="5" t="str">
        <f>IF($E$4="Embrousaillement",Tableau182983[[#This Row],[L]],"")</f>
        <v/>
      </c>
      <c r="X71" s="5" t="s">
        <v>166</v>
      </c>
      <c r="Y71" s="5" t="str">
        <f t="shared" si="17"/>
        <v/>
      </c>
      <c r="Z71" s="5" t="str">
        <f t="shared" si="18"/>
        <v/>
      </c>
      <c r="AA71" s="5" t="str">
        <f t="shared" si="19"/>
        <v/>
      </c>
      <c r="AB71" s="5" t="s">
        <v>166</v>
      </c>
      <c r="AC71" s="5" t="s">
        <v>166</v>
      </c>
      <c r="AD71" s="5" t="str">
        <f t="shared" si="20"/>
        <v/>
      </c>
      <c r="AE71" s="5" t="s">
        <v>166</v>
      </c>
      <c r="AF71" s="5" t="s">
        <v>166</v>
      </c>
      <c r="AG71" s="5" t="str">
        <f t="shared" si="21"/>
        <v/>
      </c>
      <c r="AH71" s="5" t="s">
        <v>166</v>
      </c>
      <c r="AI71" s="5" t="s">
        <v>166</v>
      </c>
      <c r="AJ71" s="5" t="str">
        <f t="shared" si="22"/>
        <v/>
      </c>
      <c r="AK71" s="5" t="str">
        <f t="shared" si="23"/>
        <v/>
      </c>
      <c r="AL71" s="7" t="str">
        <f>IF(Tableau182983[[#This Row],[Age]]&lt;&gt;"",IF(Tableau182983[[#This Row],[Age]]=0,$AT$10*$B$10+SUMIF($AS$21:$AS$29,Tableau182983[[#This Row],[Age]],$AU$21:$AU$29)*$B$10+$AT$11*$B$10,SUMIF($AS$21:$AS$29,Tableau182983[[#This Row],[Age]],$AU$21:$AU$29)*$B$10+$AT$11*$B$10),"")</f>
        <v/>
      </c>
      <c r="AM71" s="7" t="str">
        <f>IF(Tableau182983[[#This Row],[Age]]&lt;&gt;"",IF(Tableau182983[[#This Row],[Age]]=$B$11,$AT$10*$B$10,0)+Tableau182983[[#This Row],[VBO]]*$AX$21*$B$10+Tableau182983[[#This Row],[VBI]]*$AX$22*$B$10+Tableau182983[[#This Row],[VBE]]*$AX$23*$B$10,"")</f>
        <v/>
      </c>
      <c r="AN71" s="7" t="s">
        <v>166</v>
      </c>
      <c r="AO71" s="7" t="s">
        <v>166</v>
      </c>
      <c r="AP71" s="7" t="str">
        <f>IF(Tableau182983[[#This Row],[Age]]&lt;&gt;"",Tableau182983[[#This Row],[RA]]-Tableau182983[[#This Row],[DA]],"")</f>
        <v/>
      </c>
    </row>
    <row r="72" spans="1:42" ht="15" customHeight="1" x14ac:dyDescent="0.2">
      <c r="A72" s="3" t="s">
        <v>7</v>
      </c>
      <c r="B72" s="3" t="s">
        <v>120</v>
      </c>
      <c r="C72" s="3" t="s">
        <v>121</v>
      </c>
      <c r="L72" s="4"/>
      <c r="M72" s="4"/>
      <c r="N72" s="4"/>
      <c r="O72" s="5" t="str">
        <f t="shared" si="12"/>
        <v/>
      </c>
      <c r="P72" s="5" t="str">
        <f t="shared" si="13"/>
        <v/>
      </c>
      <c r="Q72" s="5" t="str">
        <f t="shared" si="14"/>
        <v/>
      </c>
      <c r="R72" s="5" t="s">
        <v>166</v>
      </c>
      <c r="S72" s="5" t="s">
        <v>166</v>
      </c>
      <c r="T72" s="5" t="str">
        <f t="shared" si="15"/>
        <v/>
      </c>
      <c r="U72" s="5" t="str">
        <f t="shared" si="16"/>
        <v/>
      </c>
      <c r="V72" s="5" t="str">
        <f>IF($E$4="Embrousaillement",Tableau182983[[#This Row],[SOL]],"")</f>
        <v/>
      </c>
      <c r="W72" s="5" t="str">
        <f>IF($E$4="Embrousaillement",Tableau182983[[#This Row],[L]],"")</f>
        <v/>
      </c>
      <c r="X72" s="5" t="s">
        <v>166</v>
      </c>
      <c r="Y72" s="5" t="str">
        <f t="shared" si="17"/>
        <v/>
      </c>
      <c r="Z72" s="5" t="str">
        <f t="shared" si="18"/>
        <v/>
      </c>
      <c r="AA72" s="5" t="str">
        <f t="shared" si="19"/>
        <v/>
      </c>
      <c r="AB72" s="5" t="s">
        <v>166</v>
      </c>
      <c r="AC72" s="5" t="s">
        <v>166</v>
      </c>
      <c r="AD72" s="5" t="str">
        <f t="shared" si="20"/>
        <v/>
      </c>
      <c r="AE72" s="5" t="s">
        <v>166</v>
      </c>
      <c r="AF72" s="5" t="s">
        <v>166</v>
      </c>
      <c r="AG72" s="5" t="str">
        <f t="shared" si="21"/>
        <v/>
      </c>
      <c r="AH72" s="5" t="s">
        <v>166</v>
      </c>
      <c r="AI72" s="5" t="s">
        <v>166</v>
      </c>
      <c r="AJ72" s="5" t="str">
        <f t="shared" si="22"/>
        <v/>
      </c>
      <c r="AK72" s="5" t="str">
        <f t="shared" si="23"/>
        <v/>
      </c>
      <c r="AL72" s="7" t="str">
        <f>IF(Tableau182983[[#This Row],[Age]]&lt;&gt;"",IF(Tableau182983[[#This Row],[Age]]=0,$AT$10*$B$10+SUMIF($AS$21:$AS$29,Tableau182983[[#This Row],[Age]],$AU$21:$AU$29)*$B$10+$AT$11*$B$10,SUMIF($AS$21:$AS$29,Tableau182983[[#This Row],[Age]],$AU$21:$AU$29)*$B$10+$AT$11*$B$10),"")</f>
        <v/>
      </c>
      <c r="AM72" s="7" t="str">
        <f>IF(Tableau182983[[#This Row],[Age]]&lt;&gt;"",IF(Tableau182983[[#This Row],[Age]]=$B$11,$AT$10*$B$10,0)+Tableau182983[[#This Row],[VBO]]*$AX$21*$B$10+Tableau182983[[#This Row],[VBI]]*$AX$22*$B$10+Tableau182983[[#This Row],[VBE]]*$AX$23*$B$10,"")</f>
        <v/>
      </c>
      <c r="AN72" s="7" t="s">
        <v>166</v>
      </c>
      <c r="AO72" s="7" t="s">
        <v>166</v>
      </c>
      <c r="AP72" s="7" t="str">
        <f>IF(Tableau182983[[#This Row],[Age]]&lt;&gt;"",Tableau182983[[#This Row],[RA]]-Tableau182983[[#This Row],[DA]],"")</f>
        <v/>
      </c>
    </row>
    <row r="73" spans="1:42" ht="15" customHeight="1" x14ac:dyDescent="0.2">
      <c r="A73" s="3" t="s">
        <v>8</v>
      </c>
      <c r="B73" s="3" t="s">
        <v>120</v>
      </c>
      <c r="C73" s="3" t="s">
        <v>122</v>
      </c>
      <c r="L73" s="4"/>
      <c r="M73" s="4"/>
      <c r="N73" s="4"/>
      <c r="O73" s="5" t="str">
        <f t="shared" si="12"/>
        <v/>
      </c>
      <c r="P73" s="5" t="str">
        <f t="shared" si="13"/>
        <v/>
      </c>
      <c r="Q73" s="5" t="str">
        <f t="shared" si="14"/>
        <v/>
      </c>
      <c r="R73" s="5" t="s">
        <v>166</v>
      </c>
      <c r="S73" s="5" t="s">
        <v>166</v>
      </c>
      <c r="T73" s="5" t="str">
        <f t="shared" si="15"/>
        <v/>
      </c>
      <c r="U73" s="5" t="str">
        <f t="shared" si="16"/>
        <v/>
      </c>
      <c r="V73" s="5" t="str">
        <f>IF($E$4="Embrousaillement",Tableau182983[[#This Row],[SOL]],"")</f>
        <v/>
      </c>
      <c r="W73" s="5" t="str">
        <f>IF($E$4="Embrousaillement",Tableau182983[[#This Row],[L]],"")</f>
        <v/>
      </c>
      <c r="X73" s="5" t="s">
        <v>166</v>
      </c>
      <c r="Y73" s="5" t="str">
        <f t="shared" si="17"/>
        <v/>
      </c>
      <c r="Z73" s="5" t="str">
        <f t="shared" si="18"/>
        <v/>
      </c>
      <c r="AA73" s="5" t="str">
        <f t="shared" si="19"/>
        <v/>
      </c>
      <c r="AB73" s="5" t="s">
        <v>166</v>
      </c>
      <c r="AC73" s="5" t="s">
        <v>166</v>
      </c>
      <c r="AD73" s="5" t="str">
        <f t="shared" si="20"/>
        <v/>
      </c>
      <c r="AE73" s="5" t="s">
        <v>166</v>
      </c>
      <c r="AF73" s="5" t="s">
        <v>166</v>
      </c>
      <c r="AG73" s="5" t="str">
        <f t="shared" si="21"/>
        <v/>
      </c>
      <c r="AH73" s="5" t="s">
        <v>166</v>
      </c>
      <c r="AI73" s="5" t="s">
        <v>166</v>
      </c>
      <c r="AJ73" s="5" t="str">
        <f t="shared" si="22"/>
        <v/>
      </c>
      <c r="AK73" s="5" t="str">
        <f t="shared" si="23"/>
        <v/>
      </c>
      <c r="AL73" s="7" t="str">
        <f>IF(Tableau182983[[#This Row],[Age]]&lt;&gt;"",IF(Tableau182983[[#This Row],[Age]]=0,$AT$10*$B$10+SUMIF($AS$21:$AS$29,Tableau182983[[#This Row],[Age]],$AU$21:$AU$29)*$B$10+$AT$11*$B$10,SUMIF($AS$21:$AS$29,Tableau182983[[#This Row],[Age]],$AU$21:$AU$29)*$B$10+$AT$11*$B$10),"")</f>
        <v/>
      </c>
      <c r="AM73" s="7" t="str">
        <f>IF(Tableau182983[[#This Row],[Age]]&lt;&gt;"",IF(Tableau182983[[#This Row],[Age]]=$B$11,$AT$10*$B$10,0)+Tableau182983[[#This Row],[VBO]]*$AX$21*$B$10+Tableau182983[[#This Row],[VBI]]*$AX$22*$B$10+Tableau182983[[#This Row],[VBE]]*$AX$23*$B$10,"")</f>
        <v/>
      </c>
      <c r="AN73" s="7" t="s">
        <v>166</v>
      </c>
      <c r="AO73" s="7" t="s">
        <v>166</v>
      </c>
      <c r="AP73" s="7" t="str">
        <f>IF(Tableau182983[[#This Row],[Age]]&lt;&gt;"",Tableau182983[[#This Row],[RA]]-Tableau182983[[#This Row],[DA]],"")</f>
        <v/>
      </c>
    </row>
    <row r="74" spans="1:42" ht="15" customHeight="1" x14ac:dyDescent="0.2">
      <c r="A74" s="3" t="s">
        <v>9</v>
      </c>
      <c r="B74" s="3" t="s">
        <v>123</v>
      </c>
      <c r="C74" s="3" t="s">
        <v>124</v>
      </c>
      <c r="L74" s="4"/>
      <c r="M74" s="4"/>
      <c r="N74" s="4"/>
      <c r="O74" s="5" t="str">
        <f t="shared" si="12"/>
        <v/>
      </c>
      <c r="P74" s="5" t="str">
        <f t="shared" si="13"/>
        <v/>
      </c>
      <c r="Q74" s="5" t="str">
        <f t="shared" si="14"/>
        <v/>
      </c>
      <c r="R74" s="5" t="s">
        <v>166</v>
      </c>
      <c r="S74" s="5" t="s">
        <v>166</v>
      </c>
      <c r="T74" s="5" t="str">
        <f t="shared" si="15"/>
        <v/>
      </c>
      <c r="U74" s="5" t="str">
        <f t="shared" si="16"/>
        <v/>
      </c>
      <c r="V74" s="5" t="str">
        <f>IF($E$4="Embrousaillement",Tableau182983[[#This Row],[SOL]],"")</f>
        <v/>
      </c>
      <c r="W74" s="5" t="str">
        <f>IF($E$4="Embrousaillement",Tableau182983[[#This Row],[L]],"")</f>
        <v/>
      </c>
      <c r="X74" s="5" t="s">
        <v>166</v>
      </c>
      <c r="Y74" s="5" t="str">
        <f t="shared" si="17"/>
        <v/>
      </c>
      <c r="Z74" s="5" t="str">
        <f t="shared" si="18"/>
        <v/>
      </c>
      <c r="AA74" s="5" t="str">
        <f t="shared" si="19"/>
        <v/>
      </c>
      <c r="AB74" s="5" t="s">
        <v>166</v>
      </c>
      <c r="AC74" s="5" t="s">
        <v>166</v>
      </c>
      <c r="AD74" s="5" t="str">
        <f t="shared" si="20"/>
        <v/>
      </c>
      <c r="AE74" s="5" t="s">
        <v>166</v>
      </c>
      <c r="AF74" s="5" t="s">
        <v>166</v>
      </c>
      <c r="AG74" s="5" t="str">
        <f t="shared" si="21"/>
        <v/>
      </c>
      <c r="AH74" s="5" t="s">
        <v>166</v>
      </c>
      <c r="AI74" s="5" t="s">
        <v>166</v>
      </c>
      <c r="AJ74" s="5" t="str">
        <f t="shared" si="22"/>
        <v/>
      </c>
      <c r="AK74" s="5" t="str">
        <f t="shared" si="23"/>
        <v/>
      </c>
      <c r="AL74" s="7" t="str">
        <f>IF(Tableau182983[[#This Row],[Age]]&lt;&gt;"",IF(Tableau182983[[#This Row],[Age]]=0,$AT$10*$B$10+SUMIF($AS$21:$AS$29,Tableau182983[[#This Row],[Age]],$AU$21:$AU$29)*$B$10+$AT$11*$B$10,SUMIF($AS$21:$AS$29,Tableau182983[[#This Row],[Age]],$AU$21:$AU$29)*$B$10+$AT$11*$B$10),"")</f>
        <v/>
      </c>
      <c r="AM74" s="7" t="str">
        <f>IF(Tableau182983[[#This Row],[Age]]&lt;&gt;"",IF(Tableau182983[[#This Row],[Age]]=$B$11,$AT$10*$B$10,0)+Tableau182983[[#This Row],[VBO]]*$AX$21*$B$10+Tableau182983[[#This Row],[VBI]]*$AX$22*$B$10+Tableau182983[[#This Row],[VBE]]*$AX$23*$B$10,"")</f>
        <v/>
      </c>
      <c r="AN74" s="7" t="s">
        <v>166</v>
      </c>
      <c r="AO74" s="7" t="s">
        <v>166</v>
      </c>
      <c r="AP74" s="7" t="str">
        <f>IF(Tableau182983[[#This Row],[Age]]&lt;&gt;"",Tableau182983[[#This Row],[RA]]-Tableau182983[[#This Row],[DA]],"")</f>
        <v/>
      </c>
    </row>
    <row r="75" spans="1:42" ht="15" customHeight="1" x14ac:dyDescent="0.2">
      <c r="A75" s="3" t="s">
        <v>10</v>
      </c>
      <c r="B75" s="3" t="s">
        <v>117</v>
      </c>
      <c r="C75" s="3" t="s">
        <v>125</v>
      </c>
      <c r="L75" s="4"/>
      <c r="M75" s="4"/>
      <c r="N75" s="4"/>
      <c r="O75" s="5" t="str">
        <f t="shared" si="12"/>
        <v/>
      </c>
      <c r="P75" s="5" t="str">
        <f t="shared" si="13"/>
        <v/>
      </c>
      <c r="Q75" s="5" t="str">
        <f t="shared" si="14"/>
        <v/>
      </c>
      <c r="R75" s="5" t="s">
        <v>166</v>
      </c>
      <c r="S75" s="5" t="s">
        <v>166</v>
      </c>
      <c r="T75" s="5" t="str">
        <f t="shared" si="15"/>
        <v/>
      </c>
      <c r="U75" s="5" t="str">
        <f t="shared" si="16"/>
        <v/>
      </c>
      <c r="V75" s="5" t="str">
        <f>IF($E$4="Embrousaillement",Tableau182983[[#This Row],[SOL]],"")</f>
        <v/>
      </c>
      <c r="W75" s="5" t="str">
        <f>IF($E$4="Embrousaillement",Tableau182983[[#This Row],[L]],"")</f>
        <v/>
      </c>
      <c r="X75" s="5" t="s">
        <v>166</v>
      </c>
      <c r="Y75" s="5" t="str">
        <f t="shared" si="17"/>
        <v/>
      </c>
      <c r="Z75" s="5" t="str">
        <f t="shared" si="18"/>
        <v/>
      </c>
      <c r="AA75" s="5" t="str">
        <f t="shared" si="19"/>
        <v/>
      </c>
      <c r="AB75" s="5" t="s">
        <v>166</v>
      </c>
      <c r="AC75" s="5" t="s">
        <v>166</v>
      </c>
      <c r="AD75" s="5" t="str">
        <f t="shared" si="20"/>
        <v/>
      </c>
      <c r="AE75" s="5" t="s">
        <v>166</v>
      </c>
      <c r="AF75" s="5" t="s">
        <v>166</v>
      </c>
      <c r="AG75" s="5" t="str">
        <f t="shared" si="21"/>
        <v/>
      </c>
      <c r="AH75" s="5" t="s">
        <v>166</v>
      </c>
      <c r="AI75" s="5" t="s">
        <v>166</v>
      </c>
      <c r="AJ75" s="5" t="str">
        <f t="shared" si="22"/>
        <v/>
      </c>
      <c r="AK75" s="5" t="str">
        <f t="shared" si="23"/>
        <v/>
      </c>
      <c r="AL75" s="7" t="str">
        <f>IF(Tableau182983[[#This Row],[Age]]&lt;&gt;"",IF(Tableau182983[[#This Row],[Age]]=0,$AT$10*$B$10+SUMIF($AS$21:$AS$29,Tableau182983[[#This Row],[Age]],$AU$21:$AU$29)*$B$10+$AT$11*$B$10,SUMIF($AS$21:$AS$29,Tableau182983[[#This Row],[Age]],$AU$21:$AU$29)*$B$10+$AT$11*$B$10),"")</f>
        <v/>
      </c>
      <c r="AM75" s="7" t="str">
        <f>IF(Tableau182983[[#This Row],[Age]]&lt;&gt;"",IF(Tableau182983[[#This Row],[Age]]=$B$11,$AT$10*$B$10,0)+Tableau182983[[#This Row],[VBO]]*$AX$21*$B$10+Tableau182983[[#This Row],[VBI]]*$AX$22*$B$10+Tableau182983[[#This Row],[VBE]]*$AX$23*$B$10,"")</f>
        <v/>
      </c>
      <c r="AN75" s="7" t="s">
        <v>166</v>
      </c>
      <c r="AO75" s="7" t="s">
        <v>166</v>
      </c>
      <c r="AP75" s="7" t="str">
        <f>IF(Tableau182983[[#This Row],[Age]]&lt;&gt;"",Tableau182983[[#This Row],[RA]]-Tableau182983[[#This Row],[DA]],"")</f>
        <v/>
      </c>
    </row>
    <row r="76" spans="1:42" ht="15" customHeight="1" x14ac:dyDescent="0.2">
      <c r="A76" s="3" t="s">
        <v>11</v>
      </c>
      <c r="B76" s="3" t="s">
        <v>117</v>
      </c>
      <c r="C76" s="3" t="s">
        <v>126</v>
      </c>
      <c r="L76" s="4"/>
      <c r="M76" s="4"/>
      <c r="N76" s="4"/>
      <c r="O76" s="5" t="str">
        <f t="shared" si="12"/>
        <v/>
      </c>
      <c r="P76" s="5" t="str">
        <f t="shared" si="13"/>
        <v/>
      </c>
      <c r="Q76" s="5" t="str">
        <f t="shared" si="14"/>
        <v/>
      </c>
      <c r="R76" s="5" t="s">
        <v>166</v>
      </c>
      <c r="S76" s="5" t="s">
        <v>166</v>
      </c>
      <c r="T76" s="5" t="str">
        <f t="shared" si="15"/>
        <v/>
      </c>
      <c r="U76" s="5" t="str">
        <f t="shared" si="16"/>
        <v/>
      </c>
      <c r="V76" s="5" t="str">
        <f>IF($E$4="Embrousaillement",Tableau182983[[#This Row],[SOL]],"")</f>
        <v/>
      </c>
      <c r="W76" s="5" t="str">
        <f>IF($E$4="Embrousaillement",Tableau182983[[#This Row],[L]],"")</f>
        <v/>
      </c>
      <c r="X76" s="5" t="s">
        <v>166</v>
      </c>
      <c r="Y76" s="5" t="str">
        <f t="shared" si="17"/>
        <v/>
      </c>
      <c r="Z76" s="5" t="str">
        <f t="shared" si="18"/>
        <v/>
      </c>
      <c r="AA76" s="5" t="str">
        <f t="shared" si="19"/>
        <v/>
      </c>
      <c r="AB76" s="5" t="s">
        <v>166</v>
      </c>
      <c r="AC76" s="5" t="s">
        <v>166</v>
      </c>
      <c r="AD76" s="5" t="str">
        <f t="shared" si="20"/>
        <v/>
      </c>
      <c r="AE76" s="5" t="s">
        <v>166</v>
      </c>
      <c r="AF76" s="5" t="s">
        <v>166</v>
      </c>
      <c r="AG76" s="5" t="str">
        <f t="shared" si="21"/>
        <v/>
      </c>
      <c r="AH76" s="5" t="s">
        <v>166</v>
      </c>
      <c r="AI76" s="5" t="s">
        <v>166</v>
      </c>
      <c r="AJ76" s="5" t="str">
        <f t="shared" si="22"/>
        <v/>
      </c>
      <c r="AK76" s="5" t="str">
        <f t="shared" si="23"/>
        <v/>
      </c>
      <c r="AL76" s="7" t="str">
        <f>IF(Tableau182983[[#This Row],[Age]]&lt;&gt;"",IF(Tableau182983[[#This Row],[Age]]=0,$AT$10*$B$10+SUMIF($AS$21:$AS$29,Tableau182983[[#This Row],[Age]],$AU$21:$AU$29)*$B$10+$AT$11*$B$10,SUMIF($AS$21:$AS$29,Tableau182983[[#This Row],[Age]],$AU$21:$AU$29)*$B$10+$AT$11*$B$10),"")</f>
        <v/>
      </c>
      <c r="AM76" s="7" t="str">
        <f>IF(Tableau182983[[#This Row],[Age]]&lt;&gt;"",IF(Tableau182983[[#This Row],[Age]]=$B$11,$AT$10*$B$10,0)+Tableau182983[[#This Row],[VBO]]*$AX$21*$B$10+Tableau182983[[#This Row],[VBI]]*$AX$22*$B$10+Tableau182983[[#This Row],[VBE]]*$AX$23*$B$10,"")</f>
        <v/>
      </c>
      <c r="AN76" s="7" t="s">
        <v>166</v>
      </c>
      <c r="AO76" s="7" t="s">
        <v>166</v>
      </c>
      <c r="AP76" s="7" t="str">
        <f>IF(Tableau182983[[#This Row],[Age]]&lt;&gt;"",Tableau182983[[#This Row],[RA]]-Tableau182983[[#This Row],[DA]],"")</f>
        <v/>
      </c>
    </row>
    <row r="77" spans="1:42" ht="15" customHeight="1" x14ac:dyDescent="0.2">
      <c r="A77" s="3" t="s">
        <v>12</v>
      </c>
      <c r="B77" s="3" t="s">
        <v>120</v>
      </c>
      <c r="C77" s="3" t="s">
        <v>127</v>
      </c>
      <c r="L77" s="4"/>
      <c r="M77" s="4"/>
      <c r="N77" s="4"/>
      <c r="O77" s="5" t="str">
        <f t="shared" si="12"/>
        <v/>
      </c>
      <c r="P77" s="5" t="str">
        <f t="shared" si="13"/>
        <v/>
      </c>
      <c r="Q77" s="5" t="str">
        <f t="shared" si="14"/>
        <v/>
      </c>
      <c r="R77" s="5" t="s">
        <v>166</v>
      </c>
      <c r="S77" s="5" t="s">
        <v>166</v>
      </c>
      <c r="T77" s="5" t="str">
        <f t="shared" si="15"/>
        <v/>
      </c>
      <c r="U77" s="5" t="str">
        <f t="shared" si="16"/>
        <v/>
      </c>
      <c r="V77" s="5" t="str">
        <f>IF($E$4="Embrousaillement",Tableau182983[[#This Row],[SOL]],"")</f>
        <v/>
      </c>
      <c r="W77" s="5" t="str">
        <f>IF($E$4="Embrousaillement",Tableau182983[[#This Row],[L]],"")</f>
        <v/>
      </c>
      <c r="X77" s="5" t="s">
        <v>166</v>
      </c>
      <c r="Y77" s="5" t="str">
        <f t="shared" si="17"/>
        <v/>
      </c>
      <c r="Z77" s="5" t="str">
        <f t="shared" si="18"/>
        <v/>
      </c>
      <c r="AA77" s="5" t="str">
        <f t="shared" si="19"/>
        <v/>
      </c>
      <c r="AB77" s="5" t="s">
        <v>166</v>
      </c>
      <c r="AC77" s="5" t="s">
        <v>166</v>
      </c>
      <c r="AD77" s="5" t="str">
        <f t="shared" si="20"/>
        <v/>
      </c>
      <c r="AE77" s="5" t="s">
        <v>166</v>
      </c>
      <c r="AF77" s="5" t="s">
        <v>166</v>
      </c>
      <c r="AG77" s="5" t="str">
        <f t="shared" si="21"/>
        <v/>
      </c>
      <c r="AH77" s="5" t="s">
        <v>166</v>
      </c>
      <c r="AI77" s="5" t="s">
        <v>166</v>
      </c>
      <c r="AJ77" s="5" t="str">
        <f t="shared" si="22"/>
        <v/>
      </c>
      <c r="AK77" s="5" t="str">
        <f t="shared" si="23"/>
        <v/>
      </c>
      <c r="AL77" s="7" t="str">
        <f>IF(Tableau182983[[#This Row],[Age]]&lt;&gt;"",IF(Tableau182983[[#This Row],[Age]]=0,$AT$10*$B$10+SUMIF($AS$21:$AS$29,Tableau182983[[#This Row],[Age]],$AU$21:$AU$29)*$B$10+$AT$11*$B$10,SUMIF($AS$21:$AS$29,Tableau182983[[#This Row],[Age]],$AU$21:$AU$29)*$B$10+$AT$11*$B$10),"")</f>
        <v/>
      </c>
      <c r="AM77" s="7" t="str">
        <f>IF(Tableau182983[[#This Row],[Age]]&lt;&gt;"",IF(Tableau182983[[#This Row],[Age]]=$B$11,$AT$10*$B$10,0)+Tableau182983[[#This Row],[VBO]]*$AX$21*$B$10+Tableau182983[[#This Row],[VBI]]*$AX$22*$B$10+Tableau182983[[#This Row],[VBE]]*$AX$23*$B$10,"")</f>
        <v/>
      </c>
      <c r="AN77" s="7" t="s">
        <v>166</v>
      </c>
      <c r="AO77" s="7" t="s">
        <v>166</v>
      </c>
      <c r="AP77" s="7" t="str">
        <f>IF(Tableau182983[[#This Row],[Age]]&lt;&gt;"",Tableau182983[[#This Row],[RA]]-Tableau182983[[#This Row],[DA]],"")</f>
        <v/>
      </c>
    </row>
    <row r="78" spans="1:42" ht="15" customHeight="1" x14ac:dyDescent="0.2">
      <c r="A78" s="3" t="s">
        <v>13</v>
      </c>
      <c r="B78" s="3" t="s">
        <v>120</v>
      </c>
      <c r="C78" s="3" t="s">
        <v>128</v>
      </c>
      <c r="L78" s="4"/>
      <c r="M78" s="4"/>
      <c r="N78" s="4"/>
      <c r="O78" s="5" t="str">
        <f t="shared" si="12"/>
        <v/>
      </c>
      <c r="P78" s="5" t="str">
        <f t="shared" si="13"/>
        <v/>
      </c>
      <c r="Q78" s="5" t="str">
        <f t="shared" si="14"/>
        <v/>
      </c>
      <c r="R78" s="5" t="s">
        <v>166</v>
      </c>
      <c r="S78" s="5" t="s">
        <v>166</v>
      </c>
      <c r="T78" s="5" t="str">
        <f t="shared" si="15"/>
        <v/>
      </c>
      <c r="U78" s="5" t="str">
        <f t="shared" si="16"/>
        <v/>
      </c>
      <c r="V78" s="5" t="str">
        <f>IF($E$4="Embrousaillement",Tableau182983[[#This Row],[SOL]],"")</f>
        <v/>
      </c>
      <c r="W78" s="5" t="str">
        <f>IF($E$4="Embrousaillement",Tableau182983[[#This Row],[L]],"")</f>
        <v/>
      </c>
      <c r="X78" s="5" t="s">
        <v>166</v>
      </c>
      <c r="Y78" s="5" t="str">
        <f t="shared" si="17"/>
        <v/>
      </c>
      <c r="Z78" s="5" t="str">
        <f t="shared" si="18"/>
        <v/>
      </c>
      <c r="AA78" s="5" t="str">
        <f t="shared" si="19"/>
        <v/>
      </c>
      <c r="AB78" s="5" t="s">
        <v>166</v>
      </c>
      <c r="AC78" s="5" t="s">
        <v>166</v>
      </c>
      <c r="AD78" s="5" t="str">
        <f t="shared" si="20"/>
        <v/>
      </c>
      <c r="AE78" s="5" t="s">
        <v>166</v>
      </c>
      <c r="AF78" s="5" t="s">
        <v>166</v>
      </c>
      <c r="AG78" s="5" t="str">
        <f t="shared" si="21"/>
        <v/>
      </c>
      <c r="AH78" s="5" t="s">
        <v>166</v>
      </c>
      <c r="AI78" s="5" t="s">
        <v>166</v>
      </c>
      <c r="AJ78" s="5" t="str">
        <f t="shared" si="22"/>
        <v/>
      </c>
      <c r="AK78" s="5" t="str">
        <f t="shared" si="23"/>
        <v/>
      </c>
      <c r="AL78" s="7" t="str">
        <f>IF(Tableau182983[[#This Row],[Age]]&lt;&gt;"",IF(Tableau182983[[#This Row],[Age]]=0,$AT$10*$B$10+SUMIF($AS$21:$AS$29,Tableau182983[[#This Row],[Age]],$AU$21:$AU$29)*$B$10+$AT$11*$B$10,SUMIF($AS$21:$AS$29,Tableau182983[[#This Row],[Age]],$AU$21:$AU$29)*$B$10+$AT$11*$B$10),"")</f>
        <v/>
      </c>
      <c r="AM78" s="7" t="str">
        <f>IF(Tableau182983[[#This Row],[Age]]&lt;&gt;"",IF(Tableau182983[[#This Row],[Age]]=$B$11,$AT$10*$B$10,0)+Tableau182983[[#This Row],[VBO]]*$AX$21*$B$10+Tableau182983[[#This Row],[VBI]]*$AX$22*$B$10+Tableau182983[[#This Row],[VBE]]*$AX$23*$B$10,"")</f>
        <v/>
      </c>
      <c r="AN78" s="7" t="s">
        <v>166</v>
      </c>
      <c r="AO78" s="7" t="s">
        <v>166</v>
      </c>
      <c r="AP78" s="7" t="str">
        <f>IF(Tableau182983[[#This Row],[Age]]&lt;&gt;"",Tableau182983[[#This Row],[RA]]-Tableau182983[[#This Row],[DA]],"")</f>
        <v/>
      </c>
    </row>
    <row r="79" spans="1:42" ht="15" customHeight="1" x14ac:dyDescent="0.2">
      <c r="A79" s="3" t="s">
        <v>14</v>
      </c>
      <c r="B79" s="3" t="s">
        <v>123</v>
      </c>
      <c r="C79" s="3" t="s">
        <v>129</v>
      </c>
      <c r="L79" s="4"/>
      <c r="M79" s="4"/>
      <c r="N79" s="4"/>
      <c r="O79" s="5" t="str">
        <f t="shared" si="12"/>
        <v/>
      </c>
      <c r="P79" s="5" t="str">
        <f t="shared" si="13"/>
        <v/>
      </c>
      <c r="Q79" s="5" t="str">
        <f t="shared" si="14"/>
        <v/>
      </c>
      <c r="R79" s="5" t="s">
        <v>166</v>
      </c>
      <c r="S79" s="5" t="s">
        <v>166</v>
      </c>
      <c r="T79" s="5" t="str">
        <f t="shared" si="15"/>
        <v/>
      </c>
      <c r="U79" s="5" t="str">
        <f t="shared" si="16"/>
        <v/>
      </c>
      <c r="V79" s="5" t="str">
        <f>IF($E$4="Embrousaillement",Tableau182983[[#This Row],[SOL]],"")</f>
        <v/>
      </c>
      <c r="W79" s="5" t="str">
        <f>IF($E$4="Embrousaillement",Tableau182983[[#This Row],[L]],"")</f>
        <v/>
      </c>
      <c r="X79" s="5" t="s">
        <v>166</v>
      </c>
      <c r="Y79" s="5" t="str">
        <f t="shared" si="17"/>
        <v/>
      </c>
      <c r="Z79" s="5" t="str">
        <f t="shared" si="18"/>
        <v/>
      </c>
      <c r="AA79" s="5" t="str">
        <f t="shared" si="19"/>
        <v/>
      </c>
      <c r="AB79" s="5" t="s">
        <v>166</v>
      </c>
      <c r="AC79" s="5" t="s">
        <v>166</v>
      </c>
      <c r="AD79" s="5" t="str">
        <f t="shared" si="20"/>
        <v/>
      </c>
      <c r="AE79" s="5" t="s">
        <v>166</v>
      </c>
      <c r="AF79" s="5" t="s">
        <v>166</v>
      </c>
      <c r="AG79" s="5" t="str">
        <f t="shared" si="21"/>
        <v/>
      </c>
      <c r="AH79" s="5" t="s">
        <v>166</v>
      </c>
      <c r="AI79" s="5" t="s">
        <v>166</v>
      </c>
      <c r="AJ79" s="5" t="str">
        <f t="shared" si="22"/>
        <v/>
      </c>
      <c r="AK79" s="5" t="str">
        <f t="shared" si="23"/>
        <v/>
      </c>
      <c r="AL79" s="7" t="str">
        <f>IF(Tableau182983[[#This Row],[Age]]&lt;&gt;"",IF(Tableau182983[[#This Row],[Age]]=0,$AT$10*$B$10+SUMIF($AS$21:$AS$29,Tableau182983[[#This Row],[Age]],$AU$21:$AU$29)*$B$10+$AT$11*$B$10,SUMIF($AS$21:$AS$29,Tableau182983[[#This Row],[Age]],$AU$21:$AU$29)*$B$10+$AT$11*$B$10),"")</f>
        <v/>
      </c>
      <c r="AM79" s="7" t="str">
        <f>IF(Tableau182983[[#This Row],[Age]]&lt;&gt;"",IF(Tableau182983[[#This Row],[Age]]=$B$11,$AT$10*$B$10,0)+Tableau182983[[#This Row],[VBO]]*$AX$21*$B$10+Tableau182983[[#This Row],[VBI]]*$AX$22*$B$10+Tableau182983[[#This Row],[VBE]]*$AX$23*$B$10,"")</f>
        <v/>
      </c>
      <c r="AN79" s="7" t="s">
        <v>166</v>
      </c>
      <c r="AO79" s="7" t="s">
        <v>166</v>
      </c>
      <c r="AP79" s="7" t="str">
        <f>IF(Tableau182983[[#This Row],[Age]]&lt;&gt;"",Tableau182983[[#This Row],[RA]]-Tableau182983[[#This Row],[DA]],"")</f>
        <v/>
      </c>
    </row>
    <row r="80" spans="1:42" ht="15" customHeight="1" x14ac:dyDescent="0.2">
      <c r="A80" s="3" t="s">
        <v>15</v>
      </c>
      <c r="B80" s="3" t="s">
        <v>113</v>
      </c>
      <c r="C80" s="3" t="s">
        <v>130</v>
      </c>
      <c r="L80" s="4"/>
      <c r="M80" s="4"/>
      <c r="N80" s="4"/>
      <c r="O80" s="5" t="str">
        <f t="shared" si="12"/>
        <v/>
      </c>
      <c r="P80" s="5" t="str">
        <f t="shared" si="13"/>
        <v/>
      </c>
      <c r="Q80" s="5" t="str">
        <f t="shared" si="14"/>
        <v/>
      </c>
      <c r="R80" s="5" t="s">
        <v>166</v>
      </c>
      <c r="S80" s="5" t="s">
        <v>166</v>
      </c>
      <c r="T80" s="5" t="str">
        <f t="shared" si="15"/>
        <v/>
      </c>
      <c r="U80" s="5" t="str">
        <f t="shared" si="16"/>
        <v/>
      </c>
      <c r="V80" s="5" t="str">
        <f>IF($E$4="Embrousaillement",Tableau182983[[#This Row],[SOL]],"")</f>
        <v/>
      </c>
      <c r="W80" s="5" t="str">
        <f>IF($E$4="Embrousaillement",Tableau182983[[#This Row],[L]],"")</f>
        <v/>
      </c>
      <c r="X80" s="5" t="s">
        <v>166</v>
      </c>
      <c r="Y80" s="5" t="str">
        <f t="shared" si="17"/>
        <v/>
      </c>
      <c r="Z80" s="5" t="str">
        <f t="shared" si="18"/>
        <v/>
      </c>
      <c r="AA80" s="5" t="str">
        <f t="shared" si="19"/>
        <v/>
      </c>
      <c r="AB80" s="5" t="s">
        <v>166</v>
      </c>
      <c r="AC80" s="5" t="s">
        <v>166</v>
      </c>
      <c r="AD80" s="5" t="str">
        <f t="shared" si="20"/>
        <v/>
      </c>
      <c r="AE80" s="5" t="s">
        <v>166</v>
      </c>
      <c r="AF80" s="5" t="s">
        <v>166</v>
      </c>
      <c r="AG80" s="5" t="str">
        <f t="shared" si="21"/>
        <v/>
      </c>
      <c r="AH80" s="5" t="s">
        <v>166</v>
      </c>
      <c r="AI80" s="5" t="s">
        <v>166</v>
      </c>
      <c r="AJ80" s="5" t="str">
        <f t="shared" si="22"/>
        <v/>
      </c>
      <c r="AK80" s="5" t="str">
        <f t="shared" si="23"/>
        <v/>
      </c>
      <c r="AL80" s="7" t="str">
        <f>IF(Tableau182983[[#This Row],[Age]]&lt;&gt;"",IF(Tableau182983[[#This Row],[Age]]=0,$AT$10*$B$10+SUMIF($AS$21:$AS$29,Tableau182983[[#This Row],[Age]],$AU$21:$AU$29)*$B$10+$AT$11*$B$10,SUMIF($AS$21:$AS$29,Tableau182983[[#This Row],[Age]],$AU$21:$AU$29)*$B$10+$AT$11*$B$10),"")</f>
        <v/>
      </c>
      <c r="AM80" s="7" t="str">
        <f>IF(Tableau182983[[#This Row],[Age]]&lt;&gt;"",IF(Tableau182983[[#This Row],[Age]]=$B$11,$AT$10*$B$10,0)+Tableau182983[[#This Row],[VBO]]*$AX$21*$B$10+Tableau182983[[#This Row],[VBI]]*$AX$22*$B$10+Tableau182983[[#This Row],[VBE]]*$AX$23*$B$10,"")</f>
        <v/>
      </c>
      <c r="AN80" s="7" t="s">
        <v>166</v>
      </c>
      <c r="AO80" s="7" t="s">
        <v>166</v>
      </c>
      <c r="AP80" s="7" t="str">
        <f>IF(Tableau182983[[#This Row],[Age]]&lt;&gt;"",Tableau182983[[#This Row],[RA]]-Tableau182983[[#This Row],[DA]],"")</f>
        <v/>
      </c>
    </row>
    <row r="81" spans="1:42" ht="15" customHeight="1" x14ac:dyDescent="0.2">
      <c r="A81" s="3" t="s">
        <v>16</v>
      </c>
      <c r="B81" s="3" t="s">
        <v>113</v>
      </c>
      <c r="C81" s="3" t="s">
        <v>131</v>
      </c>
      <c r="L81" s="4"/>
      <c r="M81" s="4"/>
      <c r="N81" s="4"/>
      <c r="O81" s="5" t="str">
        <f t="shared" si="12"/>
        <v/>
      </c>
      <c r="P81" s="5" t="str">
        <f t="shared" si="13"/>
        <v/>
      </c>
      <c r="Q81" s="5" t="str">
        <f t="shared" si="14"/>
        <v/>
      </c>
      <c r="R81" s="5" t="s">
        <v>166</v>
      </c>
      <c r="S81" s="5" t="s">
        <v>166</v>
      </c>
      <c r="T81" s="5" t="str">
        <f t="shared" si="15"/>
        <v/>
      </c>
      <c r="U81" s="5" t="str">
        <f t="shared" si="16"/>
        <v/>
      </c>
      <c r="V81" s="5" t="str">
        <f>IF($E$4="Embrousaillement",Tableau182983[[#This Row],[SOL]],"")</f>
        <v/>
      </c>
      <c r="W81" s="5" t="str">
        <f>IF($E$4="Embrousaillement",Tableau182983[[#This Row],[L]],"")</f>
        <v/>
      </c>
      <c r="X81" s="5" t="s">
        <v>166</v>
      </c>
      <c r="Y81" s="5" t="str">
        <f t="shared" si="17"/>
        <v/>
      </c>
      <c r="Z81" s="5" t="str">
        <f t="shared" si="18"/>
        <v/>
      </c>
      <c r="AA81" s="5" t="str">
        <f t="shared" si="19"/>
        <v/>
      </c>
      <c r="AB81" s="5" t="s">
        <v>166</v>
      </c>
      <c r="AC81" s="5" t="s">
        <v>166</v>
      </c>
      <c r="AD81" s="5" t="str">
        <f t="shared" si="20"/>
        <v/>
      </c>
      <c r="AE81" s="5" t="s">
        <v>166</v>
      </c>
      <c r="AF81" s="5" t="s">
        <v>166</v>
      </c>
      <c r="AG81" s="5" t="str">
        <f t="shared" si="21"/>
        <v/>
      </c>
      <c r="AH81" s="5" t="s">
        <v>166</v>
      </c>
      <c r="AI81" s="5" t="s">
        <v>166</v>
      </c>
      <c r="AJ81" s="5" t="str">
        <f t="shared" si="22"/>
        <v/>
      </c>
      <c r="AK81" s="5" t="str">
        <f t="shared" si="23"/>
        <v/>
      </c>
      <c r="AL81" s="7" t="str">
        <f>IF(Tableau182983[[#This Row],[Age]]&lt;&gt;"",IF(Tableau182983[[#This Row],[Age]]=0,$AT$10*$B$10+SUMIF($AS$21:$AS$29,Tableau182983[[#This Row],[Age]],$AU$21:$AU$29)*$B$10+$AT$11*$B$10,SUMIF($AS$21:$AS$29,Tableau182983[[#This Row],[Age]],$AU$21:$AU$29)*$B$10+$AT$11*$B$10),"")</f>
        <v/>
      </c>
      <c r="AM81" s="7" t="str">
        <f>IF(Tableau182983[[#This Row],[Age]]&lt;&gt;"",IF(Tableau182983[[#This Row],[Age]]=$B$11,$AT$10*$B$10,0)+Tableau182983[[#This Row],[VBO]]*$AX$21*$B$10+Tableau182983[[#This Row],[VBI]]*$AX$22*$B$10+Tableau182983[[#This Row],[VBE]]*$AX$23*$B$10,"")</f>
        <v/>
      </c>
      <c r="AN81" s="7" t="s">
        <v>166</v>
      </c>
      <c r="AO81" s="7" t="s">
        <v>166</v>
      </c>
      <c r="AP81" s="7" t="str">
        <f>IF(Tableau182983[[#This Row],[Age]]&lt;&gt;"",Tableau182983[[#This Row],[RA]]-Tableau182983[[#This Row],[DA]],"")</f>
        <v/>
      </c>
    </row>
    <row r="82" spans="1:42" ht="15" customHeight="1" x14ac:dyDescent="0.2">
      <c r="A82" s="3" t="s">
        <v>17</v>
      </c>
      <c r="B82" s="3" t="s">
        <v>113</v>
      </c>
      <c r="C82" s="3" t="s">
        <v>132</v>
      </c>
      <c r="L82" s="4"/>
      <c r="M82" s="4"/>
      <c r="N82" s="4"/>
      <c r="O82" s="5" t="str">
        <f t="shared" si="12"/>
        <v/>
      </c>
      <c r="P82" s="5" t="str">
        <f t="shared" si="13"/>
        <v/>
      </c>
      <c r="Q82" s="5" t="str">
        <f t="shared" si="14"/>
        <v/>
      </c>
      <c r="R82" s="5" t="s">
        <v>166</v>
      </c>
      <c r="S82" s="5" t="s">
        <v>166</v>
      </c>
      <c r="T82" s="5" t="str">
        <f t="shared" si="15"/>
        <v/>
      </c>
      <c r="U82" s="5" t="str">
        <f t="shared" si="16"/>
        <v/>
      </c>
      <c r="V82" s="5" t="str">
        <f>IF($E$4="Embrousaillement",Tableau182983[[#This Row],[SOL]],"")</f>
        <v/>
      </c>
      <c r="W82" s="5" t="str">
        <f>IF($E$4="Embrousaillement",Tableau182983[[#This Row],[L]],"")</f>
        <v/>
      </c>
      <c r="X82" s="5" t="s">
        <v>166</v>
      </c>
      <c r="Y82" s="5" t="str">
        <f t="shared" si="17"/>
        <v/>
      </c>
      <c r="Z82" s="5" t="str">
        <f t="shared" si="18"/>
        <v/>
      </c>
      <c r="AA82" s="5" t="str">
        <f t="shared" si="19"/>
        <v/>
      </c>
      <c r="AB82" s="5" t="s">
        <v>166</v>
      </c>
      <c r="AC82" s="5" t="s">
        <v>166</v>
      </c>
      <c r="AD82" s="5" t="str">
        <f t="shared" si="20"/>
        <v/>
      </c>
      <c r="AE82" s="5" t="s">
        <v>166</v>
      </c>
      <c r="AF82" s="5" t="s">
        <v>166</v>
      </c>
      <c r="AG82" s="5" t="str">
        <f t="shared" si="21"/>
        <v/>
      </c>
      <c r="AH82" s="5" t="s">
        <v>166</v>
      </c>
      <c r="AI82" s="5" t="s">
        <v>166</v>
      </c>
      <c r="AJ82" s="5" t="str">
        <f t="shared" si="22"/>
        <v/>
      </c>
      <c r="AK82" s="5" t="str">
        <f t="shared" si="23"/>
        <v/>
      </c>
      <c r="AL82" s="7" t="str">
        <f>IF(Tableau182983[[#This Row],[Age]]&lt;&gt;"",IF(Tableau182983[[#This Row],[Age]]=0,$AT$10*$B$10+SUMIF($AS$21:$AS$29,Tableau182983[[#This Row],[Age]],$AU$21:$AU$29)*$B$10+$AT$11*$B$10,SUMIF($AS$21:$AS$29,Tableau182983[[#This Row],[Age]],$AU$21:$AU$29)*$B$10+$AT$11*$B$10),"")</f>
        <v/>
      </c>
      <c r="AM82" s="7" t="str">
        <f>IF(Tableau182983[[#This Row],[Age]]&lt;&gt;"",IF(Tableau182983[[#This Row],[Age]]=$B$11,$AT$10*$B$10,0)+Tableau182983[[#This Row],[VBO]]*$AX$21*$B$10+Tableau182983[[#This Row],[VBI]]*$AX$22*$B$10+Tableau182983[[#This Row],[VBE]]*$AX$23*$B$10,"")</f>
        <v/>
      </c>
      <c r="AN82" s="7" t="s">
        <v>166</v>
      </c>
      <c r="AO82" s="7" t="s">
        <v>166</v>
      </c>
      <c r="AP82" s="7" t="str">
        <f>IF(Tableau182983[[#This Row],[Age]]&lt;&gt;"",Tableau182983[[#This Row],[RA]]-Tableau182983[[#This Row],[DA]],"")</f>
        <v/>
      </c>
    </row>
    <row r="83" spans="1:42" ht="15" customHeight="1" x14ac:dyDescent="0.2">
      <c r="A83" s="3" t="s">
        <v>18</v>
      </c>
      <c r="B83" s="3" t="s">
        <v>123</v>
      </c>
      <c r="C83" s="3" t="s">
        <v>133</v>
      </c>
      <c r="L83" s="4"/>
      <c r="M83" s="4"/>
      <c r="N83" s="4"/>
      <c r="O83" s="5" t="str">
        <f t="shared" si="12"/>
        <v/>
      </c>
      <c r="P83" s="5" t="str">
        <f t="shared" si="13"/>
        <v/>
      </c>
      <c r="Q83" s="5" t="str">
        <f t="shared" si="14"/>
        <v/>
      </c>
      <c r="R83" s="5" t="s">
        <v>166</v>
      </c>
      <c r="S83" s="5" t="s">
        <v>166</v>
      </c>
      <c r="T83" s="5" t="str">
        <f t="shared" si="15"/>
        <v/>
      </c>
      <c r="U83" s="5" t="str">
        <f t="shared" si="16"/>
        <v/>
      </c>
      <c r="V83" s="5" t="str">
        <f>IF($E$4="Embrousaillement",Tableau182983[[#This Row],[SOL]],"")</f>
        <v/>
      </c>
      <c r="W83" s="5" t="str">
        <f>IF($E$4="Embrousaillement",Tableau182983[[#This Row],[L]],"")</f>
        <v/>
      </c>
      <c r="X83" s="5" t="s">
        <v>166</v>
      </c>
      <c r="Y83" s="5" t="str">
        <f t="shared" si="17"/>
        <v/>
      </c>
      <c r="Z83" s="5" t="str">
        <f t="shared" si="18"/>
        <v/>
      </c>
      <c r="AA83" s="5" t="str">
        <f t="shared" si="19"/>
        <v/>
      </c>
      <c r="AB83" s="5" t="s">
        <v>166</v>
      </c>
      <c r="AC83" s="5" t="s">
        <v>166</v>
      </c>
      <c r="AD83" s="5" t="str">
        <f t="shared" si="20"/>
        <v/>
      </c>
      <c r="AE83" s="5" t="s">
        <v>166</v>
      </c>
      <c r="AF83" s="5" t="s">
        <v>166</v>
      </c>
      <c r="AG83" s="5" t="str">
        <f t="shared" si="21"/>
        <v/>
      </c>
      <c r="AH83" s="5" t="s">
        <v>166</v>
      </c>
      <c r="AI83" s="5" t="s">
        <v>166</v>
      </c>
      <c r="AJ83" s="5" t="str">
        <f t="shared" si="22"/>
        <v/>
      </c>
      <c r="AK83" s="5" t="str">
        <f t="shared" si="23"/>
        <v/>
      </c>
      <c r="AL83" s="7" t="str">
        <f>IF(Tableau182983[[#This Row],[Age]]&lt;&gt;"",IF(Tableau182983[[#This Row],[Age]]=0,$AT$10*$B$10+SUMIF($AS$21:$AS$29,Tableau182983[[#This Row],[Age]],$AU$21:$AU$29)*$B$10+$AT$11*$B$10,SUMIF($AS$21:$AS$29,Tableau182983[[#This Row],[Age]],$AU$21:$AU$29)*$B$10+$AT$11*$B$10),"")</f>
        <v/>
      </c>
      <c r="AM83" s="7" t="str">
        <f>IF(Tableau182983[[#This Row],[Age]]&lt;&gt;"",IF(Tableau182983[[#This Row],[Age]]=$B$11,$AT$10*$B$10,0)+Tableau182983[[#This Row],[VBO]]*$AX$21*$B$10+Tableau182983[[#This Row],[VBI]]*$AX$22*$B$10+Tableau182983[[#This Row],[VBE]]*$AX$23*$B$10,"")</f>
        <v/>
      </c>
      <c r="AN83" s="7" t="s">
        <v>166</v>
      </c>
      <c r="AO83" s="7" t="s">
        <v>166</v>
      </c>
      <c r="AP83" s="7" t="str">
        <f>IF(Tableau182983[[#This Row],[Age]]&lt;&gt;"",Tableau182983[[#This Row],[RA]]-Tableau182983[[#This Row],[DA]],"")</f>
        <v/>
      </c>
    </row>
    <row r="84" spans="1:42" ht="15" customHeight="1" x14ac:dyDescent="0.2">
      <c r="A84" s="3" t="s">
        <v>19</v>
      </c>
      <c r="B84" s="3" t="s">
        <v>134</v>
      </c>
      <c r="C84" s="3" t="s">
        <v>135</v>
      </c>
      <c r="L84" s="4"/>
      <c r="M84" s="4"/>
      <c r="N84" s="4"/>
      <c r="O84" s="5" t="str">
        <f t="shared" si="12"/>
        <v/>
      </c>
      <c r="P84" s="5" t="str">
        <f t="shared" si="13"/>
        <v/>
      </c>
      <c r="Q84" s="5" t="str">
        <f t="shared" si="14"/>
        <v/>
      </c>
      <c r="R84" s="5" t="s">
        <v>166</v>
      </c>
      <c r="S84" s="5" t="s">
        <v>166</v>
      </c>
      <c r="T84" s="5" t="str">
        <f t="shared" si="15"/>
        <v/>
      </c>
      <c r="U84" s="5" t="str">
        <f t="shared" si="16"/>
        <v/>
      </c>
      <c r="V84" s="5" t="str">
        <f>IF($E$4="Embrousaillement",Tableau182983[[#This Row],[SOL]],"")</f>
        <v/>
      </c>
      <c r="W84" s="5" t="str">
        <f>IF($E$4="Embrousaillement",Tableau182983[[#This Row],[L]],"")</f>
        <v/>
      </c>
      <c r="X84" s="5" t="s">
        <v>166</v>
      </c>
      <c r="Y84" s="5" t="str">
        <f t="shared" si="17"/>
        <v/>
      </c>
      <c r="Z84" s="5" t="str">
        <f t="shared" si="18"/>
        <v/>
      </c>
      <c r="AA84" s="5" t="str">
        <f t="shared" si="19"/>
        <v/>
      </c>
      <c r="AB84" s="5" t="s">
        <v>166</v>
      </c>
      <c r="AC84" s="5" t="s">
        <v>166</v>
      </c>
      <c r="AD84" s="5" t="str">
        <f t="shared" si="20"/>
        <v/>
      </c>
      <c r="AE84" s="5" t="s">
        <v>166</v>
      </c>
      <c r="AF84" s="5" t="s">
        <v>166</v>
      </c>
      <c r="AG84" s="5" t="str">
        <f t="shared" si="21"/>
        <v/>
      </c>
      <c r="AH84" s="5" t="s">
        <v>166</v>
      </c>
      <c r="AI84" s="5" t="s">
        <v>166</v>
      </c>
      <c r="AJ84" s="5" t="str">
        <f t="shared" si="22"/>
        <v/>
      </c>
      <c r="AK84" s="5" t="str">
        <f t="shared" si="23"/>
        <v/>
      </c>
      <c r="AL84" s="7" t="str">
        <f>IF(Tableau182983[[#This Row],[Age]]&lt;&gt;"",IF(Tableau182983[[#This Row],[Age]]=0,$AT$10*$B$10+SUMIF($AS$21:$AS$29,Tableau182983[[#This Row],[Age]],$AU$21:$AU$29)*$B$10+$AT$11*$B$10,SUMIF($AS$21:$AS$29,Tableau182983[[#This Row],[Age]],$AU$21:$AU$29)*$B$10+$AT$11*$B$10),"")</f>
        <v/>
      </c>
      <c r="AM84" s="7" t="str">
        <f>IF(Tableau182983[[#This Row],[Age]]&lt;&gt;"",IF(Tableau182983[[#This Row],[Age]]=$B$11,$AT$10*$B$10,0)+Tableau182983[[#This Row],[VBO]]*$AX$21*$B$10+Tableau182983[[#This Row],[VBI]]*$AX$22*$B$10+Tableau182983[[#This Row],[VBE]]*$AX$23*$B$10,"")</f>
        <v/>
      </c>
      <c r="AN84" s="7" t="s">
        <v>166</v>
      </c>
      <c r="AO84" s="7" t="s">
        <v>166</v>
      </c>
      <c r="AP84" s="7" t="str">
        <f>IF(Tableau182983[[#This Row],[Age]]&lt;&gt;"",Tableau182983[[#This Row],[RA]]-Tableau182983[[#This Row],[DA]],"")</f>
        <v/>
      </c>
    </row>
    <row r="85" spans="1:42" ht="15" customHeight="1" x14ac:dyDescent="0.2">
      <c r="A85" s="3" t="s">
        <v>20</v>
      </c>
      <c r="B85" s="3" t="s">
        <v>123</v>
      </c>
      <c r="C85" s="3" t="s">
        <v>136</v>
      </c>
      <c r="L85" s="4"/>
      <c r="M85" s="4"/>
      <c r="N85" s="4"/>
      <c r="O85" s="5" t="str">
        <f t="shared" si="12"/>
        <v/>
      </c>
      <c r="P85" s="5" t="str">
        <f t="shared" si="13"/>
        <v/>
      </c>
      <c r="Q85" s="5" t="str">
        <f t="shared" si="14"/>
        <v/>
      </c>
      <c r="R85" s="5" t="s">
        <v>166</v>
      </c>
      <c r="S85" s="5" t="s">
        <v>166</v>
      </c>
      <c r="T85" s="5" t="str">
        <f t="shared" si="15"/>
        <v/>
      </c>
      <c r="U85" s="5" t="str">
        <f t="shared" si="16"/>
        <v/>
      </c>
      <c r="V85" s="5" t="str">
        <f>IF($E$4="Embrousaillement",Tableau182983[[#This Row],[SOL]],"")</f>
        <v/>
      </c>
      <c r="W85" s="5" t="str">
        <f>IF($E$4="Embrousaillement",Tableau182983[[#This Row],[L]],"")</f>
        <v/>
      </c>
      <c r="X85" s="5" t="s">
        <v>166</v>
      </c>
      <c r="Y85" s="5" t="str">
        <f t="shared" si="17"/>
        <v/>
      </c>
      <c r="Z85" s="5" t="str">
        <f t="shared" si="18"/>
        <v/>
      </c>
      <c r="AA85" s="5" t="str">
        <f t="shared" si="19"/>
        <v/>
      </c>
      <c r="AB85" s="5" t="s">
        <v>166</v>
      </c>
      <c r="AC85" s="5" t="s">
        <v>166</v>
      </c>
      <c r="AD85" s="5" t="str">
        <f t="shared" si="20"/>
        <v/>
      </c>
      <c r="AE85" s="5" t="s">
        <v>166</v>
      </c>
      <c r="AF85" s="5" t="s">
        <v>166</v>
      </c>
      <c r="AG85" s="5" t="str">
        <f t="shared" si="21"/>
        <v/>
      </c>
      <c r="AH85" s="5" t="s">
        <v>166</v>
      </c>
      <c r="AI85" s="5" t="s">
        <v>166</v>
      </c>
      <c r="AJ85" s="5" t="str">
        <f t="shared" si="22"/>
        <v/>
      </c>
      <c r="AK85" s="5" t="str">
        <f t="shared" si="23"/>
        <v/>
      </c>
      <c r="AL85" s="7" t="str">
        <f>IF(Tableau182983[[#This Row],[Age]]&lt;&gt;"",IF(Tableau182983[[#This Row],[Age]]=0,$AT$10*$B$10+SUMIF($AS$21:$AS$29,Tableau182983[[#This Row],[Age]],$AU$21:$AU$29)*$B$10+$AT$11*$B$10,SUMIF($AS$21:$AS$29,Tableau182983[[#This Row],[Age]],$AU$21:$AU$29)*$B$10+$AT$11*$B$10),"")</f>
        <v/>
      </c>
      <c r="AM85" s="7" t="str">
        <f>IF(Tableau182983[[#This Row],[Age]]&lt;&gt;"",IF(Tableau182983[[#This Row],[Age]]=$B$11,$AT$10*$B$10,0)+Tableau182983[[#This Row],[VBO]]*$AX$21*$B$10+Tableau182983[[#This Row],[VBI]]*$AX$22*$B$10+Tableau182983[[#This Row],[VBE]]*$AX$23*$B$10,"")</f>
        <v/>
      </c>
      <c r="AN85" s="7" t="s">
        <v>166</v>
      </c>
      <c r="AO85" s="7" t="s">
        <v>166</v>
      </c>
      <c r="AP85" s="7" t="str">
        <f>IF(Tableau182983[[#This Row],[Age]]&lt;&gt;"",Tableau182983[[#This Row],[RA]]-Tableau182983[[#This Row],[DA]],"")</f>
        <v/>
      </c>
    </row>
    <row r="86" spans="1:42" ht="15" customHeight="1" x14ac:dyDescent="0.2">
      <c r="A86" s="3" t="s">
        <v>21</v>
      </c>
      <c r="B86" s="3" t="s">
        <v>123</v>
      </c>
      <c r="C86" s="3" t="s">
        <v>137</v>
      </c>
      <c r="L86" s="4"/>
      <c r="M86" s="4"/>
      <c r="N86" s="4"/>
      <c r="O86" s="5" t="str">
        <f t="shared" si="12"/>
        <v/>
      </c>
      <c r="P86" s="5" t="str">
        <f t="shared" si="13"/>
        <v/>
      </c>
      <c r="Q86" s="5" t="str">
        <f t="shared" si="14"/>
        <v/>
      </c>
      <c r="R86" s="5" t="s">
        <v>166</v>
      </c>
      <c r="S86" s="5" t="s">
        <v>166</v>
      </c>
      <c r="T86" s="5" t="str">
        <f t="shared" si="15"/>
        <v/>
      </c>
      <c r="U86" s="5" t="str">
        <f t="shared" si="16"/>
        <v/>
      </c>
      <c r="V86" s="5" t="str">
        <f>IF($E$4="Embrousaillement",Tableau182983[[#This Row],[SOL]],"")</f>
        <v/>
      </c>
      <c r="W86" s="5" t="str">
        <f>IF($E$4="Embrousaillement",Tableau182983[[#This Row],[L]],"")</f>
        <v/>
      </c>
      <c r="X86" s="5" t="s">
        <v>166</v>
      </c>
      <c r="Y86" s="5" t="str">
        <f t="shared" si="17"/>
        <v/>
      </c>
      <c r="Z86" s="5" t="str">
        <f t="shared" si="18"/>
        <v/>
      </c>
      <c r="AA86" s="5" t="str">
        <f t="shared" si="19"/>
        <v/>
      </c>
      <c r="AB86" s="5" t="s">
        <v>166</v>
      </c>
      <c r="AC86" s="5" t="s">
        <v>166</v>
      </c>
      <c r="AD86" s="5" t="str">
        <f t="shared" si="20"/>
        <v/>
      </c>
      <c r="AE86" s="5" t="s">
        <v>166</v>
      </c>
      <c r="AF86" s="5" t="s">
        <v>166</v>
      </c>
      <c r="AG86" s="5" t="str">
        <f t="shared" si="21"/>
        <v/>
      </c>
      <c r="AH86" s="5" t="s">
        <v>166</v>
      </c>
      <c r="AI86" s="5" t="s">
        <v>166</v>
      </c>
      <c r="AJ86" s="5" t="str">
        <f t="shared" si="22"/>
        <v/>
      </c>
      <c r="AK86" s="5" t="str">
        <f t="shared" si="23"/>
        <v/>
      </c>
      <c r="AL86" s="7" t="str">
        <f>IF(Tableau182983[[#This Row],[Age]]&lt;&gt;"",IF(Tableau182983[[#This Row],[Age]]=0,$AT$10*$B$10+SUMIF($AS$21:$AS$29,Tableau182983[[#This Row],[Age]],$AU$21:$AU$29)*$B$10+$AT$11*$B$10,SUMIF($AS$21:$AS$29,Tableau182983[[#This Row],[Age]],$AU$21:$AU$29)*$B$10+$AT$11*$B$10),"")</f>
        <v/>
      </c>
      <c r="AM86" s="7" t="str">
        <f>IF(Tableau182983[[#This Row],[Age]]&lt;&gt;"",IF(Tableau182983[[#This Row],[Age]]=$B$11,$AT$10*$B$10,0)+Tableau182983[[#This Row],[VBO]]*$AX$21*$B$10+Tableau182983[[#This Row],[VBI]]*$AX$22*$B$10+Tableau182983[[#This Row],[VBE]]*$AX$23*$B$10,"")</f>
        <v/>
      </c>
      <c r="AN86" s="7" t="s">
        <v>166</v>
      </c>
      <c r="AO86" s="7" t="s">
        <v>166</v>
      </c>
      <c r="AP86" s="7" t="str">
        <f>IF(Tableau182983[[#This Row],[Age]]&lt;&gt;"",Tableau182983[[#This Row],[RA]]-Tableau182983[[#This Row],[DA]],"")</f>
        <v/>
      </c>
    </row>
    <row r="87" spans="1:42" ht="15" customHeight="1" x14ac:dyDescent="0.2">
      <c r="A87" s="3" t="s">
        <v>22</v>
      </c>
      <c r="B87" s="3" t="s">
        <v>134</v>
      </c>
      <c r="C87" s="3" t="s">
        <v>138</v>
      </c>
      <c r="L87" s="4"/>
      <c r="M87" s="4"/>
      <c r="N87" s="4"/>
      <c r="O87" s="5" t="str">
        <f t="shared" si="12"/>
        <v/>
      </c>
      <c r="P87" s="5" t="str">
        <f t="shared" si="13"/>
        <v/>
      </c>
      <c r="Q87" s="5" t="str">
        <f t="shared" si="14"/>
        <v/>
      </c>
      <c r="R87" s="5" t="s">
        <v>166</v>
      </c>
      <c r="S87" s="5" t="s">
        <v>166</v>
      </c>
      <c r="T87" s="5" t="str">
        <f t="shared" si="15"/>
        <v/>
      </c>
      <c r="U87" s="5" t="str">
        <f t="shared" si="16"/>
        <v/>
      </c>
      <c r="V87" s="5" t="str">
        <f>IF($E$4="Embrousaillement",Tableau182983[[#This Row],[SOL]],"")</f>
        <v/>
      </c>
      <c r="W87" s="5" t="str">
        <f>IF($E$4="Embrousaillement",Tableau182983[[#This Row],[L]],"")</f>
        <v/>
      </c>
      <c r="X87" s="5" t="s">
        <v>166</v>
      </c>
      <c r="Y87" s="5" t="str">
        <f t="shared" si="17"/>
        <v/>
      </c>
      <c r="Z87" s="5" t="str">
        <f t="shared" si="18"/>
        <v/>
      </c>
      <c r="AA87" s="5" t="str">
        <f t="shared" si="19"/>
        <v/>
      </c>
      <c r="AB87" s="5" t="s">
        <v>166</v>
      </c>
      <c r="AC87" s="5" t="s">
        <v>166</v>
      </c>
      <c r="AD87" s="5" t="str">
        <f t="shared" si="20"/>
        <v/>
      </c>
      <c r="AE87" s="5" t="s">
        <v>166</v>
      </c>
      <c r="AF87" s="5" t="s">
        <v>166</v>
      </c>
      <c r="AG87" s="5" t="str">
        <f t="shared" si="21"/>
        <v/>
      </c>
      <c r="AH87" s="5" t="s">
        <v>166</v>
      </c>
      <c r="AI87" s="5" t="s">
        <v>166</v>
      </c>
      <c r="AJ87" s="5" t="str">
        <f t="shared" si="22"/>
        <v/>
      </c>
      <c r="AK87" s="5" t="str">
        <f t="shared" si="23"/>
        <v/>
      </c>
      <c r="AL87" s="7" t="str">
        <f>IF(Tableau182983[[#This Row],[Age]]&lt;&gt;"",IF(Tableau182983[[#This Row],[Age]]=0,$AT$10*$B$10+SUMIF($AS$21:$AS$29,Tableau182983[[#This Row],[Age]],$AU$21:$AU$29)*$B$10+$AT$11*$B$10,SUMIF($AS$21:$AS$29,Tableau182983[[#This Row],[Age]],$AU$21:$AU$29)*$B$10+$AT$11*$B$10),"")</f>
        <v/>
      </c>
      <c r="AM87" s="7" t="str">
        <f>IF(Tableau182983[[#This Row],[Age]]&lt;&gt;"",IF(Tableau182983[[#This Row],[Age]]=$B$11,$AT$10*$B$10,0)+Tableau182983[[#This Row],[VBO]]*$AX$21*$B$10+Tableau182983[[#This Row],[VBI]]*$AX$22*$B$10+Tableau182983[[#This Row],[VBE]]*$AX$23*$B$10,"")</f>
        <v/>
      </c>
      <c r="AN87" s="7" t="s">
        <v>166</v>
      </c>
      <c r="AO87" s="7" t="s">
        <v>166</v>
      </c>
      <c r="AP87" s="7" t="str">
        <f>IF(Tableau182983[[#This Row],[Age]]&lt;&gt;"",Tableau182983[[#This Row],[RA]]-Tableau182983[[#This Row],[DA]],"")</f>
        <v/>
      </c>
    </row>
    <row r="88" spans="1:42" ht="15" customHeight="1" x14ac:dyDescent="0.2">
      <c r="A88" s="3" t="s">
        <v>23</v>
      </c>
      <c r="B88" s="3" t="s">
        <v>123</v>
      </c>
      <c r="C88" s="3" t="s">
        <v>139</v>
      </c>
      <c r="L88" s="4"/>
      <c r="M88" s="4"/>
      <c r="N88" s="4"/>
      <c r="O88" s="5" t="str">
        <f t="shared" si="12"/>
        <v/>
      </c>
      <c r="P88" s="5" t="str">
        <f t="shared" si="13"/>
        <v/>
      </c>
      <c r="Q88" s="5" t="str">
        <f t="shared" si="14"/>
        <v/>
      </c>
      <c r="R88" s="5" t="s">
        <v>166</v>
      </c>
      <c r="S88" s="5" t="s">
        <v>166</v>
      </c>
      <c r="T88" s="5" t="str">
        <f t="shared" si="15"/>
        <v/>
      </c>
      <c r="U88" s="5" t="str">
        <f t="shared" si="16"/>
        <v/>
      </c>
      <c r="V88" s="5" t="str">
        <f>IF($E$4="Embrousaillement",Tableau182983[[#This Row],[SOL]],"")</f>
        <v/>
      </c>
      <c r="W88" s="5" t="str">
        <f>IF($E$4="Embrousaillement",Tableau182983[[#This Row],[L]],"")</f>
        <v/>
      </c>
      <c r="X88" s="5" t="s">
        <v>166</v>
      </c>
      <c r="Y88" s="5" t="str">
        <f t="shared" si="17"/>
        <v/>
      </c>
      <c r="Z88" s="5" t="str">
        <f t="shared" si="18"/>
        <v/>
      </c>
      <c r="AA88" s="5" t="str">
        <f t="shared" si="19"/>
        <v/>
      </c>
      <c r="AB88" s="5" t="s">
        <v>166</v>
      </c>
      <c r="AC88" s="5" t="s">
        <v>166</v>
      </c>
      <c r="AD88" s="5" t="str">
        <f t="shared" si="20"/>
        <v/>
      </c>
      <c r="AE88" s="5" t="s">
        <v>166</v>
      </c>
      <c r="AF88" s="5" t="s">
        <v>166</v>
      </c>
      <c r="AG88" s="5" t="str">
        <f t="shared" si="21"/>
        <v/>
      </c>
      <c r="AH88" s="5" t="s">
        <v>166</v>
      </c>
      <c r="AI88" s="5" t="s">
        <v>166</v>
      </c>
      <c r="AJ88" s="5" t="str">
        <f t="shared" si="22"/>
        <v/>
      </c>
      <c r="AK88" s="5" t="str">
        <f t="shared" si="23"/>
        <v/>
      </c>
      <c r="AL88" s="7" t="str">
        <f>IF(Tableau182983[[#This Row],[Age]]&lt;&gt;"",IF(Tableau182983[[#This Row],[Age]]=0,$AT$10*$B$10+SUMIF($AS$21:$AS$29,Tableau182983[[#This Row],[Age]],$AU$21:$AU$29)*$B$10+$AT$11*$B$10,SUMIF($AS$21:$AS$29,Tableau182983[[#This Row],[Age]],$AU$21:$AU$29)*$B$10+$AT$11*$B$10),"")</f>
        <v/>
      </c>
      <c r="AM88" s="7" t="str">
        <f>IF(Tableau182983[[#This Row],[Age]]&lt;&gt;"",IF(Tableau182983[[#This Row],[Age]]=$B$11,$AT$10*$B$10,0)+Tableau182983[[#This Row],[VBO]]*$AX$21*$B$10+Tableau182983[[#This Row],[VBI]]*$AX$22*$B$10+Tableau182983[[#This Row],[VBE]]*$AX$23*$B$10,"")</f>
        <v/>
      </c>
      <c r="AN88" s="7" t="s">
        <v>166</v>
      </c>
      <c r="AO88" s="7" t="s">
        <v>166</v>
      </c>
      <c r="AP88" s="7" t="str">
        <f>IF(Tableau182983[[#This Row],[Age]]&lt;&gt;"",Tableau182983[[#This Row],[RA]]-Tableau182983[[#This Row],[DA]],"")</f>
        <v/>
      </c>
    </row>
    <row r="89" spans="1:42" ht="15" customHeight="1" x14ac:dyDescent="0.2">
      <c r="A89" s="3" t="s">
        <v>24</v>
      </c>
      <c r="B89" s="3" t="s">
        <v>123</v>
      </c>
      <c r="C89" s="3" t="s">
        <v>140</v>
      </c>
      <c r="L89" s="4"/>
      <c r="M89" s="4"/>
      <c r="N89" s="4"/>
      <c r="O89" s="5" t="str">
        <f t="shared" si="12"/>
        <v/>
      </c>
      <c r="P89" s="5" t="str">
        <f t="shared" si="13"/>
        <v/>
      </c>
      <c r="Q89" s="5" t="str">
        <f t="shared" si="14"/>
        <v/>
      </c>
      <c r="R89" s="5" t="s">
        <v>166</v>
      </c>
      <c r="S89" s="5" t="s">
        <v>166</v>
      </c>
      <c r="T89" s="5" t="str">
        <f t="shared" si="15"/>
        <v/>
      </c>
      <c r="U89" s="5" t="str">
        <f t="shared" si="16"/>
        <v/>
      </c>
      <c r="V89" s="5" t="str">
        <f>IF($E$4="Embrousaillement",Tableau182983[[#This Row],[SOL]],"")</f>
        <v/>
      </c>
      <c r="W89" s="5" t="str">
        <f>IF($E$4="Embrousaillement",Tableau182983[[#This Row],[L]],"")</f>
        <v/>
      </c>
      <c r="X89" s="5" t="s">
        <v>166</v>
      </c>
      <c r="Y89" s="5" t="str">
        <f t="shared" si="17"/>
        <v/>
      </c>
      <c r="Z89" s="5" t="str">
        <f t="shared" si="18"/>
        <v/>
      </c>
      <c r="AA89" s="5" t="str">
        <f t="shared" si="19"/>
        <v/>
      </c>
      <c r="AB89" s="5" t="s">
        <v>166</v>
      </c>
      <c r="AC89" s="5" t="s">
        <v>166</v>
      </c>
      <c r="AD89" s="5" t="str">
        <f t="shared" si="20"/>
        <v/>
      </c>
      <c r="AE89" s="5" t="s">
        <v>166</v>
      </c>
      <c r="AF89" s="5" t="s">
        <v>166</v>
      </c>
      <c r="AG89" s="5" t="str">
        <f t="shared" si="21"/>
        <v/>
      </c>
      <c r="AH89" s="5" t="s">
        <v>166</v>
      </c>
      <c r="AI89" s="5" t="s">
        <v>166</v>
      </c>
      <c r="AJ89" s="5" t="str">
        <f t="shared" si="22"/>
        <v/>
      </c>
      <c r="AK89" s="5" t="str">
        <f t="shared" si="23"/>
        <v/>
      </c>
      <c r="AL89" s="7" t="str">
        <f>IF(Tableau182983[[#This Row],[Age]]&lt;&gt;"",IF(Tableau182983[[#This Row],[Age]]=0,$AT$10*$B$10+SUMIF($AS$21:$AS$29,Tableau182983[[#This Row],[Age]],$AU$21:$AU$29)*$B$10+$AT$11*$B$10,SUMIF($AS$21:$AS$29,Tableau182983[[#This Row],[Age]],$AU$21:$AU$29)*$B$10+$AT$11*$B$10),"")</f>
        <v/>
      </c>
      <c r="AM89" s="7" t="str">
        <f>IF(Tableau182983[[#This Row],[Age]]&lt;&gt;"",IF(Tableau182983[[#This Row],[Age]]=$B$11,$AT$10*$B$10,0)+Tableau182983[[#This Row],[VBO]]*$AX$21*$B$10+Tableau182983[[#This Row],[VBI]]*$AX$22*$B$10+Tableau182983[[#This Row],[VBE]]*$AX$23*$B$10,"")</f>
        <v/>
      </c>
      <c r="AN89" s="7" t="s">
        <v>166</v>
      </c>
      <c r="AO89" s="7" t="s">
        <v>166</v>
      </c>
      <c r="AP89" s="7" t="str">
        <f>IF(Tableau182983[[#This Row],[Age]]&lt;&gt;"",Tableau182983[[#This Row],[RA]]-Tableau182983[[#This Row],[DA]],"")</f>
        <v/>
      </c>
    </row>
    <row r="90" spans="1:42" ht="15" customHeight="1" x14ac:dyDescent="0.2">
      <c r="A90" s="3" t="s">
        <v>25</v>
      </c>
      <c r="B90" s="3" t="s">
        <v>134</v>
      </c>
      <c r="C90" s="3" t="s">
        <v>141</v>
      </c>
      <c r="L90" s="4"/>
      <c r="M90" s="4"/>
      <c r="N90" s="4"/>
      <c r="O90" s="5" t="str">
        <f t="shared" si="12"/>
        <v/>
      </c>
      <c r="P90" s="5" t="str">
        <f t="shared" si="13"/>
        <v/>
      </c>
      <c r="Q90" s="5" t="str">
        <f t="shared" si="14"/>
        <v/>
      </c>
      <c r="R90" s="5" t="s">
        <v>166</v>
      </c>
      <c r="S90" s="5" t="s">
        <v>166</v>
      </c>
      <c r="T90" s="5" t="str">
        <f t="shared" si="15"/>
        <v/>
      </c>
      <c r="U90" s="5" t="str">
        <f t="shared" si="16"/>
        <v/>
      </c>
      <c r="V90" s="5" t="str">
        <f>IF($E$4="Embrousaillement",Tableau182983[[#This Row],[SOL]],"")</f>
        <v/>
      </c>
      <c r="W90" s="5" t="str">
        <f>IF($E$4="Embrousaillement",Tableau182983[[#This Row],[L]],"")</f>
        <v/>
      </c>
      <c r="X90" s="5" t="s">
        <v>166</v>
      </c>
      <c r="Y90" s="5" t="str">
        <f t="shared" si="17"/>
        <v/>
      </c>
      <c r="Z90" s="5" t="str">
        <f t="shared" si="18"/>
        <v/>
      </c>
      <c r="AA90" s="5" t="str">
        <f t="shared" si="19"/>
        <v/>
      </c>
      <c r="AB90" s="5" t="s">
        <v>166</v>
      </c>
      <c r="AC90" s="5" t="s">
        <v>166</v>
      </c>
      <c r="AD90" s="5" t="str">
        <f t="shared" si="20"/>
        <v/>
      </c>
      <c r="AE90" s="5" t="s">
        <v>166</v>
      </c>
      <c r="AF90" s="5" t="s">
        <v>166</v>
      </c>
      <c r="AG90" s="5" t="str">
        <f t="shared" si="21"/>
        <v/>
      </c>
      <c r="AH90" s="5" t="s">
        <v>166</v>
      </c>
      <c r="AI90" s="5" t="s">
        <v>166</v>
      </c>
      <c r="AJ90" s="5" t="str">
        <f t="shared" si="22"/>
        <v/>
      </c>
      <c r="AK90" s="5" t="str">
        <f t="shared" si="23"/>
        <v/>
      </c>
      <c r="AL90" s="7" t="str">
        <f>IF(Tableau182983[[#This Row],[Age]]&lt;&gt;"",IF(Tableau182983[[#This Row],[Age]]=0,$AT$10*$B$10+SUMIF($AS$21:$AS$29,Tableau182983[[#This Row],[Age]],$AU$21:$AU$29)*$B$10+$AT$11*$B$10,SUMIF($AS$21:$AS$29,Tableau182983[[#This Row],[Age]],$AU$21:$AU$29)*$B$10+$AT$11*$B$10),"")</f>
        <v/>
      </c>
      <c r="AM90" s="7" t="str">
        <f>IF(Tableau182983[[#This Row],[Age]]&lt;&gt;"",IF(Tableau182983[[#This Row],[Age]]=$B$11,$AT$10*$B$10,0)+Tableau182983[[#This Row],[VBO]]*$AX$21*$B$10+Tableau182983[[#This Row],[VBI]]*$AX$22*$B$10+Tableau182983[[#This Row],[VBE]]*$AX$23*$B$10,"")</f>
        <v/>
      </c>
      <c r="AN90" s="7" t="s">
        <v>166</v>
      </c>
      <c r="AO90" s="7" t="s">
        <v>166</v>
      </c>
      <c r="AP90" s="7" t="str">
        <f>IF(Tableau182983[[#This Row],[Age]]&lt;&gt;"",Tableau182983[[#This Row],[RA]]-Tableau182983[[#This Row],[DA]],"")</f>
        <v/>
      </c>
    </row>
    <row r="91" spans="1:42" ht="15" customHeight="1" x14ac:dyDescent="0.2">
      <c r="A91" s="3" t="s">
        <v>26</v>
      </c>
      <c r="B91" s="3" t="s">
        <v>123</v>
      </c>
      <c r="C91" s="3" t="s">
        <v>142</v>
      </c>
      <c r="L91" s="4"/>
      <c r="M91" s="4"/>
      <c r="N91" s="4"/>
      <c r="O91" s="5" t="str">
        <f t="shared" si="12"/>
        <v/>
      </c>
      <c r="P91" s="5" t="str">
        <f t="shared" si="13"/>
        <v/>
      </c>
      <c r="Q91" s="5" t="str">
        <f t="shared" si="14"/>
        <v/>
      </c>
      <c r="R91" s="5" t="s">
        <v>166</v>
      </c>
      <c r="S91" s="5" t="s">
        <v>166</v>
      </c>
      <c r="T91" s="5" t="str">
        <f t="shared" si="15"/>
        <v/>
      </c>
      <c r="U91" s="5" t="str">
        <f t="shared" si="16"/>
        <v/>
      </c>
      <c r="V91" s="5" t="str">
        <f>IF($E$4="Embrousaillement",Tableau182983[[#This Row],[SOL]],"")</f>
        <v/>
      </c>
      <c r="W91" s="5" t="str">
        <f>IF($E$4="Embrousaillement",Tableau182983[[#This Row],[L]],"")</f>
        <v/>
      </c>
      <c r="X91" s="5" t="s">
        <v>166</v>
      </c>
      <c r="Y91" s="5" t="str">
        <f t="shared" si="17"/>
        <v/>
      </c>
      <c r="Z91" s="5" t="str">
        <f t="shared" si="18"/>
        <v/>
      </c>
      <c r="AA91" s="5" t="str">
        <f t="shared" si="19"/>
        <v/>
      </c>
      <c r="AB91" s="5" t="s">
        <v>166</v>
      </c>
      <c r="AC91" s="5" t="s">
        <v>166</v>
      </c>
      <c r="AD91" s="5" t="str">
        <f t="shared" si="20"/>
        <v/>
      </c>
      <c r="AE91" s="5" t="s">
        <v>166</v>
      </c>
      <c r="AF91" s="5" t="s">
        <v>166</v>
      </c>
      <c r="AG91" s="5" t="str">
        <f t="shared" si="21"/>
        <v/>
      </c>
      <c r="AH91" s="5" t="s">
        <v>166</v>
      </c>
      <c r="AI91" s="5" t="s">
        <v>166</v>
      </c>
      <c r="AJ91" s="5" t="str">
        <f t="shared" si="22"/>
        <v/>
      </c>
      <c r="AK91" s="5" t="str">
        <f t="shared" si="23"/>
        <v/>
      </c>
      <c r="AL91" s="7" t="str">
        <f>IF(Tableau182983[[#This Row],[Age]]&lt;&gt;"",IF(Tableau182983[[#This Row],[Age]]=0,$AT$10*$B$10+SUMIF($AS$21:$AS$29,Tableau182983[[#This Row],[Age]],$AU$21:$AU$29)*$B$10+$AT$11*$B$10,SUMIF($AS$21:$AS$29,Tableau182983[[#This Row],[Age]],$AU$21:$AU$29)*$B$10+$AT$11*$B$10),"")</f>
        <v/>
      </c>
      <c r="AM91" s="7" t="str">
        <f>IF(Tableau182983[[#This Row],[Age]]&lt;&gt;"",IF(Tableau182983[[#This Row],[Age]]=$B$11,$AT$10*$B$10,0)+Tableau182983[[#This Row],[VBO]]*$AX$21*$B$10+Tableau182983[[#This Row],[VBI]]*$AX$22*$B$10+Tableau182983[[#This Row],[VBE]]*$AX$23*$B$10,"")</f>
        <v/>
      </c>
      <c r="AN91" s="7" t="s">
        <v>166</v>
      </c>
      <c r="AO91" s="7" t="s">
        <v>166</v>
      </c>
      <c r="AP91" s="7" t="str">
        <f>IF(Tableau182983[[#This Row],[Age]]&lt;&gt;"",Tableau182983[[#This Row],[RA]]-Tableau182983[[#This Row],[DA]],"")</f>
        <v/>
      </c>
    </row>
    <row r="92" spans="1:42" ht="15" customHeight="1" x14ac:dyDescent="0.2">
      <c r="A92" s="3" t="s">
        <v>91</v>
      </c>
      <c r="B92" s="3" t="s">
        <v>143</v>
      </c>
      <c r="C92" s="3" t="s">
        <v>144</v>
      </c>
      <c r="L92" s="4"/>
      <c r="M92" s="4"/>
      <c r="N92" s="4"/>
      <c r="O92" s="5" t="str">
        <f t="shared" si="12"/>
        <v/>
      </c>
      <c r="P92" s="5" t="str">
        <f t="shared" si="13"/>
        <v/>
      </c>
      <c r="Q92" s="5" t="str">
        <f t="shared" si="14"/>
        <v/>
      </c>
      <c r="R92" s="5" t="s">
        <v>166</v>
      </c>
      <c r="S92" s="5" t="s">
        <v>166</v>
      </c>
      <c r="T92" s="5" t="str">
        <f t="shared" si="15"/>
        <v/>
      </c>
      <c r="U92" s="5" t="str">
        <f t="shared" si="16"/>
        <v/>
      </c>
      <c r="V92" s="5" t="str">
        <f>IF($E$4="Embrousaillement",Tableau182983[[#This Row],[SOL]],"")</f>
        <v/>
      </c>
      <c r="W92" s="5" t="str">
        <f>IF($E$4="Embrousaillement",Tableau182983[[#This Row],[L]],"")</f>
        <v/>
      </c>
      <c r="X92" s="5" t="s">
        <v>166</v>
      </c>
      <c r="Y92" s="5" t="str">
        <f t="shared" si="17"/>
        <v/>
      </c>
      <c r="Z92" s="5" t="str">
        <f t="shared" si="18"/>
        <v/>
      </c>
      <c r="AA92" s="5" t="str">
        <f t="shared" si="19"/>
        <v/>
      </c>
      <c r="AB92" s="5" t="s">
        <v>166</v>
      </c>
      <c r="AC92" s="5" t="s">
        <v>166</v>
      </c>
      <c r="AD92" s="5" t="str">
        <f t="shared" si="20"/>
        <v/>
      </c>
      <c r="AE92" s="5" t="s">
        <v>166</v>
      </c>
      <c r="AF92" s="5" t="s">
        <v>166</v>
      </c>
      <c r="AG92" s="5" t="str">
        <f t="shared" si="21"/>
        <v/>
      </c>
      <c r="AH92" s="5" t="s">
        <v>166</v>
      </c>
      <c r="AI92" s="5" t="s">
        <v>166</v>
      </c>
      <c r="AJ92" s="5" t="str">
        <f t="shared" si="22"/>
        <v/>
      </c>
      <c r="AK92" s="5" t="str">
        <f t="shared" si="23"/>
        <v/>
      </c>
      <c r="AL92" s="7" t="str">
        <f>IF(Tableau182983[[#This Row],[Age]]&lt;&gt;"",IF(Tableau182983[[#This Row],[Age]]=0,$AT$10*$B$10+SUMIF($AS$21:$AS$29,Tableau182983[[#This Row],[Age]],$AU$21:$AU$29)*$B$10+$AT$11*$B$10,SUMIF($AS$21:$AS$29,Tableau182983[[#This Row],[Age]],$AU$21:$AU$29)*$B$10+$AT$11*$B$10),"")</f>
        <v/>
      </c>
      <c r="AM92" s="7" t="str">
        <f>IF(Tableau182983[[#This Row],[Age]]&lt;&gt;"",IF(Tableau182983[[#This Row],[Age]]=$B$11,$AT$10*$B$10,0)+Tableau182983[[#This Row],[VBO]]*$AX$21*$B$10+Tableau182983[[#This Row],[VBI]]*$AX$22*$B$10+Tableau182983[[#This Row],[VBE]]*$AX$23*$B$10,"")</f>
        <v/>
      </c>
      <c r="AN92" s="7" t="s">
        <v>166</v>
      </c>
      <c r="AO92" s="7" t="s">
        <v>166</v>
      </c>
      <c r="AP92" s="7" t="str">
        <f>IF(Tableau182983[[#This Row],[Age]]&lt;&gt;"",Tableau182983[[#This Row],[RA]]-Tableau182983[[#This Row],[DA]],"")</f>
        <v/>
      </c>
    </row>
    <row r="93" spans="1:42" ht="15" customHeight="1" x14ac:dyDescent="0.2">
      <c r="A93" s="3" t="s">
        <v>28</v>
      </c>
      <c r="B93" s="3" t="s">
        <v>145</v>
      </c>
      <c r="C93" s="3" t="s">
        <v>146</v>
      </c>
      <c r="L93" s="4"/>
      <c r="M93" s="4"/>
      <c r="N93" s="4"/>
      <c r="O93" s="5" t="str">
        <f t="shared" si="12"/>
        <v/>
      </c>
      <c r="P93" s="5" t="str">
        <f t="shared" si="13"/>
        <v/>
      </c>
      <c r="Q93" s="5" t="str">
        <f t="shared" si="14"/>
        <v/>
      </c>
      <c r="R93" s="5" t="s">
        <v>166</v>
      </c>
      <c r="S93" s="5" t="s">
        <v>166</v>
      </c>
      <c r="T93" s="5" t="str">
        <f t="shared" si="15"/>
        <v/>
      </c>
      <c r="U93" s="5" t="str">
        <f t="shared" si="16"/>
        <v/>
      </c>
      <c r="V93" s="5" t="str">
        <f>IF($E$4="Embrousaillement",Tableau182983[[#This Row],[SOL]],"")</f>
        <v/>
      </c>
      <c r="W93" s="5" t="str">
        <f>IF($E$4="Embrousaillement",Tableau182983[[#This Row],[L]],"")</f>
        <v/>
      </c>
      <c r="X93" s="5" t="s">
        <v>166</v>
      </c>
      <c r="Y93" s="5" t="str">
        <f t="shared" si="17"/>
        <v/>
      </c>
      <c r="Z93" s="5" t="str">
        <f t="shared" si="18"/>
        <v/>
      </c>
      <c r="AA93" s="5" t="str">
        <f t="shared" si="19"/>
        <v/>
      </c>
      <c r="AB93" s="5" t="s">
        <v>166</v>
      </c>
      <c r="AC93" s="5" t="s">
        <v>166</v>
      </c>
      <c r="AD93" s="5" t="str">
        <f t="shared" si="20"/>
        <v/>
      </c>
      <c r="AE93" s="5" t="s">
        <v>166</v>
      </c>
      <c r="AF93" s="5" t="s">
        <v>166</v>
      </c>
      <c r="AG93" s="5" t="str">
        <f t="shared" si="21"/>
        <v/>
      </c>
      <c r="AH93" s="5" t="s">
        <v>166</v>
      </c>
      <c r="AI93" s="5" t="s">
        <v>166</v>
      </c>
      <c r="AJ93" s="5" t="str">
        <f t="shared" si="22"/>
        <v/>
      </c>
      <c r="AK93" s="5" t="str">
        <f t="shared" si="23"/>
        <v/>
      </c>
      <c r="AL93" s="7" t="str">
        <f>IF(Tableau182983[[#This Row],[Age]]&lt;&gt;"",IF(Tableau182983[[#This Row],[Age]]=0,$AT$10*$B$10+SUMIF($AS$21:$AS$29,Tableau182983[[#This Row],[Age]],$AU$21:$AU$29)*$B$10+$AT$11*$B$10,SUMIF($AS$21:$AS$29,Tableau182983[[#This Row],[Age]],$AU$21:$AU$29)*$B$10+$AT$11*$B$10),"")</f>
        <v/>
      </c>
      <c r="AM93" s="7" t="str">
        <f>IF(Tableau182983[[#This Row],[Age]]&lt;&gt;"",IF(Tableau182983[[#This Row],[Age]]=$B$11,$AT$10*$B$10,0)+Tableau182983[[#This Row],[VBO]]*$AX$21*$B$10+Tableau182983[[#This Row],[VBI]]*$AX$22*$B$10+Tableau182983[[#This Row],[VBE]]*$AX$23*$B$10,"")</f>
        <v/>
      </c>
      <c r="AN93" s="7" t="s">
        <v>166</v>
      </c>
      <c r="AO93" s="7" t="s">
        <v>166</v>
      </c>
      <c r="AP93" s="7" t="str">
        <f>IF(Tableau182983[[#This Row],[Age]]&lt;&gt;"",Tableau182983[[#This Row],[RA]]-Tableau182983[[#This Row],[DA]],"")</f>
        <v/>
      </c>
    </row>
    <row r="94" spans="1:42" ht="15" customHeight="1" x14ac:dyDescent="0.2">
      <c r="A94" s="3" t="s">
        <v>29</v>
      </c>
      <c r="B94" s="3" t="s">
        <v>145</v>
      </c>
      <c r="C94" s="3" t="s">
        <v>147</v>
      </c>
      <c r="L94" s="4"/>
      <c r="M94" s="4"/>
      <c r="N94" s="4"/>
      <c r="O94" s="5" t="str">
        <f t="shared" si="12"/>
        <v/>
      </c>
      <c r="P94" s="5" t="str">
        <f t="shared" si="13"/>
        <v/>
      </c>
      <c r="Q94" s="5" t="str">
        <f t="shared" si="14"/>
        <v/>
      </c>
      <c r="R94" s="5" t="s">
        <v>166</v>
      </c>
      <c r="S94" s="5" t="s">
        <v>166</v>
      </c>
      <c r="T94" s="5" t="str">
        <f t="shared" si="15"/>
        <v/>
      </c>
      <c r="U94" s="5" t="str">
        <f t="shared" si="16"/>
        <v/>
      </c>
      <c r="V94" s="5" t="str">
        <f>IF($E$4="Embrousaillement",Tableau182983[[#This Row],[SOL]],"")</f>
        <v/>
      </c>
      <c r="W94" s="5" t="str">
        <f>IF($E$4="Embrousaillement",Tableau182983[[#This Row],[L]],"")</f>
        <v/>
      </c>
      <c r="X94" s="5" t="s">
        <v>166</v>
      </c>
      <c r="Y94" s="5" t="str">
        <f t="shared" si="17"/>
        <v/>
      </c>
      <c r="Z94" s="5" t="str">
        <f t="shared" si="18"/>
        <v/>
      </c>
      <c r="AA94" s="5" t="str">
        <f t="shared" si="19"/>
        <v/>
      </c>
      <c r="AB94" s="5" t="s">
        <v>166</v>
      </c>
      <c r="AC94" s="5" t="s">
        <v>166</v>
      </c>
      <c r="AD94" s="5" t="str">
        <f t="shared" si="20"/>
        <v/>
      </c>
      <c r="AE94" s="5" t="s">
        <v>166</v>
      </c>
      <c r="AF94" s="5" t="s">
        <v>166</v>
      </c>
      <c r="AG94" s="5" t="str">
        <f t="shared" si="21"/>
        <v/>
      </c>
      <c r="AH94" s="5" t="s">
        <v>166</v>
      </c>
      <c r="AI94" s="5" t="s">
        <v>166</v>
      </c>
      <c r="AJ94" s="5" t="str">
        <f t="shared" si="22"/>
        <v/>
      </c>
      <c r="AK94" s="5" t="str">
        <f t="shared" si="23"/>
        <v/>
      </c>
      <c r="AL94" s="7" t="str">
        <f>IF(Tableau182983[[#This Row],[Age]]&lt;&gt;"",IF(Tableau182983[[#This Row],[Age]]=0,$AT$10*$B$10+SUMIF($AS$21:$AS$29,Tableau182983[[#This Row],[Age]],$AU$21:$AU$29)*$B$10+$AT$11*$B$10,SUMIF($AS$21:$AS$29,Tableau182983[[#This Row],[Age]],$AU$21:$AU$29)*$B$10+$AT$11*$B$10),"")</f>
        <v/>
      </c>
      <c r="AM94" s="7" t="str">
        <f>IF(Tableau182983[[#This Row],[Age]]&lt;&gt;"",IF(Tableau182983[[#This Row],[Age]]=$B$11,$AT$10*$B$10,0)+Tableau182983[[#This Row],[VBO]]*$AX$21*$B$10+Tableau182983[[#This Row],[VBI]]*$AX$22*$B$10+Tableau182983[[#This Row],[VBE]]*$AX$23*$B$10,"")</f>
        <v/>
      </c>
      <c r="AN94" s="7" t="s">
        <v>166</v>
      </c>
      <c r="AO94" s="7" t="s">
        <v>166</v>
      </c>
      <c r="AP94" s="7" t="str">
        <f>IF(Tableau182983[[#This Row],[Age]]&lt;&gt;"",Tableau182983[[#This Row],[RA]]-Tableau182983[[#This Row],[DA]],"")</f>
        <v/>
      </c>
    </row>
    <row r="95" spans="1:42" ht="15" customHeight="1" x14ac:dyDescent="0.2">
      <c r="A95" s="3" t="s">
        <v>30</v>
      </c>
      <c r="B95" s="3" t="s">
        <v>145</v>
      </c>
      <c r="C95" s="3" t="s">
        <v>148</v>
      </c>
      <c r="L95" s="4"/>
      <c r="M95" s="4"/>
      <c r="N95" s="4"/>
      <c r="O95" s="5" t="str">
        <f t="shared" si="12"/>
        <v/>
      </c>
      <c r="P95" s="5" t="str">
        <f t="shared" si="13"/>
        <v/>
      </c>
      <c r="Q95" s="5" t="str">
        <f t="shared" si="14"/>
        <v/>
      </c>
      <c r="R95" s="5" t="s">
        <v>166</v>
      </c>
      <c r="S95" s="5" t="s">
        <v>166</v>
      </c>
      <c r="T95" s="5" t="str">
        <f t="shared" si="15"/>
        <v/>
      </c>
      <c r="U95" s="5" t="str">
        <f t="shared" si="16"/>
        <v/>
      </c>
      <c r="V95" s="5" t="str">
        <f>IF($E$4="Embrousaillement",Tableau182983[[#This Row],[SOL]],"")</f>
        <v/>
      </c>
      <c r="W95" s="5" t="str">
        <f>IF($E$4="Embrousaillement",Tableau182983[[#This Row],[L]],"")</f>
        <v/>
      </c>
      <c r="X95" s="5" t="s">
        <v>166</v>
      </c>
      <c r="Y95" s="5" t="str">
        <f t="shared" si="17"/>
        <v/>
      </c>
      <c r="Z95" s="5" t="str">
        <f t="shared" si="18"/>
        <v/>
      </c>
      <c r="AA95" s="5" t="str">
        <f t="shared" si="19"/>
        <v/>
      </c>
      <c r="AB95" s="5" t="s">
        <v>166</v>
      </c>
      <c r="AC95" s="5" t="s">
        <v>166</v>
      </c>
      <c r="AD95" s="5" t="str">
        <f t="shared" si="20"/>
        <v/>
      </c>
      <c r="AE95" s="5" t="s">
        <v>166</v>
      </c>
      <c r="AF95" s="5" t="s">
        <v>166</v>
      </c>
      <c r="AG95" s="5" t="str">
        <f t="shared" si="21"/>
        <v/>
      </c>
      <c r="AH95" s="5" t="s">
        <v>166</v>
      </c>
      <c r="AI95" s="5" t="s">
        <v>166</v>
      </c>
      <c r="AJ95" s="5" t="str">
        <f t="shared" si="22"/>
        <v/>
      </c>
      <c r="AK95" s="5" t="str">
        <f t="shared" si="23"/>
        <v/>
      </c>
      <c r="AL95" s="7" t="str">
        <f>IF(Tableau182983[[#This Row],[Age]]&lt;&gt;"",IF(Tableau182983[[#This Row],[Age]]=0,$AT$10*$B$10+SUMIF($AS$21:$AS$29,Tableau182983[[#This Row],[Age]],$AU$21:$AU$29)*$B$10+$AT$11*$B$10,SUMIF($AS$21:$AS$29,Tableau182983[[#This Row],[Age]],$AU$21:$AU$29)*$B$10+$AT$11*$B$10),"")</f>
        <v/>
      </c>
      <c r="AM95" s="7" t="str">
        <f>IF(Tableau182983[[#This Row],[Age]]&lt;&gt;"",IF(Tableau182983[[#This Row],[Age]]=$B$11,$AT$10*$B$10,0)+Tableau182983[[#This Row],[VBO]]*$AX$21*$B$10+Tableau182983[[#This Row],[VBI]]*$AX$22*$B$10+Tableau182983[[#This Row],[VBE]]*$AX$23*$B$10,"")</f>
        <v/>
      </c>
      <c r="AN95" s="7" t="s">
        <v>166</v>
      </c>
      <c r="AO95" s="7" t="s">
        <v>166</v>
      </c>
      <c r="AP95" s="7" t="str">
        <f>IF(Tableau182983[[#This Row],[Age]]&lt;&gt;"",Tableau182983[[#This Row],[RA]]-Tableau182983[[#This Row],[DA]],"")</f>
        <v/>
      </c>
    </row>
    <row r="96" spans="1:42" ht="15" customHeight="1" x14ac:dyDescent="0.2">
      <c r="A96" s="3" t="s">
        <v>31</v>
      </c>
      <c r="B96" s="3" t="s">
        <v>145</v>
      </c>
      <c r="C96" s="3" t="s">
        <v>149</v>
      </c>
      <c r="L96" s="4"/>
      <c r="M96" s="4"/>
      <c r="N96" s="4"/>
      <c r="O96" s="5" t="str">
        <f t="shared" si="12"/>
        <v/>
      </c>
      <c r="P96" s="5" t="str">
        <f t="shared" si="13"/>
        <v/>
      </c>
      <c r="Q96" s="5" t="str">
        <f t="shared" si="14"/>
        <v/>
      </c>
      <c r="R96" s="5" t="s">
        <v>166</v>
      </c>
      <c r="S96" s="5" t="s">
        <v>166</v>
      </c>
      <c r="T96" s="5" t="str">
        <f t="shared" si="15"/>
        <v/>
      </c>
      <c r="U96" s="5" t="str">
        <f t="shared" si="16"/>
        <v/>
      </c>
      <c r="V96" s="5" t="str">
        <f>IF($E$4="Embrousaillement",Tableau182983[[#This Row],[SOL]],"")</f>
        <v/>
      </c>
      <c r="W96" s="5" t="str">
        <f>IF($E$4="Embrousaillement",Tableau182983[[#This Row],[L]],"")</f>
        <v/>
      </c>
      <c r="X96" s="5" t="s">
        <v>166</v>
      </c>
      <c r="Y96" s="5" t="str">
        <f t="shared" si="17"/>
        <v/>
      </c>
      <c r="Z96" s="5" t="str">
        <f t="shared" si="18"/>
        <v/>
      </c>
      <c r="AA96" s="5" t="str">
        <f t="shared" si="19"/>
        <v/>
      </c>
      <c r="AB96" s="5" t="s">
        <v>166</v>
      </c>
      <c r="AC96" s="5" t="s">
        <v>166</v>
      </c>
      <c r="AD96" s="5" t="str">
        <f t="shared" si="20"/>
        <v/>
      </c>
      <c r="AE96" s="5" t="s">
        <v>166</v>
      </c>
      <c r="AF96" s="5" t="s">
        <v>166</v>
      </c>
      <c r="AG96" s="5" t="str">
        <f t="shared" si="21"/>
        <v/>
      </c>
      <c r="AH96" s="5" t="s">
        <v>166</v>
      </c>
      <c r="AI96" s="5" t="s">
        <v>166</v>
      </c>
      <c r="AJ96" s="5" t="str">
        <f t="shared" si="22"/>
        <v/>
      </c>
      <c r="AK96" s="5" t="str">
        <f t="shared" si="23"/>
        <v/>
      </c>
      <c r="AL96" s="7" t="str">
        <f>IF(Tableau182983[[#This Row],[Age]]&lt;&gt;"",IF(Tableau182983[[#This Row],[Age]]=0,$AT$10*$B$10+SUMIF($AS$21:$AS$29,Tableau182983[[#This Row],[Age]],$AU$21:$AU$29)*$B$10+$AT$11*$B$10,SUMIF($AS$21:$AS$29,Tableau182983[[#This Row],[Age]],$AU$21:$AU$29)*$B$10+$AT$11*$B$10),"")</f>
        <v/>
      </c>
      <c r="AM96" s="7" t="str">
        <f>IF(Tableau182983[[#This Row],[Age]]&lt;&gt;"",IF(Tableau182983[[#This Row],[Age]]=$B$11,$AT$10*$B$10,0)+Tableau182983[[#This Row],[VBO]]*$AX$21*$B$10+Tableau182983[[#This Row],[VBI]]*$AX$22*$B$10+Tableau182983[[#This Row],[VBE]]*$AX$23*$B$10,"")</f>
        <v/>
      </c>
      <c r="AN96" s="7" t="s">
        <v>166</v>
      </c>
      <c r="AO96" s="7" t="s">
        <v>166</v>
      </c>
      <c r="AP96" s="7" t="str">
        <f>IF(Tableau182983[[#This Row],[Age]]&lt;&gt;"",Tableau182983[[#This Row],[RA]]-Tableau182983[[#This Row],[DA]],"")</f>
        <v/>
      </c>
    </row>
    <row r="97" spans="1:42" ht="15" customHeight="1" x14ac:dyDescent="0.2">
      <c r="A97" s="3" t="s">
        <v>32</v>
      </c>
      <c r="B97" s="3" t="s">
        <v>145</v>
      </c>
      <c r="C97" s="3" t="s">
        <v>150</v>
      </c>
      <c r="L97" s="4"/>
      <c r="M97" s="4"/>
      <c r="N97" s="4"/>
      <c r="O97" s="5" t="str">
        <f t="shared" si="12"/>
        <v/>
      </c>
      <c r="P97" s="5" t="str">
        <f t="shared" si="13"/>
        <v/>
      </c>
      <c r="Q97" s="5" t="str">
        <f t="shared" si="14"/>
        <v/>
      </c>
      <c r="R97" s="5" t="s">
        <v>166</v>
      </c>
      <c r="S97" s="5" t="s">
        <v>166</v>
      </c>
      <c r="T97" s="5" t="str">
        <f t="shared" si="15"/>
        <v/>
      </c>
      <c r="U97" s="5" t="str">
        <f t="shared" si="16"/>
        <v/>
      </c>
      <c r="V97" s="5" t="str">
        <f>IF($E$4="Embrousaillement",Tableau182983[[#This Row],[SOL]],"")</f>
        <v/>
      </c>
      <c r="W97" s="5" t="str">
        <f>IF($E$4="Embrousaillement",Tableau182983[[#This Row],[L]],"")</f>
        <v/>
      </c>
      <c r="X97" s="5" t="s">
        <v>166</v>
      </c>
      <c r="Y97" s="5" t="str">
        <f t="shared" si="17"/>
        <v/>
      </c>
      <c r="Z97" s="5" t="str">
        <f t="shared" si="18"/>
        <v/>
      </c>
      <c r="AA97" s="5" t="str">
        <f t="shared" si="19"/>
        <v/>
      </c>
      <c r="AB97" s="5" t="s">
        <v>166</v>
      </c>
      <c r="AC97" s="5" t="s">
        <v>166</v>
      </c>
      <c r="AD97" s="5" t="str">
        <f t="shared" si="20"/>
        <v/>
      </c>
      <c r="AE97" s="5" t="s">
        <v>166</v>
      </c>
      <c r="AF97" s="5" t="s">
        <v>166</v>
      </c>
      <c r="AG97" s="5" t="str">
        <f t="shared" si="21"/>
        <v/>
      </c>
      <c r="AH97" s="5" t="s">
        <v>166</v>
      </c>
      <c r="AI97" s="5" t="s">
        <v>166</v>
      </c>
      <c r="AJ97" s="5" t="str">
        <f t="shared" si="22"/>
        <v/>
      </c>
      <c r="AK97" s="5" t="str">
        <f t="shared" si="23"/>
        <v/>
      </c>
      <c r="AL97" s="7" t="str">
        <f>IF(Tableau182983[[#This Row],[Age]]&lt;&gt;"",IF(Tableau182983[[#This Row],[Age]]=0,$AT$10*$B$10+SUMIF($AS$21:$AS$29,Tableau182983[[#This Row],[Age]],$AU$21:$AU$29)*$B$10+$AT$11*$B$10,SUMIF($AS$21:$AS$29,Tableau182983[[#This Row],[Age]],$AU$21:$AU$29)*$B$10+$AT$11*$B$10),"")</f>
        <v/>
      </c>
      <c r="AM97" s="7" t="str">
        <f>IF(Tableau182983[[#This Row],[Age]]&lt;&gt;"",IF(Tableau182983[[#This Row],[Age]]=$B$11,$AT$10*$B$10,0)+Tableau182983[[#This Row],[VBO]]*$AX$21*$B$10+Tableau182983[[#This Row],[VBI]]*$AX$22*$B$10+Tableau182983[[#This Row],[VBE]]*$AX$23*$B$10,"")</f>
        <v/>
      </c>
      <c r="AN97" s="7" t="s">
        <v>166</v>
      </c>
      <c r="AO97" s="7" t="s">
        <v>166</v>
      </c>
      <c r="AP97" s="7" t="str">
        <f>IF(Tableau182983[[#This Row],[Age]]&lt;&gt;"",Tableau182983[[#This Row],[RA]]-Tableau182983[[#This Row],[DA]],"")</f>
        <v/>
      </c>
    </row>
    <row r="98" spans="1:42" ht="15" customHeight="1" x14ac:dyDescent="0.2">
      <c r="A98" s="3" t="s">
        <v>151</v>
      </c>
      <c r="B98" s="3" t="s">
        <v>145</v>
      </c>
      <c r="C98" s="3" t="s">
        <v>152</v>
      </c>
      <c r="L98" s="4"/>
      <c r="M98" s="4"/>
      <c r="N98" s="4"/>
      <c r="O98" s="5" t="str">
        <f t="shared" si="12"/>
        <v/>
      </c>
      <c r="P98" s="5" t="str">
        <f t="shared" si="13"/>
        <v/>
      </c>
      <c r="Q98" s="5" t="str">
        <f t="shared" si="14"/>
        <v/>
      </c>
      <c r="R98" s="5" t="s">
        <v>166</v>
      </c>
      <c r="S98" s="5" t="s">
        <v>166</v>
      </c>
      <c r="T98" s="5" t="str">
        <f t="shared" si="15"/>
        <v/>
      </c>
      <c r="U98" s="5" t="str">
        <f t="shared" si="16"/>
        <v/>
      </c>
      <c r="V98" s="5" t="str">
        <f>IF($E$4="Embrousaillement",Tableau182983[[#This Row],[SOL]],"")</f>
        <v/>
      </c>
      <c r="W98" s="5" t="str">
        <f>IF($E$4="Embrousaillement",Tableau182983[[#This Row],[L]],"")</f>
        <v/>
      </c>
      <c r="X98" s="5" t="s">
        <v>166</v>
      </c>
      <c r="Y98" s="5" t="str">
        <f t="shared" si="17"/>
        <v/>
      </c>
      <c r="Z98" s="5" t="str">
        <f t="shared" si="18"/>
        <v/>
      </c>
      <c r="AA98" s="5" t="str">
        <f t="shared" si="19"/>
        <v/>
      </c>
      <c r="AB98" s="5" t="s">
        <v>166</v>
      </c>
      <c r="AC98" s="5" t="s">
        <v>166</v>
      </c>
      <c r="AD98" s="5" t="str">
        <f t="shared" si="20"/>
        <v/>
      </c>
      <c r="AE98" s="5" t="s">
        <v>166</v>
      </c>
      <c r="AF98" s="5" t="s">
        <v>166</v>
      </c>
      <c r="AG98" s="5" t="str">
        <f t="shared" si="21"/>
        <v/>
      </c>
      <c r="AH98" s="5" t="s">
        <v>166</v>
      </c>
      <c r="AI98" s="5" t="s">
        <v>166</v>
      </c>
      <c r="AJ98" s="5" t="str">
        <f t="shared" si="22"/>
        <v/>
      </c>
      <c r="AK98" s="5" t="str">
        <f t="shared" si="23"/>
        <v/>
      </c>
      <c r="AL98" s="7" t="str">
        <f>IF(Tableau182983[[#This Row],[Age]]&lt;&gt;"",IF(Tableau182983[[#This Row],[Age]]=0,$AT$10*$B$10+SUMIF($AS$21:$AS$29,Tableau182983[[#This Row],[Age]],$AU$21:$AU$29)*$B$10+$AT$11*$B$10,SUMIF($AS$21:$AS$29,Tableau182983[[#This Row],[Age]],$AU$21:$AU$29)*$B$10+$AT$11*$B$10),"")</f>
        <v/>
      </c>
      <c r="AM98" s="7" t="str">
        <f>IF(Tableau182983[[#This Row],[Age]]&lt;&gt;"",IF(Tableau182983[[#This Row],[Age]]=$B$11,$AT$10*$B$10,0)+Tableau182983[[#This Row],[VBO]]*$AX$21*$B$10+Tableau182983[[#This Row],[VBI]]*$AX$22*$B$10+Tableau182983[[#This Row],[VBE]]*$AX$23*$B$10,"")</f>
        <v/>
      </c>
      <c r="AN98" s="7" t="s">
        <v>166</v>
      </c>
      <c r="AO98" s="7" t="s">
        <v>166</v>
      </c>
      <c r="AP98" s="7" t="str">
        <f>IF(Tableau182983[[#This Row],[Age]]&lt;&gt;"",Tableau182983[[#This Row],[RA]]-Tableau182983[[#This Row],[DA]],"")</f>
        <v/>
      </c>
    </row>
    <row r="99" spans="1:42" ht="15" customHeight="1" x14ac:dyDescent="0.2">
      <c r="A99" s="3" t="s">
        <v>153</v>
      </c>
      <c r="B99" s="3" t="s">
        <v>145</v>
      </c>
      <c r="C99" s="3" t="s">
        <v>154</v>
      </c>
      <c r="L99" s="4"/>
      <c r="M99" s="4"/>
      <c r="N99" s="4"/>
      <c r="O99" s="5" t="str">
        <f t="shared" si="12"/>
        <v/>
      </c>
      <c r="P99" s="5" t="str">
        <f t="shared" si="13"/>
        <v/>
      </c>
      <c r="Q99" s="5" t="str">
        <f t="shared" si="14"/>
        <v/>
      </c>
      <c r="R99" s="5" t="s">
        <v>166</v>
      </c>
      <c r="S99" s="5" t="s">
        <v>166</v>
      </c>
      <c r="T99" s="5" t="str">
        <f t="shared" si="15"/>
        <v/>
      </c>
      <c r="U99" s="5" t="str">
        <f t="shared" si="16"/>
        <v/>
      </c>
      <c r="V99" s="5" t="str">
        <f>IF($E$4="Embrousaillement",Tableau182983[[#This Row],[SOL]],"")</f>
        <v/>
      </c>
      <c r="W99" s="5" t="str">
        <f>IF($E$4="Embrousaillement",Tableau182983[[#This Row],[L]],"")</f>
        <v/>
      </c>
      <c r="X99" s="5" t="s">
        <v>166</v>
      </c>
      <c r="Y99" s="5" t="str">
        <f t="shared" si="17"/>
        <v/>
      </c>
      <c r="Z99" s="5" t="str">
        <f t="shared" si="18"/>
        <v/>
      </c>
      <c r="AA99" s="5" t="str">
        <f t="shared" si="19"/>
        <v/>
      </c>
      <c r="AB99" s="5" t="s">
        <v>166</v>
      </c>
      <c r="AC99" s="5" t="s">
        <v>166</v>
      </c>
      <c r="AD99" s="5" t="str">
        <f t="shared" si="20"/>
        <v/>
      </c>
      <c r="AE99" s="5" t="s">
        <v>166</v>
      </c>
      <c r="AF99" s="5" t="s">
        <v>166</v>
      </c>
      <c r="AG99" s="5" t="str">
        <f t="shared" si="21"/>
        <v/>
      </c>
      <c r="AH99" s="5" t="s">
        <v>166</v>
      </c>
      <c r="AI99" s="5" t="s">
        <v>166</v>
      </c>
      <c r="AJ99" s="5" t="str">
        <f t="shared" si="22"/>
        <v/>
      </c>
      <c r="AK99" s="5" t="str">
        <f t="shared" si="23"/>
        <v/>
      </c>
      <c r="AL99" s="7" t="str">
        <f>IF(Tableau182983[[#This Row],[Age]]&lt;&gt;"",IF(Tableau182983[[#This Row],[Age]]=0,$AT$10*$B$10+SUMIF($AS$21:$AS$29,Tableau182983[[#This Row],[Age]],$AU$21:$AU$29)*$B$10+$AT$11*$B$10,SUMIF($AS$21:$AS$29,Tableau182983[[#This Row],[Age]],$AU$21:$AU$29)*$B$10+$AT$11*$B$10),"")</f>
        <v/>
      </c>
      <c r="AM99" s="7" t="str">
        <f>IF(Tableau182983[[#This Row],[Age]]&lt;&gt;"",IF(Tableau182983[[#This Row],[Age]]=$B$11,$AT$10*$B$10,0)+Tableau182983[[#This Row],[VBO]]*$AX$21*$B$10+Tableau182983[[#This Row],[VBI]]*$AX$22*$B$10+Tableau182983[[#This Row],[VBE]]*$AX$23*$B$10,"")</f>
        <v/>
      </c>
      <c r="AN99" s="7" t="s">
        <v>166</v>
      </c>
      <c r="AO99" s="7" t="s">
        <v>166</v>
      </c>
      <c r="AP99" s="7" t="str">
        <f>IF(Tableau182983[[#This Row],[Age]]&lt;&gt;"",Tableau182983[[#This Row],[RA]]-Tableau182983[[#This Row],[DA]],"")</f>
        <v/>
      </c>
    </row>
    <row r="100" spans="1:42" ht="15" customHeight="1" x14ac:dyDescent="0.2">
      <c r="A100" s="3" t="s">
        <v>155</v>
      </c>
      <c r="B100" s="3" t="s">
        <v>145</v>
      </c>
      <c r="C100" s="3" t="s">
        <v>156</v>
      </c>
      <c r="L100" s="4"/>
      <c r="M100" s="4"/>
      <c r="N100" s="4"/>
      <c r="O100" s="5" t="str">
        <f t="shared" si="12"/>
        <v/>
      </c>
      <c r="P100" s="5" t="str">
        <f t="shared" si="13"/>
        <v/>
      </c>
      <c r="Q100" s="5" t="str">
        <f t="shared" si="14"/>
        <v/>
      </c>
      <c r="R100" s="5" t="s">
        <v>166</v>
      </c>
      <c r="S100" s="5" t="s">
        <v>166</v>
      </c>
      <c r="T100" s="5" t="str">
        <f t="shared" si="15"/>
        <v/>
      </c>
      <c r="U100" s="5" t="str">
        <f t="shared" si="16"/>
        <v/>
      </c>
      <c r="V100" s="5" t="str">
        <f>IF($E$4="Embrousaillement",Tableau182983[[#This Row],[SOL]],"")</f>
        <v/>
      </c>
      <c r="W100" s="5" t="str">
        <f>IF($E$4="Embrousaillement",Tableau182983[[#This Row],[L]],"")</f>
        <v/>
      </c>
      <c r="X100" s="5" t="s">
        <v>166</v>
      </c>
      <c r="Y100" s="5" t="str">
        <f t="shared" si="17"/>
        <v/>
      </c>
      <c r="Z100" s="5" t="str">
        <f t="shared" si="18"/>
        <v/>
      </c>
      <c r="AA100" s="5" t="str">
        <f t="shared" si="19"/>
        <v/>
      </c>
      <c r="AB100" s="5" t="s">
        <v>166</v>
      </c>
      <c r="AC100" s="5" t="s">
        <v>166</v>
      </c>
      <c r="AD100" s="5" t="str">
        <f t="shared" si="20"/>
        <v/>
      </c>
      <c r="AE100" s="5" t="s">
        <v>166</v>
      </c>
      <c r="AF100" s="5" t="s">
        <v>166</v>
      </c>
      <c r="AG100" s="5" t="str">
        <f t="shared" si="21"/>
        <v/>
      </c>
      <c r="AH100" s="5" t="s">
        <v>166</v>
      </c>
      <c r="AI100" s="5" t="s">
        <v>166</v>
      </c>
      <c r="AJ100" s="5" t="str">
        <f t="shared" si="22"/>
        <v/>
      </c>
      <c r="AK100" s="5" t="str">
        <f t="shared" si="23"/>
        <v/>
      </c>
      <c r="AL100" s="7" t="str">
        <f>IF(Tableau182983[[#This Row],[Age]]&lt;&gt;"",IF(Tableau182983[[#This Row],[Age]]=0,$AT$10*$B$10+SUMIF($AS$21:$AS$29,Tableau182983[[#This Row],[Age]],$AU$21:$AU$29)*$B$10+$AT$11*$B$10,SUMIF($AS$21:$AS$29,Tableau182983[[#This Row],[Age]],$AU$21:$AU$29)*$B$10+$AT$11*$B$10),"")</f>
        <v/>
      </c>
      <c r="AM100" s="7" t="str">
        <f>IF(Tableau182983[[#This Row],[Age]]&lt;&gt;"",IF(Tableau182983[[#This Row],[Age]]=$B$11,$AT$10*$B$10,0)+Tableau182983[[#This Row],[VBO]]*$AX$21*$B$10+Tableau182983[[#This Row],[VBI]]*$AX$22*$B$10+Tableau182983[[#This Row],[VBE]]*$AX$23*$B$10,"")</f>
        <v/>
      </c>
      <c r="AN100" s="7" t="s">
        <v>166</v>
      </c>
      <c r="AO100" s="7" t="s">
        <v>166</v>
      </c>
      <c r="AP100" s="7" t="str">
        <f>IF(Tableau182983[[#This Row],[Age]]&lt;&gt;"",Tableau182983[[#This Row],[RA]]-Tableau182983[[#This Row],[DA]],"")</f>
        <v/>
      </c>
    </row>
    <row r="101" spans="1:42" ht="15" customHeight="1" x14ac:dyDescent="0.2">
      <c r="A101" s="3" t="s">
        <v>157</v>
      </c>
      <c r="B101" s="3" t="s">
        <v>145</v>
      </c>
      <c r="C101" s="3" t="s">
        <v>158</v>
      </c>
      <c r="L101" s="4"/>
      <c r="M101" s="4"/>
      <c r="N101" s="4"/>
      <c r="O101" s="5" t="str">
        <f t="shared" si="12"/>
        <v/>
      </c>
      <c r="P101" s="5" t="str">
        <f t="shared" si="13"/>
        <v/>
      </c>
      <c r="Q101" s="5" t="str">
        <f t="shared" si="14"/>
        <v/>
      </c>
      <c r="R101" s="5" t="s">
        <v>166</v>
      </c>
      <c r="S101" s="5" t="s">
        <v>166</v>
      </c>
      <c r="T101" s="5" t="str">
        <f t="shared" si="15"/>
        <v/>
      </c>
      <c r="U101" s="5" t="str">
        <f t="shared" si="16"/>
        <v/>
      </c>
      <c r="V101" s="5" t="str">
        <f>IF($E$4="Embrousaillement",Tableau182983[[#This Row],[SOL]],"")</f>
        <v/>
      </c>
      <c r="W101" s="5" t="str">
        <f>IF($E$4="Embrousaillement",Tableau182983[[#This Row],[L]],"")</f>
        <v/>
      </c>
      <c r="X101" s="5" t="s">
        <v>166</v>
      </c>
      <c r="Y101" s="5" t="str">
        <f t="shared" si="17"/>
        <v/>
      </c>
      <c r="Z101" s="5" t="str">
        <f t="shared" si="18"/>
        <v/>
      </c>
      <c r="AA101" s="5" t="str">
        <f t="shared" si="19"/>
        <v/>
      </c>
      <c r="AB101" s="5" t="s">
        <v>166</v>
      </c>
      <c r="AC101" s="5" t="s">
        <v>166</v>
      </c>
      <c r="AD101" s="5" t="str">
        <f t="shared" si="20"/>
        <v/>
      </c>
      <c r="AE101" s="5" t="s">
        <v>166</v>
      </c>
      <c r="AF101" s="5" t="s">
        <v>166</v>
      </c>
      <c r="AG101" s="5" t="str">
        <f t="shared" si="21"/>
        <v/>
      </c>
      <c r="AH101" s="5" t="s">
        <v>166</v>
      </c>
      <c r="AI101" s="5" t="s">
        <v>166</v>
      </c>
      <c r="AJ101" s="5" t="str">
        <f t="shared" si="22"/>
        <v/>
      </c>
      <c r="AK101" s="5" t="str">
        <f t="shared" si="23"/>
        <v/>
      </c>
      <c r="AL101" s="7" t="str">
        <f>IF(Tableau182983[[#This Row],[Age]]&lt;&gt;"",IF(Tableau182983[[#This Row],[Age]]=0,$AT$10*$B$10+SUMIF($AS$21:$AS$29,Tableau182983[[#This Row],[Age]],$AU$21:$AU$29)*$B$10+$AT$11*$B$10,SUMIF($AS$21:$AS$29,Tableau182983[[#This Row],[Age]],$AU$21:$AU$29)*$B$10+$AT$11*$B$10),"")</f>
        <v/>
      </c>
      <c r="AM101" s="7" t="str">
        <f>IF(Tableau182983[[#This Row],[Age]]&lt;&gt;"",IF(Tableau182983[[#This Row],[Age]]=$B$11,$AT$10*$B$10,0)+Tableau182983[[#This Row],[VBO]]*$AX$21*$B$10+Tableau182983[[#This Row],[VBI]]*$AX$22*$B$10+Tableau182983[[#This Row],[VBE]]*$AX$23*$B$10,"")</f>
        <v/>
      </c>
      <c r="AN101" s="7" t="s">
        <v>166</v>
      </c>
      <c r="AO101" s="7" t="s">
        <v>166</v>
      </c>
      <c r="AP101" s="7" t="str">
        <f>IF(Tableau182983[[#This Row],[Age]]&lt;&gt;"",Tableau182983[[#This Row],[RA]]-Tableau182983[[#This Row],[DA]],"")</f>
        <v/>
      </c>
    </row>
    <row r="102" spans="1:42" ht="15" customHeight="1" x14ac:dyDescent="0.2">
      <c r="A102" s="3" t="s">
        <v>159</v>
      </c>
      <c r="B102" s="3" t="s">
        <v>145</v>
      </c>
      <c r="C102" s="3" t="s">
        <v>160</v>
      </c>
      <c r="L102" s="4"/>
      <c r="M102" s="4"/>
      <c r="N102" s="4"/>
      <c r="O102" s="5" t="str">
        <f t="shared" si="12"/>
        <v/>
      </c>
      <c r="P102" s="5" t="str">
        <f t="shared" si="13"/>
        <v/>
      </c>
      <c r="Q102" s="5" t="str">
        <f t="shared" si="14"/>
        <v/>
      </c>
      <c r="R102" s="5" t="s">
        <v>166</v>
      </c>
      <c r="S102" s="5" t="s">
        <v>166</v>
      </c>
      <c r="T102" s="5" t="str">
        <f t="shared" si="15"/>
        <v/>
      </c>
      <c r="U102" s="5" t="str">
        <f t="shared" si="16"/>
        <v/>
      </c>
      <c r="V102" s="5" t="str">
        <f>IF($E$4="Embrousaillement",Tableau182983[[#This Row],[SOL]],"")</f>
        <v/>
      </c>
      <c r="W102" s="5" t="str">
        <f>IF($E$4="Embrousaillement",Tableau182983[[#This Row],[L]],"")</f>
        <v/>
      </c>
      <c r="X102" s="5" t="s">
        <v>166</v>
      </c>
      <c r="Y102" s="5" t="str">
        <f t="shared" si="17"/>
        <v/>
      </c>
      <c r="Z102" s="5" t="str">
        <f t="shared" si="18"/>
        <v/>
      </c>
      <c r="AA102" s="5" t="str">
        <f t="shared" si="19"/>
        <v/>
      </c>
      <c r="AB102" s="5" t="s">
        <v>166</v>
      </c>
      <c r="AC102" s="5" t="s">
        <v>166</v>
      </c>
      <c r="AD102" s="5" t="str">
        <f t="shared" si="20"/>
        <v/>
      </c>
      <c r="AE102" s="5" t="s">
        <v>166</v>
      </c>
      <c r="AF102" s="5" t="s">
        <v>166</v>
      </c>
      <c r="AG102" s="5" t="str">
        <f t="shared" si="21"/>
        <v/>
      </c>
      <c r="AH102" s="5" t="s">
        <v>166</v>
      </c>
      <c r="AI102" s="5" t="s">
        <v>166</v>
      </c>
      <c r="AJ102" s="5" t="str">
        <f t="shared" si="22"/>
        <v/>
      </c>
      <c r="AK102" s="5" t="str">
        <f t="shared" si="23"/>
        <v/>
      </c>
      <c r="AL102" s="7" t="str">
        <f>IF(Tableau182983[[#This Row],[Age]]&lt;&gt;"",IF(Tableau182983[[#This Row],[Age]]=0,$AT$10*$B$10+SUMIF($AS$21:$AS$29,Tableau182983[[#This Row],[Age]],$AU$21:$AU$29)*$B$10+$AT$11*$B$10,SUMIF($AS$21:$AS$29,Tableau182983[[#This Row],[Age]],$AU$21:$AU$29)*$B$10+$AT$11*$B$10),"")</f>
        <v/>
      </c>
      <c r="AM102" s="7" t="str">
        <f>IF(Tableau182983[[#This Row],[Age]]&lt;&gt;"",IF(Tableau182983[[#This Row],[Age]]=$B$11,$AT$10*$B$10,0)+Tableau182983[[#This Row],[VBO]]*$AX$21*$B$10+Tableau182983[[#This Row],[VBI]]*$AX$22*$B$10+Tableau182983[[#This Row],[VBE]]*$AX$23*$B$10,"")</f>
        <v/>
      </c>
      <c r="AN102" s="7" t="s">
        <v>166</v>
      </c>
      <c r="AO102" s="7" t="s">
        <v>166</v>
      </c>
      <c r="AP102" s="7" t="str">
        <f>IF(Tableau182983[[#This Row],[Age]]&lt;&gt;"",Tableau182983[[#This Row],[RA]]-Tableau182983[[#This Row],[DA]],"")</f>
        <v/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9B303D-DC19-4CDD-ADFB-42B91AE9D6A4}">
  <dimension ref="A1:AX102"/>
  <sheetViews>
    <sheetView workbookViewId="0">
      <selection activeCell="B1" sqref="B1"/>
    </sheetView>
  </sheetViews>
  <sheetFormatPr baseColWidth="10" defaultColWidth="14" defaultRowHeight="15" x14ac:dyDescent="0.2"/>
  <cols>
    <col min="1" max="1" width="15.28515625" style="3" customWidth="1"/>
    <col min="2" max="2" width="14" style="3"/>
    <col min="3" max="3" width="7.140625" style="3" customWidth="1"/>
    <col min="4" max="5" width="14" style="3"/>
    <col min="6" max="6" width="7.140625" style="3" customWidth="1"/>
    <col min="7" max="8" width="14" style="3"/>
    <col min="9" max="9" width="7.140625" style="3" customWidth="1"/>
    <col min="10" max="10" width="11.7109375" style="3" customWidth="1"/>
    <col min="11" max="21" width="10.7109375" style="3" customWidth="1"/>
    <col min="22" max="23" width="14" style="3"/>
    <col min="24" max="24" width="10.7109375" style="3" customWidth="1"/>
    <col min="25" max="27" width="14" style="3"/>
    <col min="28" max="28" width="10.7109375" style="3" customWidth="1"/>
    <col min="29" max="29" width="14" style="3"/>
    <col min="30" max="31" width="10.7109375" style="3" customWidth="1"/>
    <col min="32" max="32" width="14" style="3"/>
    <col min="33" max="34" width="10.7109375" style="3" customWidth="1"/>
    <col min="35" max="35" width="14" style="3"/>
    <col min="36" max="42" width="10.7109375" style="3" customWidth="1"/>
    <col min="43" max="43" width="7.140625" style="3" customWidth="1"/>
    <col min="44" max="16384" width="14" style="3"/>
  </cols>
  <sheetData>
    <row r="1" spans="1:49" ht="15" customHeight="1" x14ac:dyDescent="0.25">
      <c r="A1" s="1" t="s">
        <v>0</v>
      </c>
      <c r="B1" s="2">
        <v>3</v>
      </c>
      <c r="K1" s="3" t="s">
        <v>1</v>
      </c>
      <c r="L1" s="3" t="s">
        <v>2</v>
      </c>
      <c r="M1" s="3" t="s">
        <v>3</v>
      </c>
      <c r="N1" s="3" t="s">
        <v>4</v>
      </c>
      <c r="O1" s="3" t="s">
        <v>5</v>
      </c>
      <c r="P1" s="3" t="s">
        <v>6</v>
      </c>
      <c r="Q1" s="3" t="s">
        <v>7</v>
      </c>
      <c r="R1" s="3" t="s">
        <v>8</v>
      </c>
      <c r="S1" s="3" t="s">
        <v>9</v>
      </c>
      <c r="T1" s="3" t="s">
        <v>10</v>
      </c>
      <c r="U1" s="3" t="s">
        <v>11</v>
      </c>
      <c r="V1" s="3" t="s">
        <v>12</v>
      </c>
      <c r="W1" s="3" t="s">
        <v>13</v>
      </c>
      <c r="X1" s="3" t="s">
        <v>14</v>
      </c>
      <c r="Y1" s="3" t="s">
        <v>15</v>
      </c>
      <c r="Z1" s="3" t="s">
        <v>16</v>
      </c>
      <c r="AA1" s="3" t="s">
        <v>17</v>
      </c>
      <c r="AB1" s="3" t="s">
        <v>18</v>
      </c>
      <c r="AC1" s="3" t="s">
        <v>19</v>
      </c>
      <c r="AD1" s="3" t="s">
        <v>20</v>
      </c>
      <c r="AE1" s="3" t="s">
        <v>21</v>
      </c>
      <c r="AF1" s="3" t="s">
        <v>22</v>
      </c>
      <c r="AG1" s="3" t="s">
        <v>23</v>
      </c>
      <c r="AH1" s="3" t="s">
        <v>24</v>
      </c>
      <c r="AI1" s="3" t="s">
        <v>25</v>
      </c>
      <c r="AJ1" s="3" t="s">
        <v>26</v>
      </c>
      <c r="AK1" s="3" t="s">
        <v>27</v>
      </c>
      <c r="AL1" s="3" t="s">
        <v>28</v>
      </c>
      <c r="AM1" s="3" t="s">
        <v>29</v>
      </c>
      <c r="AN1" s="3" t="s">
        <v>30</v>
      </c>
      <c r="AO1" s="3" t="s">
        <v>31</v>
      </c>
      <c r="AP1" s="3" t="s">
        <v>32</v>
      </c>
    </row>
    <row r="2" spans="1:49" ht="15" customHeight="1" x14ac:dyDescent="0.25">
      <c r="K2" s="3">
        <v>0</v>
      </c>
      <c r="L2" s="4">
        <v>0</v>
      </c>
      <c r="M2" s="4">
        <v>0</v>
      </c>
      <c r="N2" s="4">
        <v>0</v>
      </c>
      <c r="O2" s="5">
        <f t="shared" ref="O2:O65" si="0">IF(K2&lt;&gt;"",N2*$B$7*$B$8,"")</f>
        <v>0</v>
      </c>
      <c r="P2" s="5">
        <f t="shared" ref="P2:P65" si="1">IF(K2&lt;&gt;"",IF(O2&gt;0,EXP(-1.0587+0.8836*LN(O2)+0.284),0),"")</f>
        <v>0</v>
      </c>
      <c r="Q2" s="5">
        <f t="shared" ref="Q2:Q65" si="2">IF(K2&lt;&gt;"",45+25*(1-EXP(-0.0175*K2)),"")</f>
        <v>45</v>
      </c>
      <c r="R2" s="5">
        <v>0</v>
      </c>
      <c r="S2" s="5">
        <v>82.5</v>
      </c>
      <c r="T2" s="5" t="str">
        <f t="shared" ref="T2:T65" si="3">IF(AND(K2&lt;=$E$11,K2&lt;&gt;"",K2&gt;0),IF($E$4="Embrousaillement",1*K2*$E$7*$E$8,0),"")</f>
        <v/>
      </c>
      <c r="U2" s="5" t="str">
        <f t="shared" ref="U2:U65" si="4">IF(AND(K2&lt;=$E$11,K2&lt;&gt;"",K2&gt;0),IF($E$4="Embrousaillement",EXP(-1.0587+0.8836*LN(T2)+0.284),0),"")</f>
        <v/>
      </c>
      <c r="V2" s="5" t="str">
        <f>IF($E$4="Embrousaillement",Tableau182984[[#This Row],[SOL]],"")</f>
        <v/>
      </c>
      <c r="W2" s="5" t="str">
        <f>IF($E$4="Embrousaillement",Tableau182984[[#This Row],[L]],"")</f>
        <v/>
      </c>
      <c r="X2" s="5" t="s">
        <v>166</v>
      </c>
      <c r="Y2" s="5">
        <f t="shared" ref="Y2:Y65" si="5">IF(K2&lt;&gt;"",IF(M2&gt;0,IF($K2&gt;=$AT$7,$AU$7,IF(AND($K2&gt;=$AT$6,$K2&lt;$AT$7),$AU$6,IF(AND($K2&gt;=$AT$5,$K2&lt;$AT$6),$AU$5,IF(AND($K2&gt;=$AT$4,$K2&lt;$AT$5),$AU$4,$AU$4))))*M2,0),"")</f>
        <v>0</v>
      </c>
      <c r="Z2" s="5">
        <f t="shared" ref="Z2:Z65" si="6">IF(K2&lt;&gt;"",IF(M2&gt;0,IF($K2&gt;=$AT$7,$AV$7,IF(AND($K2&gt;=$AT$6,$K2&lt;$AT$7),$AV$6,IF(AND($K2&gt;=$AT$5,$K2&lt;$AT$6),$AV$5,IF(AND($K2&gt;=$AT$4,$K2&lt;$AT$5),$AV$4,$AV$4))))*M2,0),"")</f>
        <v>0</v>
      </c>
      <c r="AA2" s="5">
        <f t="shared" ref="AA2:AA65" si="7">IF(K2&lt;&gt;"",IF(M2&gt;0,IF($K2&gt;=$AT$7,$AW$7,IF(AND($K2&gt;=$AT$6,$K2&lt;$AT$7),$AW$6,IF(AND($K2&gt;=$AT$5,$K2&lt;$AT$6),$AW$5,IF(AND($K2&gt;=$AT$4,$K2&lt;$AT$5),$AW$4,$AW$4))))*M2,0),"")</f>
        <v>0</v>
      </c>
      <c r="AB2" s="5">
        <v>0</v>
      </c>
      <c r="AC2" s="5">
        <v>1.980420515885558E-2</v>
      </c>
      <c r="AD2" s="5" t="str">
        <f t="shared" ref="AD2:AD65" si="8">IF(AND(K2&lt;=30,K2&lt;&gt;"",K2&gt;0),EXP(-AC2)*IF(K2=1,0,AD1)+(((1-EXP(-AC2))/AC2)*AB2),"")</f>
        <v/>
      </c>
      <c r="AE2" s="5">
        <v>0</v>
      </c>
      <c r="AF2" s="5">
        <v>2.7725887222397813E-2</v>
      </c>
      <c r="AG2" s="5" t="str">
        <f t="shared" ref="AG2:AG65" si="9">IF(AND(K2&lt;=30,K2&lt;&gt;"",K2&gt;0),EXP(-AF2)*IF(K2=1,0,AG1)+(((1-EXP(-AF2))/AF2)*AE2),"")</f>
        <v/>
      </c>
      <c r="AH2" s="5">
        <v>0</v>
      </c>
      <c r="AI2" s="5">
        <v>0.34657359027997264</v>
      </c>
      <c r="AJ2" s="5" t="str">
        <f t="shared" ref="AJ2:AJ65" si="10">IF(AND(K2&lt;=30,K2&lt;&gt;"",K2&gt;0),EXP(-AI2)*IF(K2=1,0,AJ1)+(((1-EXP(-AI2))/AI2)*AH2),"")</f>
        <v/>
      </c>
      <c r="AK2" s="5">
        <f t="shared" ref="AK2:AK65" si="11">IF(AND(K2&lt;=30,K2&lt;&gt;""),SUM(Y2:AA2)*$B$10,"")</f>
        <v>0</v>
      </c>
      <c r="AL2" s="6">
        <f>IF(Tableau182984[[#This Row],[Age]]&lt;&gt;"",IF(Tableau182984[[#This Row],[Age]]=0,$AT$10*$B$10+SUMIF($AS$21:$AS$29,Tableau182984[[#This Row],[Age]],$AU$21:$AU$29)*$B$10+$AT$11*$B$10,SUMIF($AS$21:$AS$29,Tableau182984[[#This Row],[Age]],$AU$21:$AU$29)*$B$10+$AT$11*$B$10),"")</f>
        <v>384</v>
      </c>
      <c r="AM2" s="7">
        <f>IF(Tableau182984[[#This Row],[Age]]&lt;&gt;"",IF(Tableau182984[[#This Row],[Age]]=$B$11,$AT$10*$B$10,0)+Tableau182984[[#This Row],[VBO]]*$AX$21*$B$10+Tableau182984[[#This Row],[VBI]]*$AX$22*$B$10+Tableau182984[[#This Row],[VBE]]*$AX$23*$B$10,"")</f>
        <v>0</v>
      </c>
      <c r="AN2" s="7">
        <v>384</v>
      </c>
      <c r="AO2" s="7">
        <v>0</v>
      </c>
      <c r="AP2" s="7">
        <f>IF(Tableau182984[[#This Row],[Age]]&lt;&gt;"",Tableau182984[[#This Row],[RA]]-Tableau182984[[#This Row],[DA]],"")</f>
        <v>-384</v>
      </c>
      <c r="AS2" s="1" t="s">
        <v>33</v>
      </c>
    </row>
    <row r="3" spans="1:49" ht="15" customHeight="1" x14ac:dyDescent="0.25">
      <c r="A3" s="1" t="s">
        <v>34</v>
      </c>
      <c r="D3" s="1" t="s">
        <v>35</v>
      </c>
      <c r="K3" s="3">
        <v>1</v>
      </c>
      <c r="L3" s="4">
        <v>-7.4959948790056228E-4</v>
      </c>
      <c r="M3" s="4">
        <v>0</v>
      </c>
      <c r="N3" s="4">
        <v>-7.4959948790056228E-4</v>
      </c>
      <c r="O3" s="5">
        <f t="shared" si="0"/>
        <v>-5.9638135257368736E-4</v>
      </c>
      <c r="P3" s="5">
        <f t="shared" si="1"/>
        <v>0</v>
      </c>
      <c r="Q3" s="5">
        <f t="shared" si="2"/>
        <v>45.433694108373167</v>
      </c>
      <c r="R3" s="5">
        <v>0.33333333333333331</v>
      </c>
      <c r="S3" s="5">
        <v>83.905697627700718</v>
      </c>
      <c r="T3" s="5">
        <f t="shared" si="3"/>
        <v>0</v>
      </c>
      <c r="U3" s="5">
        <f t="shared" si="4"/>
        <v>0</v>
      </c>
      <c r="V3" s="5" t="str">
        <f>IF($E$4="Embrousaillement",Tableau182984[[#This Row],[SOL]],"")</f>
        <v/>
      </c>
      <c r="W3" s="5" t="str">
        <f>IF($E$4="Embrousaillement",Tableau182984[[#This Row],[L]],"")</f>
        <v/>
      </c>
      <c r="X3" s="5">
        <v>9.1666666666666661</v>
      </c>
      <c r="Y3" s="5">
        <f t="shared" si="5"/>
        <v>0</v>
      </c>
      <c r="Z3" s="5">
        <f t="shared" si="6"/>
        <v>0</v>
      </c>
      <c r="AA3" s="5">
        <f t="shared" si="7"/>
        <v>0</v>
      </c>
      <c r="AB3" s="5">
        <v>0</v>
      </c>
      <c r="AC3" s="5">
        <v>1.980420515885558E-2</v>
      </c>
      <c r="AD3" s="5">
        <f t="shared" si="8"/>
        <v>0</v>
      </c>
      <c r="AE3" s="5">
        <v>0</v>
      </c>
      <c r="AF3" s="5">
        <v>2.7725887222397813E-2</v>
      </c>
      <c r="AG3" s="5">
        <f t="shared" si="9"/>
        <v>0</v>
      </c>
      <c r="AH3" s="5">
        <v>0</v>
      </c>
      <c r="AI3" s="5">
        <v>0.34657359027997264</v>
      </c>
      <c r="AJ3" s="5">
        <f t="shared" si="10"/>
        <v>0</v>
      </c>
      <c r="AK3" s="5">
        <f t="shared" si="11"/>
        <v>0</v>
      </c>
      <c r="AL3" s="6">
        <f>IF(Tableau182984[[#This Row],[Age]]&lt;&gt;"",IF(Tableau182984[[#This Row],[Age]]=0,$AT$10*$B$10+SUMIF($AS$21:$AS$29,Tableau182984[[#This Row],[Age]],$AU$21:$AU$29)*$B$10+$AT$11*$B$10,SUMIF($AS$21:$AS$29,Tableau182984[[#This Row],[Age]],$AU$21:$AU$29)*$B$10+$AT$11*$B$10),"")</f>
        <v>2025</v>
      </c>
      <c r="AM3" s="7">
        <f>IF(Tableau182984[[#This Row],[Age]]&lt;&gt;"",IF(Tableau182984[[#This Row],[Age]]=$B$11,$AT$10*$B$10,0)+Tableau182984[[#This Row],[VBO]]*$AX$21*$B$10+Tableau182984[[#This Row],[VBI]]*$AX$22*$B$10+Tableau182984[[#This Row],[VBE]]*$AX$23*$B$10,"")</f>
        <v>0</v>
      </c>
      <c r="AN3" s="7">
        <v>1937.799043062201</v>
      </c>
      <c r="AO3" s="7">
        <v>0</v>
      </c>
      <c r="AP3" s="7">
        <f>IF(Tableau182984[[#This Row],[Age]]&lt;&gt;"",Tableau182984[[#This Row],[RA]]-Tableau182984[[#This Row],[DA]],"")</f>
        <v>-1937.799043062201</v>
      </c>
      <c r="AS3" s="8" t="s">
        <v>36</v>
      </c>
      <c r="AT3" s="8" t="s">
        <v>1</v>
      </c>
      <c r="AU3" s="8" t="s">
        <v>37</v>
      </c>
      <c r="AV3" s="8" t="s">
        <v>38</v>
      </c>
      <c r="AW3" s="8" t="s">
        <v>39</v>
      </c>
    </row>
    <row r="4" spans="1:49" ht="15" customHeight="1" x14ac:dyDescent="0.2">
      <c r="A4" s="3" t="s">
        <v>40</v>
      </c>
      <c r="B4" s="9" t="s">
        <v>162</v>
      </c>
      <c r="D4" s="3" t="s">
        <v>42</v>
      </c>
      <c r="E4" s="9" t="s">
        <v>43</v>
      </c>
      <c r="K4" s="3">
        <v>2</v>
      </c>
      <c r="L4" s="4">
        <v>2.2589601652089709E-2</v>
      </c>
      <c r="M4" s="4">
        <v>0</v>
      </c>
      <c r="N4" s="4">
        <v>2.2589601652089709E-2</v>
      </c>
      <c r="O4" s="5">
        <f t="shared" si="0"/>
        <v>1.7972287074402574E-2</v>
      </c>
      <c r="P4" s="5">
        <f t="shared" si="1"/>
        <v>1.3222682878394326E-2</v>
      </c>
      <c r="Q4" s="5">
        <f t="shared" si="2"/>
        <v>45.859864593560836</v>
      </c>
      <c r="R4" s="5">
        <v>0.66666666666666663</v>
      </c>
      <c r="S4" s="5">
        <v>85.325806263417633</v>
      </c>
      <c r="T4" s="5">
        <f t="shared" si="3"/>
        <v>0</v>
      </c>
      <c r="U4" s="5">
        <f t="shared" si="4"/>
        <v>0</v>
      </c>
      <c r="V4" s="5" t="str">
        <f>IF($E$4="Embrousaillement",Tableau182984[[#This Row],[SOL]],"")</f>
        <v/>
      </c>
      <c r="W4" s="5" t="str">
        <f>IF($E$4="Embrousaillement",Tableau182984[[#This Row],[L]],"")</f>
        <v/>
      </c>
      <c r="X4" s="5">
        <v>9.1666666666666661</v>
      </c>
      <c r="Y4" s="5">
        <f t="shared" si="5"/>
        <v>0</v>
      </c>
      <c r="Z4" s="5">
        <f t="shared" si="6"/>
        <v>0</v>
      </c>
      <c r="AA4" s="5">
        <f t="shared" si="7"/>
        <v>0</v>
      </c>
      <c r="AB4" s="5">
        <v>0</v>
      </c>
      <c r="AC4" s="5">
        <v>1.980420515885558E-2</v>
      </c>
      <c r="AD4" s="5">
        <f t="shared" si="8"/>
        <v>0</v>
      </c>
      <c r="AE4" s="5">
        <v>0</v>
      </c>
      <c r="AF4" s="5">
        <v>2.7725887222397813E-2</v>
      </c>
      <c r="AG4" s="5">
        <f t="shared" si="9"/>
        <v>0</v>
      </c>
      <c r="AH4" s="5">
        <v>0</v>
      </c>
      <c r="AI4" s="5">
        <v>0.34657359027997264</v>
      </c>
      <c r="AJ4" s="5">
        <f t="shared" si="10"/>
        <v>0</v>
      </c>
      <c r="AK4" s="5">
        <f t="shared" si="11"/>
        <v>0</v>
      </c>
      <c r="AL4" s="6">
        <f>IF(Tableau182984[[#This Row],[Age]]&lt;&gt;"",IF(Tableau182984[[#This Row],[Age]]=0,$AT$10*$B$10+SUMIF($AS$21:$AS$29,Tableau182984[[#This Row],[Age]],$AU$21:$AU$29)*$B$10+$AT$11*$B$10,SUMIF($AS$21:$AS$29,Tableau182984[[#This Row],[Age]],$AU$21:$AU$29)*$B$10+$AT$11*$B$10),"")</f>
        <v>584</v>
      </c>
      <c r="AM4" s="7">
        <f>IF(Tableau182984[[#This Row],[Age]]&lt;&gt;"",IF(Tableau182984[[#This Row],[Age]]=$B$11,$AT$10*$B$10,0)+Tableau182984[[#This Row],[VBO]]*$AX$21*$B$10+Tableau182984[[#This Row],[VBI]]*$AX$22*$B$10+Tableau182984[[#This Row],[VBE]]*$AX$23*$B$10,"")</f>
        <v>0</v>
      </c>
      <c r="AN4" s="7">
        <v>534.78629152263011</v>
      </c>
      <c r="AO4" s="7">
        <v>0</v>
      </c>
      <c r="AP4" s="7">
        <f>IF(Tableau182984[[#This Row],[Age]]&lt;&gt;"",Tableau182984[[#This Row],[RA]]-Tableau182984[[#This Row],[DA]],"")</f>
        <v>-534.78629152263011</v>
      </c>
      <c r="AS4" s="8" t="s">
        <v>44</v>
      </c>
      <c r="AT4" s="8">
        <v>30</v>
      </c>
      <c r="AU4" s="10">
        <v>0</v>
      </c>
      <c r="AV4" s="10">
        <v>0</v>
      </c>
      <c r="AW4" s="10">
        <v>1</v>
      </c>
    </row>
    <row r="5" spans="1:49" ht="15" customHeight="1" x14ac:dyDescent="0.2">
      <c r="A5" s="3" t="s">
        <v>45</v>
      </c>
      <c r="B5" s="9" t="s">
        <v>46</v>
      </c>
      <c r="D5" s="3" t="s">
        <v>40</v>
      </c>
      <c r="E5" s="9"/>
      <c r="G5" s="3" t="s">
        <v>47</v>
      </c>
      <c r="H5" s="9">
        <v>0</v>
      </c>
      <c r="K5" s="3">
        <v>3</v>
      </c>
      <c r="L5" s="4">
        <v>0.10757274656587471</v>
      </c>
      <c r="M5" s="4">
        <v>0</v>
      </c>
      <c r="N5" s="4">
        <v>0.10757274656587471</v>
      </c>
      <c r="O5" s="5">
        <f t="shared" si="0"/>
        <v>8.5584877167809922E-2</v>
      </c>
      <c r="P5" s="5">
        <f t="shared" si="1"/>
        <v>5.2507105983057842E-2</v>
      </c>
      <c r="Q5" s="5">
        <f t="shared" si="2"/>
        <v>46.278641973604969</v>
      </c>
      <c r="R5" s="5">
        <v>1</v>
      </c>
      <c r="S5" s="5">
        <v>86.797765386936319</v>
      </c>
      <c r="T5" s="5">
        <f t="shared" si="3"/>
        <v>0</v>
      </c>
      <c r="U5" s="5">
        <f t="shared" si="4"/>
        <v>0</v>
      </c>
      <c r="V5" s="5" t="str">
        <f>IF($E$4="Embrousaillement",Tableau182984[[#This Row],[SOL]],"")</f>
        <v/>
      </c>
      <c r="W5" s="5" t="str">
        <f>IF($E$4="Embrousaillement",Tableau182984[[#This Row],[L]],"")</f>
        <v/>
      </c>
      <c r="X5" s="5">
        <v>9.1666666666666661</v>
      </c>
      <c r="Y5" s="5">
        <f t="shared" si="5"/>
        <v>0</v>
      </c>
      <c r="Z5" s="5">
        <f t="shared" si="6"/>
        <v>0</v>
      </c>
      <c r="AA5" s="5">
        <f t="shared" si="7"/>
        <v>0</v>
      </c>
      <c r="AB5" s="5">
        <v>0</v>
      </c>
      <c r="AC5" s="5">
        <v>1.980420515885558E-2</v>
      </c>
      <c r="AD5" s="5">
        <f t="shared" si="8"/>
        <v>0</v>
      </c>
      <c r="AE5" s="5">
        <v>0</v>
      </c>
      <c r="AF5" s="5">
        <v>2.7725887222397813E-2</v>
      </c>
      <c r="AG5" s="5">
        <f t="shared" si="9"/>
        <v>0</v>
      </c>
      <c r="AH5" s="5">
        <v>0</v>
      </c>
      <c r="AI5" s="5">
        <v>0.34657359027997264</v>
      </c>
      <c r="AJ5" s="5">
        <f t="shared" si="10"/>
        <v>0</v>
      </c>
      <c r="AK5" s="5">
        <f t="shared" si="11"/>
        <v>0</v>
      </c>
      <c r="AL5" s="6">
        <f>IF(Tableau182984[[#This Row],[Age]]&lt;&gt;"",IF(Tableau182984[[#This Row],[Age]]=0,$AT$10*$B$10+SUMIF($AS$21:$AS$29,Tableau182984[[#This Row],[Age]],$AU$21:$AU$29)*$B$10+$AT$11*$B$10,SUMIF($AS$21:$AS$29,Tableau182984[[#This Row],[Age]],$AU$21:$AU$29)*$B$10+$AT$11*$B$10),"")</f>
        <v>184</v>
      </c>
      <c r="AM5" s="7">
        <f>IF(Tableau182984[[#This Row],[Age]]&lt;&gt;"",IF(Tableau182984[[#This Row],[Age]]=$B$11,$AT$10*$B$10,0)+Tableau182984[[#This Row],[VBO]]*$AX$21*$B$10+Tableau182984[[#This Row],[VBI]]*$AX$22*$B$10+Tableau182984[[#This Row],[VBE]]*$AX$23*$B$10,"")</f>
        <v>0</v>
      </c>
      <c r="AN5" s="7">
        <v>161.23857514610333</v>
      </c>
      <c r="AO5" s="7">
        <v>0</v>
      </c>
      <c r="AP5" s="7">
        <f>IF(Tableau182984[[#This Row],[Age]]&lt;&gt;"",Tableau182984[[#This Row],[RA]]-Tableau182984[[#This Row],[DA]],"")</f>
        <v>-161.23857514610333</v>
      </c>
      <c r="AS5" s="8" t="s">
        <v>48</v>
      </c>
      <c r="AT5" s="8">
        <v>40</v>
      </c>
      <c r="AU5" s="10">
        <v>0.3</v>
      </c>
      <c r="AV5" s="10">
        <v>0</v>
      </c>
      <c r="AW5" s="10">
        <v>0.7</v>
      </c>
    </row>
    <row r="6" spans="1:49" ht="15" customHeight="1" x14ac:dyDescent="0.2">
      <c r="A6" s="3" t="s">
        <v>49</v>
      </c>
      <c r="B6" s="3" t="s">
        <v>169</v>
      </c>
      <c r="D6" s="3" t="s">
        <v>49</v>
      </c>
      <c r="K6" s="3">
        <v>4</v>
      </c>
      <c r="L6" s="4">
        <v>0.29065250338651288</v>
      </c>
      <c r="M6" s="4">
        <v>0</v>
      </c>
      <c r="N6" s="4">
        <v>0.29065250338651288</v>
      </c>
      <c r="O6" s="5">
        <f t="shared" si="0"/>
        <v>0.23124313169430966</v>
      </c>
      <c r="P6" s="5">
        <f t="shared" si="1"/>
        <v>0.12636979877908949</v>
      </c>
      <c r="Q6" s="5">
        <f t="shared" si="2"/>
        <v>46.690154502351291</v>
      </c>
      <c r="R6" s="5">
        <v>1.3333333333333333</v>
      </c>
      <c r="S6" s="5">
        <v>88.354482292375735</v>
      </c>
      <c r="T6" s="5">
        <f t="shared" si="3"/>
        <v>0</v>
      </c>
      <c r="U6" s="5">
        <f t="shared" si="4"/>
        <v>0</v>
      </c>
      <c r="V6" s="5" t="str">
        <f>IF($E$4="Embrousaillement",Tableau182984[[#This Row],[SOL]],"")</f>
        <v/>
      </c>
      <c r="W6" s="5" t="str">
        <f>IF($E$4="Embrousaillement",Tableau182984[[#This Row],[L]],"")</f>
        <v/>
      </c>
      <c r="X6" s="5">
        <v>9.1666666666666661</v>
      </c>
      <c r="Y6" s="5">
        <f t="shared" si="5"/>
        <v>0</v>
      </c>
      <c r="Z6" s="5">
        <f t="shared" si="6"/>
        <v>0</v>
      </c>
      <c r="AA6" s="5">
        <f t="shared" si="7"/>
        <v>0</v>
      </c>
      <c r="AB6" s="5">
        <v>0</v>
      </c>
      <c r="AC6" s="5">
        <v>1.980420515885558E-2</v>
      </c>
      <c r="AD6" s="5">
        <f t="shared" si="8"/>
        <v>0</v>
      </c>
      <c r="AE6" s="5">
        <v>0</v>
      </c>
      <c r="AF6" s="5">
        <v>2.7725887222397813E-2</v>
      </c>
      <c r="AG6" s="5">
        <f t="shared" si="9"/>
        <v>0</v>
      </c>
      <c r="AH6" s="5">
        <v>0</v>
      </c>
      <c r="AI6" s="5">
        <v>0.34657359027997264</v>
      </c>
      <c r="AJ6" s="5">
        <f t="shared" si="10"/>
        <v>0</v>
      </c>
      <c r="AK6" s="5">
        <f t="shared" si="11"/>
        <v>0</v>
      </c>
      <c r="AL6" s="6">
        <f>IF(Tableau182984[[#This Row],[Age]]&lt;&gt;"",IF(Tableau182984[[#This Row],[Age]]=0,$AT$10*$B$10+SUMIF($AS$21:$AS$29,Tableau182984[[#This Row],[Age]],$AU$21:$AU$29)*$B$10+$AT$11*$B$10,SUMIF($AS$21:$AS$29,Tableau182984[[#This Row],[Age]],$AU$21:$AU$29)*$B$10+$AT$11*$B$10),"")</f>
        <v>134</v>
      </c>
      <c r="AM6" s="7">
        <f>IF(Tableau182984[[#This Row],[Age]]&lt;&gt;"",IF(Tableau182984[[#This Row],[Age]]=$B$11,$AT$10*$B$10,0)+Tableau182984[[#This Row],[VBO]]*$AX$21*$B$10+Tableau182984[[#This Row],[VBI]]*$AX$22*$B$10+Tableau182984[[#This Row],[VBE]]*$AX$23*$B$10,"")</f>
        <v>0</v>
      </c>
      <c r="AN6" s="7">
        <v>112.3672200414908</v>
      </c>
      <c r="AO6" s="7">
        <v>0</v>
      </c>
      <c r="AP6" s="7">
        <f>IF(Tableau182984[[#This Row],[Age]]&lt;&gt;"",Tableau182984[[#This Row],[RA]]-Tableau182984[[#This Row],[DA]],"")</f>
        <v>-112.3672200414908</v>
      </c>
      <c r="AS6" s="8" t="s">
        <v>50</v>
      </c>
      <c r="AT6" s="8">
        <v>60</v>
      </c>
      <c r="AU6" s="10">
        <v>0.6</v>
      </c>
      <c r="AV6" s="10">
        <v>0</v>
      </c>
      <c r="AW6" s="10">
        <v>0.4</v>
      </c>
    </row>
    <row r="7" spans="1:49" ht="15" customHeight="1" x14ac:dyDescent="0.2">
      <c r="A7" s="3" t="s">
        <v>51</v>
      </c>
      <c r="B7" s="3">
        <v>0.51</v>
      </c>
      <c r="D7" s="3" t="s">
        <v>51</v>
      </c>
      <c r="K7" s="3">
        <v>5</v>
      </c>
      <c r="L7" s="4">
        <v>0.6071790652342175</v>
      </c>
      <c r="M7" s="4">
        <v>0</v>
      </c>
      <c r="N7" s="4">
        <v>0.6071790652342175</v>
      </c>
      <c r="O7" s="5">
        <f t="shared" si="0"/>
        <v>0.48307166430034348</v>
      </c>
      <c r="P7" s="5">
        <f t="shared" si="1"/>
        <v>0.24229512854319485</v>
      </c>
      <c r="Q7" s="5">
        <f t="shared" si="2"/>
        <v>47.094528208728065</v>
      </c>
      <c r="R7" s="5">
        <v>1.6666666666666665</v>
      </c>
      <c r="S7" s="5">
        <v>90.027197520324918</v>
      </c>
      <c r="T7" s="5">
        <f t="shared" si="3"/>
        <v>0</v>
      </c>
      <c r="U7" s="5">
        <f t="shared" si="4"/>
        <v>0</v>
      </c>
      <c r="V7" s="5" t="str">
        <f>IF($E$4="Embrousaillement",Tableau182984[[#This Row],[SOL]],"")</f>
        <v/>
      </c>
      <c r="W7" s="5" t="str">
        <f>IF($E$4="Embrousaillement",Tableau182984[[#This Row],[L]],"")</f>
        <v/>
      </c>
      <c r="X7" s="5">
        <v>9.1666666666666661</v>
      </c>
      <c r="Y7" s="5">
        <f t="shared" si="5"/>
        <v>0</v>
      </c>
      <c r="Z7" s="5">
        <f t="shared" si="6"/>
        <v>0</v>
      </c>
      <c r="AA7" s="5">
        <f t="shared" si="7"/>
        <v>0</v>
      </c>
      <c r="AB7" s="5">
        <v>0</v>
      </c>
      <c r="AC7" s="5">
        <v>1.980420515885558E-2</v>
      </c>
      <c r="AD7" s="5">
        <f t="shared" si="8"/>
        <v>0</v>
      </c>
      <c r="AE7" s="5">
        <v>0</v>
      </c>
      <c r="AF7" s="5">
        <v>2.7725887222397813E-2</v>
      </c>
      <c r="AG7" s="5">
        <f t="shared" si="9"/>
        <v>0</v>
      </c>
      <c r="AH7" s="5">
        <v>0</v>
      </c>
      <c r="AI7" s="5">
        <v>0.34657359027997264</v>
      </c>
      <c r="AJ7" s="5">
        <f t="shared" si="10"/>
        <v>0</v>
      </c>
      <c r="AK7" s="5">
        <f t="shared" si="11"/>
        <v>0</v>
      </c>
      <c r="AL7" s="6">
        <f>IF(Tableau182984[[#This Row],[Age]]&lt;&gt;"",IF(Tableau182984[[#This Row],[Age]]=0,$AT$10*$B$10+SUMIF($AS$21:$AS$29,Tableau182984[[#This Row],[Age]],$AU$21:$AU$29)*$B$10+$AT$11*$B$10,SUMIF($AS$21:$AS$29,Tableau182984[[#This Row],[Age]],$AU$21:$AU$29)*$B$10+$AT$11*$B$10),"")</f>
        <v>9</v>
      </c>
      <c r="AM7" s="7">
        <f>IF(Tableau182984[[#This Row],[Age]]&lt;&gt;"",IF(Tableau182984[[#This Row],[Age]]=$B$11,$AT$10*$B$10,0)+Tableau182984[[#This Row],[VBO]]*$AX$21*$B$10+Tableau182984[[#This Row],[VBI]]*$AX$22*$B$10+Tableau182984[[#This Row],[VBE]]*$AX$23*$B$10,"")</f>
        <v>0</v>
      </c>
      <c r="AN7" s="7">
        <v>7.2220594185061566</v>
      </c>
      <c r="AO7" s="7">
        <v>0</v>
      </c>
      <c r="AP7" s="7">
        <f>IF(Tableau182984[[#This Row],[Age]]&lt;&gt;"",Tableau182984[[#This Row],[RA]]-Tableau182984[[#This Row],[DA]],"")</f>
        <v>-7.2220594185061566</v>
      </c>
      <c r="AS7" s="8" t="s">
        <v>52</v>
      </c>
      <c r="AT7" s="8" t="s">
        <v>166</v>
      </c>
      <c r="AU7" s="10" t="s">
        <v>166</v>
      </c>
      <c r="AV7" s="10" t="s">
        <v>166</v>
      </c>
      <c r="AW7" s="10" t="s">
        <v>166</v>
      </c>
    </row>
    <row r="8" spans="1:49" ht="15" customHeight="1" x14ac:dyDescent="0.2">
      <c r="A8" s="3" t="s">
        <v>53</v>
      </c>
      <c r="B8" s="3">
        <v>1.56</v>
      </c>
      <c r="D8" s="3" t="s">
        <v>53</v>
      </c>
      <c r="K8" s="3">
        <v>6</v>
      </c>
      <c r="L8" s="4">
        <v>1.0914001502163562</v>
      </c>
      <c r="M8" s="4">
        <v>0</v>
      </c>
      <c r="N8" s="4">
        <v>1.0914001502163562</v>
      </c>
      <c r="O8" s="5">
        <f t="shared" si="0"/>
        <v>0.86831795951213309</v>
      </c>
      <c r="P8" s="5">
        <f t="shared" si="1"/>
        <v>0.40678847311771055</v>
      </c>
      <c r="Q8" s="5">
        <f t="shared" si="2"/>
        <v>47.491886935343359</v>
      </c>
      <c r="R8" s="5">
        <v>2</v>
      </c>
      <c r="S8" s="5">
        <v>91.845531233211304</v>
      </c>
      <c r="T8" s="5">
        <f t="shared" si="3"/>
        <v>0</v>
      </c>
      <c r="U8" s="5">
        <f t="shared" si="4"/>
        <v>0</v>
      </c>
      <c r="V8" s="5" t="str">
        <f>IF($E$4="Embrousaillement",Tableau182984[[#This Row],[SOL]],"")</f>
        <v/>
      </c>
      <c r="W8" s="5" t="str">
        <f>IF($E$4="Embrousaillement",Tableau182984[[#This Row],[L]],"")</f>
        <v/>
      </c>
      <c r="X8" s="5">
        <v>9.1666666666666661</v>
      </c>
      <c r="Y8" s="5">
        <f t="shared" si="5"/>
        <v>0</v>
      </c>
      <c r="Z8" s="5">
        <f t="shared" si="6"/>
        <v>0</v>
      </c>
      <c r="AA8" s="5">
        <f t="shared" si="7"/>
        <v>0</v>
      </c>
      <c r="AB8" s="5">
        <v>0</v>
      </c>
      <c r="AC8" s="5">
        <v>1.980420515885558E-2</v>
      </c>
      <c r="AD8" s="5">
        <f t="shared" si="8"/>
        <v>0</v>
      </c>
      <c r="AE8" s="5">
        <v>0</v>
      </c>
      <c r="AF8" s="5">
        <v>2.7725887222397813E-2</v>
      </c>
      <c r="AG8" s="5">
        <f t="shared" si="9"/>
        <v>0</v>
      </c>
      <c r="AH8" s="5">
        <v>0</v>
      </c>
      <c r="AI8" s="5">
        <v>0.34657359027997264</v>
      </c>
      <c r="AJ8" s="5">
        <f t="shared" si="10"/>
        <v>0</v>
      </c>
      <c r="AK8" s="5">
        <f t="shared" si="11"/>
        <v>0</v>
      </c>
      <c r="AL8" s="7">
        <f>IF(Tableau182984[[#This Row],[Age]]&lt;&gt;"",IF(Tableau182984[[#This Row],[Age]]=0,$AT$10*$B$10+SUMIF($AS$21:$AS$29,Tableau182984[[#This Row],[Age]],$AU$21:$AU$29)*$B$10+$AT$11*$B$10,SUMIF($AS$21:$AS$29,Tableau182984[[#This Row],[Age]],$AU$21:$AU$29)*$B$10+$AT$11*$B$10),"")</f>
        <v>9</v>
      </c>
      <c r="AM8" s="7">
        <f>IF(Tableau182984[[#This Row],[Age]]&lt;&gt;"",IF(Tableau182984[[#This Row],[Age]]=$B$11,$AT$10*$B$10,0)+Tableau182984[[#This Row],[VBO]]*$AX$21*$B$10+Tableau182984[[#This Row],[VBI]]*$AX$22*$B$10+Tableau182984[[#This Row],[VBE]]*$AX$23*$B$10,"")</f>
        <v>0</v>
      </c>
      <c r="AN8" s="7">
        <v>6.9110616445035014</v>
      </c>
      <c r="AO8" s="7">
        <v>0</v>
      </c>
      <c r="AP8" s="7">
        <f>IF(Tableau182984[[#This Row],[Age]]&lt;&gt;"",Tableau182984[[#This Row],[RA]]-Tableau182984[[#This Row],[DA]],"")</f>
        <v>-6.9110616445035014</v>
      </c>
    </row>
    <row r="9" spans="1:49" ht="15" customHeight="1" x14ac:dyDescent="0.25">
      <c r="A9" s="11" t="s">
        <v>54</v>
      </c>
      <c r="B9" s="11">
        <v>0.25</v>
      </c>
      <c r="D9" s="3" t="s">
        <v>55</v>
      </c>
      <c r="E9" s="3">
        <f>E11*1</f>
        <v>60</v>
      </c>
      <c r="K9" s="3">
        <v>7</v>
      </c>
      <c r="L9" s="4">
        <v>1.7764610014274513</v>
      </c>
      <c r="M9" s="4">
        <v>0</v>
      </c>
      <c r="N9" s="4">
        <v>1.7764610014274513</v>
      </c>
      <c r="O9" s="5">
        <f t="shared" si="0"/>
        <v>1.4133523727356803</v>
      </c>
      <c r="P9" s="5">
        <f t="shared" si="1"/>
        <v>0.62562394800495347</v>
      </c>
      <c r="Q9" s="5">
        <f t="shared" si="2"/>
        <v>47.882352376412911</v>
      </c>
      <c r="R9" s="5">
        <v>2.333333333333333</v>
      </c>
      <c r="S9" s="5">
        <v>93.837699013846418</v>
      </c>
      <c r="T9" s="5">
        <f t="shared" si="3"/>
        <v>0</v>
      </c>
      <c r="U9" s="5">
        <f t="shared" si="4"/>
        <v>0</v>
      </c>
      <c r="V9" s="5" t="str">
        <f>IF($E$4="Embrousaillement",Tableau182984[[#This Row],[SOL]],"")</f>
        <v/>
      </c>
      <c r="W9" s="5" t="str">
        <f>IF($E$4="Embrousaillement",Tableau182984[[#This Row],[L]],"")</f>
        <v/>
      </c>
      <c r="X9" s="5">
        <v>9.1666666666666661</v>
      </c>
      <c r="Y9" s="5">
        <f t="shared" si="5"/>
        <v>0</v>
      </c>
      <c r="Z9" s="5">
        <f t="shared" si="6"/>
        <v>0</v>
      </c>
      <c r="AA9" s="5">
        <f t="shared" si="7"/>
        <v>0</v>
      </c>
      <c r="AB9" s="5">
        <v>0</v>
      </c>
      <c r="AC9" s="5">
        <v>1.980420515885558E-2</v>
      </c>
      <c r="AD9" s="5">
        <f t="shared" si="8"/>
        <v>0</v>
      </c>
      <c r="AE9" s="5">
        <v>0</v>
      </c>
      <c r="AF9" s="5">
        <v>2.7725887222397813E-2</v>
      </c>
      <c r="AG9" s="5">
        <f t="shared" si="9"/>
        <v>0</v>
      </c>
      <c r="AH9" s="5">
        <v>0</v>
      </c>
      <c r="AI9" s="5">
        <v>0.34657359027997264</v>
      </c>
      <c r="AJ9" s="5">
        <f t="shared" si="10"/>
        <v>0</v>
      </c>
      <c r="AK9" s="5">
        <f t="shared" si="11"/>
        <v>0</v>
      </c>
      <c r="AL9" s="7">
        <f>IF(Tableau182984[[#This Row],[Age]]&lt;&gt;"",IF(Tableau182984[[#This Row],[Age]]=0,$AT$10*$B$10+SUMIF($AS$21:$AS$29,Tableau182984[[#This Row],[Age]],$AU$21:$AU$29)*$B$10+$AT$11*$B$10,SUMIF($AS$21:$AS$29,Tableau182984[[#This Row],[Age]],$AU$21:$AU$29)*$B$10+$AT$11*$B$10),"")</f>
        <v>9</v>
      </c>
      <c r="AM9" s="7">
        <f>IF(Tableau182984[[#This Row],[Age]]&lt;&gt;"",IF(Tableau182984[[#This Row],[Age]]=$B$11,$AT$10*$B$10,0)+Tableau182984[[#This Row],[VBO]]*$AX$21*$B$10+Tableau182984[[#This Row],[VBI]]*$AX$22*$B$10+Tableau182984[[#This Row],[VBE]]*$AX$23*$B$10,"")</f>
        <v>0</v>
      </c>
      <c r="AN9" s="7">
        <v>6.6134561191421062</v>
      </c>
      <c r="AO9" s="7">
        <v>0</v>
      </c>
      <c r="AP9" s="7">
        <f>IF(Tableau182984[[#This Row],[Age]]&lt;&gt;"",Tableau182984[[#This Row],[RA]]-Tableau182984[[#This Row],[DA]],"")</f>
        <v>-6.6134561191421062</v>
      </c>
      <c r="AS9" s="1" t="s">
        <v>56</v>
      </c>
    </row>
    <row r="10" spans="1:49" ht="15" customHeight="1" x14ac:dyDescent="0.2">
      <c r="A10" s="3" t="s">
        <v>57</v>
      </c>
      <c r="B10" s="9">
        <v>0.5</v>
      </c>
      <c r="D10" s="11" t="s">
        <v>58</v>
      </c>
      <c r="E10" s="9"/>
      <c r="K10" s="3">
        <v>8</v>
      </c>
      <c r="L10" s="4">
        <v>2.6944043869491794</v>
      </c>
      <c r="M10" s="4">
        <v>0</v>
      </c>
      <c r="N10" s="4">
        <v>2.6944043869491794</v>
      </c>
      <c r="O10" s="5">
        <f t="shared" si="0"/>
        <v>2.1436681302567675</v>
      </c>
      <c r="P10" s="5">
        <f t="shared" si="1"/>
        <v>0.90398844086578367</v>
      </c>
      <c r="Q10" s="5">
        <f t="shared" si="2"/>
        <v>48.266044115029857</v>
      </c>
      <c r="R10" s="5">
        <v>2.6666666666666665</v>
      </c>
      <c r="S10" s="5">
        <v>96.03063736379616</v>
      </c>
      <c r="T10" s="5">
        <f t="shared" si="3"/>
        <v>0</v>
      </c>
      <c r="U10" s="5">
        <f t="shared" si="4"/>
        <v>0</v>
      </c>
      <c r="V10" s="5" t="str">
        <f>IF($E$4="Embrousaillement",Tableau182984[[#This Row],[SOL]],"")</f>
        <v/>
      </c>
      <c r="W10" s="5" t="str">
        <f>IF($E$4="Embrousaillement",Tableau182984[[#This Row],[L]],"")</f>
        <v/>
      </c>
      <c r="X10" s="5">
        <v>9.1666666666666661</v>
      </c>
      <c r="Y10" s="5">
        <f t="shared" si="5"/>
        <v>0</v>
      </c>
      <c r="Z10" s="5">
        <f t="shared" si="6"/>
        <v>0</v>
      </c>
      <c r="AA10" s="5">
        <f t="shared" si="7"/>
        <v>0</v>
      </c>
      <c r="AB10" s="5">
        <v>0</v>
      </c>
      <c r="AC10" s="5">
        <v>1.980420515885558E-2</v>
      </c>
      <c r="AD10" s="5">
        <f t="shared" si="8"/>
        <v>0</v>
      </c>
      <c r="AE10" s="5">
        <v>0</v>
      </c>
      <c r="AF10" s="5">
        <v>2.7725887222397813E-2</v>
      </c>
      <c r="AG10" s="5">
        <f t="shared" si="9"/>
        <v>0</v>
      </c>
      <c r="AH10" s="5">
        <v>0</v>
      </c>
      <c r="AI10" s="5">
        <v>0.34657359027997264</v>
      </c>
      <c r="AJ10" s="5">
        <f t="shared" si="10"/>
        <v>0</v>
      </c>
      <c r="AK10" s="5">
        <f t="shared" si="11"/>
        <v>0</v>
      </c>
      <c r="AL10" s="7">
        <f>IF(Tableau182984[[#This Row],[Age]]&lt;&gt;"",IF(Tableau182984[[#This Row],[Age]]=0,$AT$10*$B$10+SUMIF($AS$21:$AS$29,Tableau182984[[#This Row],[Age]],$AU$21:$AU$29)*$B$10+$AT$11*$B$10,SUMIF($AS$21:$AS$29,Tableau182984[[#This Row],[Age]],$AU$21:$AU$29)*$B$10+$AT$11*$B$10),"")</f>
        <v>9</v>
      </c>
      <c r="AM10" s="7">
        <f>IF(Tableau182984[[#This Row],[Age]]&lt;&gt;"",IF(Tableau182984[[#This Row],[Age]]=$B$11,$AT$10*$B$10,0)+Tableau182984[[#This Row],[VBO]]*$AX$21*$B$10+Tableau182984[[#This Row],[VBI]]*$AX$22*$B$10+Tableau182984[[#This Row],[VBE]]*$AX$23*$B$10,"")</f>
        <v>0</v>
      </c>
      <c r="AN10" s="7">
        <v>6.3286661427197206</v>
      </c>
      <c r="AO10" s="7">
        <v>0</v>
      </c>
      <c r="AP10" s="7">
        <f>IF(Tableau182984[[#This Row],[Age]]&lt;&gt;"",Tableau182984[[#This Row],[RA]]-Tableau182984[[#This Row],[DA]],"")</f>
        <v>-6.3286661427197206</v>
      </c>
      <c r="AS10" s="3" t="s">
        <v>59</v>
      </c>
      <c r="AT10" s="9">
        <v>0</v>
      </c>
    </row>
    <row r="11" spans="1:49" ht="15" customHeight="1" x14ac:dyDescent="0.2">
      <c r="A11" s="3" t="s">
        <v>60</v>
      </c>
      <c r="B11" s="3">
        <f>MAX(K:K)</f>
        <v>60</v>
      </c>
      <c r="D11" s="3" t="s">
        <v>61</v>
      </c>
      <c r="E11" s="9">
        <v>60</v>
      </c>
      <c r="K11" s="3">
        <v>9</v>
      </c>
      <c r="L11" s="4">
        <v>3.8761705998503717</v>
      </c>
      <c r="M11" s="4">
        <v>0</v>
      </c>
      <c r="N11" s="4">
        <v>3.8761705998503717</v>
      </c>
      <c r="O11" s="5">
        <f t="shared" si="0"/>
        <v>3.0838813292409557</v>
      </c>
      <c r="P11" s="5">
        <f t="shared" si="1"/>
        <v>1.2465759824004454</v>
      </c>
      <c r="Q11" s="5">
        <f t="shared" si="2"/>
        <v>48.643079659788015</v>
      </c>
      <c r="R11" s="5">
        <v>3</v>
      </c>
      <c r="S11" s="5">
        <v>98.450085951832406</v>
      </c>
      <c r="T11" s="5">
        <f t="shared" si="3"/>
        <v>0</v>
      </c>
      <c r="U11" s="5">
        <f t="shared" si="4"/>
        <v>0</v>
      </c>
      <c r="V11" s="5" t="str">
        <f>IF($E$4="Embrousaillement",Tableau182984[[#This Row],[SOL]],"")</f>
        <v/>
      </c>
      <c r="W11" s="5" t="str">
        <f>IF($E$4="Embrousaillement",Tableau182984[[#This Row],[L]],"")</f>
        <v/>
      </c>
      <c r="X11" s="5">
        <v>9.1666666666666661</v>
      </c>
      <c r="Y11" s="5">
        <f t="shared" si="5"/>
        <v>0</v>
      </c>
      <c r="Z11" s="5">
        <f t="shared" si="6"/>
        <v>0</v>
      </c>
      <c r="AA11" s="5">
        <f t="shared" si="7"/>
        <v>0</v>
      </c>
      <c r="AB11" s="5">
        <v>0</v>
      </c>
      <c r="AC11" s="5">
        <v>1.980420515885558E-2</v>
      </c>
      <c r="AD11" s="5">
        <f t="shared" si="8"/>
        <v>0</v>
      </c>
      <c r="AE11" s="5">
        <v>0</v>
      </c>
      <c r="AF11" s="5">
        <v>2.7725887222397813E-2</v>
      </c>
      <c r="AG11" s="5">
        <f t="shared" si="9"/>
        <v>0</v>
      </c>
      <c r="AH11" s="5">
        <v>0</v>
      </c>
      <c r="AI11" s="5">
        <v>0.34657359027997264</v>
      </c>
      <c r="AJ11" s="5">
        <f t="shared" si="10"/>
        <v>0</v>
      </c>
      <c r="AK11" s="5">
        <f t="shared" si="11"/>
        <v>0</v>
      </c>
      <c r="AL11" s="7">
        <f>IF(Tableau182984[[#This Row],[Age]]&lt;&gt;"",IF(Tableau182984[[#This Row],[Age]]=0,$AT$10*$B$10+SUMIF($AS$21:$AS$29,Tableau182984[[#This Row],[Age]],$AU$21:$AU$29)*$B$10+$AT$11*$B$10,SUMIF($AS$21:$AS$29,Tableau182984[[#This Row],[Age]],$AU$21:$AU$29)*$B$10+$AT$11*$B$10),"")</f>
        <v>9</v>
      </c>
      <c r="AM11" s="7">
        <f>IF(Tableau182984[[#This Row],[Age]]&lt;&gt;"",IF(Tableau182984[[#This Row],[Age]]=$B$11,$AT$10*$B$10,0)+Tableau182984[[#This Row],[VBO]]*$AX$21*$B$10+Tableau182984[[#This Row],[VBI]]*$AX$22*$B$10+Tableau182984[[#This Row],[VBE]]*$AX$23*$B$10,"")</f>
        <v>0</v>
      </c>
      <c r="AN11" s="7">
        <v>6.0561398494925562</v>
      </c>
      <c r="AO11" s="7">
        <v>0</v>
      </c>
      <c r="AP11" s="7">
        <f>IF(Tableau182984[[#This Row],[Age]]&lt;&gt;"",Tableau182984[[#This Row],[RA]]-Tableau182984[[#This Row],[DA]],"")</f>
        <v>-6.0561398494925562</v>
      </c>
      <c r="AS11" s="3" t="s">
        <v>62</v>
      </c>
      <c r="AT11" s="9">
        <v>18</v>
      </c>
    </row>
    <row r="12" spans="1:49" ht="15" customHeight="1" x14ac:dyDescent="0.2">
      <c r="K12" s="3">
        <v>10</v>
      </c>
      <c r="L12" s="4">
        <v>5.3515974581870163</v>
      </c>
      <c r="M12" s="4">
        <v>0</v>
      </c>
      <c r="N12" s="4">
        <v>5.3515974581870163</v>
      </c>
      <c r="O12" s="5">
        <f t="shared" si="0"/>
        <v>4.2577309377335908</v>
      </c>
      <c r="P12" s="5">
        <f t="shared" si="1"/>
        <v>1.6576541837837315</v>
      </c>
      <c r="Q12" s="5">
        <f t="shared" si="2"/>
        <v>49.013574480769819</v>
      </c>
      <c r="R12" s="5">
        <v>3.333333333333333</v>
      </c>
      <c r="S12" s="5">
        <v>101.12064553584378</v>
      </c>
      <c r="T12" s="5">
        <f t="shared" si="3"/>
        <v>0</v>
      </c>
      <c r="U12" s="5">
        <f t="shared" si="4"/>
        <v>0</v>
      </c>
      <c r="V12" s="5" t="str">
        <f>IF($E$4="Embrousaillement",Tableau182984[[#This Row],[SOL]],"")</f>
        <v/>
      </c>
      <c r="W12" s="5" t="str">
        <f>IF($E$4="Embrousaillement",Tableau182984[[#This Row],[L]],"")</f>
        <v/>
      </c>
      <c r="X12" s="5">
        <v>9.1666666666666661</v>
      </c>
      <c r="Y12" s="5">
        <f t="shared" si="5"/>
        <v>0</v>
      </c>
      <c r="Z12" s="5">
        <f t="shared" si="6"/>
        <v>0</v>
      </c>
      <c r="AA12" s="5">
        <f t="shared" si="7"/>
        <v>0</v>
      </c>
      <c r="AB12" s="5">
        <v>0</v>
      </c>
      <c r="AC12" s="5">
        <v>1.980420515885558E-2</v>
      </c>
      <c r="AD12" s="5">
        <f t="shared" si="8"/>
        <v>0</v>
      </c>
      <c r="AE12" s="5">
        <v>0</v>
      </c>
      <c r="AF12" s="5">
        <v>2.7725887222397813E-2</v>
      </c>
      <c r="AG12" s="5">
        <f t="shared" si="9"/>
        <v>0</v>
      </c>
      <c r="AH12" s="5">
        <v>0</v>
      </c>
      <c r="AI12" s="5">
        <v>0.34657359027997264</v>
      </c>
      <c r="AJ12" s="5">
        <f t="shared" si="10"/>
        <v>0</v>
      </c>
      <c r="AK12" s="5">
        <f t="shared" si="11"/>
        <v>0</v>
      </c>
      <c r="AL12" s="7">
        <f>IF(Tableau182984[[#This Row],[Age]]&lt;&gt;"",IF(Tableau182984[[#This Row],[Age]]=0,$AT$10*$B$10+SUMIF($AS$21:$AS$29,Tableau182984[[#This Row],[Age]],$AU$21:$AU$29)*$B$10+$AT$11*$B$10,SUMIF($AS$21:$AS$29,Tableau182984[[#This Row],[Age]],$AU$21:$AU$29)*$B$10+$AT$11*$B$10),"")</f>
        <v>9</v>
      </c>
      <c r="AM12" s="7">
        <f>IF(Tableau182984[[#This Row],[Age]]&lt;&gt;"",IF(Tableau182984[[#This Row],[Age]]=$B$11,$AT$10*$B$10,0)+Tableau182984[[#This Row],[VBO]]*$AX$21*$B$10+Tableau182984[[#This Row],[VBI]]*$AX$22*$B$10+Tableau182984[[#This Row],[VBE]]*$AX$23*$B$10,"")</f>
        <v>0</v>
      </c>
      <c r="AN12" s="7">
        <v>5.7953491382703897</v>
      </c>
      <c r="AO12" s="7">
        <v>0</v>
      </c>
      <c r="AP12" s="7">
        <f>IF(Tableau182984[[#This Row],[Age]]&lt;&gt;"",Tableau182984[[#This Row],[RA]]-Tableau182984[[#This Row],[DA]],"")</f>
        <v>-5.7953491382703897</v>
      </c>
    </row>
    <row r="13" spans="1:49" ht="15" customHeight="1" x14ac:dyDescent="0.2">
      <c r="K13" s="3">
        <v>11</v>
      </c>
      <c r="L13" s="4">
        <v>7.1494203050022538</v>
      </c>
      <c r="M13" s="4">
        <v>0</v>
      </c>
      <c r="N13" s="4">
        <v>7.1494203050022538</v>
      </c>
      <c r="O13" s="5">
        <f t="shared" si="0"/>
        <v>5.688078794659793</v>
      </c>
      <c r="P13" s="5">
        <f t="shared" si="1"/>
        <v>2.1411134146111674</v>
      </c>
      <c r="Q13" s="5">
        <f t="shared" si="2"/>
        <v>49.377642044909919</v>
      </c>
      <c r="R13" s="5">
        <v>3.6666666666666665</v>
      </c>
      <c r="S13" s="5">
        <v>104.06582085346386</v>
      </c>
      <c r="T13" s="5">
        <f t="shared" si="3"/>
        <v>0</v>
      </c>
      <c r="U13" s="5">
        <f t="shared" si="4"/>
        <v>0</v>
      </c>
      <c r="V13" s="5" t="str">
        <f>IF($E$4="Embrousaillement",Tableau182984[[#This Row],[SOL]],"")</f>
        <v/>
      </c>
      <c r="W13" s="5" t="str">
        <f>IF($E$4="Embrousaillement",Tableau182984[[#This Row],[L]],"")</f>
        <v/>
      </c>
      <c r="X13" s="5">
        <v>9.1666666666666661</v>
      </c>
      <c r="Y13" s="5">
        <f t="shared" si="5"/>
        <v>0</v>
      </c>
      <c r="Z13" s="5">
        <f t="shared" si="6"/>
        <v>0</v>
      </c>
      <c r="AA13" s="5">
        <f t="shared" si="7"/>
        <v>0</v>
      </c>
      <c r="AB13" s="5">
        <v>0</v>
      </c>
      <c r="AC13" s="5">
        <v>1.980420515885558E-2</v>
      </c>
      <c r="AD13" s="5">
        <f t="shared" si="8"/>
        <v>0</v>
      </c>
      <c r="AE13" s="5">
        <v>0</v>
      </c>
      <c r="AF13" s="5">
        <v>2.7725887222397813E-2</v>
      </c>
      <c r="AG13" s="5">
        <f t="shared" si="9"/>
        <v>0</v>
      </c>
      <c r="AH13" s="5">
        <v>0</v>
      </c>
      <c r="AI13" s="5">
        <v>0.34657359027997264</v>
      </c>
      <c r="AJ13" s="5">
        <f t="shared" si="10"/>
        <v>0</v>
      </c>
      <c r="AK13" s="5">
        <f t="shared" si="11"/>
        <v>0</v>
      </c>
      <c r="AL13" s="7">
        <f>IF(Tableau182984[[#This Row],[Age]]&lt;&gt;"",IF(Tableau182984[[#This Row],[Age]]=0,$AT$10*$B$10+SUMIF($AS$21:$AS$29,Tableau182984[[#This Row],[Age]],$AU$21:$AU$29)*$B$10+$AT$11*$B$10,SUMIF($AS$21:$AS$29,Tableau182984[[#This Row],[Age]],$AU$21:$AU$29)*$B$10+$AT$11*$B$10),"")</f>
        <v>9</v>
      </c>
      <c r="AM13" s="7">
        <f>IF(Tableau182984[[#This Row],[Age]]&lt;&gt;"",IF(Tableau182984[[#This Row],[Age]]=$B$11,$AT$10*$B$10,0)+Tableau182984[[#This Row],[VBO]]*$AX$21*$B$10+Tableau182984[[#This Row],[VBI]]*$AX$22*$B$10+Tableau182984[[#This Row],[VBE]]*$AX$23*$B$10,"")</f>
        <v>0</v>
      </c>
      <c r="AN13" s="7">
        <v>5.5457886490625734</v>
      </c>
      <c r="AO13" s="7">
        <v>0</v>
      </c>
      <c r="AP13" s="7">
        <f>IF(Tableau182984[[#This Row],[Age]]&lt;&gt;"",Tableau182984[[#This Row],[RA]]-Tableau182984[[#This Row],[DA]],"")</f>
        <v>-5.5457886490625734</v>
      </c>
    </row>
    <row r="14" spans="1:49" ht="15" customHeight="1" x14ac:dyDescent="0.2">
      <c r="K14" s="3">
        <v>12</v>
      </c>
      <c r="L14" s="4">
        <v>9.2972720083263738</v>
      </c>
      <c r="M14" s="4">
        <v>0</v>
      </c>
      <c r="N14" s="4">
        <v>9.2972720083263738</v>
      </c>
      <c r="O14" s="5">
        <f t="shared" si="0"/>
        <v>7.3969096098244629</v>
      </c>
      <c r="P14" s="5">
        <f t="shared" si="1"/>
        <v>2.7005045929298945</v>
      </c>
      <c r="Q14" s="5">
        <f t="shared" si="2"/>
        <v>49.735393850745325</v>
      </c>
      <c r="R14" s="5">
        <v>4</v>
      </c>
      <c r="S14" s="5">
        <v>107.30805359459835</v>
      </c>
      <c r="T14" s="5">
        <f t="shared" si="3"/>
        <v>0</v>
      </c>
      <c r="U14" s="5">
        <f t="shared" si="4"/>
        <v>0</v>
      </c>
      <c r="V14" s="5" t="str">
        <f>IF($E$4="Embrousaillement",Tableau182984[[#This Row],[SOL]],"")</f>
        <v/>
      </c>
      <c r="W14" s="5" t="str">
        <f>IF($E$4="Embrousaillement",Tableau182984[[#This Row],[L]],"")</f>
        <v/>
      </c>
      <c r="X14" s="5">
        <v>9.1666666666666661</v>
      </c>
      <c r="Y14" s="5">
        <f t="shared" si="5"/>
        <v>0</v>
      </c>
      <c r="Z14" s="5">
        <f t="shared" si="6"/>
        <v>0</v>
      </c>
      <c r="AA14" s="5">
        <f t="shared" si="7"/>
        <v>0</v>
      </c>
      <c r="AB14" s="5">
        <v>0</v>
      </c>
      <c r="AC14" s="5">
        <v>1.980420515885558E-2</v>
      </c>
      <c r="AD14" s="5">
        <f t="shared" si="8"/>
        <v>0</v>
      </c>
      <c r="AE14" s="5">
        <v>0</v>
      </c>
      <c r="AF14" s="5">
        <v>2.7725887222397813E-2</v>
      </c>
      <c r="AG14" s="5">
        <f t="shared" si="9"/>
        <v>0</v>
      </c>
      <c r="AH14" s="5">
        <v>0</v>
      </c>
      <c r="AI14" s="5">
        <v>0.34657359027997264</v>
      </c>
      <c r="AJ14" s="5">
        <f t="shared" si="10"/>
        <v>0</v>
      </c>
      <c r="AK14" s="5">
        <f t="shared" si="11"/>
        <v>0</v>
      </c>
      <c r="AL14" s="7">
        <f>IF(Tableau182984[[#This Row],[Age]]&lt;&gt;"",IF(Tableau182984[[#This Row],[Age]]=0,$AT$10*$B$10+SUMIF($AS$21:$AS$29,Tableau182984[[#This Row],[Age]],$AU$21:$AU$29)*$B$10+$AT$11*$B$10,SUMIF($AS$21:$AS$29,Tableau182984[[#This Row],[Age]],$AU$21:$AU$29)*$B$10+$AT$11*$B$10),"")</f>
        <v>9</v>
      </c>
      <c r="AM14" s="7">
        <f>IF(Tableau182984[[#This Row],[Age]]&lt;&gt;"",IF(Tableau182984[[#This Row],[Age]]=$B$11,$AT$10*$B$10,0)+Tableau182984[[#This Row],[VBO]]*$AX$21*$B$10+Tableau182984[[#This Row],[VBI]]*$AX$22*$B$10+Tableau182984[[#This Row],[VBE]]*$AX$23*$B$10,"")</f>
        <v>0</v>
      </c>
      <c r="AN14" s="7">
        <v>5.3069747837919374</v>
      </c>
      <c r="AO14" s="7">
        <v>0</v>
      </c>
      <c r="AP14" s="7">
        <f>IF(Tableau182984[[#This Row],[Age]]&lt;&gt;"",Tableau182984[[#This Row],[RA]]-Tableau182984[[#This Row],[DA]],"")</f>
        <v>-5.3069747837919374</v>
      </c>
    </row>
    <row r="15" spans="1:49" ht="15" customHeight="1" x14ac:dyDescent="0.25">
      <c r="A15" s="1" t="s">
        <v>63</v>
      </c>
      <c r="B15" s="1" t="s">
        <v>64</v>
      </c>
      <c r="C15" s="1"/>
      <c r="D15" s="1"/>
      <c r="E15" s="1"/>
      <c r="F15" s="1"/>
      <c r="G15" s="1"/>
      <c r="H15" s="1"/>
      <c r="K15" s="3">
        <v>13</v>
      </c>
      <c r="L15" s="4">
        <v>11.821682961176833</v>
      </c>
      <c r="M15" s="4">
        <v>0</v>
      </c>
      <c r="N15" s="4">
        <v>11.821682961176833</v>
      </c>
      <c r="O15" s="5">
        <f t="shared" si="0"/>
        <v>9.405330963912288</v>
      </c>
      <c r="P15" s="5">
        <f t="shared" si="1"/>
        <v>3.3390690814468678</v>
      </c>
      <c r="Q15" s="5">
        <f t="shared" si="2"/>
        <v>50.086939462562704</v>
      </c>
      <c r="R15" s="5">
        <v>4.333333333333333</v>
      </c>
      <c r="S15" s="5">
        <v>110.86874849864299</v>
      </c>
      <c r="T15" s="5">
        <f t="shared" si="3"/>
        <v>0</v>
      </c>
      <c r="U15" s="5">
        <f t="shared" si="4"/>
        <v>0</v>
      </c>
      <c r="V15" s="5" t="str">
        <f>IF($E$4="Embrousaillement",Tableau182984[[#This Row],[SOL]],"")</f>
        <v/>
      </c>
      <c r="W15" s="5" t="str">
        <f>IF($E$4="Embrousaillement",Tableau182984[[#This Row],[L]],"")</f>
        <v/>
      </c>
      <c r="X15" s="5">
        <v>9.1666666666666661</v>
      </c>
      <c r="Y15" s="5">
        <f t="shared" si="5"/>
        <v>0</v>
      </c>
      <c r="Z15" s="5">
        <f t="shared" si="6"/>
        <v>0</v>
      </c>
      <c r="AA15" s="5">
        <f t="shared" si="7"/>
        <v>0</v>
      </c>
      <c r="AB15" s="5">
        <v>0</v>
      </c>
      <c r="AC15" s="5">
        <v>1.980420515885558E-2</v>
      </c>
      <c r="AD15" s="5">
        <f t="shared" si="8"/>
        <v>0</v>
      </c>
      <c r="AE15" s="5">
        <v>0</v>
      </c>
      <c r="AF15" s="5">
        <v>2.7725887222397813E-2</v>
      </c>
      <c r="AG15" s="5">
        <f t="shared" si="9"/>
        <v>0</v>
      </c>
      <c r="AH15" s="5">
        <v>0</v>
      </c>
      <c r="AI15" s="5">
        <v>0.34657359027997264</v>
      </c>
      <c r="AJ15" s="5">
        <f t="shared" si="10"/>
        <v>0</v>
      </c>
      <c r="AK15" s="5">
        <f t="shared" si="11"/>
        <v>0</v>
      </c>
      <c r="AL15" s="7">
        <f>IF(Tableau182984[[#This Row],[Age]]&lt;&gt;"",IF(Tableau182984[[#This Row],[Age]]=0,$AT$10*$B$10+SUMIF($AS$21:$AS$29,Tableau182984[[#This Row],[Age]],$AU$21:$AU$29)*$B$10+$AT$11*$B$10,SUMIF($AS$21:$AS$29,Tableau182984[[#This Row],[Age]],$AU$21:$AU$29)*$B$10+$AT$11*$B$10),"")</f>
        <v>9</v>
      </c>
      <c r="AM15" s="7">
        <f>IF(Tableau182984[[#This Row],[Age]]&lt;&gt;"",IF(Tableau182984[[#This Row],[Age]]=$B$11,$AT$10*$B$10,0)+Tableau182984[[#This Row],[VBO]]*$AX$21*$B$10+Tableau182984[[#This Row],[VBI]]*$AX$22*$B$10+Tableau182984[[#This Row],[VBE]]*$AX$23*$B$10,"")</f>
        <v>0</v>
      </c>
      <c r="AN15" s="7">
        <v>5.078444769178887</v>
      </c>
      <c r="AO15" s="7">
        <v>0</v>
      </c>
      <c r="AP15" s="7">
        <f>IF(Tableau182984[[#This Row],[Age]]&lt;&gt;"",Tableau182984[[#This Row],[RA]]-Tableau182984[[#This Row],[DA]],"")</f>
        <v>-5.078444769178887</v>
      </c>
    </row>
    <row r="16" spans="1:49" ht="15" customHeight="1" x14ac:dyDescent="0.2">
      <c r="A16" s="12"/>
      <c r="B16" s="13"/>
      <c r="C16" s="13"/>
      <c r="D16" s="13"/>
      <c r="E16" s="13"/>
      <c r="F16" s="13"/>
      <c r="G16" s="13"/>
      <c r="H16" s="13"/>
      <c r="I16" s="14"/>
      <c r="K16" s="3">
        <v>14</v>
      </c>
      <c r="L16" s="4">
        <v>14.74808108155824</v>
      </c>
      <c r="M16" s="4">
        <v>0</v>
      </c>
      <c r="N16" s="4">
        <v>14.74808108155824</v>
      </c>
      <c r="O16" s="5">
        <f t="shared" si="0"/>
        <v>11.733573308487736</v>
      </c>
      <c r="P16" s="5">
        <f t="shared" si="1"/>
        <v>4.0597628959757266</v>
      </c>
      <c r="Q16" s="5">
        <f t="shared" si="2"/>
        <v>50.432386543953299</v>
      </c>
      <c r="R16" s="5">
        <v>4.6666666666666661</v>
      </c>
      <c r="S16" s="5">
        <v>114.76829449752353</v>
      </c>
      <c r="T16" s="5">
        <f t="shared" si="3"/>
        <v>0</v>
      </c>
      <c r="U16" s="5">
        <f t="shared" si="4"/>
        <v>0</v>
      </c>
      <c r="V16" s="5" t="str">
        <f>IF($E$4="Embrousaillement",Tableau182984[[#This Row],[SOL]],"")</f>
        <v/>
      </c>
      <c r="W16" s="5" t="str">
        <f>IF($E$4="Embrousaillement",Tableau182984[[#This Row],[L]],"")</f>
        <v/>
      </c>
      <c r="X16" s="5">
        <v>9.1666666666666661</v>
      </c>
      <c r="Y16" s="5">
        <f t="shared" si="5"/>
        <v>0</v>
      </c>
      <c r="Z16" s="5">
        <f t="shared" si="6"/>
        <v>0</v>
      </c>
      <c r="AA16" s="5">
        <f t="shared" si="7"/>
        <v>0</v>
      </c>
      <c r="AB16" s="5">
        <v>0</v>
      </c>
      <c r="AC16" s="5">
        <v>1.980420515885558E-2</v>
      </c>
      <c r="AD16" s="5">
        <f t="shared" si="8"/>
        <v>0</v>
      </c>
      <c r="AE16" s="5">
        <v>0</v>
      </c>
      <c r="AF16" s="5">
        <v>2.7725887222397813E-2</v>
      </c>
      <c r="AG16" s="5">
        <f t="shared" si="9"/>
        <v>0</v>
      </c>
      <c r="AH16" s="5">
        <v>0</v>
      </c>
      <c r="AI16" s="5">
        <v>0.34657359027997264</v>
      </c>
      <c r="AJ16" s="5">
        <f t="shared" si="10"/>
        <v>0</v>
      </c>
      <c r="AK16" s="5">
        <f t="shared" si="11"/>
        <v>0</v>
      </c>
      <c r="AL16" s="7">
        <f>IF(Tableau182984[[#This Row],[Age]]&lt;&gt;"",IF(Tableau182984[[#This Row],[Age]]=0,$AT$10*$B$10+SUMIF($AS$21:$AS$29,Tableau182984[[#This Row],[Age]],$AU$21:$AU$29)*$B$10+$AT$11*$B$10,SUMIF($AS$21:$AS$29,Tableau182984[[#This Row],[Age]],$AU$21:$AU$29)*$B$10+$AT$11*$B$10),"")</f>
        <v>9</v>
      </c>
      <c r="AM16" s="7">
        <f>IF(Tableau182984[[#This Row],[Age]]&lt;&gt;"",IF(Tableau182984[[#This Row],[Age]]=$B$11,$AT$10*$B$10,0)+Tableau182984[[#This Row],[VBO]]*$AX$21*$B$10+Tableau182984[[#This Row],[VBI]]*$AX$22*$B$10+Tableau182984[[#This Row],[VBE]]*$AX$23*$B$10,"")</f>
        <v>0</v>
      </c>
      <c r="AN16" s="7">
        <v>4.859755759979798</v>
      </c>
      <c r="AO16" s="7">
        <v>0</v>
      </c>
      <c r="AP16" s="7">
        <f>IF(Tableau182984[[#This Row],[Age]]&lt;&gt;"",Tableau182984[[#This Row],[RA]]-Tableau182984[[#This Row],[DA]],"")</f>
        <v>-4.859755759979798</v>
      </c>
      <c r="AS16" s="3" t="s">
        <v>65</v>
      </c>
      <c r="AT16" s="9"/>
    </row>
    <row r="17" spans="1:50" ht="15" customHeight="1" x14ac:dyDescent="0.2">
      <c r="A17" s="15" t="s">
        <v>66</v>
      </c>
      <c r="B17" s="16">
        <f>AT16*B10+SUM(AP:AP)</f>
        <v>-2878.2167353938516</v>
      </c>
      <c r="I17" s="17"/>
      <c r="K17" s="3">
        <v>15</v>
      </c>
      <c r="L17" s="4">
        <v>18.10079181246234</v>
      </c>
      <c r="M17" s="4">
        <v>3.6201583624924676</v>
      </c>
      <c r="N17" s="4">
        <v>14.48063344996987</v>
      </c>
      <c r="O17" s="5">
        <f t="shared" si="0"/>
        <v>11.52079197279603</v>
      </c>
      <c r="P17" s="5">
        <f t="shared" si="1"/>
        <v>3.9946419262278257</v>
      </c>
      <c r="Q17" s="5">
        <f t="shared" si="2"/>
        <v>50.771840890785739</v>
      </c>
      <c r="R17" s="5">
        <v>5</v>
      </c>
      <c r="S17" s="5">
        <v>115.75973198684045</v>
      </c>
      <c r="T17" s="5">
        <f t="shared" si="3"/>
        <v>0</v>
      </c>
      <c r="U17" s="5">
        <f t="shared" si="4"/>
        <v>0</v>
      </c>
      <c r="V17" s="5" t="str">
        <f>IF($E$4="Embrousaillement",Tableau182984[[#This Row],[SOL]],"")</f>
        <v/>
      </c>
      <c r="W17" s="5" t="str">
        <f>IF($E$4="Embrousaillement",Tableau182984[[#This Row],[L]],"")</f>
        <v/>
      </c>
      <c r="X17" s="5">
        <v>9.1666666666666661</v>
      </c>
      <c r="Y17" s="5">
        <f t="shared" si="5"/>
        <v>0</v>
      </c>
      <c r="Z17" s="5">
        <f t="shared" si="6"/>
        <v>0</v>
      </c>
      <c r="AA17" s="5">
        <f t="shared" si="7"/>
        <v>3.6201583624924676</v>
      </c>
      <c r="AB17" s="5">
        <v>0</v>
      </c>
      <c r="AC17" s="5">
        <v>1.980420515885558E-2</v>
      </c>
      <c r="AD17" s="5">
        <f t="shared" si="8"/>
        <v>0</v>
      </c>
      <c r="AE17" s="5">
        <v>0</v>
      </c>
      <c r="AF17" s="5">
        <v>2.7725887222397813E-2</v>
      </c>
      <c r="AG17" s="5">
        <f t="shared" si="9"/>
        <v>0</v>
      </c>
      <c r="AH17" s="5">
        <v>1.6078028327419671</v>
      </c>
      <c r="AI17" s="5">
        <v>0.34657359027997264</v>
      </c>
      <c r="AJ17" s="5">
        <f t="shared" si="10"/>
        <v>1.3587721629878451</v>
      </c>
      <c r="AK17" s="5">
        <f t="shared" si="11"/>
        <v>1.8100791812462338</v>
      </c>
      <c r="AL17" s="7">
        <f>IF(Tableau182984[[#This Row],[Age]]&lt;&gt;"",IF(Tableau182984[[#This Row],[Age]]=0,$AT$10*$B$10+SUMIF($AS$21:$AS$29,Tableau182984[[#This Row],[Age]],$AU$21:$AU$29)*$B$10+$AT$11*$B$10,SUMIF($AS$21:$AS$29,Tableau182984[[#This Row],[Age]],$AU$21:$AU$29)*$B$10+$AT$11*$B$10),"")</f>
        <v>9</v>
      </c>
      <c r="AM17" s="7">
        <f>IF(Tableau182984[[#This Row],[Age]]&lt;&gt;"",IF(Tableau182984[[#This Row],[Age]]=$B$11,$AT$10*$B$10,0)+Tableau182984[[#This Row],[VBO]]*$AX$21*$B$10+Tableau182984[[#This Row],[VBI]]*$AX$22*$B$10+Tableau182984[[#This Row],[VBE]]*$AX$23*$B$10,"")</f>
        <v>9.0503959062311683</v>
      </c>
      <c r="AN17" s="7">
        <v>4.6504839808419112</v>
      </c>
      <c r="AO17" s="7">
        <v>4.6765245758005847</v>
      </c>
      <c r="AP17" s="7">
        <f>IF(Tableau182984[[#This Row],[Age]]&lt;&gt;"",Tableau182984[[#This Row],[RA]]-Tableau182984[[#This Row],[DA]],"")</f>
        <v>2.6040594958673502E-2</v>
      </c>
      <c r="AS17" s="3" t="s">
        <v>67</v>
      </c>
    </row>
    <row r="18" spans="1:50" ht="15" customHeight="1" x14ac:dyDescent="0.2">
      <c r="A18" s="15" t="s">
        <v>68</v>
      </c>
      <c r="B18" s="16">
        <v>0</v>
      </c>
      <c r="I18" s="17"/>
      <c r="K18" s="3">
        <v>16</v>
      </c>
      <c r="L18" s="4">
        <v>17.522430497494444</v>
      </c>
      <c r="M18" s="4">
        <v>0</v>
      </c>
      <c r="N18" s="4">
        <v>17.522430497494444</v>
      </c>
      <c r="O18" s="5">
        <f t="shared" si="0"/>
        <v>13.940845703806581</v>
      </c>
      <c r="P18" s="5">
        <f t="shared" si="1"/>
        <v>4.7276566904110462</v>
      </c>
      <c r="Q18" s="5">
        <f t="shared" si="2"/>
        <v>51.105406463606862</v>
      </c>
      <c r="R18" s="5">
        <v>5.333333333333333</v>
      </c>
      <c r="S18" s="5">
        <v>119.72817712935485</v>
      </c>
      <c r="T18" s="5">
        <f t="shared" si="3"/>
        <v>0</v>
      </c>
      <c r="U18" s="5">
        <f t="shared" si="4"/>
        <v>0</v>
      </c>
      <c r="V18" s="5" t="str">
        <f>IF($E$4="Embrousaillement",Tableau182984[[#This Row],[SOL]],"")</f>
        <v/>
      </c>
      <c r="W18" s="5" t="str">
        <f>IF($E$4="Embrousaillement",Tableau182984[[#This Row],[L]],"")</f>
        <v/>
      </c>
      <c r="X18" s="5">
        <v>9.1666666666666661</v>
      </c>
      <c r="Y18" s="5">
        <f t="shared" si="5"/>
        <v>0</v>
      </c>
      <c r="Z18" s="5">
        <f t="shared" si="6"/>
        <v>0</v>
      </c>
      <c r="AA18" s="5">
        <f t="shared" si="7"/>
        <v>0</v>
      </c>
      <c r="AB18" s="5">
        <v>0</v>
      </c>
      <c r="AC18" s="5">
        <v>1.980420515885558E-2</v>
      </c>
      <c r="AD18" s="5">
        <f t="shared" si="8"/>
        <v>0</v>
      </c>
      <c r="AE18" s="5">
        <v>0</v>
      </c>
      <c r="AF18" s="5">
        <v>2.7725887222397813E-2</v>
      </c>
      <c r="AG18" s="5">
        <f t="shared" si="9"/>
        <v>0</v>
      </c>
      <c r="AH18" s="5">
        <v>0</v>
      </c>
      <c r="AI18" s="5">
        <v>0.34657359027997264</v>
      </c>
      <c r="AJ18" s="5">
        <f t="shared" si="10"/>
        <v>0.96079701053621813</v>
      </c>
      <c r="AK18" s="5">
        <f t="shared" si="11"/>
        <v>0</v>
      </c>
      <c r="AL18" s="7">
        <f>IF(Tableau182984[[#This Row],[Age]]&lt;&gt;"",IF(Tableau182984[[#This Row],[Age]]=0,$AT$10*$B$10+SUMIF($AS$21:$AS$29,Tableau182984[[#This Row],[Age]],$AU$21:$AU$29)*$B$10+$AT$11*$B$10,SUMIF($AS$21:$AS$29,Tableau182984[[#This Row],[Age]],$AU$21:$AU$29)*$B$10+$AT$11*$B$10),"")</f>
        <v>9</v>
      </c>
      <c r="AM18" s="7">
        <f>IF(Tableau182984[[#This Row],[Age]]&lt;&gt;"",IF(Tableau182984[[#This Row],[Age]]=$B$11,$AT$10*$B$10,0)+Tableau182984[[#This Row],[VBO]]*$AX$21*$B$10+Tableau182984[[#This Row],[VBI]]*$AX$22*$B$10+Tableau182984[[#This Row],[VBE]]*$AX$23*$B$10,"")</f>
        <v>0</v>
      </c>
      <c r="AN18" s="7">
        <v>4.450223905111879</v>
      </c>
      <c r="AO18" s="7">
        <v>0</v>
      </c>
      <c r="AP18" s="7">
        <f>IF(Tableau182984[[#This Row],[Age]]&lt;&gt;"",Tableau182984[[#This Row],[RA]]-Tableau182984[[#This Row],[DA]],"")</f>
        <v>-4.450223905111879</v>
      </c>
    </row>
    <row r="19" spans="1:50" ht="15" customHeight="1" x14ac:dyDescent="0.2">
      <c r="A19" s="15" t="s">
        <v>69</v>
      </c>
      <c r="B19" s="16">
        <f>B17-B18</f>
        <v>-2878.2167353938516</v>
      </c>
      <c r="I19" s="17"/>
      <c r="K19" s="3">
        <v>17</v>
      </c>
      <c r="L19" s="4">
        <v>20.94155240219316</v>
      </c>
      <c r="M19" s="4">
        <v>0</v>
      </c>
      <c r="N19" s="4">
        <v>20.94155240219316</v>
      </c>
      <c r="O19" s="5">
        <f t="shared" si="0"/>
        <v>16.66109909118488</v>
      </c>
      <c r="P19" s="5">
        <f t="shared" si="1"/>
        <v>5.5341306486025212</v>
      </c>
      <c r="Q19" s="5">
        <f t="shared" si="2"/>
        <v>51.433185419480445</v>
      </c>
      <c r="R19" s="5">
        <v>5.6666666666666661</v>
      </c>
      <c r="S19" s="5">
        <v>124.01140805633457</v>
      </c>
      <c r="T19" s="5">
        <f t="shared" si="3"/>
        <v>0</v>
      </c>
      <c r="U19" s="5">
        <f t="shared" si="4"/>
        <v>0</v>
      </c>
      <c r="V19" s="5" t="str">
        <f>IF($E$4="Embrousaillement",Tableau182984[[#This Row],[SOL]],"")</f>
        <v/>
      </c>
      <c r="W19" s="5" t="str">
        <f>IF($E$4="Embrousaillement",Tableau182984[[#This Row],[L]],"")</f>
        <v/>
      </c>
      <c r="X19" s="5">
        <v>9.1666666666666661</v>
      </c>
      <c r="Y19" s="5">
        <f t="shared" si="5"/>
        <v>0</v>
      </c>
      <c r="Z19" s="5">
        <f t="shared" si="6"/>
        <v>0</v>
      </c>
      <c r="AA19" s="5">
        <f t="shared" si="7"/>
        <v>0</v>
      </c>
      <c r="AB19" s="5">
        <v>0</v>
      </c>
      <c r="AC19" s="5">
        <v>1.980420515885558E-2</v>
      </c>
      <c r="AD19" s="5">
        <f t="shared" si="8"/>
        <v>0</v>
      </c>
      <c r="AE19" s="5">
        <v>0</v>
      </c>
      <c r="AF19" s="5">
        <v>2.7725887222397813E-2</v>
      </c>
      <c r="AG19" s="5">
        <f t="shared" si="9"/>
        <v>0</v>
      </c>
      <c r="AH19" s="5">
        <v>0</v>
      </c>
      <c r="AI19" s="5">
        <v>0.34657359027997264</v>
      </c>
      <c r="AJ19" s="5">
        <f t="shared" si="10"/>
        <v>0.67938608149392266</v>
      </c>
      <c r="AK19" s="5">
        <f t="shared" si="11"/>
        <v>0</v>
      </c>
      <c r="AL19" s="7">
        <f>IF(Tableau182984[[#This Row],[Age]]&lt;&gt;"",IF(Tableau182984[[#This Row],[Age]]=0,$AT$10*$B$10+SUMIF($AS$21:$AS$29,Tableau182984[[#This Row],[Age]],$AU$21:$AU$29)*$B$10+$AT$11*$B$10,SUMIF($AS$21:$AS$29,Tableau182984[[#This Row],[Age]],$AU$21:$AU$29)*$B$10+$AT$11*$B$10),"")</f>
        <v>9</v>
      </c>
      <c r="AM19" s="7">
        <f>IF(Tableau182984[[#This Row],[Age]]&lt;&gt;"",IF(Tableau182984[[#This Row],[Age]]=$B$11,$AT$10*$B$10,0)+Tableau182984[[#This Row],[VBO]]*$AX$21*$B$10+Tableau182984[[#This Row],[VBI]]*$AX$22*$B$10+Tableau182984[[#This Row],[VBE]]*$AX$23*$B$10,"")</f>
        <v>0</v>
      </c>
      <c r="AN19" s="7">
        <v>4.2585874690065824</v>
      </c>
      <c r="AO19" s="7">
        <v>0</v>
      </c>
      <c r="AP19" s="7">
        <f>IF(Tableau182984[[#This Row],[Age]]&lt;&gt;"",Tableau182984[[#This Row],[RA]]-Tableau182984[[#This Row],[DA]],"")</f>
        <v>-4.2585874690065824</v>
      </c>
      <c r="AS19" s="18" t="s">
        <v>70</v>
      </c>
      <c r="AW19" s="18" t="s">
        <v>29</v>
      </c>
    </row>
    <row r="20" spans="1:50" ht="15" customHeight="1" x14ac:dyDescent="0.2">
      <c r="A20" s="19"/>
      <c r="B20" s="20"/>
      <c r="C20" s="20"/>
      <c r="D20" s="20"/>
      <c r="E20" s="20"/>
      <c r="F20" s="20"/>
      <c r="G20" s="20"/>
      <c r="H20" s="20"/>
      <c r="I20" s="21"/>
      <c r="K20" s="3">
        <v>18</v>
      </c>
      <c r="L20" s="4">
        <v>24.754813578428603</v>
      </c>
      <c r="M20" s="4">
        <v>0</v>
      </c>
      <c r="N20" s="4">
        <v>24.754813578428603</v>
      </c>
      <c r="O20" s="5">
        <f t="shared" si="0"/>
        <v>19.694929682997799</v>
      </c>
      <c r="P20" s="5">
        <f t="shared" si="1"/>
        <v>6.4156940207806983</v>
      </c>
      <c r="Q20" s="5">
        <f t="shared" si="2"/>
        <v>51.755278143273578</v>
      </c>
      <c r="R20" s="5">
        <v>6</v>
      </c>
      <c r="S20" s="5">
        <v>128.62267807137533</v>
      </c>
      <c r="T20" s="5">
        <f t="shared" si="3"/>
        <v>0</v>
      </c>
      <c r="U20" s="5">
        <f t="shared" si="4"/>
        <v>0</v>
      </c>
      <c r="V20" s="5" t="str">
        <f>IF($E$4="Embrousaillement",Tableau182984[[#This Row],[SOL]],"")</f>
        <v/>
      </c>
      <c r="W20" s="5" t="str">
        <f>IF($E$4="Embrousaillement",Tableau182984[[#This Row],[L]],"")</f>
        <v/>
      </c>
      <c r="X20" s="5">
        <v>9.1666666666666661</v>
      </c>
      <c r="Y20" s="5">
        <f t="shared" si="5"/>
        <v>0</v>
      </c>
      <c r="Z20" s="5">
        <f t="shared" si="6"/>
        <v>0</v>
      </c>
      <c r="AA20" s="5">
        <f t="shared" si="7"/>
        <v>0</v>
      </c>
      <c r="AB20" s="5">
        <v>0</v>
      </c>
      <c r="AC20" s="5">
        <v>1.980420515885558E-2</v>
      </c>
      <c r="AD20" s="5">
        <f t="shared" si="8"/>
        <v>0</v>
      </c>
      <c r="AE20" s="5">
        <v>0</v>
      </c>
      <c r="AF20" s="5">
        <v>2.7725887222397813E-2</v>
      </c>
      <c r="AG20" s="5">
        <f t="shared" si="9"/>
        <v>0</v>
      </c>
      <c r="AH20" s="5">
        <v>0</v>
      </c>
      <c r="AI20" s="5">
        <v>0.34657359027997264</v>
      </c>
      <c r="AJ20" s="5">
        <f t="shared" si="10"/>
        <v>0.48039850526810912</v>
      </c>
      <c r="AK20" s="5">
        <f t="shared" si="11"/>
        <v>0</v>
      </c>
      <c r="AL20" s="7">
        <f>IF(Tableau182984[[#This Row],[Age]]&lt;&gt;"",IF(Tableau182984[[#This Row],[Age]]=0,$AT$10*$B$10+SUMIF($AS$21:$AS$29,Tableau182984[[#This Row],[Age]],$AU$21:$AU$29)*$B$10+$AT$11*$B$10,SUMIF($AS$21:$AS$29,Tableau182984[[#This Row],[Age]],$AU$21:$AU$29)*$B$10+$AT$11*$B$10),"")</f>
        <v>9</v>
      </c>
      <c r="AM20" s="7">
        <f>IF(Tableau182984[[#This Row],[Age]]&lt;&gt;"",IF(Tableau182984[[#This Row],[Age]]=$B$11,$AT$10*$B$10,0)+Tableau182984[[#This Row],[VBO]]*$AX$21*$B$10+Tableau182984[[#This Row],[VBI]]*$AX$22*$B$10+Tableau182984[[#This Row],[VBE]]*$AX$23*$B$10,"")</f>
        <v>0</v>
      </c>
      <c r="AN20" s="7">
        <v>4.0752033196235251</v>
      </c>
      <c r="AO20" s="7">
        <v>0</v>
      </c>
      <c r="AP20" s="7">
        <f>IF(Tableau182984[[#This Row],[Age]]&lt;&gt;"",Tableau182984[[#This Row],[RA]]-Tableau182984[[#This Row],[DA]],"")</f>
        <v>-4.0752033196235251</v>
      </c>
      <c r="AS20" s="3" t="s">
        <v>71</v>
      </c>
      <c r="AT20" s="3" t="s">
        <v>72</v>
      </c>
      <c r="AU20" s="3" t="s">
        <v>73</v>
      </c>
      <c r="AW20" s="3" t="s">
        <v>49</v>
      </c>
      <c r="AX20" s="3" t="s">
        <v>74</v>
      </c>
    </row>
    <row r="21" spans="1:50" ht="15" customHeight="1" x14ac:dyDescent="0.2">
      <c r="K21" s="3">
        <v>19</v>
      </c>
      <c r="L21" s="4">
        <v>28.978146460553074</v>
      </c>
      <c r="M21" s="4">
        <v>0</v>
      </c>
      <c r="N21" s="4">
        <v>28.978146460553074</v>
      </c>
      <c r="O21" s="5">
        <f t="shared" si="0"/>
        <v>23.055013324016027</v>
      </c>
      <c r="P21" s="5">
        <f t="shared" si="1"/>
        <v>7.3738033691356968</v>
      </c>
      <c r="Q21" s="5">
        <f t="shared" si="2"/>
        <v>52.07178327840036</v>
      </c>
      <c r="R21" s="5">
        <v>6.333333333333333</v>
      </c>
      <c r="S21" s="5">
        <v>133.57447499179804</v>
      </c>
      <c r="T21" s="5">
        <f t="shared" si="3"/>
        <v>0</v>
      </c>
      <c r="U21" s="5">
        <f t="shared" si="4"/>
        <v>0</v>
      </c>
      <c r="V21" s="5" t="str">
        <f>IF($E$4="Embrousaillement",Tableau182984[[#This Row],[SOL]],"")</f>
        <v/>
      </c>
      <c r="W21" s="5" t="str">
        <f>IF($E$4="Embrousaillement",Tableau182984[[#This Row],[L]],"")</f>
        <v/>
      </c>
      <c r="X21" s="5">
        <v>9.1666666666666661</v>
      </c>
      <c r="Y21" s="5">
        <f t="shared" si="5"/>
        <v>0</v>
      </c>
      <c r="Z21" s="5">
        <f t="shared" si="6"/>
        <v>0</v>
      </c>
      <c r="AA21" s="5">
        <f t="shared" si="7"/>
        <v>0</v>
      </c>
      <c r="AB21" s="5">
        <v>0</v>
      </c>
      <c r="AC21" s="5">
        <v>1.980420515885558E-2</v>
      </c>
      <c r="AD21" s="5">
        <f t="shared" si="8"/>
        <v>0</v>
      </c>
      <c r="AE21" s="5">
        <v>0</v>
      </c>
      <c r="AF21" s="5">
        <v>2.7725887222397813E-2</v>
      </c>
      <c r="AG21" s="5">
        <f t="shared" si="9"/>
        <v>0</v>
      </c>
      <c r="AH21" s="5">
        <v>0</v>
      </c>
      <c r="AI21" s="5">
        <v>0.34657359027997264</v>
      </c>
      <c r="AJ21" s="5">
        <f t="shared" si="10"/>
        <v>0.33969304074696138</v>
      </c>
      <c r="AK21" s="5">
        <f t="shared" si="11"/>
        <v>0</v>
      </c>
      <c r="AL21" s="7">
        <f>IF(Tableau182984[[#This Row],[Age]]&lt;&gt;"",IF(Tableau182984[[#This Row],[Age]]=0,$AT$10*$B$10+SUMIF($AS$21:$AS$29,Tableau182984[[#This Row],[Age]],$AU$21:$AU$29)*$B$10+$AT$11*$B$10,SUMIF($AS$21:$AS$29,Tableau182984[[#This Row],[Age]],$AU$21:$AU$29)*$B$10+$AT$11*$B$10),"")</f>
        <v>9</v>
      </c>
      <c r="AM21" s="7">
        <f>IF(Tableau182984[[#This Row],[Age]]&lt;&gt;"",IF(Tableau182984[[#This Row],[Age]]=$B$11,$AT$10*$B$10,0)+Tableau182984[[#This Row],[VBO]]*$AX$21*$B$10+Tableau182984[[#This Row],[VBI]]*$AX$22*$B$10+Tableau182984[[#This Row],[VBE]]*$AX$23*$B$10,"")</f>
        <v>0</v>
      </c>
      <c r="AN21" s="7">
        <v>3.8997160953335168</v>
      </c>
      <c r="AO21" s="7">
        <v>0</v>
      </c>
      <c r="AP21" s="7">
        <f>IF(Tableau182984[[#This Row],[Age]]&lt;&gt;"",Tableau182984[[#This Row],[RA]]-Tableau182984[[#This Row],[DA]],"")</f>
        <v>-3.8997160953335168</v>
      </c>
      <c r="AS21" s="3">
        <v>0</v>
      </c>
      <c r="AT21" s="3" t="s">
        <v>75</v>
      </c>
      <c r="AU21" s="22">
        <v>750</v>
      </c>
      <c r="AW21" s="3" t="s">
        <v>76</v>
      </c>
      <c r="AX21" s="23">
        <v>50</v>
      </c>
    </row>
    <row r="22" spans="1:50" ht="15" customHeight="1" x14ac:dyDescent="0.2">
      <c r="K22" s="3">
        <v>20</v>
      </c>
      <c r="L22" s="4">
        <v>33.626601502908599</v>
      </c>
      <c r="M22" s="4">
        <v>6.7253203005817204</v>
      </c>
      <c r="N22" s="4">
        <v>26.901281202326881</v>
      </c>
      <c r="O22" s="5">
        <f t="shared" si="0"/>
        <v>21.402659324571268</v>
      </c>
      <c r="P22" s="5">
        <f t="shared" si="1"/>
        <v>6.9048358548172795</v>
      </c>
      <c r="Q22" s="5">
        <f t="shared" si="2"/>
        <v>52.382797757032165</v>
      </c>
      <c r="R22" s="5">
        <v>6.6666666666666661</v>
      </c>
      <c r="S22" s="5">
        <v>132.90846182883206</v>
      </c>
      <c r="T22" s="5">
        <f t="shared" si="3"/>
        <v>0</v>
      </c>
      <c r="U22" s="5">
        <f t="shared" si="4"/>
        <v>0</v>
      </c>
      <c r="V22" s="5" t="str">
        <f>IF($E$4="Embrousaillement",Tableau182984[[#This Row],[SOL]],"")</f>
        <v/>
      </c>
      <c r="W22" s="5" t="str">
        <f>IF($E$4="Embrousaillement",Tableau182984[[#This Row],[L]],"")</f>
        <v/>
      </c>
      <c r="X22" s="5">
        <v>9.1666666666666661</v>
      </c>
      <c r="Y22" s="5">
        <f t="shared" si="5"/>
        <v>0</v>
      </c>
      <c r="Z22" s="5">
        <f t="shared" si="6"/>
        <v>0</v>
      </c>
      <c r="AA22" s="5">
        <f t="shared" si="7"/>
        <v>6.7253203005817204</v>
      </c>
      <c r="AB22" s="5">
        <v>0</v>
      </c>
      <c r="AC22" s="5">
        <v>1.980420515885558E-2</v>
      </c>
      <c r="AD22" s="5">
        <f t="shared" si="8"/>
        <v>0</v>
      </c>
      <c r="AE22" s="5">
        <v>0</v>
      </c>
      <c r="AF22" s="5">
        <v>2.7725887222397813E-2</v>
      </c>
      <c r="AG22" s="5">
        <f t="shared" si="9"/>
        <v>0</v>
      </c>
      <c r="AH22" s="5">
        <v>2.9868828784958565</v>
      </c>
      <c r="AI22" s="5">
        <v>0.34657359027997264</v>
      </c>
      <c r="AJ22" s="5">
        <f t="shared" si="10"/>
        <v>2.7644473922419257</v>
      </c>
      <c r="AK22" s="5">
        <f t="shared" si="11"/>
        <v>3.3626601502908602</v>
      </c>
      <c r="AL22" s="7">
        <f>IF(Tableau182984[[#This Row],[Age]]&lt;&gt;"",IF(Tableau182984[[#This Row],[Age]]=0,$AT$10*$B$10+SUMIF($AS$21:$AS$29,Tableau182984[[#This Row],[Age]],$AU$21:$AU$29)*$B$10+$AT$11*$B$10,SUMIF($AS$21:$AS$29,Tableau182984[[#This Row],[Age]],$AU$21:$AU$29)*$B$10+$AT$11*$B$10),"")</f>
        <v>9</v>
      </c>
      <c r="AM22" s="7">
        <f>IF(Tableau182984[[#This Row],[Age]]&lt;&gt;"",IF(Tableau182984[[#This Row],[Age]]=$B$11,$AT$10*$B$10,0)+Tableau182984[[#This Row],[VBO]]*$AX$21*$B$10+Tableau182984[[#This Row],[VBI]]*$AX$22*$B$10+Tableau182984[[#This Row],[VBE]]*$AX$23*$B$10,"")</f>
        <v>16.8133007514543</v>
      </c>
      <c r="AN22" s="7">
        <v>3.7317857371612608</v>
      </c>
      <c r="AO22" s="7">
        <v>6.9715151043199848</v>
      </c>
      <c r="AP22" s="7">
        <f>IF(Tableau182984[[#This Row],[Age]]&lt;&gt;"",Tableau182984[[#This Row],[RA]]-Tableau182984[[#This Row],[DA]],"")</f>
        <v>3.2397293671587239</v>
      </c>
      <c r="AS22" s="3">
        <v>1</v>
      </c>
      <c r="AT22" s="3" t="s">
        <v>77</v>
      </c>
      <c r="AU22" s="22">
        <v>400</v>
      </c>
      <c r="AW22" s="3" t="s">
        <v>78</v>
      </c>
      <c r="AX22" s="23">
        <v>5</v>
      </c>
    </row>
    <row r="23" spans="1:50" ht="15" customHeight="1" x14ac:dyDescent="0.2">
      <c r="K23" s="3">
        <v>21</v>
      </c>
      <c r="L23" s="4">
        <v>30.971477743861541</v>
      </c>
      <c r="M23" s="4">
        <v>0</v>
      </c>
      <c r="N23" s="4">
        <v>30.971477743861541</v>
      </c>
      <c r="O23" s="5">
        <f t="shared" si="0"/>
        <v>24.640907693016246</v>
      </c>
      <c r="P23" s="5">
        <f t="shared" si="1"/>
        <v>7.8202372091679484</v>
      </c>
      <c r="Q23" s="5">
        <f t="shared" si="2"/>
        <v>52.688416829783918</v>
      </c>
      <c r="R23" s="5">
        <v>7</v>
      </c>
      <c r="S23" s="5">
        <v>137.69701120692258</v>
      </c>
      <c r="T23" s="5">
        <f t="shared" si="3"/>
        <v>0</v>
      </c>
      <c r="U23" s="5">
        <f t="shared" si="4"/>
        <v>0</v>
      </c>
      <c r="V23" s="5" t="str">
        <f>IF($E$4="Embrousaillement",Tableau182984[[#This Row],[SOL]],"")</f>
        <v/>
      </c>
      <c r="W23" s="5" t="str">
        <f>IF($E$4="Embrousaillement",Tableau182984[[#This Row],[L]],"")</f>
        <v/>
      </c>
      <c r="X23" s="5">
        <v>9.1666666666666661</v>
      </c>
      <c r="Y23" s="5">
        <f t="shared" si="5"/>
        <v>0</v>
      </c>
      <c r="Z23" s="5">
        <f t="shared" si="6"/>
        <v>0</v>
      </c>
      <c r="AA23" s="5">
        <f t="shared" si="7"/>
        <v>0</v>
      </c>
      <c r="AB23" s="5">
        <v>0</v>
      </c>
      <c r="AC23" s="5">
        <v>1.980420515885558E-2</v>
      </c>
      <c r="AD23" s="5">
        <f t="shared" si="8"/>
        <v>0</v>
      </c>
      <c r="AE23" s="5">
        <v>0</v>
      </c>
      <c r="AF23" s="5">
        <v>2.7725887222397813E-2</v>
      </c>
      <c r="AG23" s="5">
        <f t="shared" si="9"/>
        <v>0</v>
      </c>
      <c r="AH23" s="5">
        <v>0</v>
      </c>
      <c r="AI23" s="5">
        <v>0.34657359027997264</v>
      </c>
      <c r="AJ23" s="5">
        <f t="shared" si="10"/>
        <v>1.9547594972877333</v>
      </c>
      <c r="AK23" s="5">
        <f t="shared" si="11"/>
        <v>0</v>
      </c>
      <c r="AL23" s="7">
        <f>IF(Tableau182984[[#This Row],[Age]]&lt;&gt;"",IF(Tableau182984[[#This Row],[Age]]=0,$AT$10*$B$10+SUMIF($AS$21:$AS$29,Tableau182984[[#This Row],[Age]],$AU$21:$AU$29)*$B$10+$AT$11*$B$10,SUMIF($AS$21:$AS$29,Tableau182984[[#This Row],[Age]],$AU$21:$AU$29)*$B$10+$AT$11*$B$10),"")</f>
        <v>9</v>
      </c>
      <c r="AM23" s="7">
        <f>IF(Tableau182984[[#This Row],[Age]]&lt;&gt;"",IF(Tableau182984[[#This Row],[Age]]=$B$11,$AT$10*$B$10,0)+Tableau182984[[#This Row],[VBO]]*$AX$21*$B$10+Tableau182984[[#This Row],[VBI]]*$AX$22*$B$10+Tableau182984[[#This Row],[VBE]]*$AX$23*$B$10,"")</f>
        <v>0</v>
      </c>
      <c r="AN23" s="7">
        <v>3.5710868298193881</v>
      </c>
      <c r="AO23" s="7">
        <v>0</v>
      </c>
      <c r="AP23" s="7">
        <f>IF(Tableau182984[[#This Row],[Age]]&lt;&gt;"",Tableau182984[[#This Row],[RA]]-Tableau182984[[#This Row],[DA]],"")</f>
        <v>-3.5710868298193881</v>
      </c>
      <c r="AS23" s="3">
        <v>1</v>
      </c>
      <c r="AT23" s="3" t="s">
        <v>79</v>
      </c>
      <c r="AU23" s="22">
        <v>2352</v>
      </c>
      <c r="AW23" s="3" t="s">
        <v>80</v>
      </c>
      <c r="AX23" s="23">
        <v>5</v>
      </c>
    </row>
    <row r="24" spans="1:50" ht="15" customHeight="1" x14ac:dyDescent="0.25">
      <c r="A24" s="1" t="s">
        <v>81</v>
      </c>
      <c r="B24" s="1" t="s">
        <v>82</v>
      </c>
      <c r="K24" s="3">
        <v>22</v>
      </c>
      <c r="L24" s="4">
        <v>35.403735988503627</v>
      </c>
      <c r="M24" s="4">
        <v>0</v>
      </c>
      <c r="N24" s="4">
        <v>35.403735988503627</v>
      </c>
      <c r="O24" s="5">
        <f t="shared" si="0"/>
        <v>28.16721235245349</v>
      </c>
      <c r="P24" s="5">
        <f t="shared" si="1"/>
        <v>8.801278154084212</v>
      </c>
      <c r="Q24" s="5">
        <f t="shared" si="2"/>
        <v>52.988734094885309</v>
      </c>
      <c r="R24" s="5">
        <v>7.333333333333333</v>
      </c>
      <c r="S24" s="5">
        <v>142.78385076784409</v>
      </c>
      <c r="T24" s="5">
        <f t="shared" si="3"/>
        <v>0</v>
      </c>
      <c r="U24" s="5">
        <f t="shared" si="4"/>
        <v>0</v>
      </c>
      <c r="V24" s="5" t="str">
        <f>IF($E$4="Embrousaillement",Tableau182984[[#This Row],[SOL]],"")</f>
        <v/>
      </c>
      <c r="W24" s="5" t="str">
        <f>IF($E$4="Embrousaillement",Tableau182984[[#This Row],[L]],"")</f>
        <v/>
      </c>
      <c r="X24" s="5">
        <v>9.1666666666666661</v>
      </c>
      <c r="Y24" s="5">
        <f t="shared" si="5"/>
        <v>0</v>
      </c>
      <c r="Z24" s="5">
        <f t="shared" si="6"/>
        <v>0</v>
      </c>
      <c r="AA24" s="5">
        <f t="shared" si="7"/>
        <v>0</v>
      </c>
      <c r="AB24" s="5">
        <v>0</v>
      </c>
      <c r="AC24" s="5">
        <v>1.980420515885558E-2</v>
      </c>
      <c r="AD24" s="5">
        <f t="shared" si="8"/>
        <v>0</v>
      </c>
      <c r="AE24" s="5">
        <v>0</v>
      </c>
      <c r="AF24" s="5">
        <v>2.7725887222397813E-2</v>
      </c>
      <c r="AG24" s="5">
        <f t="shared" si="9"/>
        <v>0</v>
      </c>
      <c r="AH24" s="5">
        <v>0</v>
      </c>
      <c r="AI24" s="5">
        <v>0.34657359027997264</v>
      </c>
      <c r="AJ24" s="5">
        <f t="shared" si="10"/>
        <v>1.3822236961209631</v>
      </c>
      <c r="AK24" s="5">
        <f t="shared" si="11"/>
        <v>0</v>
      </c>
      <c r="AL24" s="7">
        <f>IF(Tableau182984[[#This Row],[Age]]&lt;&gt;"",IF(Tableau182984[[#This Row],[Age]]=0,$AT$10*$B$10+SUMIF($AS$21:$AS$29,Tableau182984[[#This Row],[Age]],$AU$21:$AU$29)*$B$10+$AT$11*$B$10,SUMIF($AS$21:$AS$29,Tableau182984[[#This Row],[Age]],$AU$21:$AU$29)*$B$10+$AT$11*$B$10),"")</f>
        <v>9</v>
      </c>
      <c r="AM24" s="7">
        <f>IF(Tableau182984[[#This Row],[Age]]&lt;&gt;"",IF(Tableau182984[[#This Row],[Age]]=$B$11,$AT$10*$B$10,0)+Tableau182984[[#This Row],[VBO]]*$AX$21*$B$10+Tableau182984[[#This Row],[VBI]]*$AX$22*$B$10+Tableau182984[[#This Row],[VBE]]*$AX$23*$B$10,"")</f>
        <v>0</v>
      </c>
      <c r="AN24" s="7">
        <v>3.4173079711190328</v>
      </c>
      <c r="AO24" s="7">
        <v>0</v>
      </c>
      <c r="AP24" s="7">
        <f>IF(Tableau182984[[#This Row],[Age]]&lt;&gt;"",Tableau182984[[#This Row],[RA]]-Tableau182984[[#This Row],[DA]],"")</f>
        <v>-3.4173079711190328</v>
      </c>
      <c r="AS24" s="3">
        <v>1</v>
      </c>
      <c r="AT24" s="3" t="s">
        <v>83</v>
      </c>
      <c r="AU24" s="22">
        <v>1280</v>
      </c>
    </row>
    <row r="25" spans="1:50" ht="15" customHeight="1" x14ac:dyDescent="0.2">
      <c r="A25" s="12"/>
      <c r="B25" s="13"/>
      <c r="C25" s="13"/>
      <c r="D25" s="13"/>
      <c r="E25" s="13"/>
      <c r="F25" s="13"/>
      <c r="G25" s="13"/>
      <c r="H25" s="13"/>
      <c r="I25" s="14"/>
      <c r="K25" s="3">
        <v>23</v>
      </c>
      <c r="L25" s="4">
        <v>40.207979547702088</v>
      </c>
      <c r="M25" s="4">
        <v>0</v>
      </c>
      <c r="N25" s="4">
        <v>40.207979547702088</v>
      </c>
      <c r="O25" s="5">
        <f t="shared" si="0"/>
        <v>31.989468528151782</v>
      </c>
      <c r="P25" s="5">
        <f t="shared" si="1"/>
        <v>9.8486402068134495</v>
      </c>
      <c r="Q25" s="5">
        <f t="shared" si="2"/>
        <v>53.283841526846018</v>
      </c>
      <c r="R25" s="5">
        <v>7.6666666666666661</v>
      </c>
      <c r="S25" s="5">
        <v>148.17661804480548</v>
      </c>
      <c r="T25" s="5">
        <f t="shared" si="3"/>
        <v>0</v>
      </c>
      <c r="U25" s="5">
        <f t="shared" si="4"/>
        <v>0</v>
      </c>
      <c r="V25" s="5" t="str">
        <f>IF($E$4="Embrousaillement",Tableau182984[[#This Row],[SOL]],"")</f>
        <v/>
      </c>
      <c r="W25" s="5" t="str">
        <f>IF($E$4="Embrousaillement",Tableau182984[[#This Row],[L]],"")</f>
        <v/>
      </c>
      <c r="X25" s="5">
        <v>9.1666666666666661</v>
      </c>
      <c r="Y25" s="5">
        <f t="shared" si="5"/>
        <v>0</v>
      </c>
      <c r="Z25" s="5">
        <f t="shared" si="6"/>
        <v>0</v>
      </c>
      <c r="AA25" s="5">
        <f t="shared" si="7"/>
        <v>0</v>
      </c>
      <c r="AB25" s="5">
        <v>0</v>
      </c>
      <c r="AC25" s="5">
        <v>1.980420515885558E-2</v>
      </c>
      <c r="AD25" s="5">
        <f t="shared" si="8"/>
        <v>0</v>
      </c>
      <c r="AE25" s="5">
        <v>0</v>
      </c>
      <c r="AF25" s="5">
        <v>2.7725887222397813E-2</v>
      </c>
      <c r="AG25" s="5">
        <f t="shared" si="9"/>
        <v>0</v>
      </c>
      <c r="AH25" s="5">
        <v>0</v>
      </c>
      <c r="AI25" s="5">
        <v>0.34657359027997264</v>
      </c>
      <c r="AJ25" s="5">
        <f t="shared" si="10"/>
        <v>0.9773797486438669</v>
      </c>
      <c r="AK25" s="5">
        <f t="shared" si="11"/>
        <v>0</v>
      </c>
      <c r="AL25" s="7">
        <f>IF(Tableau182984[[#This Row],[Age]]&lt;&gt;"",IF(Tableau182984[[#This Row],[Age]]=0,$AT$10*$B$10+SUMIF($AS$21:$AS$29,Tableau182984[[#This Row],[Age]],$AU$21:$AU$29)*$B$10+$AT$11*$B$10,SUMIF($AS$21:$AS$29,Tableau182984[[#This Row],[Age]],$AU$21:$AU$29)*$B$10+$AT$11*$B$10),"")</f>
        <v>9</v>
      </c>
      <c r="AM25" s="7">
        <f>IF(Tableau182984[[#This Row],[Age]]&lt;&gt;"",IF(Tableau182984[[#This Row],[Age]]=$B$11,$AT$10*$B$10,0)+Tableau182984[[#This Row],[VBO]]*$AX$21*$B$10+Tableau182984[[#This Row],[VBI]]*$AX$22*$B$10+Tableau182984[[#This Row],[VBE]]*$AX$23*$B$10,"")</f>
        <v>0</v>
      </c>
      <c r="AN25" s="7">
        <v>3.2701511685349596</v>
      </c>
      <c r="AO25" s="7">
        <v>0</v>
      </c>
      <c r="AP25" s="7">
        <f>IF(Tableau182984[[#This Row],[Age]]&lt;&gt;"",Tableau182984[[#This Row],[RA]]-Tableau182984[[#This Row],[DA]],"")</f>
        <v>-3.2701511685349596</v>
      </c>
      <c r="AS25" s="3">
        <v>2</v>
      </c>
      <c r="AT25" s="3" t="s">
        <v>84</v>
      </c>
      <c r="AU25" s="22">
        <v>250</v>
      </c>
    </row>
    <row r="26" spans="1:50" ht="15" customHeight="1" x14ac:dyDescent="0.25">
      <c r="A26" s="24" t="s">
        <v>85</v>
      </c>
      <c r="D26" s="1" t="s">
        <v>86</v>
      </c>
      <c r="G26" s="1" t="s">
        <v>87</v>
      </c>
      <c r="I26" s="17"/>
      <c r="K26" s="3">
        <v>24</v>
      </c>
      <c r="L26" s="4">
        <v>45.393426448897657</v>
      </c>
      <c r="M26" s="4">
        <v>0</v>
      </c>
      <c r="N26" s="4">
        <v>45.393426448897657</v>
      </c>
      <c r="O26" s="5">
        <f t="shared" si="0"/>
        <v>36.115010082742977</v>
      </c>
      <c r="P26" s="5">
        <f t="shared" si="1"/>
        <v>10.962887370737148</v>
      </c>
      <c r="Q26" s="5">
        <f t="shared" si="2"/>
        <v>53.573829504623582</v>
      </c>
      <c r="R26" s="5">
        <v>8</v>
      </c>
      <c r="S26" s="5">
        <v>153.88235645754884</v>
      </c>
      <c r="T26" s="5">
        <f t="shared" si="3"/>
        <v>0</v>
      </c>
      <c r="U26" s="5">
        <f t="shared" si="4"/>
        <v>0</v>
      </c>
      <c r="V26" s="5" t="str">
        <f>IF($E$4="Embrousaillement",Tableau182984[[#This Row],[SOL]],"")</f>
        <v/>
      </c>
      <c r="W26" s="5" t="str">
        <f>IF($E$4="Embrousaillement",Tableau182984[[#This Row],[L]],"")</f>
        <v/>
      </c>
      <c r="X26" s="5">
        <v>9.1666666666666661</v>
      </c>
      <c r="Y26" s="5">
        <f t="shared" si="5"/>
        <v>0</v>
      </c>
      <c r="Z26" s="5">
        <f t="shared" si="6"/>
        <v>0</v>
      </c>
      <c r="AA26" s="5">
        <f t="shared" si="7"/>
        <v>0</v>
      </c>
      <c r="AB26" s="5">
        <v>0</v>
      </c>
      <c r="AC26" s="5">
        <v>1.980420515885558E-2</v>
      </c>
      <c r="AD26" s="5">
        <f t="shared" si="8"/>
        <v>0</v>
      </c>
      <c r="AE26" s="5">
        <v>0</v>
      </c>
      <c r="AF26" s="5">
        <v>2.7725887222397813E-2</v>
      </c>
      <c r="AG26" s="5">
        <f t="shared" si="9"/>
        <v>0</v>
      </c>
      <c r="AH26" s="5">
        <v>0</v>
      </c>
      <c r="AI26" s="5">
        <v>0.34657359027997264</v>
      </c>
      <c r="AJ26" s="5">
        <f t="shared" si="10"/>
        <v>0.69111184806048165</v>
      </c>
      <c r="AK26" s="5">
        <f t="shared" si="11"/>
        <v>0</v>
      </c>
      <c r="AL26" s="7">
        <f>IF(Tableau182984[[#This Row],[Age]]&lt;&gt;"",IF(Tableau182984[[#This Row],[Age]]=0,$AT$10*$B$10+SUMIF($AS$21:$AS$29,Tableau182984[[#This Row],[Age]],$AU$21:$AU$29)*$B$10+$AT$11*$B$10,SUMIF($AS$21:$AS$29,Tableau182984[[#This Row],[Age]],$AU$21:$AU$29)*$B$10+$AT$11*$B$10),"")</f>
        <v>9</v>
      </c>
      <c r="AM26" s="7">
        <f>IF(Tableau182984[[#This Row],[Age]]&lt;&gt;"",IF(Tableau182984[[#This Row],[Age]]=$B$11,$AT$10*$B$10,0)+Tableau182984[[#This Row],[VBO]]*$AX$21*$B$10+Tableau182984[[#This Row],[VBI]]*$AX$22*$B$10+Tableau182984[[#This Row],[VBE]]*$AX$23*$B$10,"")</f>
        <v>0</v>
      </c>
      <c r="AN26" s="7">
        <v>3.1293312617559428</v>
      </c>
      <c r="AO26" s="7">
        <v>0</v>
      </c>
      <c r="AP26" s="7">
        <f>IF(Tableau182984[[#This Row],[Age]]&lt;&gt;"",Tableau182984[[#This Row],[RA]]-Tableau182984[[#This Row],[DA]],"")</f>
        <v>-3.1293312617559428</v>
      </c>
      <c r="AS26" s="3">
        <v>3</v>
      </c>
      <c r="AT26" s="3" t="s">
        <v>88</v>
      </c>
      <c r="AU26" s="22">
        <v>350</v>
      </c>
    </row>
    <row r="27" spans="1:50" ht="15" customHeight="1" x14ac:dyDescent="0.2">
      <c r="A27" s="15" t="s">
        <v>89</v>
      </c>
      <c r="B27" s="25">
        <f>S32</f>
        <v>176.56969456652888</v>
      </c>
      <c r="D27" s="3" t="s">
        <v>90</v>
      </c>
      <c r="E27" s="25">
        <f>SUM(AD2:AD32)</f>
        <v>0</v>
      </c>
      <c r="G27" s="3" t="s">
        <v>91</v>
      </c>
      <c r="H27" s="25">
        <f>SUM(AK2:AK32)</f>
        <v>15.790074830244077</v>
      </c>
      <c r="I27" s="17"/>
      <c r="K27" s="3">
        <v>25</v>
      </c>
      <c r="L27" s="4">
        <v>50.968589135522862</v>
      </c>
      <c r="M27" s="4">
        <v>0</v>
      </c>
      <c r="N27" s="4">
        <v>50.968589135522862</v>
      </c>
      <c r="O27" s="5">
        <f t="shared" si="0"/>
        <v>40.550609516221989</v>
      </c>
      <c r="P27" s="5">
        <f t="shared" si="1"/>
        <v>12.144469697014477</v>
      </c>
      <c r="Q27" s="5">
        <f t="shared" si="2"/>
        <v>53.858786839302695</v>
      </c>
      <c r="R27" s="5">
        <v>8.3333333333333321</v>
      </c>
      <c r="S27" s="5">
        <v>159.9075184646928</v>
      </c>
      <c r="T27" s="5">
        <f t="shared" si="3"/>
        <v>0</v>
      </c>
      <c r="U27" s="5">
        <f t="shared" si="4"/>
        <v>0</v>
      </c>
      <c r="V27" s="5" t="str">
        <f>IF($E$4="Embrousaillement",Tableau182984[[#This Row],[SOL]],"")</f>
        <v/>
      </c>
      <c r="W27" s="5" t="str">
        <f>IF($E$4="Embrousaillement",Tableau182984[[#This Row],[L]],"")</f>
        <v/>
      </c>
      <c r="X27" s="5">
        <v>9.1666666666666661</v>
      </c>
      <c r="Y27" s="5">
        <f t="shared" si="5"/>
        <v>0</v>
      </c>
      <c r="Z27" s="5">
        <f t="shared" si="6"/>
        <v>0</v>
      </c>
      <c r="AA27" s="5">
        <f t="shared" si="7"/>
        <v>0</v>
      </c>
      <c r="AB27" s="5">
        <v>0</v>
      </c>
      <c r="AC27" s="5">
        <v>1.980420515885558E-2</v>
      </c>
      <c r="AD27" s="5">
        <f t="shared" si="8"/>
        <v>0</v>
      </c>
      <c r="AE27" s="5">
        <v>0</v>
      </c>
      <c r="AF27" s="5">
        <v>2.7725887222397813E-2</v>
      </c>
      <c r="AG27" s="5">
        <f t="shared" si="9"/>
        <v>0</v>
      </c>
      <c r="AH27" s="5">
        <v>0</v>
      </c>
      <c r="AI27" s="5">
        <v>0.34657359027997264</v>
      </c>
      <c r="AJ27" s="5">
        <f t="shared" si="10"/>
        <v>0.4886898743219335</v>
      </c>
      <c r="AK27" s="5">
        <f t="shared" si="11"/>
        <v>0</v>
      </c>
      <c r="AL27" s="7">
        <f>IF(Tableau182984[[#This Row],[Age]]&lt;&gt;"",IF(Tableau182984[[#This Row],[Age]]=0,$AT$10*$B$10+SUMIF($AS$21:$AS$29,Tableau182984[[#This Row],[Age]],$AU$21:$AU$29)*$B$10+$AT$11*$B$10,SUMIF($AS$21:$AS$29,Tableau182984[[#This Row],[Age]],$AU$21:$AU$29)*$B$10+$AT$11*$B$10),"")</f>
        <v>9</v>
      </c>
      <c r="AM27" s="7">
        <f>IF(Tableau182984[[#This Row],[Age]]&lt;&gt;"",IF(Tableau182984[[#This Row],[Age]]=$B$11,$AT$10*$B$10,0)+Tableau182984[[#This Row],[VBO]]*$AX$21*$B$10+Tableau182984[[#This Row],[VBI]]*$AX$22*$B$10+Tableau182984[[#This Row],[VBE]]*$AX$23*$B$10,"")</f>
        <v>0</v>
      </c>
      <c r="AN27" s="7">
        <v>2.9945753701013809</v>
      </c>
      <c r="AO27" s="7">
        <v>0</v>
      </c>
      <c r="AP27" s="7">
        <f>IF(Tableau182984[[#This Row],[Age]]&lt;&gt;"",Tableau182984[[#This Row],[RA]]-Tableau182984[[#This Row],[DA]],"")</f>
        <v>-2.9945753701013809</v>
      </c>
      <c r="AS27" s="3">
        <v>4</v>
      </c>
      <c r="AT27" s="3" t="s">
        <v>92</v>
      </c>
      <c r="AU27" s="22">
        <v>250</v>
      </c>
    </row>
    <row r="28" spans="1:50" ht="15" customHeight="1" x14ac:dyDescent="0.2">
      <c r="A28" s="15" t="s">
        <v>93</v>
      </c>
      <c r="B28" s="25">
        <f>SUM(S:S)/$B$11</f>
        <v>197.38506582696624</v>
      </c>
      <c r="D28" s="3" t="s">
        <v>94</v>
      </c>
      <c r="E28" s="25">
        <f>SUM(AG2:AG32)</f>
        <v>0</v>
      </c>
      <c r="G28" s="3" t="s">
        <v>95</v>
      </c>
      <c r="H28" s="25">
        <f>IF(OR($E$6="Résineux lents",$E$6="Résineux rapides"),$B$10*20,0)</f>
        <v>0</v>
      </c>
      <c r="I28" s="17"/>
      <c r="K28" s="3">
        <v>26</v>
      </c>
      <c r="L28" s="4">
        <v>56.941274467001975</v>
      </c>
      <c r="M28" s="4">
        <v>0</v>
      </c>
      <c r="N28" s="4">
        <v>56.941274467001975</v>
      </c>
      <c r="O28" s="5">
        <f t="shared" si="0"/>
        <v>45.302477965946778</v>
      </c>
      <c r="P28" s="5">
        <f t="shared" si="1"/>
        <v>13.393726512162978</v>
      </c>
      <c r="Q28" s="5">
        <f t="shared" si="2"/>
        <v>54.138800801294295</v>
      </c>
      <c r="R28" s="5">
        <v>8.6666666666666661</v>
      </c>
      <c r="S28" s="5">
        <v>166.25796842428232</v>
      </c>
      <c r="T28" s="5">
        <f t="shared" si="3"/>
        <v>0</v>
      </c>
      <c r="U28" s="5">
        <f t="shared" si="4"/>
        <v>0</v>
      </c>
      <c r="V28" s="5" t="str">
        <f>IF($E$4="Embrousaillement",Tableau182984[[#This Row],[SOL]],"")</f>
        <v/>
      </c>
      <c r="W28" s="5" t="str">
        <f>IF($E$4="Embrousaillement",Tableau182984[[#This Row],[L]],"")</f>
        <v/>
      </c>
      <c r="X28" s="5">
        <v>9.1666666666666661</v>
      </c>
      <c r="Y28" s="5">
        <f t="shared" si="5"/>
        <v>0</v>
      </c>
      <c r="Z28" s="5">
        <f t="shared" si="6"/>
        <v>0</v>
      </c>
      <c r="AA28" s="5">
        <f t="shared" si="7"/>
        <v>0</v>
      </c>
      <c r="AB28" s="5">
        <v>0</v>
      </c>
      <c r="AC28" s="5">
        <v>1.980420515885558E-2</v>
      </c>
      <c r="AD28" s="5">
        <f t="shared" si="8"/>
        <v>0</v>
      </c>
      <c r="AE28" s="5">
        <v>0</v>
      </c>
      <c r="AF28" s="5">
        <v>2.7725887222397813E-2</v>
      </c>
      <c r="AG28" s="5">
        <f t="shared" si="9"/>
        <v>0</v>
      </c>
      <c r="AH28" s="5">
        <v>0</v>
      </c>
      <c r="AI28" s="5">
        <v>0.34657359027997264</v>
      </c>
      <c r="AJ28" s="5">
        <f t="shared" si="10"/>
        <v>0.34555592403024088</v>
      </c>
      <c r="AK28" s="5">
        <f t="shared" si="11"/>
        <v>0</v>
      </c>
      <c r="AL28" s="7">
        <f>IF(Tableau182984[[#This Row],[Age]]&lt;&gt;"",IF(Tableau182984[[#This Row],[Age]]=0,$AT$10*$B$10+SUMIF($AS$21:$AS$29,Tableau182984[[#This Row],[Age]],$AU$21:$AU$29)*$B$10+$AT$11*$B$10,SUMIF($AS$21:$AS$29,Tableau182984[[#This Row],[Age]],$AU$21:$AU$29)*$B$10+$AT$11*$B$10),"")</f>
        <v>9</v>
      </c>
      <c r="AM28" s="7">
        <f>IF(Tableau182984[[#This Row],[Age]]&lt;&gt;"",IF(Tableau182984[[#This Row],[Age]]=$B$11,$AT$10*$B$10,0)+Tableau182984[[#This Row],[VBO]]*$AX$21*$B$10+Tableau182984[[#This Row],[VBI]]*$AX$22*$B$10+Tableau182984[[#This Row],[VBE]]*$AX$23*$B$10,"")</f>
        <v>0</v>
      </c>
      <c r="AN28" s="7">
        <v>2.8656223637333795</v>
      </c>
      <c r="AO28" s="7">
        <v>0</v>
      </c>
      <c r="AP28" s="7">
        <f>IF(Tableau182984[[#This Row],[Age]]&lt;&gt;"",Tableau182984[[#This Row],[RA]]-Tableau182984[[#This Row],[DA]],"")</f>
        <v>-2.8656223637333795</v>
      </c>
      <c r="AT28" s="3" t="s">
        <v>96</v>
      </c>
      <c r="AU28" s="22"/>
    </row>
    <row r="29" spans="1:50" ht="15" customHeight="1" x14ac:dyDescent="0.2">
      <c r="A29" s="15" t="s">
        <v>97</v>
      </c>
      <c r="B29" s="25">
        <f>X32</f>
        <v>9.1666666666666661</v>
      </c>
      <c r="D29" s="3" t="s">
        <v>98</v>
      </c>
      <c r="E29" s="25">
        <f>SUM(AJ2:AJ32)</f>
        <v>21.019014510105066</v>
      </c>
      <c r="H29" s="25"/>
      <c r="I29" s="17"/>
      <c r="K29" s="3">
        <v>27</v>
      </c>
      <c r="L29" s="4">
        <v>63.3185837187511</v>
      </c>
      <c r="M29" s="4">
        <v>0</v>
      </c>
      <c r="N29" s="4">
        <v>63.3185837187511</v>
      </c>
      <c r="O29" s="5">
        <f t="shared" si="0"/>
        <v>50.376265206638379</v>
      </c>
      <c r="P29" s="5">
        <f t="shared" si="1"/>
        <v>14.710889353844632</v>
      </c>
      <c r="Q29" s="5">
        <f t="shared" si="2"/>
        <v>54.413957147062774</v>
      </c>
      <c r="R29" s="5">
        <v>9</v>
      </c>
      <c r="S29" s="5">
        <v>172.93898519936903</v>
      </c>
      <c r="T29" s="5">
        <f t="shared" si="3"/>
        <v>0</v>
      </c>
      <c r="U29" s="5">
        <f t="shared" si="4"/>
        <v>0</v>
      </c>
      <c r="V29" s="5" t="str">
        <f>IF($E$4="Embrousaillement",Tableau182984[[#This Row],[SOL]],"")</f>
        <v/>
      </c>
      <c r="W29" s="5" t="str">
        <f>IF($E$4="Embrousaillement",Tableau182984[[#This Row],[L]],"")</f>
        <v/>
      </c>
      <c r="X29" s="5">
        <v>9.1666666666666661</v>
      </c>
      <c r="Y29" s="5">
        <f t="shared" si="5"/>
        <v>0</v>
      </c>
      <c r="Z29" s="5">
        <f t="shared" si="6"/>
        <v>0</v>
      </c>
      <c r="AA29" s="5">
        <f t="shared" si="7"/>
        <v>0</v>
      </c>
      <c r="AB29" s="5">
        <v>0</v>
      </c>
      <c r="AC29" s="5">
        <v>1.980420515885558E-2</v>
      </c>
      <c r="AD29" s="5">
        <f t="shared" si="8"/>
        <v>0</v>
      </c>
      <c r="AE29" s="5">
        <v>0</v>
      </c>
      <c r="AF29" s="5">
        <v>2.7725887222397813E-2</v>
      </c>
      <c r="AG29" s="5">
        <f t="shared" si="9"/>
        <v>0</v>
      </c>
      <c r="AH29" s="5">
        <v>0</v>
      </c>
      <c r="AI29" s="5">
        <v>0.34657359027997264</v>
      </c>
      <c r="AJ29" s="5">
        <f t="shared" si="10"/>
        <v>0.24434493716096681</v>
      </c>
      <c r="AK29" s="5">
        <f t="shared" si="11"/>
        <v>0</v>
      </c>
      <c r="AL29" s="7">
        <f>IF(Tableau182984[[#This Row],[Age]]&lt;&gt;"",IF(Tableau182984[[#This Row],[Age]]=0,$AT$10*$B$10+SUMIF($AS$21:$AS$29,Tableau182984[[#This Row],[Age]],$AU$21:$AU$29)*$B$10+$AT$11*$B$10,SUMIF($AS$21:$AS$29,Tableau182984[[#This Row],[Age]],$AU$21:$AU$29)*$B$10+$AT$11*$B$10),"")</f>
        <v>9</v>
      </c>
      <c r="AM29" s="7">
        <f>IF(Tableau182984[[#This Row],[Age]]&lt;&gt;"",IF(Tableau182984[[#This Row],[Age]]=$B$11,$AT$10*$B$10,0)+Tableau182984[[#This Row],[VBO]]*$AX$21*$B$10+Tableau182984[[#This Row],[VBI]]*$AX$22*$B$10+Tableau182984[[#This Row],[VBE]]*$AX$23*$B$10,"")</f>
        <v>0</v>
      </c>
      <c r="AN29" s="7">
        <v>2.7422223576395974</v>
      </c>
      <c r="AO29" s="7">
        <v>0</v>
      </c>
      <c r="AP29" s="7">
        <f>IF(Tableau182984[[#This Row],[Age]]&lt;&gt;"",Tableau182984[[#This Row],[RA]]-Tableau182984[[#This Row],[DA]],"")</f>
        <v>-2.7422223576395974</v>
      </c>
      <c r="AS29" s="3">
        <v>2</v>
      </c>
      <c r="AT29" s="3" t="s">
        <v>99</v>
      </c>
      <c r="AU29" s="22">
        <v>900</v>
      </c>
    </row>
    <row r="30" spans="1:50" ht="15" customHeight="1" x14ac:dyDescent="0.2">
      <c r="A30" s="15" t="s">
        <v>100</v>
      </c>
      <c r="B30" s="25">
        <f>SUM(X:X)/$E$11</f>
        <v>9.1666666666666696</v>
      </c>
      <c r="D30" s="3" t="s">
        <v>101</v>
      </c>
      <c r="E30" s="25">
        <v>0</v>
      </c>
      <c r="H30" s="25"/>
      <c r="I30" s="17"/>
      <c r="K30" s="3">
        <v>28</v>
      </c>
      <c r="L30" s="4">
        <v>70.106912582178069</v>
      </c>
      <c r="M30" s="4">
        <v>0</v>
      </c>
      <c r="N30" s="4">
        <v>70.106912582178069</v>
      </c>
      <c r="O30" s="5">
        <f t="shared" si="0"/>
        <v>55.777059650380878</v>
      </c>
      <c r="P30" s="5">
        <f t="shared" si="1"/>
        <v>16.096084650162062</v>
      </c>
      <c r="Q30" s="5">
        <f t="shared" si="2"/>
        <v>54.684340145389598</v>
      </c>
      <c r="R30" s="5">
        <v>9.3333333333333321</v>
      </c>
      <c r="S30" s="5">
        <v>179.95526453938152</v>
      </c>
      <c r="T30" s="5">
        <f t="shared" si="3"/>
        <v>0</v>
      </c>
      <c r="U30" s="5">
        <f t="shared" si="4"/>
        <v>0</v>
      </c>
      <c r="V30" s="5" t="str">
        <f>IF($E$4="Embrousaillement",Tableau182984[[#This Row],[SOL]],"")</f>
        <v/>
      </c>
      <c r="W30" s="5" t="str">
        <f>IF($E$4="Embrousaillement",Tableau182984[[#This Row],[L]],"")</f>
        <v/>
      </c>
      <c r="X30" s="5">
        <v>9.1666666666666661</v>
      </c>
      <c r="Y30" s="5">
        <f t="shared" si="5"/>
        <v>0</v>
      </c>
      <c r="Z30" s="5">
        <f t="shared" si="6"/>
        <v>0</v>
      </c>
      <c r="AA30" s="5">
        <f t="shared" si="7"/>
        <v>0</v>
      </c>
      <c r="AB30" s="5">
        <v>0</v>
      </c>
      <c r="AC30" s="5">
        <v>1.980420515885558E-2</v>
      </c>
      <c r="AD30" s="5">
        <f t="shared" si="8"/>
        <v>0</v>
      </c>
      <c r="AE30" s="5">
        <v>0</v>
      </c>
      <c r="AF30" s="5">
        <v>2.7725887222397813E-2</v>
      </c>
      <c r="AG30" s="5">
        <f t="shared" si="9"/>
        <v>0</v>
      </c>
      <c r="AH30" s="5">
        <v>0</v>
      </c>
      <c r="AI30" s="5">
        <v>0.34657359027997264</v>
      </c>
      <c r="AJ30" s="5">
        <f t="shared" si="10"/>
        <v>0.17277796201512047</v>
      </c>
      <c r="AK30" s="5">
        <f t="shared" si="11"/>
        <v>0</v>
      </c>
      <c r="AL30" s="7">
        <f>IF(Tableau182984[[#This Row],[Age]]&lt;&gt;"",IF(Tableau182984[[#This Row],[Age]]=0,$AT$10*$B$10+SUMIF($AS$21:$AS$29,Tableau182984[[#This Row],[Age]],$AU$21:$AU$29)*$B$10+$AT$11*$B$10,SUMIF($AS$21:$AS$29,Tableau182984[[#This Row],[Age]],$AU$21:$AU$29)*$B$10+$AT$11*$B$10),"")</f>
        <v>9</v>
      </c>
      <c r="AM30" s="7">
        <f>IF(Tableau182984[[#This Row],[Age]]&lt;&gt;"",IF(Tableau182984[[#This Row],[Age]]=$B$11,$AT$10*$B$10,0)+Tableau182984[[#This Row],[VBO]]*$AX$21*$B$10+Tableau182984[[#This Row],[VBI]]*$AX$22*$B$10+Tableau182984[[#This Row],[VBE]]*$AX$23*$B$10,"")</f>
        <v>0</v>
      </c>
      <c r="AN30" s="7">
        <v>2.6241362274063142</v>
      </c>
      <c r="AO30" s="7">
        <v>0</v>
      </c>
      <c r="AP30" s="7">
        <f>IF(Tableau182984[[#This Row],[Age]]&lt;&gt;"",Tableau182984[[#This Row],[RA]]-Tableau182984[[#This Row],[DA]],"")</f>
        <v>-2.6241362274063142</v>
      </c>
      <c r="AS30" s="3">
        <v>5</v>
      </c>
      <c r="AT30" s="3" t="s">
        <v>102</v>
      </c>
      <c r="AU30" s="3">
        <v>1350</v>
      </c>
    </row>
    <row r="31" spans="1:50" ht="15" customHeight="1" x14ac:dyDescent="0.2">
      <c r="A31" s="15"/>
      <c r="B31" s="25"/>
      <c r="E31" s="25"/>
      <c r="H31" s="25"/>
      <c r="I31" s="17"/>
      <c r="K31" s="3">
        <v>29</v>
      </c>
      <c r="L31" s="4">
        <v>77.311951164682526</v>
      </c>
      <c r="M31" s="4">
        <v>0</v>
      </c>
      <c r="N31" s="4">
        <v>77.311951164682526</v>
      </c>
      <c r="O31" s="5">
        <f t="shared" si="0"/>
        <v>61.509388346621421</v>
      </c>
      <c r="P31" s="5">
        <f t="shared" si="1"/>
        <v>17.54933617217084</v>
      </c>
      <c r="Q31" s="5">
        <f t="shared" si="2"/>
        <v>54.950032603181285</v>
      </c>
      <c r="R31" s="5">
        <v>9.6666666666666661</v>
      </c>
      <c r="S31" s="5">
        <v>187.31092126316952</v>
      </c>
      <c r="T31" s="5">
        <f t="shared" si="3"/>
        <v>0</v>
      </c>
      <c r="U31" s="5">
        <f t="shared" si="4"/>
        <v>0</v>
      </c>
      <c r="V31" s="5" t="str">
        <f>IF($E$4="Embrousaillement",Tableau182984[[#This Row],[SOL]],"")</f>
        <v/>
      </c>
      <c r="W31" s="5" t="str">
        <f>IF($E$4="Embrousaillement",Tableau182984[[#This Row],[L]],"")</f>
        <v/>
      </c>
      <c r="X31" s="5">
        <v>9.1666666666666661</v>
      </c>
      <c r="Y31" s="5">
        <f t="shared" si="5"/>
        <v>0</v>
      </c>
      <c r="Z31" s="5">
        <f t="shared" si="6"/>
        <v>0</v>
      </c>
      <c r="AA31" s="5">
        <f t="shared" si="7"/>
        <v>0</v>
      </c>
      <c r="AB31" s="5">
        <v>0</v>
      </c>
      <c r="AC31" s="5">
        <v>1.980420515885558E-2</v>
      </c>
      <c r="AD31" s="5">
        <f t="shared" si="8"/>
        <v>0</v>
      </c>
      <c r="AE31" s="5">
        <v>0</v>
      </c>
      <c r="AF31" s="5">
        <v>2.7725887222397813E-2</v>
      </c>
      <c r="AG31" s="5">
        <f t="shared" si="9"/>
        <v>0</v>
      </c>
      <c r="AH31" s="5">
        <v>0</v>
      </c>
      <c r="AI31" s="5">
        <v>0.34657359027997264</v>
      </c>
      <c r="AJ31" s="5">
        <f t="shared" si="10"/>
        <v>0.12217246858048342</v>
      </c>
      <c r="AK31" s="5">
        <f t="shared" si="11"/>
        <v>0</v>
      </c>
      <c r="AL31" s="7">
        <f>IF(Tableau182984[[#This Row],[Age]]&lt;&gt;"",IF(Tableau182984[[#This Row],[Age]]=0,$AT$10*$B$10+SUMIF($AS$21:$AS$29,Tableau182984[[#This Row],[Age]],$AU$21:$AU$29)*$B$10+$AT$11*$B$10,SUMIF($AS$21:$AS$29,Tableau182984[[#This Row],[Age]],$AU$21:$AU$29)*$B$10+$AT$11*$B$10),"")</f>
        <v>9</v>
      </c>
      <c r="AM31" s="7">
        <f>IF(Tableau182984[[#This Row],[Age]]&lt;&gt;"",IF(Tableau182984[[#This Row],[Age]]=$B$11,$AT$10*$B$10,0)+Tableau182984[[#This Row],[VBO]]*$AX$21*$B$10+Tableau182984[[#This Row],[VBI]]*$AX$22*$B$10+Tableau182984[[#This Row],[VBE]]*$AX$23*$B$10,"")</f>
        <v>0</v>
      </c>
      <c r="AN31" s="7">
        <v>2.5111351458433622</v>
      </c>
      <c r="AO31" s="7">
        <v>0</v>
      </c>
      <c r="AP31" s="7">
        <f>IF(Tableau182984[[#This Row],[Age]]&lt;&gt;"",Tableau182984[[#This Row],[RA]]-Tableau182984[[#This Row],[DA]],"")</f>
        <v>-2.5111351458433622</v>
      </c>
    </row>
    <row r="32" spans="1:50" ht="15" customHeight="1" x14ac:dyDescent="0.2">
      <c r="A32" s="15" t="s">
        <v>103</v>
      </c>
      <c r="B32" s="25">
        <f>IF(B11&gt;=30,B27-B29,"")</f>
        <v>167.40302789986222</v>
      </c>
      <c r="E32" s="25"/>
      <c r="H32" s="25"/>
      <c r="I32" s="17"/>
      <c r="K32" s="26">
        <v>30</v>
      </c>
      <c r="L32" s="27">
        <v>84.938683989655857</v>
      </c>
      <c r="M32" s="27">
        <v>21.234670997413964</v>
      </c>
      <c r="N32" s="27">
        <v>63.704012992241893</v>
      </c>
      <c r="O32" s="27">
        <f t="shared" si="0"/>
        <v>50.682912736627657</v>
      </c>
      <c r="P32" s="27">
        <f t="shared" si="1"/>
        <v>14.789985368644606</v>
      </c>
      <c r="Q32" s="27">
        <f t="shared" si="2"/>
        <v>55.211115890829625</v>
      </c>
      <c r="R32" s="27">
        <v>10</v>
      </c>
      <c r="S32" s="27">
        <v>176.56969456652888</v>
      </c>
      <c r="T32" s="27">
        <f t="shared" si="3"/>
        <v>0</v>
      </c>
      <c r="U32" s="27">
        <f t="shared" si="4"/>
        <v>0</v>
      </c>
      <c r="V32" s="27" t="str">
        <f>IF($E$4="Embrousaillement",Tableau182984[[#This Row],[SOL]],"")</f>
        <v/>
      </c>
      <c r="W32" s="27" t="str">
        <f>IF($E$4="Embrousaillement",Tableau182984[[#This Row],[L]],"")</f>
        <v/>
      </c>
      <c r="X32" s="27">
        <v>9.1666666666666661</v>
      </c>
      <c r="Y32" s="27">
        <f t="shared" si="5"/>
        <v>0</v>
      </c>
      <c r="Z32" s="27">
        <f t="shared" si="6"/>
        <v>0</v>
      </c>
      <c r="AA32" s="27">
        <f t="shared" si="7"/>
        <v>21.234670997413964</v>
      </c>
      <c r="AB32" s="27">
        <v>0</v>
      </c>
      <c r="AC32" s="27">
        <v>1.980420515885558E-2</v>
      </c>
      <c r="AD32" s="27">
        <f t="shared" si="8"/>
        <v>0</v>
      </c>
      <c r="AE32" s="27">
        <v>0</v>
      </c>
      <c r="AF32" s="27">
        <v>2.7725887222397813E-2</v>
      </c>
      <c r="AG32" s="27">
        <f t="shared" si="9"/>
        <v>0</v>
      </c>
      <c r="AH32" s="27">
        <v>9.4308482567264758</v>
      </c>
      <c r="AI32" s="27">
        <v>0.34657359027997264</v>
      </c>
      <c r="AJ32" s="27">
        <f t="shared" si="10"/>
        <v>8.0565043606082956</v>
      </c>
      <c r="AK32" s="27">
        <f t="shared" si="11"/>
        <v>10.617335498706982</v>
      </c>
      <c r="AL32" s="28">
        <f>IF(Tableau182984[[#This Row],[Age]]&lt;&gt;"",IF(Tableau182984[[#This Row],[Age]]=0,$AT$10*$B$10+SUMIF($AS$21:$AS$29,Tableau182984[[#This Row],[Age]],$AU$21:$AU$29)*$B$10+$AT$11*$B$10,SUMIF($AS$21:$AS$29,Tableau182984[[#This Row],[Age]],$AU$21:$AU$29)*$B$10+$AT$11*$B$10),"")</f>
        <v>9</v>
      </c>
      <c r="AM32" s="28">
        <f>IF(Tableau182984[[#This Row],[Age]]&lt;&gt;"",IF(Tableau182984[[#This Row],[Age]]=$B$11,$AT$10*$B$10,0)+Tableau182984[[#This Row],[VBO]]*$AX$21*$B$10+Tableau182984[[#This Row],[VBI]]*$AX$22*$B$10+Tableau182984[[#This Row],[VBE]]*$AX$23*$B$10,"")</f>
        <v>53.086677493534907</v>
      </c>
      <c r="AN32" s="28">
        <v>2.4030001395630269</v>
      </c>
      <c r="AO32" s="28">
        <v>14.174143713989087</v>
      </c>
      <c r="AP32" s="28">
        <f>IF(Tableau182984[[#This Row],[Age]]&lt;&gt;"",Tableau182984[[#This Row],[RA]]-Tableau182984[[#This Row],[DA]],"")</f>
        <v>11.771143574426061</v>
      </c>
      <c r="AS32" s="3" t="s">
        <v>70</v>
      </c>
      <c r="AT32" s="29">
        <f>SUM(AL2:AL7)</f>
        <v>3320</v>
      </c>
    </row>
    <row r="33" spans="1:42" ht="15" customHeight="1" x14ac:dyDescent="0.2">
      <c r="A33" s="15" t="s">
        <v>104</v>
      </c>
      <c r="B33" s="25">
        <f>B28-B30</f>
        <v>188.21839916029958</v>
      </c>
      <c r="E33" s="25"/>
      <c r="H33" s="25"/>
      <c r="I33" s="17"/>
      <c r="K33" s="3">
        <v>31</v>
      </c>
      <c r="L33" s="4">
        <v>69.743542497360949</v>
      </c>
      <c r="M33" s="4">
        <v>0</v>
      </c>
      <c r="N33" s="4">
        <v>69.743542497360949</v>
      </c>
      <c r="O33" s="5">
        <f t="shared" si="0"/>
        <v>55.48796241090038</v>
      </c>
      <c r="P33" s="5">
        <f t="shared" si="1"/>
        <v>16.022345942157589</v>
      </c>
      <c r="Q33" s="5">
        <f t="shared" si="2"/>
        <v>55.467669967132053</v>
      </c>
      <c r="R33" s="5">
        <v>10.333333333333332</v>
      </c>
      <c r="S33" s="5">
        <v>182.90873290830785</v>
      </c>
      <c r="T33" s="5">
        <f t="shared" si="3"/>
        <v>0</v>
      </c>
      <c r="U33" s="5">
        <f t="shared" si="4"/>
        <v>0</v>
      </c>
      <c r="V33" s="5" t="str">
        <f>IF($E$4="Embrousaillement",Tableau182984[[#This Row],[SOL]],"")</f>
        <v/>
      </c>
      <c r="W33" s="5" t="str">
        <f>IF($E$4="Embrousaillement",Tableau182984[[#This Row],[L]],"")</f>
        <v/>
      </c>
      <c r="X33" s="5">
        <v>9.1666666666666661</v>
      </c>
      <c r="Y33" s="5">
        <f t="shared" si="5"/>
        <v>0</v>
      </c>
      <c r="Z33" s="5">
        <f t="shared" si="6"/>
        <v>0</v>
      </c>
      <c r="AA33" s="5">
        <f t="shared" si="7"/>
        <v>0</v>
      </c>
      <c r="AB33" s="5" t="s">
        <v>166</v>
      </c>
      <c r="AC33" s="5" t="s">
        <v>166</v>
      </c>
      <c r="AD33" s="5" t="str">
        <f t="shared" si="8"/>
        <v/>
      </c>
      <c r="AE33" s="5" t="s">
        <v>166</v>
      </c>
      <c r="AF33" s="5" t="s">
        <v>166</v>
      </c>
      <c r="AG33" s="5" t="str">
        <f t="shared" si="9"/>
        <v/>
      </c>
      <c r="AH33" s="5" t="s">
        <v>166</v>
      </c>
      <c r="AI33" s="5" t="s">
        <v>166</v>
      </c>
      <c r="AJ33" s="5" t="str">
        <f t="shared" si="10"/>
        <v/>
      </c>
      <c r="AK33" s="5" t="str">
        <f t="shared" si="11"/>
        <v/>
      </c>
      <c r="AL33" s="7">
        <f>IF(Tableau182984[[#This Row],[Age]]&lt;&gt;"",IF(Tableau182984[[#This Row],[Age]]=0,$AT$10*$B$10+SUMIF($AS$21:$AS$29,Tableau182984[[#This Row],[Age]],$AU$21:$AU$29)*$B$10+$AT$11*$B$10,SUMIF($AS$21:$AS$29,Tableau182984[[#This Row],[Age]],$AU$21:$AU$29)*$B$10+$AT$11*$B$10),"")</f>
        <v>9</v>
      </c>
      <c r="AM33" s="7">
        <f>IF(Tableau182984[[#This Row],[Age]]&lt;&gt;"",IF(Tableau182984[[#This Row],[Age]]=$B$11,$AT$10*$B$10,0)+Tableau182984[[#This Row],[VBO]]*$AX$21*$B$10+Tableau182984[[#This Row],[VBI]]*$AX$22*$B$10+Tableau182984[[#This Row],[VBE]]*$AX$23*$B$10,"")</f>
        <v>0</v>
      </c>
      <c r="AN33" s="7">
        <v>2.2995216646536139</v>
      </c>
      <c r="AO33" s="7">
        <v>0</v>
      </c>
      <c r="AP33" s="7">
        <f>IF(Tableau182984[[#This Row],[Age]]&lt;&gt;"",Tableau182984[[#This Row],[RA]]-Tableau182984[[#This Row],[DA]],"")</f>
        <v>-2.2995216646536139</v>
      </c>
    </row>
    <row r="34" spans="1:42" ht="15" customHeight="1" x14ac:dyDescent="0.2">
      <c r="A34" s="15"/>
      <c r="B34" s="25"/>
      <c r="E34" s="25"/>
      <c r="H34" s="25"/>
      <c r="I34" s="17"/>
      <c r="K34" s="3">
        <v>32</v>
      </c>
      <c r="L34" s="4">
        <v>76.105231905400302</v>
      </c>
      <c r="M34" s="4">
        <v>0</v>
      </c>
      <c r="N34" s="4">
        <v>76.105231905400302</v>
      </c>
      <c r="O34" s="5">
        <f t="shared" si="0"/>
        <v>60.54932250393648</v>
      </c>
      <c r="P34" s="5">
        <f t="shared" si="1"/>
        <v>17.307081223010993</v>
      </c>
      <c r="Q34" s="5">
        <f t="shared" si="2"/>
        <v>55.719773403779627</v>
      </c>
      <c r="R34" s="5">
        <v>10.666666666666666</v>
      </c>
      <c r="S34" s="5">
        <v>189.5084250413683</v>
      </c>
      <c r="T34" s="5">
        <f t="shared" si="3"/>
        <v>0</v>
      </c>
      <c r="U34" s="5">
        <f t="shared" si="4"/>
        <v>0</v>
      </c>
      <c r="V34" s="5" t="str">
        <f>IF($E$4="Embrousaillement",Tableau182984[[#This Row],[SOL]],"")</f>
        <v/>
      </c>
      <c r="W34" s="5" t="str">
        <f>IF($E$4="Embrousaillement",Tableau182984[[#This Row],[L]],"")</f>
        <v/>
      </c>
      <c r="X34" s="5">
        <v>9.1666666666666661</v>
      </c>
      <c r="Y34" s="5">
        <f t="shared" si="5"/>
        <v>0</v>
      </c>
      <c r="Z34" s="5">
        <f t="shared" si="6"/>
        <v>0</v>
      </c>
      <c r="AA34" s="5">
        <f t="shared" si="7"/>
        <v>0</v>
      </c>
      <c r="AB34" s="5" t="s">
        <v>166</v>
      </c>
      <c r="AC34" s="5" t="s">
        <v>166</v>
      </c>
      <c r="AD34" s="5" t="str">
        <f t="shared" si="8"/>
        <v/>
      </c>
      <c r="AE34" s="5" t="s">
        <v>166</v>
      </c>
      <c r="AF34" s="5" t="s">
        <v>166</v>
      </c>
      <c r="AG34" s="5" t="str">
        <f t="shared" si="9"/>
        <v/>
      </c>
      <c r="AH34" s="5" t="s">
        <v>166</v>
      </c>
      <c r="AI34" s="5" t="s">
        <v>166</v>
      </c>
      <c r="AJ34" s="5" t="str">
        <f t="shared" si="10"/>
        <v/>
      </c>
      <c r="AK34" s="5" t="str">
        <f t="shared" si="11"/>
        <v/>
      </c>
      <c r="AL34" s="7">
        <f>IF(Tableau182984[[#This Row],[Age]]&lt;&gt;"",IF(Tableau182984[[#This Row],[Age]]=0,$AT$10*$B$10+SUMIF($AS$21:$AS$29,Tableau182984[[#This Row],[Age]],$AU$21:$AU$29)*$B$10+$AT$11*$B$10,SUMIF($AS$21:$AS$29,Tableau182984[[#This Row],[Age]],$AU$21:$AU$29)*$B$10+$AT$11*$B$10),"")</f>
        <v>9</v>
      </c>
      <c r="AM34" s="7">
        <f>IF(Tableau182984[[#This Row],[Age]]&lt;&gt;"",IF(Tableau182984[[#This Row],[Age]]=$B$11,$AT$10*$B$10,0)+Tableau182984[[#This Row],[VBO]]*$AX$21*$B$10+Tableau182984[[#This Row],[VBI]]*$AX$22*$B$10+Tableau182984[[#This Row],[VBE]]*$AX$23*$B$10,"")</f>
        <v>0</v>
      </c>
      <c r="AN34" s="7">
        <v>2.2004992006254689</v>
      </c>
      <c r="AO34" s="7">
        <v>0</v>
      </c>
      <c r="AP34" s="7">
        <f>IF(Tableau182984[[#This Row],[Age]]&lt;&gt;"",Tableau182984[[#This Row],[RA]]-Tableau182984[[#This Row],[DA]],"")</f>
        <v>-2.2004992006254689</v>
      </c>
    </row>
    <row r="35" spans="1:42" ht="15" customHeight="1" x14ac:dyDescent="0.2">
      <c r="A35" s="15" t="s">
        <v>105</v>
      </c>
      <c r="B35" s="25">
        <f>IF(ISERROR(MIN(B32:B33)),0,IF(B11&gt;=30,MIN(B32:B33),B33))</f>
        <v>167.40302789986222</v>
      </c>
      <c r="D35" s="3" t="s">
        <v>106</v>
      </c>
      <c r="E35" s="25">
        <f>IF(ISNA((SUM(E27:E29)-E30)/30),0,(SUM(E27:E29)-E30)/30)</f>
        <v>0.70063381700350225</v>
      </c>
      <c r="G35" s="3" t="s">
        <v>107</v>
      </c>
      <c r="H35" s="25">
        <f>IF(ISNA((H27-H28)*$B$9),0,(H27-H28)*$B$9)</f>
        <v>3.9475187075610192</v>
      </c>
      <c r="I35" s="17"/>
      <c r="K35" s="3">
        <v>33</v>
      </c>
      <c r="L35" s="4">
        <v>82.791232044885021</v>
      </c>
      <c r="M35" s="4">
        <v>0</v>
      </c>
      <c r="N35" s="4">
        <v>82.791232044885021</v>
      </c>
      <c r="O35" s="5">
        <f t="shared" si="0"/>
        <v>65.868704214910522</v>
      </c>
      <c r="P35" s="5">
        <f t="shared" si="1"/>
        <v>18.643907316642252</v>
      </c>
      <c r="Q35" s="5">
        <f t="shared" si="2"/>
        <v>55.96750340942021</v>
      </c>
      <c r="R35" s="5">
        <v>11</v>
      </c>
      <c r="S35" s="5">
        <v>196.37015545933093</v>
      </c>
      <c r="T35" s="5">
        <f t="shared" si="3"/>
        <v>0</v>
      </c>
      <c r="U35" s="5">
        <f t="shared" si="4"/>
        <v>0</v>
      </c>
      <c r="V35" s="5" t="str">
        <f>IF($E$4="Embrousaillement",Tableau182984[[#This Row],[SOL]],"")</f>
        <v/>
      </c>
      <c r="W35" s="5" t="str">
        <f>IF($E$4="Embrousaillement",Tableau182984[[#This Row],[L]],"")</f>
        <v/>
      </c>
      <c r="X35" s="5">
        <v>9.1666666666666661</v>
      </c>
      <c r="Y35" s="5">
        <f t="shared" si="5"/>
        <v>0</v>
      </c>
      <c r="Z35" s="5">
        <f t="shared" si="6"/>
        <v>0</v>
      </c>
      <c r="AA35" s="5">
        <f t="shared" si="7"/>
        <v>0</v>
      </c>
      <c r="AB35" s="5" t="s">
        <v>166</v>
      </c>
      <c r="AC35" s="5" t="s">
        <v>166</v>
      </c>
      <c r="AD35" s="5" t="str">
        <f t="shared" si="8"/>
        <v/>
      </c>
      <c r="AE35" s="5" t="s">
        <v>166</v>
      </c>
      <c r="AF35" s="5" t="s">
        <v>166</v>
      </c>
      <c r="AG35" s="5" t="str">
        <f t="shared" si="9"/>
        <v/>
      </c>
      <c r="AH35" s="5" t="s">
        <v>166</v>
      </c>
      <c r="AI35" s="5" t="s">
        <v>166</v>
      </c>
      <c r="AJ35" s="5" t="str">
        <f t="shared" si="10"/>
        <v/>
      </c>
      <c r="AK35" s="5" t="str">
        <f t="shared" si="11"/>
        <v/>
      </c>
      <c r="AL35" s="7">
        <f>IF(Tableau182984[[#This Row],[Age]]&lt;&gt;"",IF(Tableau182984[[#This Row],[Age]]=0,$AT$10*$B$10+SUMIF($AS$21:$AS$29,Tableau182984[[#This Row],[Age]],$AU$21:$AU$29)*$B$10+$AT$11*$B$10,SUMIF($AS$21:$AS$29,Tableau182984[[#This Row],[Age]],$AU$21:$AU$29)*$B$10+$AT$11*$B$10),"")</f>
        <v>9</v>
      </c>
      <c r="AM35" s="7">
        <f>IF(Tableau182984[[#This Row],[Age]]&lt;&gt;"",IF(Tableau182984[[#This Row],[Age]]=$B$11,$AT$10*$B$10,0)+Tableau182984[[#This Row],[VBO]]*$AX$21*$B$10+Tableau182984[[#This Row],[VBI]]*$AX$22*$B$10+Tableau182984[[#This Row],[VBE]]*$AX$23*$B$10,"")</f>
        <v>0</v>
      </c>
      <c r="AN35" s="7">
        <v>2.1057408618425546</v>
      </c>
      <c r="AO35" s="7">
        <v>0</v>
      </c>
      <c r="AP35" s="7">
        <f>IF(Tableau182984[[#This Row],[Age]]&lt;&gt;"",Tableau182984[[#This Row],[RA]]-Tableau182984[[#This Row],[DA]],"")</f>
        <v>-2.1057408618425546</v>
      </c>
    </row>
    <row r="36" spans="1:42" ht="15" customHeight="1" x14ac:dyDescent="0.2">
      <c r="A36" s="19"/>
      <c r="B36" s="20"/>
      <c r="C36" s="20"/>
      <c r="D36" s="20"/>
      <c r="E36" s="20"/>
      <c r="F36" s="20"/>
      <c r="G36" s="20"/>
      <c r="H36" s="20"/>
      <c r="I36" s="21"/>
      <c r="K36" s="3">
        <v>34</v>
      </c>
      <c r="L36" s="4">
        <v>89.803164556333954</v>
      </c>
      <c r="M36" s="4">
        <v>0</v>
      </c>
      <c r="N36" s="4">
        <v>89.803164556333954</v>
      </c>
      <c r="O36" s="5">
        <f t="shared" si="0"/>
        <v>71.4473977210193</v>
      </c>
      <c r="P36" s="5">
        <f t="shared" si="1"/>
        <v>20.032468177857137</v>
      </c>
      <c r="Q36" s="5">
        <f t="shared" si="2"/>
        <v>56.210935853304257</v>
      </c>
      <c r="R36" s="5">
        <v>11.333333333333332</v>
      </c>
      <c r="S36" s="5">
        <v>203.49487672910712</v>
      </c>
      <c r="T36" s="5">
        <f t="shared" si="3"/>
        <v>0</v>
      </c>
      <c r="U36" s="5">
        <f t="shared" si="4"/>
        <v>0</v>
      </c>
      <c r="V36" s="5" t="str">
        <f>IF($E$4="Embrousaillement",Tableau182984[[#This Row],[SOL]],"")</f>
        <v/>
      </c>
      <c r="W36" s="5" t="str">
        <f>IF($E$4="Embrousaillement",Tableau182984[[#This Row],[L]],"")</f>
        <v/>
      </c>
      <c r="X36" s="5">
        <v>9.1666666666666661</v>
      </c>
      <c r="Y36" s="5">
        <f t="shared" si="5"/>
        <v>0</v>
      </c>
      <c r="Z36" s="5">
        <f t="shared" si="6"/>
        <v>0</v>
      </c>
      <c r="AA36" s="5">
        <f t="shared" si="7"/>
        <v>0</v>
      </c>
      <c r="AB36" s="5" t="s">
        <v>166</v>
      </c>
      <c r="AC36" s="5" t="s">
        <v>166</v>
      </c>
      <c r="AD36" s="5" t="str">
        <f t="shared" si="8"/>
        <v/>
      </c>
      <c r="AE36" s="5" t="s">
        <v>166</v>
      </c>
      <c r="AF36" s="5" t="s">
        <v>166</v>
      </c>
      <c r="AG36" s="5" t="str">
        <f t="shared" si="9"/>
        <v/>
      </c>
      <c r="AH36" s="5" t="s">
        <v>166</v>
      </c>
      <c r="AI36" s="5" t="s">
        <v>166</v>
      </c>
      <c r="AJ36" s="5" t="str">
        <f t="shared" si="10"/>
        <v/>
      </c>
      <c r="AK36" s="5" t="str">
        <f t="shared" si="11"/>
        <v/>
      </c>
      <c r="AL36" s="7">
        <f>IF(Tableau182984[[#This Row],[Age]]&lt;&gt;"",IF(Tableau182984[[#This Row],[Age]]=0,$AT$10*$B$10+SUMIF($AS$21:$AS$29,Tableau182984[[#This Row],[Age]],$AU$21:$AU$29)*$B$10+$AT$11*$B$10,SUMIF($AS$21:$AS$29,Tableau182984[[#This Row],[Age]],$AU$21:$AU$29)*$B$10+$AT$11*$B$10),"")</f>
        <v>9</v>
      </c>
      <c r="AM36" s="7">
        <f>IF(Tableau182984[[#This Row],[Age]]&lt;&gt;"",IF(Tableau182984[[#This Row],[Age]]=$B$11,$AT$10*$B$10,0)+Tableau182984[[#This Row],[VBO]]*$AX$21*$B$10+Tableau182984[[#This Row],[VBI]]*$AX$22*$B$10+Tableau182984[[#This Row],[VBE]]*$AX$23*$B$10,"")</f>
        <v>0</v>
      </c>
      <c r="AN36" s="7">
        <v>2.0150630256866551</v>
      </c>
      <c r="AO36" s="7">
        <v>0</v>
      </c>
      <c r="AP36" s="7">
        <f>IF(Tableau182984[[#This Row],[Age]]&lt;&gt;"",Tableau182984[[#This Row],[RA]]-Tableau182984[[#This Row],[DA]],"")</f>
        <v>-2.0150630256866551</v>
      </c>
    </row>
    <row r="37" spans="1:42" ht="15" customHeight="1" x14ac:dyDescent="0.2">
      <c r="K37" s="3">
        <v>35</v>
      </c>
      <c r="L37" s="4">
        <v>97.142121892259865</v>
      </c>
      <c r="M37" s="4">
        <v>0</v>
      </c>
      <c r="N37" s="4">
        <v>97.142121892259865</v>
      </c>
      <c r="O37" s="5">
        <f t="shared" si="0"/>
        <v>77.286272177481948</v>
      </c>
      <c r="P37" s="5">
        <f t="shared" si="1"/>
        <v>21.472336782224371</v>
      </c>
      <c r="Q37" s="5">
        <f t="shared" si="2"/>
        <v>56.450145288520318</v>
      </c>
      <c r="R37" s="5">
        <v>11.666666666666666</v>
      </c>
      <c r="S37" s="5">
        <v>210.88311055358707</v>
      </c>
      <c r="T37" s="5">
        <f t="shared" si="3"/>
        <v>0</v>
      </c>
      <c r="U37" s="5">
        <f t="shared" si="4"/>
        <v>0</v>
      </c>
      <c r="V37" s="5" t="str">
        <f>IF($E$4="Embrousaillement",Tableau182984[[#This Row],[SOL]],"")</f>
        <v/>
      </c>
      <c r="W37" s="5" t="str">
        <f>IF($E$4="Embrousaillement",Tableau182984[[#This Row],[L]],"")</f>
        <v/>
      </c>
      <c r="X37" s="5">
        <v>9.1666666666666661</v>
      </c>
      <c r="Y37" s="5">
        <f t="shared" si="5"/>
        <v>0</v>
      </c>
      <c r="Z37" s="5">
        <f t="shared" si="6"/>
        <v>0</v>
      </c>
      <c r="AA37" s="5">
        <f t="shared" si="7"/>
        <v>0</v>
      </c>
      <c r="AB37" s="5" t="s">
        <v>166</v>
      </c>
      <c r="AC37" s="5" t="s">
        <v>166</v>
      </c>
      <c r="AD37" s="5" t="str">
        <f t="shared" si="8"/>
        <v/>
      </c>
      <c r="AE37" s="5" t="s">
        <v>166</v>
      </c>
      <c r="AF37" s="5" t="s">
        <v>166</v>
      </c>
      <c r="AG37" s="5" t="str">
        <f t="shared" si="9"/>
        <v/>
      </c>
      <c r="AH37" s="5" t="s">
        <v>166</v>
      </c>
      <c r="AI37" s="5" t="s">
        <v>166</v>
      </c>
      <c r="AJ37" s="5" t="str">
        <f t="shared" si="10"/>
        <v/>
      </c>
      <c r="AK37" s="5" t="str">
        <f t="shared" si="11"/>
        <v/>
      </c>
      <c r="AL37" s="7">
        <f>IF(Tableau182984[[#This Row],[Age]]&lt;&gt;"",IF(Tableau182984[[#This Row],[Age]]=0,$AT$10*$B$10+SUMIF($AS$21:$AS$29,Tableau182984[[#This Row],[Age]],$AU$21:$AU$29)*$B$10+$AT$11*$B$10,SUMIF($AS$21:$AS$29,Tableau182984[[#This Row],[Age]],$AU$21:$AU$29)*$B$10+$AT$11*$B$10),"")</f>
        <v>9</v>
      </c>
      <c r="AM37" s="7">
        <f>IF(Tableau182984[[#This Row],[Age]]&lt;&gt;"",IF(Tableau182984[[#This Row],[Age]]=$B$11,$AT$10*$B$10,0)+Tableau182984[[#This Row],[VBO]]*$AX$21*$B$10+Tableau182984[[#This Row],[VBI]]*$AX$22*$B$10+Tableau182984[[#This Row],[VBE]]*$AX$23*$B$10,"")</f>
        <v>0</v>
      </c>
      <c r="AN37" s="7">
        <v>1.9282899767336414</v>
      </c>
      <c r="AO37" s="7">
        <v>0</v>
      </c>
      <c r="AP37" s="7">
        <f>IF(Tableau182984[[#This Row],[Age]]&lt;&gt;"",Tableau182984[[#This Row],[RA]]-Tableau182984[[#This Row],[DA]],"")</f>
        <v>-1.9282899767336414</v>
      </c>
    </row>
    <row r="38" spans="1:42" ht="15" customHeight="1" x14ac:dyDescent="0.2">
      <c r="K38" s="3">
        <v>36</v>
      </c>
      <c r="L38" s="4">
        <v>104.80866731716927</v>
      </c>
      <c r="M38" s="4">
        <v>0</v>
      </c>
      <c r="N38" s="4">
        <v>104.80866731716927</v>
      </c>
      <c r="O38" s="5">
        <f t="shared" si="0"/>
        <v>83.385775717539872</v>
      </c>
      <c r="P38" s="5">
        <f t="shared" si="1"/>
        <v>22.963016212229043</v>
      </c>
      <c r="Q38" s="5">
        <f t="shared" si="2"/>
        <v>56.68520497482757</v>
      </c>
      <c r="R38" s="5">
        <v>12</v>
      </c>
      <c r="S38" s="5">
        <v>218.5349487593576</v>
      </c>
      <c r="T38" s="5">
        <f t="shared" si="3"/>
        <v>0</v>
      </c>
      <c r="U38" s="5">
        <f t="shared" si="4"/>
        <v>0</v>
      </c>
      <c r="V38" s="5" t="str">
        <f>IF($E$4="Embrousaillement",Tableau182984[[#This Row],[SOL]],"")</f>
        <v/>
      </c>
      <c r="W38" s="5" t="str">
        <f>IF($E$4="Embrousaillement",Tableau182984[[#This Row],[L]],"")</f>
        <v/>
      </c>
      <c r="X38" s="5">
        <v>9.1666666666666661</v>
      </c>
      <c r="Y38" s="5">
        <f t="shared" si="5"/>
        <v>0</v>
      </c>
      <c r="Z38" s="5">
        <f t="shared" si="6"/>
        <v>0</v>
      </c>
      <c r="AA38" s="5">
        <f t="shared" si="7"/>
        <v>0</v>
      </c>
      <c r="AB38" s="5" t="s">
        <v>166</v>
      </c>
      <c r="AC38" s="5" t="s">
        <v>166</v>
      </c>
      <c r="AD38" s="5" t="str">
        <f t="shared" si="8"/>
        <v/>
      </c>
      <c r="AE38" s="5" t="s">
        <v>166</v>
      </c>
      <c r="AF38" s="5" t="s">
        <v>166</v>
      </c>
      <c r="AG38" s="5" t="str">
        <f t="shared" si="9"/>
        <v/>
      </c>
      <c r="AH38" s="5" t="s">
        <v>166</v>
      </c>
      <c r="AI38" s="5" t="s">
        <v>166</v>
      </c>
      <c r="AJ38" s="5" t="str">
        <f t="shared" si="10"/>
        <v/>
      </c>
      <c r="AK38" s="5" t="str">
        <f t="shared" si="11"/>
        <v/>
      </c>
      <c r="AL38" s="7">
        <f>IF(Tableau182984[[#This Row],[Age]]&lt;&gt;"",IF(Tableau182984[[#This Row],[Age]]=0,$AT$10*$B$10+SUMIF($AS$21:$AS$29,Tableau182984[[#This Row],[Age]],$AU$21:$AU$29)*$B$10+$AT$11*$B$10,SUMIF($AS$21:$AS$29,Tableau182984[[#This Row],[Age]],$AU$21:$AU$29)*$B$10+$AT$11*$B$10),"")</f>
        <v>9</v>
      </c>
      <c r="AM38" s="7">
        <f>IF(Tableau182984[[#This Row],[Age]]&lt;&gt;"",IF(Tableau182984[[#This Row],[Age]]=$B$11,$AT$10*$B$10,0)+Tableau182984[[#This Row],[VBO]]*$AX$21*$B$10+Tableau182984[[#This Row],[VBI]]*$AX$22*$B$10+Tableau182984[[#This Row],[VBE]]*$AX$23*$B$10,"")</f>
        <v>0</v>
      </c>
      <c r="AN38" s="7">
        <v>1.8452535662522886</v>
      </c>
      <c r="AO38" s="7">
        <v>0</v>
      </c>
      <c r="AP38" s="7">
        <f>IF(Tableau182984[[#This Row],[Age]]&lt;&gt;"",Tableau182984[[#This Row],[RA]]-Tableau182984[[#This Row],[DA]],"")</f>
        <v>-1.8452535662522886</v>
      </c>
    </row>
    <row r="39" spans="1:42" ht="15" customHeight="1" x14ac:dyDescent="0.2">
      <c r="K39" s="3">
        <v>37</v>
      </c>
      <c r="L39" s="4">
        <v>112.80283490756266</v>
      </c>
      <c r="M39" s="4">
        <v>0</v>
      </c>
      <c r="N39" s="4">
        <v>112.80283490756266</v>
      </c>
      <c r="O39" s="5">
        <f t="shared" si="0"/>
        <v>89.745935452456848</v>
      </c>
      <c r="P39" s="5">
        <f t="shared" si="1"/>
        <v>24.503940665254333</v>
      </c>
      <c r="Q39" s="5">
        <f t="shared" si="2"/>
        <v>56.916186901092118</v>
      </c>
      <c r="R39" s="5">
        <v>12.333333333333332</v>
      </c>
      <c r="S39" s="5">
        <v>226.45005421562016</v>
      </c>
      <c r="T39" s="5">
        <f t="shared" si="3"/>
        <v>0</v>
      </c>
      <c r="U39" s="5">
        <f t="shared" si="4"/>
        <v>0</v>
      </c>
      <c r="V39" s="5" t="str">
        <f>IF($E$4="Embrousaillement",Tableau182984[[#This Row],[SOL]],"")</f>
        <v/>
      </c>
      <c r="W39" s="5" t="str">
        <f>IF($E$4="Embrousaillement",Tableau182984[[#This Row],[L]],"")</f>
        <v/>
      </c>
      <c r="X39" s="5">
        <v>9.1666666666666661</v>
      </c>
      <c r="Y39" s="5">
        <f t="shared" si="5"/>
        <v>0</v>
      </c>
      <c r="Z39" s="5">
        <f t="shared" si="6"/>
        <v>0</v>
      </c>
      <c r="AA39" s="5">
        <f t="shared" si="7"/>
        <v>0</v>
      </c>
      <c r="AB39" s="5" t="s">
        <v>166</v>
      </c>
      <c r="AC39" s="5" t="s">
        <v>166</v>
      </c>
      <c r="AD39" s="5" t="str">
        <f t="shared" si="8"/>
        <v/>
      </c>
      <c r="AE39" s="5" t="s">
        <v>166</v>
      </c>
      <c r="AF39" s="5" t="s">
        <v>166</v>
      </c>
      <c r="AG39" s="5" t="str">
        <f t="shared" si="9"/>
        <v/>
      </c>
      <c r="AH39" s="5" t="s">
        <v>166</v>
      </c>
      <c r="AI39" s="5" t="s">
        <v>166</v>
      </c>
      <c r="AJ39" s="5" t="str">
        <f t="shared" si="10"/>
        <v/>
      </c>
      <c r="AK39" s="5" t="str">
        <f t="shared" si="11"/>
        <v/>
      </c>
      <c r="AL39" s="7">
        <f>IF(Tableau182984[[#This Row],[Age]]&lt;&gt;"",IF(Tableau182984[[#This Row],[Age]]=0,$AT$10*$B$10+SUMIF($AS$21:$AS$29,Tableau182984[[#This Row],[Age]],$AU$21:$AU$29)*$B$10+$AT$11*$B$10,SUMIF($AS$21:$AS$29,Tableau182984[[#This Row],[Age]],$AU$21:$AU$29)*$B$10+$AT$11*$B$10),"")</f>
        <v>9</v>
      </c>
      <c r="AM39" s="7">
        <f>IF(Tableau182984[[#This Row],[Age]]&lt;&gt;"",IF(Tableau182984[[#This Row],[Age]]=$B$11,$AT$10*$B$10,0)+Tableau182984[[#This Row],[VBO]]*$AX$21*$B$10+Tableau182984[[#This Row],[VBI]]*$AX$22*$B$10+Tableau182984[[#This Row],[VBE]]*$AX$23*$B$10,"")</f>
        <v>0</v>
      </c>
      <c r="AN39" s="7">
        <v>1.7657928863658265</v>
      </c>
      <c r="AO39" s="7">
        <v>0</v>
      </c>
      <c r="AP39" s="7">
        <f>IF(Tableau182984[[#This Row],[Age]]&lt;&gt;"",Tableau182984[[#This Row],[RA]]-Tableau182984[[#This Row],[DA]],"")</f>
        <v>-1.7657928863658265</v>
      </c>
    </row>
    <row r="40" spans="1:42" ht="15" customHeight="1" x14ac:dyDescent="0.2">
      <c r="K40" s="3">
        <v>38</v>
      </c>
      <c r="L40" s="4">
        <v>121.12412955193415</v>
      </c>
      <c r="M40" s="4">
        <v>0</v>
      </c>
      <c r="N40" s="4">
        <v>121.12412955193415</v>
      </c>
      <c r="O40" s="5">
        <f t="shared" si="0"/>
        <v>96.36635747151881</v>
      </c>
      <c r="P40" s="5">
        <f t="shared" si="1"/>
        <v>26.09447638960366</v>
      </c>
      <c r="Q40" s="5">
        <f t="shared" si="2"/>
        <v>57.143161807334202</v>
      </c>
      <c r="R40" s="5">
        <v>12.666666666666666</v>
      </c>
      <c r="S40" s="5">
        <v>234.62766168972908</v>
      </c>
      <c r="T40" s="5">
        <f t="shared" si="3"/>
        <v>0</v>
      </c>
      <c r="U40" s="5">
        <f t="shared" si="4"/>
        <v>0</v>
      </c>
      <c r="V40" s="5" t="str">
        <f>IF($E$4="Embrousaillement",Tableau182984[[#This Row],[SOL]],"")</f>
        <v/>
      </c>
      <c r="W40" s="5" t="str">
        <f>IF($E$4="Embrousaillement",Tableau182984[[#This Row],[L]],"")</f>
        <v/>
      </c>
      <c r="X40" s="5">
        <v>9.1666666666666661</v>
      </c>
      <c r="Y40" s="5">
        <f t="shared" si="5"/>
        <v>0</v>
      </c>
      <c r="Z40" s="5">
        <f t="shared" si="6"/>
        <v>0</v>
      </c>
      <c r="AA40" s="5">
        <f t="shared" si="7"/>
        <v>0</v>
      </c>
      <c r="AB40" s="5" t="s">
        <v>166</v>
      </c>
      <c r="AC40" s="5" t="s">
        <v>166</v>
      </c>
      <c r="AD40" s="5" t="str">
        <f t="shared" si="8"/>
        <v/>
      </c>
      <c r="AE40" s="5" t="s">
        <v>166</v>
      </c>
      <c r="AF40" s="5" t="s">
        <v>166</v>
      </c>
      <c r="AG40" s="5" t="str">
        <f t="shared" si="9"/>
        <v/>
      </c>
      <c r="AH40" s="5" t="s">
        <v>166</v>
      </c>
      <c r="AI40" s="5" t="s">
        <v>166</v>
      </c>
      <c r="AJ40" s="5" t="str">
        <f t="shared" si="10"/>
        <v/>
      </c>
      <c r="AK40" s="5" t="str">
        <f t="shared" si="11"/>
        <v/>
      </c>
      <c r="AL40" s="7">
        <f>IF(Tableau182984[[#This Row],[Age]]&lt;&gt;"",IF(Tableau182984[[#This Row],[Age]]=0,$AT$10*$B$10+SUMIF($AS$21:$AS$29,Tableau182984[[#This Row],[Age]],$AU$21:$AU$29)*$B$10+$AT$11*$B$10,SUMIF($AS$21:$AS$29,Tableau182984[[#This Row],[Age]],$AU$21:$AU$29)*$B$10+$AT$11*$B$10),"")</f>
        <v>9</v>
      </c>
      <c r="AM40" s="7">
        <f>IF(Tableau182984[[#This Row],[Age]]&lt;&gt;"",IF(Tableau182984[[#This Row],[Age]]=$B$11,$AT$10*$B$10,0)+Tableau182984[[#This Row],[VBO]]*$AX$21*$B$10+Tableau182984[[#This Row],[VBI]]*$AX$22*$B$10+Tableau182984[[#This Row],[VBE]]*$AX$23*$B$10,"")</f>
        <v>0</v>
      </c>
      <c r="AN40" s="7">
        <v>1.6897539582448105</v>
      </c>
      <c r="AO40" s="7">
        <v>0</v>
      </c>
      <c r="AP40" s="7">
        <f>IF(Tableau182984[[#This Row],[Age]]&lt;&gt;"",Tableau182984[[#This Row],[RA]]-Tableau182984[[#This Row],[DA]],"")</f>
        <v>-1.6897539582448105</v>
      </c>
    </row>
    <row r="41" spans="1:42" ht="15" customHeight="1" x14ac:dyDescent="0.2">
      <c r="K41" s="3">
        <v>39</v>
      </c>
      <c r="L41" s="4">
        <v>129.77152695077194</v>
      </c>
      <c r="M41" s="4">
        <v>0</v>
      </c>
      <c r="N41" s="4">
        <v>129.77152695077194</v>
      </c>
      <c r="O41" s="5">
        <f t="shared" si="0"/>
        <v>103.24622684203416</v>
      </c>
      <c r="P41" s="5">
        <f t="shared" si="1"/>
        <v>27.733922554039481</v>
      </c>
      <c r="Q41" s="5">
        <f t="shared" si="2"/>
        <v>57.366199206392857</v>
      </c>
      <c r="R41" s="5">
        <v>13</v>
      </c>
      <c r="S41" s="5">
        <v>243.06657864413435</v>
      </c>
      <c r="T41" s="5">
        <f t="shared" si="3"/>
        <v>0</v>
      </c>
      <c r="U41" s="5">
        <f t="shared" si="4"/>
        <v>0</v>
      </c>
      <c r="V41" s="5" t="str">
        <f>IF($E$4="Embrousaillement",Tableau182984[[#This Row],[SOL]],"")</f>
        <v/>
      </c>
      <c r="W41" s="5" t="str">
        <f>IF($E$4="Embrousaillement",Tableau182984[[#This Row],[L]],"")</f>
        <v/>
      </c>
      <c r="X41" s="5">
        <v>9.1666666666666661</v>
      </c>
      <c r="Y41" s="5">
        <f t="shared" si="5"/>
        <v>0</v>
      </c>
      <c r="Z41" s="5">
        <f t="shared" si="6"/>
        <v>0</v>
      </c>
      <c r="AA41" s="5">
        <f t="shared" si="7"/>
        <v>0</v>
      </c>
      <c r="AB41" s="5" t="s">
        <v>166</v>
      </c>
      <c r="AC41" s="5" t="s">
        <v>166</v>
      </c>
      <c r="AD41" s="5" t="str">
        <f t="shared" si="8"/>
        <v/>
      </c>
      <c r="AE41" s="5" t="s">
        <v>166</v>
      </c>
      <c r="AF41" s="5" t="s">
        <v>166</v>
      </c>
      <c r="AG41" s="5" t="str">
        <f t="shared" si="9"/>
        <v/>
      </c>
      <c r="AH41" s="5" t="s">
        <v>166</v>
      </c>
      <c r="AI41" s="5" t="s">
        <v>166</v>
      </c>
      <c r="AJ41" s="5" t="str">
        <f t="shared" si="10"/>
        <v/>
      </c>
      <c r="AK41" s="5" t="str">
        <f t="shared" si="11"/>
        <v/>
      </c>
      <c r="AL41" s="7">
        <f>IF(Tableau182984[[#This Row],[Age]]&lt;&gt;"",IF(Tableau182984[[#This Row],[Age]]=0,$AT$10*$B$10+SUMIF($AS$21:$AS$29,Tableau182984[[#This Row],[Age]],$AU$21:$AU$29)*$B$10+$AT$11*$B$10,SUMIF($AS$21:$AS$29,Tableau182984[[#This Row],[Age]],$AU$21:$AU$29)*$B$10+$AT$11*$B$10),"")</f>
        <v>9</v>
      </c>
      <c r="AM41" s="7">
        <f>IF(Tableau182984[[#This Row],[Age]]&lt;&gt;"",IF(Tableau182984[[#This Row],[Age]]=$B$11,$AT$10*$B$10,0)+Tableau182984[[#This Row],[VBO]]*$AX$21*$B$10+Tableau182984[[#This Row],[VBI]]*$AX$22*$B$10+Tableau182984[[#This Row],[VBE]]*$AX$23*$B$10,"")</f>
        <v>0</v>
      </c>
      <c r="AN41" s="7">
        <v>1.6169894337270914</v>
      </c>
      <c r="AO41" s="7">
        <v>0</v>
      </c>
      <c r="AP41" s="7">
        <f>IF(Tableau182984[[#This Row],[Age]]&lt;&gt;"",Tableau182984[[#This Row],[RA]]-Tableau182984[[#This Row],[DA]],"")</f>
        <v>-1.6169894337270914</v>
      </c>
    </row>
    <row r="42" spans="1:42" ht="15" customHeight="1" x14ac:dyDescent="0.2">
      <c r="K42" s="3">
        <v>40</v>
      </c>
      <c r="L42" s="4">
        <v>138.74347361655779</v>
      </c>
      <c r="M42" s="4">
        <v>34.685868404139448</v>
      </c>
      <c r="N42" s="4">
        <v>104.05760521241834</v>
      </c>
      <c r="O42" s="5">
        <f t="shared" si="0"/>
        <v>82.788230707000039</v>
      </c>
      <c r="P42" s="5">
        <f t="shared" si="1"/>
        <v>22.817555782638639</v>
      </c>
      <c r="Q42" s="5">
        <f t="shared" si="2"/>
        <v>57.585367405214768</v>
      </c>
      <c r="R42" s="5">
        <v>13.333333333333332</v>
      </c>
      <c r="S42" s="5">
        <v>221.98265708873186</v>
      </c>
      <c r="T42" s="5">
        <f t="shared" si="3"/>
        <v>0</v>
      </c>
      <c r="U42" s="5">
        <f t="shared" si="4"/>
        <v>0</v>
      </c>
      <c r="V42" s="5" t="str">
        <f>IF($E$4="Embrousaillement",Tableau182984[[#This Row],[SOL]],"")</f>
        <v/>
      </c>
      <c r="W42" s="5" t="str">
        <f>IF($E$4="Embrousaillement",Tableau182984[[#This Row],[L]],"")</f>
        <v/>
      </c>
      <c r="X42" s="5">
        <v>9.1666666666666661</v>
      </c>
      <c r="Y42" s="5">
        <f t="shared" si="5"/>
        <v>10.405760521241834</v>
      </c>
      <c r="Z42" s="5">
        <f t="shared" si="6"/>
        <v>0</v>
      </c>
      <c r="AA42" s="5">
        <f t="shared" si="7"/>
        <v>24.280107882897614</v>
      </c>
      <c r="AB42" s="5" t="s">
        <v>166</v>
      </c>
      <c r="AC42" s="5" t="s">
        <v>166</v>
      </c>
      <c r="AD42" s="5" t="str">
        <f t="shared" si="8"/>
        <v/>
      </c>
      <c r="AE42" s="5" t="s">
        <v>166</v>
      </c>
      <c r="AF42" s="5" t="s">
        <v>166</v>
      </c>
      <c r="AG42" s="5" t="str">
        <f t="shared" si="9"/>
        <v/>
      </c>
      <c r="AH42" s="5" t="s">
        <v>166</v>
      </c>
      <c r="AI42" s="5" t="s">
        <v>166</v>
      </c>
      <c r="AJ42" s="5" t="str">
        <f t="shared" si="10"/>
        <v/>
      </c>
      <c r="AK42" s="5" t="str">
        <f t="shared" si="11"/>
        <v/>
      </c>
      <c r="AL42" s="7">
        <f>IF(Tableau182984[[#This Row],[Age]]&lt;&gt;"",IF(Tableau182984[[#This Row],[Age]]=0,$AT$10*$B$10+SUMIF($AS$21:$AS$29,Tableau182984[[#This Row],[Age]],$AU$21:$AU$29)*$B$10+$AT$11*$B$10,SUMIF($AS$21:$AS$29,Tableau182984[[#This Row],[Age]],$AU$21:$AU$29)*$B$10+$AT$11*$B$10),"")</f>
        <v>9</v>
      </c>
      <c r="AM42" s="7">
        <f>IF(Tableau182984[[#This Row],[Age]]&lt;&gt;"",IF(Tableau182984[[#This Row],[Age]]=$B$11,$AT$10*$B$10,0)+Tableau182984[[#This Row],[VBO]]*$AX$21*$B$10+Tableau182984[[#This Row],[VBI]]*$AX$22*$B$10+Tableau182984[[#This Row],[VBE]]*$AX$23*$B$10,"")</f>
        <v>320.84428273828991</v>
      </c>
      <c r="AN42" s="7">
        <v>1.5473583097866908</v>
      </c>
      <c r="AO42" s="7">
        <v>55.162340782515926</v>
      </c>
      <c r="AP42" s="7">
        <f>IF(Tableau182984[[#This Row],[Age]]&lt;&gt;"",Tableau182984[[#This Row],[RA]]-Tableau182984[[#This Row],[DA]],"")</f>
        <v>53.614982472729238</v>
      </c>
    </row>
    <row r="43" spans="1:42" ht="15" customHeight="1" x14ac:dyDescent="0.2">
      <c r="K43" s="3">
        <v>41</v>
      </c>
      <c r="L43" s="4">
        <v>111.02841515532565</v>
      </c>
      <c r="M43" s="4">
        <v>0</v>
      </c>
      <c r="N43" s="4">
        <v>111.02841515532565</v>
      </c>
      <c r="O43" s="5">
        <f t="shared" si="0"/>
        <v>88.334207097577092</v>
      </c>
      <c r="P43" s="5">
        <f t="shared" si="1"/>
        <v>24.163040078427066</v>
      </c>
      <c r="Q43" s="5">
        <f t="shared" si="2"/>
        <v>57.800733525773801</v>
      </c>
      <c r="R43" s="5">
        <v>13.666666666666666</v>
      </c>
      <c r="S43" s="5">
        <v>228.98991976857778</v>
      </c>
      <c r="T43" s="5">
        <f t="shared" si="3"/>
        <v>0</v>
      </c>
      <c r="U43" s="5">
        <f t="shared" si="4"/>
        <v>0</v>
      </c>
      <c r="V43" s="5" t="str">
        <f>IF($E$4="Embrousaillement",Tableau182984[[#This Row],[SOL]],"")</f>
        <v/>
      </c>
      <c r="W43" s="5" t="str">
        <f>IF($E$4="Embrousaillement",Tableau182984[[#This Row],[L]],"")</f>
        <v/>
      </c>
      <c r="X43" s="5">
        <v>9.1666666666666661</v>
      </c>
      <c r="Y43" s="5">
        <f t="shared" si="5"/>
        <v>0</v>
      </c>
      <c r="Z43" s="5">
        <f t="shared" si="6"/>
        <v>0</v>
      </c>
      <c r="AA43" s="5">
        <f t="shared" si="7"/>
        <v>0</v>
      </c>
      <c r="AB43" s="5" t="s">
        <v>166</v>
      </c>
      <c r="AC43" s="5" t="s">
        <v>166</v>
      </c>
      <c r="AD43" s="5" t="str">
        <f t="shared" si="8"/>
        <v/>
      </c>
      <c r="AE43" s="5" t="s">
        <v>166</v>
      </c>
      <c r="AF43" s="5" t="s">
        <v>166</v>
      </c>
      <c r="AG43" s="5" t="str">
        <f t="shared" si="9"/>
        <v/>
      </c>
      <c r="AH43" s="5" t="s">
        <v>166</v>
      </c>
      <c r="AI43" s="5" t="s">
        <v>166</v>
      </c>
      <c r="AJ43" s="5" t="str">
        <f t="shared" si="10"/>
        <v/>
      </c>
      <c r="AK43" s="5" t="str">
        <f t="shared" si="11"/>
        <v/>
      </c>
      <c r="AL43" s="7">
        <f>IF(Tableau182984[[#This Row],[Age]]&lt;&gt;"",IF(Tableau182984[[#This Row],[Age]]=0,$AT$10*$B$10+SUMIF($AS$21:$AS$29,Tableau182984[[#This Row],[Age]],$AU$21:$AU$29)*$B$10+$AT$11*$B$10,SUMIF($AS$21:$AS$29,Tableau182984[[#This Row],[Age]],$AU$21:$AU$29)*$B$10+$AT$11*$B$10),"")</f>
        <v>9</v>
      </c>
      <c r="AM43" s="7">
        <f>IF(Tableau182984[[#This Row],[Age]]&lt;&gt;"",IF(Tableau182984[[#This Row],[Age]]=$B$11,$AT$10*$B$10,0)+Tableau182984[[#This Row],[VBO]]*$AX$21*$B$10+Tableau182984[[#This Row],[VBI]]*$AX$22*$B$10+Tableau182984[[#This Row],[VBE]]*$AX$23*$B$10,"")</f>
        <v>0</v>
      </c>
      <c r="AN43" s="7">
        <v>1.4807256552982688</v>
      </c>
      <c r="AO43" s="7">
        <v>0</v>
      </c>
      <c r="AP43" s="7">
        <f>IF(Tableau182984[[#This Row],[Age]]&lt;&gt;"",Tableau182984[[#This Row],[RA]]-Tableau182984[[#This Row],[DA]],"")</f>
        <v>-1.4807256552982688</v>
      </c>
    </row>
    <row r="44" spans="1:42" ht="15" customHeight="1" x14ac:dyDescent="0.2">
      <c r="K44" s="3">
        <v>42</v>
      </c>
      <c r="L44" s="4">
        <v>118.239116144153</v>
      </c>
      <c r="M44" s="4">
        <v>0</v>
      </c>
      <c r="N44" s="4">
        <v>118.239116144153</v>
      </c>
      <c r="O44" s="5">
        <f t="shared" si="0"/>
        <v>94.071040804288131</v>
      </c>
      <c r="P44" s="5">
        <f t="shared" si="1"/>
        <v>25.544519711987352</v>
      </c>
      <c r="Q44" s="5">
        <f t="shared" si="2"/>
        <v>58.012363525627649</v>
      </c>
      <c r="R44" s="5">
        <v>14</v>
      </c>
      <c r="S44" s="5">
        <v>236.1878837465739</v>
      </c>
      <c r="T44" s="5">
        <f t="shared" si="3"/>
        <v>0</v>
      </c>
      <c r="U44" s="5">
        <f t="shared" si="4"/>
        <v>0</v>
      </c>
      <c r="V44" s="5" t="str">
        <f>IF($E$4="Embrousaillement",Tableau182984[[#This Row],[SOL]],"")</f>
        <v/>
      </c>
      <c r="W44" s="5" t="str">
        <f>IF($E$4="Embrousaillement",Tableau182984[[#This Row],[L]],"")</f>
        <v/>
      </c>
      <c r="X44" s="5">
        <v>9.1666666666666661</v>
      </c>
      <c r="Y44" s="5">
        <f t="shared" si="5"/>
        <v>0</v>
      </c>
      <c r="Z44" s="5">
        <f t="shared" si="6"/>
        <v>0</v>
      </c>
      <c r="AA44" s="5">
        <f t="shared" si="7"/>
        <v>0</v>
      </c>
      <c r="AB44" s="5" t="s">
        <v>166</v>
      </c>
      <c r="AC44" s="5" t="s">
        <v>166</v>
      </c>
      <c r="AD44" s="5" t="str">
        <f t="shared" si="8"/>
        <v/>
      </c>
      <c r="AE44" s="5" t="s">
        <v>166</v>
      </c>
      <c r="AF44" s="5" t="s">
        <v>166</v>
      </c>
      <c r="AG44" s="5" t="str">
        <f t="shared" si="9"/>
        <v/>
      </c>
      <c r="AH44" s="5" t="s">
        <v>166</v>
      </c>
      <c r="AI44" s="5" t="s">
        <v>166</v>
      </c>
      <c r="AJ44" s="5" t="str">
        <f t="shared" si="10"/>
        <v/>
      </c>
      <c r="AK44" s="5" t="str">
        <f t="shared" si="11"/>
        <v/>
      </c>
      <c r="AL44" s="7">
        <f>IF(Tableau182984[[#This Row],[Age]]&lt;&gt;"",IF(Tableau182984[[#This Row],[Age]]=0,$AT$10*$B$10+SUMIF($AS$21:$AS$29,Tableau182984[[#This Row],[Age]],$AU$21:$AU$29)*$B$10+$AT$11*$B$10,SUMIF($AS$21:$AS$29,Tableau182984[[#This Row],[Age]],$AU$21:$AU$29)*$B$10+$AT$11*$B$10),"")</f>
        <v>9</v>
      </c>
      <c r="AM44" s="7">
        <f>IF(Tableau182984[[#This Row],[Age]]&lt;&gt;"",IF(Tableau182984[[#This Row],[Age]]=$B$11,$AT$10*$B$10,0)+Tableau182984[[#This Row],[VBO]]*$AX$21*$B$10+Tableau182984[[#This Row],[VBI]]*$AX$22*$B$10+Tableau182984[[#This Row],[VBE]]*$AX$23*$B$10,"")</f>
        <v>0</v>
      </c>
      <c r="AN44" s="7">
        <v>1.4169623495677215</v>
      </c>
      <c r="AO44" s="7">
        <v>0</v>
      </c>
      <c r="AP44" s="7">
        <f>IF(Tableau182984[[#This Row],[Age]]&lt;&gt;"",Tableau182984[[#This Row],[RA]]-Tableau182984[[#This Row],[DA]],"")</f>
        <v>-1.4169623495677215</v>
      </c>
    </row>
    <row r="45" spans="1:42" ht="15" customHeight="1" x14ac:dyDescent="0.2">
      <c r="K45" s="3">
        <v>43</v>
      </c>
      <c r="L45" s="4">
        <v>125.68735239024801</v>
      </c>
      <c r="M45" s="4">
        <v>0</v>
      </c>
      <c r="N45" s="4">
        <v>125.68735239024801</v>
      </c>
      <c r="O45" s="5">
        <f t="shared" si="0"/>
        <v>99.996857561681324</v>
      </c>
      <c r="P45" s="5">
        <f t="shared" si="1"/>
        <v>26.961248904385521</v>
      </c>
      <c r="Q45" s="5">
        <f t="shared" si="2"/>
        <v>58.220322218117829</v>
      </c>
      <c r="R45" s="5">
        <v>14.333333333333332</v>
      </c>
      <c r="S45" s="5">
        <v>243.57438622519368</v>
      </c>
      <c r="T45" s="5">
        <f t="shared" si="3"/>
        <v>0</v>
      </c>
      <c r="U45" s="5">
        <f t="shared" si="4"/>
        <v>0</v>
      </c>
      <c r="V45" s="5" t="str">
        <f>IF($E$4="Embrousaillement",Tableau182984[[#This Row],[SOL]],"")</f>
        <v/>
      </c>
      <c r="W45" s="5" t="str">
        <f>IF($E$4="Embrousaillement",Tableau182984[[#This Row],[L]],"")</f>
        <v/>
      </c>
      <c r="X45" s="5">
        <v>9.1666666666666661</v>
      </c>
      <c r="Y45" s="5">
        <f t="shared" si="5"/>
        <v>0</v>
      </c>
      <c r="Z45" s="5">
        <f t="shared" si="6"/>
        <v>0</v>
      </c>
      <c r="AA45" s="5">
        <f t="shared" si="7"/>
        <v>0</v>
      </c>
      <c r="AB45" s="5" t="s">
        <v>166</v>
      </c>
      <c r="AC45" s="5" t="s">
        <v>166</v>
      </c>
      <c r="AD45" s="5" t="str">
        <f t="shared" si="8"/>
        <v/>
      </c>
      <c r="AE45" s="5" t="s">
        <v>166</v>
      </c>
      <c r="AF45" s="5" t="s">
        <v>166</v>
      </c>
      <c r="AG45" s="5" t="str">
        <f t="shared" si="9"/>
        <v/>
      </c>
      <c r="AH45" s="5" t="s">
        <v>166</v>
      </c>
      <c r="AI45" s="5" t="s">
        <v>166</v>
      </c>
      <c r="AJ45" s="5" t="str">
        <f t="shared" si="10"/>
        <v/>
      </c>
      <c r="AK45" s="5" t="str">
        <f t="shared" si="11"/>
        <v/>
      </c>
      <c r="AL45" s="7">
        <f>IF(Tableau182984[[#This Row],[Age]]&lt;&gt;"",IF(Tableau182984[[#This Row],[Age]]=0,$AT$10*$B$10+SUMIF($AS$21:$AS$29,Tableau182984[[#This Row],[Age]],$AU$21:$AU$29)*$B$10+$AT$11*$B$10,SUMIF($AS$21:$AS$29,Tableau182984[[#This Row],[Age]],$AU$21:$AU$29)*$B$10+$AT$11*$B$10),"")</f>
        <v>9</v>
      </c>
      <c r="AM45" s="7">
        <f>IF(Tableau182984[[#This Row],[Age]]&lt;&gt;"",IF(Tableau182984[[#This Row],[Age]]=$B$11,$AT$10*$B$10,0)+Tableau182984[[#This Row],[VBO]]*$AX$21*$B$10+Tableau182984[[#This Row],[VBI]]*$AX$22*$B$10+Tableau182984[[#This Row],[VBE]]*$AX$23*$B$10,"")</f>
        <v>0</v>
      </c>
      <c r="AN45" s="7">
        <v>1.3559448321222216</v>
      </c>
      <c r="AO45" s="7">
        <v>0</v>
      </c>
      <c r="AP45" s="7">
        <f>IF(Tableau182984[[#This Row],[Age]]&lt;&gt;"",Tableau182984[[#This Row],[RA]]-Tableau182984[[#This Row],[DA]],"")</f>
        <v>-1.3559448321222216</v>
      </c>
    </row>
    <row r="46" spans="1:42" ht="15" customHeight="1" x14ac:dyDescent="0.2">
      <c r="K46" s="3">
        <v>44</v>
      </c>
      <c r="L46" s="4">
        <v>133.37037121395358</v>
      </c>
      <c r="M46" s="4">
        <v>0</v>
      </c>
      <c r="N46" s="4">
        <v>133.37037121395358</v>
      </c>
      <c r="O46" s="5">
        <f t="shared" si="0"/>
        <v>106.10946733782147</v>
      </c>
      <c r="P46" s="5">
        <f t="shared" si="1"/>
        <v>28.41243256959396</v>
      </c>
      <c r="Q46" s="5">
        <f t="shared" si="2"/>
        <v>58.424673292219296</v>
      </c>
      <c r="R46" s="5">
        <v>14.666666666666666</v>
      </c>
      <c r="S46" s="5">
        <v>251.14694442733185</v>
      </c>
      <c r="T46" s="5">
        <f t="shared" si="3"/>
        <v>0</v>
      </c>
      <c r="U46" s="5">
        <f t="shared" si="4"/>
        <v>0</v>
      </c>
      <c r="V46" s="5" t="str">
        <f>IF($E$4="Embrousaillement",Tableau182984[[#This Row],[SOL]],"")</f>
        <v/>
      </c>
      <c r="W46" s="5" t="str">
        <f>IF($E$4="Embrousaillement",Tableau182984[[#This Row],[L]],"")</f>
        <v/>
      </c>
      <c r="X46" s="5">
        <v>9.1666666666666661</v>
      </c>
      <c r="Y46" s="5">
        <f t="shared" si="5"/>
        <v>0</v>
      </c>
      <c r="Z46" s="5">
        <f t="shared" si="6"/>
        <v>0</v>
      </c>
      <c r="AA46" s="5">
        <f t="shared" si="7"/>
        <v>0</v>
      </c>
      <c r="AB46" s="5" t="s">
        <v>166</v>
      </c>
      <c r="AC46" s="5" t="s">
        <v>166</v>
      </c>
      <c r="AD46" s="5" t="str">
        <f t="shared" si="8"/>
        <v/>
      </c>
      <c r="AE46" s="5" t="s">
        <v>166</v>
      </c>
      <c r="AF46" s="5" t="s">
        <v>166</v>
      </c>
      <c r="AG46" s="5" t="str">
        <f t="shared" si="9"/>
        <v/>
      </c>
      <c r="AH46" s="5" t="s">
        <v>166</v>
      </c>
      <c r="AI46" s="5" t="s">
        <v>166</v>
      </c>
      <c r="AJ46" s="5" t="str">
        <f t="shared" si="10"/>
        <v/>
      </c>
      <c r="AK46" s="5" t="str">
        <f t="shared" si="11"/>
        <v/>
      </c>
      <c r="AL46" s="7">
        <f>IF(Tableau182984[[#This Row],[Age]]&lt;&gt;"",IF(Tableau182984[[#This Row],[Age]]=0,$AT$10*$B$10+SUMIF($AS$21:$AS$29,Tableau182984[[#This Row],[Age]],$AU$21:$AU$29)*$B$10+$AT$11*$B$10,SUMIF($AS$21:$AS$29,Tableau182984[[#This Row],[Age]],$AU$21:$AU$29)*$B$10+$AT$11*$B$10),"")</f>
        <v>9</v>
      </c>
      <c r="AM46" s="7">
        <f>IF(Tableau182984[[#This Row],[Age]]&lt;&gt;"",IF(Tableau182984[[#This Row],[Age]]=$B$11,$AT$10*$B$10,0)+Tableau182984[[#This Row],[VBO]]*$AX$21*$B$10+Tableau182984[[#This Row],[VBI]]*$AX$22*$B$10+Tableau182984[[#This Row],[VBE]]*$AX$23*$B$10,"")</f>
        <v>0</v>
      </c>
      <c r="AN46" s="7">
        <v>1.2975548632748533</v>
      </c>
      <c r="AO46" s="7">
        <v>0</v>
      </c>
      <c r="AP46" s="7">
        <f>IF(Tableau182984[[#This Row],[Age]]&lt;&gt;"",Tableau182984[[#This Row],[RA]]-Tableau182984[[#This Row],[DA]],"")</f>
        <v>-1.2975548632748533</v>
      </c>
    </row>
    <row r="47" spans="1:42" ht="15" customHeight="1" x14ac:dyDescent="0.2">
      <c r="K47" s="3">
        <v>45</v>
      </c>
      <c r="L47" s="4">
        <v>141.2850230446079</v>
      </c>
      <c r="M47" s="4">
        <v>0</v>
      </c>
      <c r="N47" s="4">
        <v>141.2850230446079</v>
      </c>
      <c r="O47" s="5">
        <f t="shared" si="0"/>
        <v>112.40636433429005</v>
      </c>
      <c r="P47" s="5">
        <f t="shared" si="1"/>
        <v>29.897226744981673</v>
      </c>
      <c r="Q47" s="5">
        <f t="shared" si="2"/>
        <v>58.625479332045664</v>
      </c>
      <c r="R47" s="5">
        <v>15</v>
      </c>
      <c r="S47" s="5">
        <v>258.90275600694946</v>
      </c>
      <c r="T47" s="5">
        <f t="shared" si="3"/>
        <v>0</v>
      </c>
      <c r="U47" s="5">
        <f t="shared" si="4"/>
        <v>0</v>
      </c>
      <c r="V47" s="5" t="str">
        <f>IF($E$4="Embrousaillement",Tableau182984[[#This Row],[SOL]],"")</f>
        <v/>
      </c>
      <c r="W47" s="5" t="str">
        <f>IF($E$4="Embrousaillement",Tableau182984[[#This Row],[L]],"")</f>
        <v/>
      </c>
      <c r="X47" s="5">
        <v>9.1666666666666661</v>
      </c>
      <c r="Y47" s="5">
        <f t="shared" si="5"/>
        <v>0</v>
      </c>
      <c r="Z47" s="5">
        <f t="shared" si="6"/>
        <v>0</v>
      </c>
      <c r="AA47" s="5">
        <f t="shared" si="7"/>
        <v>0</v>
      </c>
      <c r="AB47" s="5" t="s">
        <v>166</v>
      </c>
      <c r="AC47" s="5" t="s">
        <v>166</v>
      </c>
      <c r="AD47" s="5" t="str">
        <f t="shared" si="8"/>
        <v/>
      </c>
      <c r="AE47" s="5" t="s">
        <v>166</v>
      </c>
      <c r="AF47" s="5" t="s">
        <v>166</v>
      </c>
      <c r="AG47" s="5" t="str">
        <f t="shared" si="9"/>
        <v/>
      </c>
      <c r="AH47" s="5" t="s">
        <v>166</v>
      </c>
      <c r="AI47" s="5" t="s">
        <v>166</v>
      </c>
      <c r="AJ47" s="5" t="str">
        <f t="shared" si="10"/>
        <v/>
      </c>
      <c r="AK47" s="5" t="str">
        <f t="shared" si="11"/>
        <v/>
      </c>
      <c r="AL47" s="7">
        <f>IF(Tableau182984[[#This Row],[Age]]&lt;&gt;"",IF(Tableau182984[[#This Row],[Age]]=0,$AT$10*$B$10+SUMIF($AS$21:$AS$29,Tableau182984[[#This Row],[Age]],$AU$21:$AU$29)*$B$10+$AT$11*$B$10,SUMIF($AS$21:$AS$29,Tableau182984[[#This Row],[Age]],$AU$21:$AU$29)*$B$10+$AT$11*$B$10),"")</f>
        <v>9</v>
      </c>
      <c r="AM47" s="7">
        <f>IF(Tableau182984[[#This Row],[Age]]&lt;&gt;"",IF(Tableau182984[[#This Row],[Age]]=$B$11,$AT$10*$B$10,0)+Tableau182984[[#This Row],[VBO]]*$AX$21*$B$10+Tableau182984[[#This Row],[VBI]]*$AX$22*$B$10+Tableau182984[[#This Row],[VBE]]*$AX$23*$B$10,"")</f>
        <v>0</v>
      </c>
      <c r="AN47" s="7">
        <v>1.2416792949998596</v>
      </c>
      <c r="AO47" s="7">
        <v>0</v>
      </c>
      <c r="AP47" s="7">
        <f>IF(Tableau182984[[#This Row],[Age]]&lt;&gt;"",Tableau182984[[#This Row],[RA]]-Tableau182984[[#This Row],[DA]],"")</f>
        <v>-1.2416792949998596</v>
      </c>
    </row>
    <row r="48" spans="1:42" ht="15" customHeight="1" x14ac:dyDescent="0.2">
      <c r="K48" s="3">
        <v>46</v>
      </c>
      <c r="L48" s="4">
        <v>149.42776142054487</v>
      </c>
      <c r="M48" s="4">
        <v>0</v>
      </c>
      <c r="N48" s="4">
        <v>149.42776142054487</v>
      </c>
      <c r="O48" s="5">
        <f t="shared" si="0"/>
        <v>118.8847269861855</v>
      </c>
      <c r="P48" s="5">
        <f t="shared" si="1"/>
        <v>31.414738989124203</v>
      </c>
      <c r="Q48" s="5">
        <f t="shared" si="2"/>
        <v>58.82280183601609</v>
      </c>
      <c r="R48" s="5">
        <v>15.333333333333332</v>
      </c>
      <c r="S48" s="5">
        <v>266.83869943063951</v>
      </c>
      <c r="T48" s="5">
        <f t="shared" si="3"/>
        <v>0</v>
      </c>
      <c r="U48" s="5">
        <f t="shared" si="4"/>
        <v>0</v>
      </c>
      <c r="V48" s="5" t="str">
        <f>IF($E$4="Embrousaillement",Tableau182984[[#This Row],[SOL]],"")</f>
        <v/>
      </c>
      <c r="W48" s="5" t="str">
        <f>IF($E$4="Embrousaillement",Tableau182984[[#This Row],[L]],"")</f>
        <v/>
      </c>
      <c r="X48" s="5">
        <v>9.1666666666666661</v>
      </c>
      <c r="Y48" s="5">
        <f t="shared" si="5"/>
        <v>0</v>
      </c>
      <c r="Z48" s="5">
        <f t="shared" si="6"/>
        <v>0</v>
      </c>
      <c r="AA48" s="5">
        <f t="shared" si="7"/>
        <v>0</v>
      </c>
      <c r="AB48" s="5" t="s">
        <v>166</v>
      </c>
      <c r="AC48" s="5" t="s">
        <v>166</v>
      </c>
      <c r="AD48" s="5" t="str">
        <f t="shared" si="8"/>
        <v/>
      </c>
      <c r="AE48" s="5" t="s">
        <v>166</v>
      </c>
      <c r="AF48" s="5" t="s">
        <v>166</v>
      </c>
      <c r="AG48" s="5" t="str">
        <f t="shared" si="9"/>
        <v/>
      </c>
      <c r="AH48" s="5" t="s">
        <v>166</v>
      </c>
      <c r="AI48" s="5" t="s">
        <v>166</v>
      </c>
      <c r="AJ48" s="5" t="str">
        <f t="shared" si="10"/>
        <v/>
      </c>
      <c r="AK48" s="5" t="str">
        <f t="shared" si="11"/>
        <v/>
      </c>
      <c r="AL48" s="7">
        <f>IF(Tableau182984[[#This Row],[Age]]&lt;&gt;"",IF(Tableau182984[[#This Row],[Age]]=0,$AT$10*$B$10+SUMIF($AS$21:$AS$29,Tableau182984[[#This Row],[Age]],$AU$21:$AU$29)*$B$10+$AT$11*$B$10,SUMIF($AS$21:$AS$29,Tableau182984[[#This Row],[Age]],$AU$21:$AU$29)*$B$10+$AT$11*$B$10),"")</f>
        <v>9</v>
      </c>
      <c r="AM48" s="7">
        <f>IF(Tableau182984[[#This Row],[Age]]&lt;&gt;"",IF(Tableau182984[[#This Row],[Age]]=$B$11,$AT$10*$B$10,0)+Tableau182984[[#This Row],[VBO]]*$AX$21*$B$10+Tableau182984[[#This Row],[VBI]]*$AX$22*$B$10+Tableau182984[[#This Row],[VBE]]*$AX$23*$B$10,"")</f>
        <v>0</v>
      </c>
      <c r="AN48" s="7">
        <v>1.188209851674507</v>
      </c>
      <c r="AO48" s="7">
        <v>0</v>
      </c>
      <c r="AP48" s="7">
        <f>IF(Tableau182984[[#This Row],[Age]]&lt;&gt;"",Tableau182984[[#This Row],[RA]]-Tableau182984[[#This Row],[DA]],"")</f>
        <v>-1.188209851674507</v>
      </c>
    </row>
    <row r="49" spans="11:42" ht="15" customHeight="1" x14ac:dyDescent="0.2">
      <c r="K49" s="3">
        <v>47</v>
      </c>
      <c r="L49" s="4">
        <v>157.79464298909338</v>
      </c>
      <c r="M49" s="4">
        <v>0</v>
      </c>
      <c r="N49" s="4">
        <v>157.79464298909338</v>
      </c>
      <c r="O49" s="5">
        <f t="shared" si="0"/>
        <v>125.54141796212269</v>
      </c>
      <c r="P49" s="5">
        <f t="shared" si="1"/>
        <v>32.96402874857138</v>
      </c>
      <c r="Q49" s="5">
        <f t="shared" si="2"/>
        <v>59.016701235689659</v>
      </c>
      <c r="R49" s="5">
        <v>15.666666666666666</v>
      </c>
      <c r="S49" s="5">
        <v>274.95133433154928</v>
      </c>
      <c r="T49" s="5">
        <f t="shared" si="3"/>
        <v>0</v>
      </c>
      <c r="U49" s="5">
        <f t="shared" si="4"/>
        <v>0</v>
      </c>
      <c r="V49" s="5" t="str">
        <f>IF($E$4="Embrousaillement",Tableau182984[[#This Row],[SOL]],"")</f>
        <v/>
      </c>
      <c r="W49" s="5" t="str">
        <f>IF($E$4="Embrousaillement",Tableau182984[[#This Row],[L]],"")</f>
        <v/>
      </c>
      <c r="X49" s="5">
        <v>9.1666666666666661</v>
      </c>
      <c r="Y49" s="5">
        <f t="shared" si="5"/>
        <v>0</v>
      </c>
      <c r="Z49" s="5">
        <f t="shared" si="6"/>
        <v>0</v>
      </c>
      <c r="AA49" s="5">
        <f t="shared" si="7"/>
        <v>0</v>
      </c>
      <c r="AB49" s="5" t="s">
        <v>166</v>
      </c>
      <c r="AC49" s="5" t="s">
        <v>166</v>
      </c>
      <c r="AD49" s="5" t="str">
        <f t="shared" si="8"/>
        <v/>
      </c>
      <c r="AE49" s="5" t="s">
        <v>166</v>
      </c>
      <c r="AF49" s="5" t="s">
        <v>166</v>
      </c>
      <c r="AG49" s="5" t="str">
        <f t="shared" si="9"/>
        <v/>
      </c>
      <c r="AH49" s="5" t="s">
        <v>166</v>
      </c>
      <c r="AI49" s="5" t="s">
        <v>166</v>
      </c>
      <c r="AJ49" s="5" t="str">
        <f t="shared" si="10"/>
        <v/>
      </c>
      <c r="AK49" s="5" t="str">
        <f t="shared" si="11"/>
        <v/>
      </c>
      <c r="AL49" s="7">
        <f>IF(Tableau182984[[#This Row],[Age]]&lt;&gt;"",IF(Tableau182984[[#This Row],[Age]]=0,$AT$10*$B$10+SUMIF($AS$21:$AS$29,Tableau182984[[#This Row],[Age]],$AU$21:$AU$29)*$B$10+$AT$11*$B$10,SUMIF($AS$21:$AS$29,Tableau182984[[#This Row],[Age]],$AU$21:$AU$29)*$B$10+$AT$11*$B$10),"")</f>
        <v>9</v>
      </c>
      <c r="AM49" s="7">
        <f>IF(Tableau182984[[#This Row],[Age]]&lt;&gt;"",IF(Tableau182984[[#This Row],[Age]]=$B$11,$AT$10*$B$10,0)+Tableau182984[[#This Row],[VBO]]*$AX$21*$B$10+Tableau182984[[#This Row],[VBI]]*$AX$22*$B$10+Tableau182984[[#This Row],[VBE]]*$AX$23*$B$10,"")</f>
        <v>0</v>
      </c>
      <c r="AN49" s="7">
        <v>1.1370429202626862</v>
      </c>
      <c r="AO49" s="7">
        <v>0</v>
      </c>
      <c r="AP49" s="7">
        <f>IF(Tableau182984[[#This Row],[Age]]&lt;&gt;"",Tableau182984[[#This Row],[RA]]-Tableau182984[[#This Row],[DA]],"")</f>
        <v>-1.1370429202626862</v>
      </c>
    </row>
    <row r="50" spans="11:42" ht="15" customHeight="1" x14ac:dyDescent="0.2">
      <c r="K50" s="3">
        <v>48</v>
      </c>
      <c r="L50" s="4">
        <v>166.38132750657789</v>
      </c>
      <c r="M50" s="4">
        <v>0</v>
      </c>
      <c r="N50" s="4">
        <v>166.38132750657789</v>
      </c>
      <c r="O50" s="5">
        <f t="shared" si="0"/>
        <v>132.37298416423337</v>
      </c>
      <c r="P50" s="5">
        <f t="shared" si="1"/>
        <v>34.544107695027286</v>
      </c>
      <c r="Q50" s="5">
        <f t="shared" si="2"/>
        <v>59.207236914273011</v>
      </c>
      <c r="R50" s="5">
        <v>16</v>
      </c>
      <c r="S50" s="5">
        <v>283.23690183693998</v>
      </c>
      <c r="T50" s="5">
        <f t="shared" si="3"/>
        <v>0</v>
      </c>
      <c r="U50" s="5">
        <f t="shared" si="4"/>
        <v>0</v>
      </c>
      <c r="V50" s="5" t="str">
        <f>IF($E$4="Embrousaillement",Tableau182984[[#This Row],[SOL]],"")</f>
        <v/>
      </c>
      <c r="W50" s="5" t="str">
        <f>IF($E$4="Embrousaillement",Tableau182984[[#This Row],[L]],"")</f>
        <v/>
      </c>
      <c r="X50" s="5">
        <v>9.1666666666666661</v>
      </c>
      <c r="Y50" s="5">
        <f t="shared" si="5"/>
        <v>0</v>
      </c>
      <c r="Z50" s="5">
        <f t="shared" si="6"/>
        <v>0</v>
      </c>
      <c r="AA50" s="5">
        <f t="shared" si="7"/>
        <v>0</v>
      </c>
      <c r="AB50" s="5" t="s">
        <v>166</v>
      </c>
      <c r="AC50" s="5" t="s">
        <v>166</v>
      </c>
      <c r="AD50" s="5" t="str">
        <f t="shared" si="8"/>
        <v/>
      </c>
      <c r="AE50" s="5" t="s">
        <v>166</v>
      </c>
      <c r="AF50" s="5" t="s">
        <v>166</v>
      </c>
      <c r="AG50" s="5" t="str">
        <f t="shared" si="9"/>
        <v/>
      </c>
      <c r="AH50" s="5" t="s">
        <v>166</v>
      </c>
      <c r="AI50" s="5" t="s">
        <v>166</v>
      </c>
      <c r="AJ50" s="5" t="str">
        <f t="shared" si="10"/>
        <v/>
      </c>
      <c r="AK50" s="5" t="str">
        <f t="shared" si="11"/>
        <v/>
      </c>
      <c r="AL50" s="7">
        <f>IF(Tableau182984[[#This Row],[Age]]&lt;&gt;"",IF(Tableau182984[[#This Row],[Age]]=0,$AT$10*$B$10+SUMIF($AS$21:$AS$29,Tableau182984[[#This Row],[Age]],$AU$21:$AU$29)*$B$10+$AT$11*$B$10,SUMIF($AS$21:$AS$29,Tableau182984[[#This Row],[Age]],$AU$21:$AU$29)*$B$10+$AT$11*$B$10),"")</f>
        <v>9</v>
      </c>
      <c r="AM50" s="7">
        <f>IF(Tableau182984[[#This Row],[Age]]&lt;&gt;"",IF(Tableau182984[[#This Row],[Age]]=$B$11,$AT$10*$B$10,0)+Tableau182984[[#This Row],[VBO]]*$AX$21*$B$10+Tableau182984[[#This Row],[VBI]]*$AX$22*$B$10+Tableau182984[[#This Row],[VBE]]*$AX$23*$B$10,"")</f>
        <v>0</v>
      </c>
      <c r="AN50" s="7">
        <v>1.0880793495336714</v>
      </c>
      <c r="AO50" s="7">
        <v>0</v>
      </c>
      <c r="AP50" s="7">
        <f>IF(Tableau182984[[#This Row],[Age]]&lt;&gt;"",Tableau182984[[#This Row],[RA]]-Tableau182984[[#This Row],[DA]],"")</f>
        <v>-1.0880793495336714</v>
      </c>
    </row>
    <row r="51" spans="11:42" ht="15" customHeight="1" x14ac:dyDescent="0.2">
      <c r="K51" s="3">
        <v>49</v>
      </c>
      <c r="L51" s="4">
        <v>175.18307783831827</v>
      </c>
      <c r="M51" s="4">
        <v>0</v>
      </c>
      <c r="N51" s="4">
        <v>175.18307783831827</v>
      </c>
      <c r="O51" s="5">
        <f t="shared" si="0"/>
        <v>139.37565672816601</v>
      </c>
      <c r="P51" s="5">
        <f t="shared" si="1"/>
        <v>36.153940034231105</v>
      </c>
      <c r="Q51" s="5">
        <f t="shared" si="2"/>
        <v>59.394467224806895</v>
      </c>
      <c r="R51" s="5">
        <v>16.333333333333332</v>
      </c>
      <c r="S51" s="5">
        <v>291.69132487051127</v>
      </c>
      <c r="T51" s="5">
        <f t="shared" si="3"/>
        <v>0</v>
      </c>
      <c r="U51" s="5">
        <f t="shared" si="4"/>
        <v>0</v>
      </c>
      <c r="V51" s="5" t="str">
        <f>IF($E$4="Embrousaillement",Tableau182984[[#This Row],[SOL]],"")</f>
        <v/>
      </c>
      <c r="W51" s="5" t="str">
        <f>IF($E$4="Embrousaillement",Tableau182984[[#This Row],[L]],"")</f>
        <v/>
      </c>
      <c r="X51" s="5">
        <v>9.1666666666666661</v>
      </c>
      <c r="Y51" s="5">
        <f t="shared" si="5"/>
        <v>0</v>
      </c>
      <c r="Z51" s="5">
        <f t="shared" si="6"/>
        <v>0</v>
      </c>
      <c r="AA51" s="5">
        <f t="shared" si="7"/>
        <v>0</v>
      </c>
      <c r="AB51" s="5" t="s">
        <v>166</v>
      </c>
      <c r="AC51" s="5" t="s">
        <v>166</v>
      </c>
      <c r="AD51" s="5" t="str">
        <f t="shared" si="8"/>
        <v/>
      </c>
      <c r="AE51" s="5" t="s">
        <v>166</v>
      </c>
      <c r="AF51" s="5" t="s">
        <v>166</v>
      </c>
      <c r="AG51" s="5" t="str">
        <f t="shared" si="9"/>
        <v/>
      </c>
      <c r="AH51" s="5" t="s">
        <v>166</v>
      </c>
      <c r="AI51" s="5" t="s">
        <v>166</v>
      </c>
      <c r="AJ51" s="5" t="str">
        <f t="shared" si="10"/>
        <v/>
      </c>
      <c r="AK51" s="5" t="str">
        <f t="shared" si="11"/>
        <v/>
      </c>
      <c r="AL51" s="7">
        <f>IF(Tableau182984[[#This Row],[Age]]&lt;&gt;"",IF(Tableau182984[[#This Row],[Age]]=0,$AT$10*$B$10+SUMIF($AS$21:$AS$29,Tableau182984[[#This Row],[Age]],$AU$21:$AU$29)*$B$10+$AT$11*$B$10,SUMIF($AS$21:$AS$29,Tableau182984[[#This Row],[Age]],$AU$21:$AU$29)*$B$10+$AT$11*$B$10),"")</f>
        <v>9</v>
      </c>
      <c r="AM51" s="7">
        <f>IF(Tableau182984[[#This Row],[Age]]&lt;&gt;"",IF(Tableau182984[[#This Row],[Age]]=$B$11,$AT$10*$B$10,0)+Tableau182984[[#This Row],[VBO]]*$AX$21*$B$10+Tableau182984[[#This Row],[VBI]]*$AX$22*$B$10+Tableau182984[[#This Row],[VBE]]*$AX$23*$B$10,"")</f>
        <v>0</v>
      </c>
      <c r="AN51" s="7">
        <v>1.0412242579269582</v>
      </c>
      <c r="AO51" s="7">
        <v>0</v>
      </c>
      <c r="AP51" s="7">
        <f>IF(Tableau182984[[#This Row],[Age]]&lt;&gt;"",Tableau182984[[#This Row],[RA]]-Tableau182984[[#This Row],[DA]],"")</f>
        <v>-1.0412242579269582</v>
      </c>
    </row>
    <row r="52" spans="11:42" ht="15" customHeight="1" x14ac:dyDescent="0.2">
      <c r="K52" s="3">
        <v>50</v>
      </c>
      <c r="L52" s="4">
        <v>184.19475995862965</v>
      </c>
      <c r="M52" s="4">
        <v>0</v>
      </c>
      <c r="N52" s="4">
        <v>184.19475995862965</v>
      </c>
      <c r="O52" s="5">
        <f t="shared" si="0"/>
        <v>146.54535102308574</v>
      </c>
      <c r="P52" s="5">
        <f t="shared" si="1"/>
        <v>37.792442787676762</v>
      </c>
      <c r="Q52" s="5">
        <f t="shared" si="2"/>
        <v>59.578449508037295</v>
      </c>
      <c r="R52" s="5">
        <v>16.666666666666664</v>
      </c>
      <c r="S52" s="5">
        <v>300.31020843049629</v>
      </c>
      <c r="T52" s="5">
        <f t="shared" si="3"/>
        <v>0</v>
      </c>
      <c r="U52" s="5">
        <f t="shared" si="4"/>
        <v>0</v>
      </c>
      <c r="V52" s="5" t="str">
        <f>IF($E$4="Embrousaillement",Tableau182984[[#This Row],[SOL]],"")</f>
        <v/>
      </c>
      <c r="W52" s="5" t="str">
        <f>IF($E$4="Embrousaillement",Tableau182984[[#This Row],[L]],"")</f>
        <v/>
      </c>
      <c r="X52" s="5">
        <v>9.1666666666666661</v>
      </c>
      <c r="Y52" s="5">
        <f t="shared" si="5"/>
        <v>0</v>
      </c>
      <c r="Z52" s="5">
        <f t="shared" si="6"/>
        <v>0</v>
      </c>
      <c r="AA52" s="5">
        <f t="shared" si="7"/>
        <v>0</v>
      </c>
      <c r="AB52" s="5" t="s">
        <v>166</v>
      </c>
      <c r="AC52" s="5" t="s">
        <v>166</v>
      </c>
      <c r="AD52" s="5" t="str">
        <f t="shared" si="8"/>
        <v/>
      </c>
      <c r="AE52" s="5" t="s">
        <v>166</v>
      </c>
      <c r="AF52" s="5" t="s">
        <v>166</v>
      </c>
      <c r="AG52" s="5" t="str">
        <f t="shared" si="9"/>
        <v/>
      </c>
      <c r="AH52" s="5" t="s">
        <v>166</v>
      </c>
      <c r="AI52" s="5" t="s">
        <v>166</v>
      </c>
      <c r="AJ52" s="5" t="str">
        <f t="shared" si="10"/>
        <v/>
      </c>
      <c r="AK52" s="5" t="str">
        <f t="shared" si="11"/>
        <v/>
      </c>
      <c r="AL52" s="7">
        <f>IF(Tableau182984[[#This Row],[Age]]&lt;&gt;"",IF(Tableau182984[[#This Row],[Age]]=0,$AT$10*$B$10+SUMIF($AS$21:$AS$29,Tableau182984[[#This Row],[Age]],$AU$21:$AU$29)*$B$10+$AT$11*$B$10,SUMIF($AS$21:$AS$29,Tableau182984[[#This Row],[Age]],$AU$21:$AU$29)*$B$10+$AT$11*$B$10),"")</f>
        <v>9</v>
      </c>
      <c r="AM52" s="7">
        <f>IF(Tableau182984[[#This Row],[Age]]&lt;&gt;"",IF(Tableau182984[[#This Row],[Age]]=$B$11,$AT$10*$B$10,0)+Tableau182984[[#This Row],[VBO]]*$AX$21*$B$10+Tableau182984[[#This Row],[VBI]]*$AX$22*$B$10+Tableau182984[[#This Row],[VBE]]*$AX$23*$B$10,"")</f>
        <v>0</v>
      </c>
      <c r="AN52" s="7">
        <v>0.99638684969086933</v>
      </c>
      <c r="AO52" s="7">
        <v>0</v>
      </c>
      <c r="AP52" s="7">
        <f>IF(Tableau182984[[#This Row],[Age]]&lt;&gt;"",Tableau182984[[#This Row],[RA]]-Tableau182984[[#This Row],[DA]],"")</f>
        <v>-0.99638684969086933</v>
      </c>
    </row>
    <row r="53" spans="11:42" ht="15" customHeight="1" x14ac:dyDescent="0.2">
      <c r="K53" s="3">
        <v>51</v>
      </c>
      <c r="L53" s="4">
        <v>193.41084295082251</v>
      </c>
      <c r="M53" s="4">
        <v>0</v>
      </c>
      <c r="N53" s="4">
        <v>193.41084295082251</v>
      </c>
      <c r="O53" s="5">
        <f t="shared" si="0"/>
        <v>153.87766665167439</v>
      </c>
      <c r="P53" s="5">
        <f t="shared" si="1"/>
        <v>39.458486048172475</v>
      </c>
      <c r="Q53" s="5">
        <f t="shared" si="2"/>
        <v>59.759240109976403</v>
      </c>
      <c r="R53" s="5">
        <v>17</v>
      </c>
      <c r="S53" s="5">
        <v>309.08883984440672</v>
      </c>
      <c r="T53" s="5">
        <f t="shared" si="3"/>
        <v>0</v>
      </c>
      <c r="U53" s="5">
        <f t="shared" si="4"/>
        <v>0</v>
      </c>
      <c r="V53" s="5" t="str">
        <f>IF($E$4="Embrousaillement",Tableau182984[[#This Row],[SOL]],"")</f>
        <v/>
      </c>
      <c r="W53" s="5" t="str">
        <f>IF($E$4="Embrousaillement",Tableau182984[[#This Row],[L]],"")</f>
        <v/>
      </c>
      <c r="X53" s="5">
        <v>9.1666666666666661</v>
      </c>
      <c r="Y53" s="5">
        <f t="shared" si="5"/>
        <v>0</v>
      </c>
      <c r="Z53" s="5">
        <f t="shared" si="6"/>
        <v>0</v>
      </c>
      <c r="AA53" s="5">
        <f t="shared" si="7"/>
        <v>0</v>
      </c>
      <c r="AB53" s="5" t="s">
        <v>166</v>
      </c>
      <c r="AC53" s="5" t="s">
        <v>166</v>
      </c>
      <c r="AD53" s="5" t="str">
        <f t="shared" si="8"/>
        <v/>
      </c>
      <c r="AE53" s="5" t="s">
        <v>166</v>
      </c>
      <c r="AF53" s="5" t="s">
        <v>166</v>
      </c>
      <c r="AG53" s="5" t="str">
        <f t="shared" si="9"/>
        <v/>
      </c>
      <c r="AH53" s="5" t="s">
        <v>166</v>
      </c>
      <c r="AI53" s="5" t="s">
        <v>166</v>
      </c>
      <c r="AJ53" s="5" t="str">
        <f t="shared" si="10"/>
        <v/>
      </c>
      <c r="AK53" s="5" t="str">
        <f t="shared" si="11"/>
        <v/>
      </c>
      <c r="AL53" s="7">
        <f>IF(Tableau182984[[#This Row],[Age]]&lt;&gt;"",IF(Tableau182984[[#This Row],[Age]]=0,$AT$10*$B$10+SUMIF($AS$21:$AS$29,Tableau182984[[#This Row],[Age]],$AU$21:$AU$29)*$B$10+$AT$11*$B$10,SUMIF($AS$21:$AS$29,Tableau182984[[#This Row],[Age]],$AU$21:$AU$29)*$B$10+$AT$11*$B$10),"")</f>
        <v>9</v>
      </c>
      <c r="AM53" s="7">
        <f>IF(Tableau182984[[#This Row],[Age]]&lt;&gt;"",IF(Tableau182984[[#This Row],[Age]]=$B$11,$AT$10*$B$10,0)+Tableau182984[[#This Row],[VBO]]*$AX$21*$B$10+Tableau182984[[#This Row],[VBI]]*$AX$22*$B$10+Tableau182984[[#This Row],[VBE]]*$AX$23*$B$10,"")</f>
        <v>0</v>
      </c>
      <c r="AN53" s="7">
        <v>0.95348023893863099</v>
      </c>
      <c r="AO53" s="7">
        <v>0</v>
      </c>
      <c r="AP53" s="7">
        <f>IF(Tableau182984[[#This Row],[Age]]&lt;&gt;"",Tableau182984[[#This Row],[RA]]-Tableau182984[[#This Row],[DA]],"")</f>
        <v>-0.95348023893863099</v>
      </c>
    </row>
    <row r="54" spans="11:42" ht="15" customHeight="1" x14ac:dyDescent="0.2">
      <c r="K54" s="3">
        <v>52</v>
      </c>
      <c r="L54" s="4">
        <v>202.82539900720289</v>
      </c>
      <c r="M54" s="4">
        <v>0</v>
      </c>
      <c r="N54" s="4">
        <v>202.82539900720289</v>
      </c>
      <c r="O54" s="5">
        <f t="shared" si="0"/>
        <v>161.36788745013064</v>
      </c>
      <c r="P54" s="5">
        <f t="shared" si="1"/>
        <v>41.150893210114788</v>
      </c>
      <c r="Q54" s="5">
        <f t="shared" si="2"/>
        <v>59.936894399159101</v>
      </c>
      <c r="R54" s="5">
        <v>17.333333333333332</v>
      </c>
      <c r="S54" s="5">
        <v>318.02218900119982</v>
      </c>
      <c r="T54" s="5">
        <f t="shared" si="3"/>
        <v>0</v>
      </c>
      <c r="U54" s="5">
        <f t="shared" si="4"/>
        <v>0</v>
      </c>
      <c r="V54" s="5" t="str">
        <f>IF($E$4="Embrousaillement",Tableau182984[[#This Row],[SOL]],"")</f>
        <v/>
      </c>
      <c r="W54" s="5" t="str">
        <f>IF($E$4="Embrousaillement",Tableau182984[[#This Row],[L]],"")</f>
        <v/>
      </c>
      <c r="X54" s="5">
        <v>9.1666666666666661</v>
      </c>
      <c r="Y54" s="5">
        <f t="shared" si="5"/>
        <v>0</v>
      </c>
      <c r="Z54" s="5">
        <f t="shared" si="6"/>
        <v>0</v>
      </c>
      <c r="AA54" s="5">
        <f t="shared" si="7"/>
        <v>0</v>
      </c>
      <c r="AB54" s="5" t="s">
        <v>166</v>
      </c>
      <c r="AC54" s="5" t="s">
        <v>166</v>
      </c>
      <c r="AD54" s="5" t="str">
        <f t="shared" si="8"/>
        <v/>
      </c>
      <c r="AE54" s="5" t="s">
        <v>166</v>
      </c>
      <c r="AF54" s="5" t="s">
        <v>166</v>
      </c>
      <c r="AG54" s="5" t="str">
        <f t="shared" si="9"/>
        <v/>
      </c>
      <c r="AH54" s="5" t="s">
        <v>166</v>
      </c>
      <c r="AI54" s="5" t="s">
        <v>166</v>
      </c>
      <c r="AJ54" s="5" t="str">
        <f t="shared" si="10"/>
        <v/>
      </c>
      <c r="AK54" s="5" t="str">
        <f t="shared" si="11"/>
        <v/>
      </c>
      <c r="AL54" s="7">
        <f>IF(Tableau182984[[#This Row],[Age]]&lt;&gt;"",IF(Tableau182984[[#This Row],[Age]]=0,$AT$10*$B$10+SUMIF($AS$21:$AS$29,Tableau182984[[#This Row],[Age]],$AU$21:$AU$29)*$B$10+$AT$11*$B$10,SUMIF($AS$21:$AS$29,Tableau182984[[#This Row],[Age]],$AU$21:$AU$29)*$B$10+$AT$11*$B$10),"")</f>
        <v>9</v>
      </c>
      <c r="AM54" s="7">
        <f>IF(Tableau182984[[#This Row],[Age]]&lt;&gt;"",IF(Tableau182984[[#This Row],[Age]]=$B$11,$AT$10*$B$10,0)+Tableau182984[[#This Row],[VBO]]*$AX$21*$B$10+Tableau182984[[#This Row],[VBI]]*$AX$22*$B$10+Tableau182984[[#This Row],[VBE]]*$AX$23*$B$10,"")</f>
        <v>0</v>
      </c>
      <c r="AN54" s="7">
        <v>0.91242128128098676</v>
      </c>
      <c r="AO54" s="7">
        <v>0</v>
      </c>
      <c r="AP54" s="7">
        <f>IF(Tableau182984[[#This Row],[Age]]&lt;&gt;"",Tableau182984[[#This Row],[RA]]-Tableau182984[[#This Row],[DA]],"")</f>
        <v>-0.91242128128098676</v>
      </c>
    </row>
    <row r="55" spans="11:42" ht="15" customHeight="1" x14ac:dyDescent="0.2">
      <c r="K55" s="3">
        <v>53</v>
      </c>
      <c r="L55" s="4">
        <v>212.43210342907213</v>
      </c>
      <c r="M55" s="4">
        <v>0</v>
      </c>
      <c r="N55" s="4">
        <v>212.43210342907213</v>
      </c>
      <c r="O55" s="5">
        <f t="shared" si="0"/>
        <v>169.01098148816979</v>
      </c>
      <c r="P55" s="5">
        <f t="shared" si="1"/>
        <v>42.868441175235034</v>
      </c>
      <c r="Q55" s="5">
        <f t="shared" si="2"/>
        <v>60.111466783599973</v>
      </c>
      <c r="R55" s="5">
        <v>17.666666666666664</v>
      </c>
      <c r="S55" s="5">
        <v>327.10490856153717</v>
      </c>
      <c r="T55" s="5">
        <f t="shared" si="3"/>
        <v>0</v>
      </c>
      <c r="U55" s="5">
        <f t="shared" si="4"/>
        <v>0</v>
      </c>
      <c r="V55" s="5" t="str">
        <f>IF($E$4="Embrousaillement",Tableau182984[[#This Row],[SOL]],"")</f>
        <v/>
      </c>
      <c r="W55" s="5" t="str">
        <f>IF($E$4="Embrousaillement",Tableau182984[[#This Row],[L]],"")</f>
        <v/>
      </c>
      <c r="X55" s="5">
        <v>9.1666666666666661</v>
      </c>
      <c r="Y55" s="5">
        <f t="shared" si="5"/>
        <v>0</v>
      </c>
      <c r="Z55" s="5">
        <f t="shared" si="6"/>
        <v>0</v>
      </c>
      <c r="AA55" s="5">
        <f t="shared" si="7"/>
        <v>0</v>
      </c>
      <c r="AB55" s="5" t="s">
        <v>166</v>
      </c>
      <c r="AC55" s="5" t="s">
        <v>166</v>
      </c>
      <c r="AD55" s="5" t="str">
        <f t="shared" si="8"/>
        <v/>
      </c>
      <c r="AE55" s="5" t="s">
        <v>166</v>
      </c>
      <c r="AF55" s="5" t="s">
        <v>166</v>
      </c>
      <c r="AG55" s="5" t="str">
        <f t="shared" si="9"/>
        <v/>
      </c>
      <c r="AH55" s="5" t="s">
        <v>166</v>
      </c>
      <c r="AI55" s="5" t="s">
        <v>166</v>
      </c>
      <c r="AJ55" s="5" t="str">
        <f t="shared" si="10"/>
        <v/>
      </c>
      <c r="AK55" s="5" t="str">
        <f t="shared" si="11"/>
        <v/>
      </c>
      <c r="AL55" s="7">
        <f>IF(Tableau182984[[#This Row],[Age]]&lt;&gt;"",IF(Tableau182984[[#This Row],[Age]]=0,$AT$10*$B$10+SUMIF($AS$21:$AS$29,Tableau182984[[#This Row],[Age]],$AU$21:$AU$29)*$B$10+$AT$11*$B$10,SUMIF($AS$21:$AS$29,Tableau182984[[#This Row],[Age]],$AU$21:$AU$29)*$B$10+$AT$11*$B$10),"")</f>
        <v>9</v>
      </c>
      <c r="AM55" s="7">
        <f>IF(Tableau182984[[#This Row],[Age]]&lt;&gt;"",IF(Tableau182984[[#This Row],[Age]]=$B$11,$AT$10*$B$10,0)+Tableau182984[[#This Row],[VBO]]*$AX$21*$B$10+Tableau182984[[#This Row],[VBI]]*$AX$22*$B$10+Tableau182984[[#This Row],[VBE]]*$AX$23*$B$10,"")</f>
        <v>0</v>
      </c>
      <c r="AN55" s="7">
        <v>0.87313041270907821</v>
      </c>
      <c r="AO55" s="7">
        <v>0</v>
      </c>
      <c r="AP55" s="7">
        <f>IF(Tableau182984[[#This Row],[Age]]&lt;&gt;"",Tableau182984[[#This Row],[RA]]-Tableau182984[[#This Row],[DA]],"")</f>
        <v>-0.87313041270907821</v>
      </c>
    </row>
    <row r="56" spans="11:42" ht="15" customHeight="1" x14ac:dyDescent="0.2">
      <c r="K56" s="3">
        <v>54</v>
      </c>
      <c r="L56" s="4">
        <v>222.22423462672677</v>
      </c>
      <c r="M56" s="4">
        <v>0</v>
      </c>
      <c r="N56" s="4">
        <v>222.22423462672677</v>
      </c>
      <c r="O56" s="5">
        <f t="shared" si="0"/>
        <v>176.80160106902383</v>
      </c>
      <c r="P56" s="5">
        <f t="shared" si="1"/>
        <v>44.609860534468851</v>
      </c>
      <c r="Q56" s="5">
        <f t="shared" si="2"/>
        <v>60.283010727456173</v>
      </c>
      <c r="R56" s="5">
        <v>18</v>
      </c>
      <c r="S56" s="5">
        <v>336.33133414671119</v>
      </c>
      <c r="T56" s="5">
        <f t="shared" si="3"/>
        <v>0</v>
      </c>
      <c r="U56" s="5">
        <f t="shared" si="4"/>
        <v>0</v>
      </c>
      <c r="V56" s="5" t="str">
        <f>IF($E$4="Embrousaillement",Tableau182984[[#This Row],[SOL]],"")</f>
        <v/>
      </c>
      <c r="W56" s="5" t="str">
        <f>IF($E$4="Embrousaillement",Tableau182984[[#This Row],[L]],"")</f>
        <v/>
      </c>
      <c r="X56" s="5">
        <v>9.1666666666666661</v>
      </c>
      <c r="Y56" s="5">
        <f t="shared" si="5"/>
        <v>0</v>
      </c>
      <c r="Z56" s="5">
        <f t="shared" si="6"/>
        <v>0</v>
      </c>
      <c r="AA56" s="5">
        <f t="shared" si="7"/>
        <v>0</v>
      </c>
      <c r="AB56" s="5" t="s">
        <v>166</v>
      </c>
      <c r="AC56" s="5" t="s">
        <v>166</v>
      </c>
      <c r="AD56" s="5" t="str">
        <f t="shared" si="8"/>
        <v/>
      </c>
      <c r="AE56" s="5" t="s">
        <v>166</v>
      </c>
      <c r="AF56" s="5" t="s">
        <v>166</v>
      </c>
      <c r="AG56" s="5" t="str">
        <f t="shared" si="9"/>
        <v/>
      </c>
      <c r="AH56" s="5" t="s">
        <v>166</v>
      </c>
      <c r="AI56" s="5" t="s">
        <v>166</v>
      </c>
      <c r="AJ56" s="5" t="str">
        <f t="shared" si="10"/>
        <v/>
      </c>
      <c r="AK56" s="5" t="str">
        <f t="shared" si="11"/>
        <v/>
      </c>
      <c r="AL56" s="7">
        <f>IF(Tableau182984[[#This Row],[Age]]&lt;&gt;"",IF(Tableau182984[[#This Row],[Age]]=0,$AT$10*$B$10+SUMIF($AS$21:$AS$29,Tableau182984[[#This Row],[Age]],$AU$21:$AU$29)*$B$10+$AT$11*$B$10,SUMIF($AS$21:$AS$29,Tableau182984[[#This Row],[Age]],$AU$21:$AU$29)*$B$10+$AT$11*$B$10),"")</f>
        <v>9</v>
      </c>
      <c r="AM56" s="7">
        <f>IF(Tableau182984[[#This Row],[Age]]&lt;&gt;"",IF(Tableau182984[[#This Row],[Age]]=$B$11,$AT$10*$B$10,0)+Tableau182984[[#This Row],[VBO]]*$AX$21*$B$10+Tableau182984[[#This Row],[VBI]]*$AX$22*$B$10+Tableau182984[[#This Row],[VBE]]*$AX$23*$B$10,"")</f>
        <v>0</v>
      </c>
      <c r="AN56" s="7">
        <v>0.83553149541538618</v>
      </c>
      <c r="AO56" s="7">
        <v>0</v>
      </c>
      <c r="AP56" s="7">
        <f>IF(Tableau182984[[#This Row],[Age]]&lt;&gt;"",Tableau182984[[#This Row],[RA]]-Tableau182984[[#This Row],[DA]],"")</f>
        <v>-0.83553149541538618</v>
      </c>
    </row>
    <row r="57" spans="11:42" ht="15" customHeight="1" x14ac:dyDescent="0.2">
      <c r="K57" s="3">
        <v>55</v>
      </c>
      <c r="L57" s="4">
        <v>232.19467411945899</v>
      </c>
      <c r="M57" s="4">
        <v>0</v>
      </c>
      <c r="N57" s="4">
        <v>232.19467411945899</v>
      </c>
      <c r="O57" s="5">
        <f t="shared" si="0"/>
        <v>184.73408272944158</v>
      </c>
      <c r="P57" s="5">
        <f t="shared" si="1"/>
        <v>46.373835726497262</v>
      </c>
      <c r="Q57" s="5">
        <f t="shared" si="2"/>
        <v>60.45157876740128</v>
      </c>
      <c r="R57" s="5">
        <v>18.333333333333332</v>
      </c>
      <c r="S57" s="5">
        <v>345.69548450672687</v>
      </c>
      <c r="T57" s="5">
        <f t="shared" si="3"/>
        <v>0</v>
      </c>
      <c r="U57" s="5">
        <f t="shared" si="4"/>
        <v>0</v>
      </c>
      <c r="V57" s="5" t="str">
        <f>IF($E$4="Embrousaillement",Tableau182984[[#This Row],[SOL]],"")</f>
        <v/>
      </c>
      <c r="W57" s="5" t="str">
        <f>IF($E$4="Embrousaillement",Tableau182984[[#This Row],[L]],"")</f>
        <v/>
      </c>
      <c r="X57" s="5">
        <v>9.1666666666666661</v>
      </c>
      <c r="Y57" s="5">
        <f t="shared" si="5"/>
        <v>0</v>
      </c>
      <c r="Z57" s="5">
        <f t="shared" si="6"/>
        <v>0</v>
      </c>
      <c r="AA57" s="5">
        <f t="shared" si="7"/>
        <v>0</v>
      </c>
      <c r="AB57" s="5" t="s">
        <v>166</v>
      </c>
      <c r="AC57" s="5" t="s">
        <v>166</v>
      </c>
      <c r="AD57" s="5" t="str">
        <f t="shared" si="8"/>
        <v/>
      </c>
      <c r="AE57" s="5" t="s">
        <v>166</v>
      </c>
      <c r="AF57" s="5" t="s">
        <v>166</v>
      </c>
      <c r="AG57" s="5" t="str">
        <f t="shared" si="9"/>
        <v/>
      </c>
      <c r="AH57" s="5" t="s">
        <v>166</v>
      </c>
      <c r="AI57" s="5" t="s">
        <v>166</v>
      </c>
      <c r="AJ57" s="5" t="str">
        <f t="shared" si="10"/>
        <v/>
      </c>
      <c r="AK57" s="5" t="str">
        <f t="shared" si="11"/>
        <v/>
      </c>
      <c r="AL57" s="7">
        <f>IF(Tableau182984[[#This Row],[Age]]&lt;&gt;"",IF(Tableau182984[[#This Row],[Age]]=0,$AT$10*$B$10+SUMIF($AS$21:$AS$29,Tableau182984[[#This Row],[Age]],$AU$21:$AU$29)*$B$10+$AT$11*$B$10,SUMIF($AS$21:$AS$29,Tableau182984[[#This Row],[Age]],$AU$21:$AU$29)*$B$10+$AT$11*$B$10),"")</f>
        <v>9</v>
      </c>
      <c r="AM57" s="7">
        <f>IF(Tableau182984[[#This Row],[Age]]&lt;&gt;"",IF(Tableau182984[[#This Row],[Age]]=$B$11,$AT$10*$B$10,0)+Tableau182984[[#This Row],[VBO]]*$AX$21*$B$10+Tableau182984[[#This Row],[VBI]]*$AX$22*$B$10+Tableau182984[[#This Row],[VBE]]*$AX$23*$B$10,"")</f>
        <v>0</v>
      </c>
      <c r="AN57" s="7">
        <v>0.7995516702539579</v>
      </c>
      <c r="AO57" s="7">
        <v>0</v>
      </c>
      <c r="AP57" s="7">
        <f>IF(Tableau182984[[#This Row],[Age]]&lt;&gt;"",Tableau182984[[#This Row],[RA]]-Tableau182984[[#This Row],[DA]],"")</f>
        <v>-0.7995516702539579</v>
      </c>
    </row>
    <row r="58" spans="11:42" ht="15" customHeight="1" x14ac:dyDescent="0.2">
      <c r="K58" s="3">
        <v>56</v>
      </c>
      <c r="L58" s="4">
        <v>242.33590653555623</v>
      </c>
      <c r="M58" s="4">
        <v>0</v>
      </c>
      <c r="N58" s="4">
        <v>242.33590653555623</v>
      </c>
      <c r="O58" s="5">
        <f t="shared" si="0"/>
        <v>192.80244723968855</v>
      </c>
      <c r="P58" s="5">
        <f t="shared" si="1"/>
        <v>48.159005173411913</v>
      </c>
      <c r="Q58" s="5">
        <f t="shared" si="2"/>
        <v>60.617222528715011</v>
      </c>
      <c r="R58" s="5">
        <v>18.666666666666664</v>
      </c>
      <c r="S58" s="5">
        <v>355.19106166794137</v>
      </c>
      <c r="T58" s="5">
        <f t="shared" si="3"/>
        <v>0</v>
      </c>
      <c r="U58" s="5">
        <f t="shared" si="4"/>
        <v>0</v>
      </c>
      <c r="V58" s="5" t="str">
        <f>IF($E$4="Embrousaillement",Tableau182984[[#This Row],[SOL]],"")</f>
        <v/>
      </c>
      <c r="W58" s="5" t="str">
        <f>IF($E$4="Embrousaillement",Tableau182984[[#This Row],[L]],"")</f>
        <v/>
      </c>
      <c r="X58" s="5">
        <v>9.1666666666666661</v>
      </c>
      <c r="Y58" s="5">
        <f t="shared" si="5"/>
        <v>0</v>
      </c>
      <c r="Z58" s="5">
        <f t="shared" si="6"/>
        <v>0</v>
      </c>
      <c r="AA58" s="5">
        <f t="shared" si="7"/>
        <v>0</v>
      </c>
      <c r="AB58" s="5" t="s">
        <v>166</v>
      </c>
      <c r="AC58" s="5" t="s">
        <v>166</v>
      </c>
      <c r="AD58" s="5" t="str">
        <f t="shared" si="8"/>
        <v/>
      </c>
      <c r="AE58" s="5" t="s">
        <v>166</v>
      </c>
      <c r="AF58" s="5" t="s">
        <v>166</v>
      </c>
      <c r="AG58" s="5" t="str">
        <f t="shared" si="9"/>
        <v/>
      </c>
      <c r="AH58" s="5" t="s">
        <v>166</v>
      </c>
      <c r="AI58" s="5" t="s">
        <v>166</v>
      </c>
      <c r="AJ58" s="5" t="str">
        <f t="shared" si="10"/>
        <v/>
      </c>
      <c r="AK58" s="5" t="str">
        <f t="shared" si="11"/>
        <v/>
      </c>
      <c r="AL58" s="7">
        <f>IF(Tableau182984[[#This Row],[Age]]&lt;&gt;"",IF(Tableau182984[[#This Row],[Age]]=0,$AT$10*$B$10+SUMIF($AS$21:$AS$29,Tableau182984[[#This Row],[Age]],$AU$21:$AU$29)*$B$10+$AT$11*$B$10,SUMIF($AS$21:$AS$29,Tableau182984[[#This Row],[Age]],$AU$21:$AU$29)*$B$10+$AT$11*$B$10),"")</f>
        <v>9</v>
      </c>
      <c r="AM58" s="7">
        <f>IF(Tableau182984[[#This Row],[Age]]&lt;&gt;"",IF(Tableau182984[[#This Row],[Age]]=$B$11,$AT$10*$B$10,0)+Tableau182984[[#This Row],[VBO]]*$AX$21*$B$10+Tableau182984[[#This Row],[VBI]]*$AX$22*$B$10+Tableau182984[[#This Row],[VBE]]*$AX$23*$B$10,"")</f>
        <v>0</v>
      </c>
      <c r="AN58" s="7">
        <v>0.7651212155540269</v>
      </c>
      <c r="AO58" s="7">
        <v>0</v>
      </c>
      <c r="AP58" s="7">
        <f>IF(Tableau182984[[#This Row],[Age]]&lt;&gt;"",Tableau182984[[#This Row],[RA]]-Tableau182984[[#This Row],[DA]],"")</f>
        <v>-0.7651212155540269</v>
      </c>
    </row>
    <row r="59" spans="11:42" ht="15" customHeight="1" x14ac:dyDescent="0.2">
      <c r="K59" s="3">
        <v>57</v>
      </c>
      <c r="L59" s="4">
        <v>252.64001961230119</v>
      </c>
      <c r="M59" s="4">
        <v>0</v>
      </c>
      <c r="N59" s="4">
        <v>252.64001961230119</v>
      </c>
      <c r="O59" s="5">
        <f t="shared" si="0"/>
        <v>201.00039960354684</v>
      </c>
      <c r="P59" s="5">
        <f t="shared" si="1"/>
        <v>49.963961393868075</v>
      </c>
      <c r="Q59" s="5">
        <f t="shared" si="2"/>
        <v>60.77999274109392</v>
      </c>
      <c r="R59" s="5">
        <v>19</v>
      </c>
      <c r="S59" s="5">
        <v>364.81145106058767</v>
      </c>
      <c r="T59" s="5">
        <f t="shared" si="3"/>
        <v>0</v>
      </c>
      <c r="U59" s="5">
        <f t="shared" si="4"/>
        <v>0</v>
      </c>
      <c r="V59" s="5" t="str">
        <f>IF($E$4="Embrousaillement",Tableau182984[[#This Row],[SOL]],"")</f>
        <v/>
      </c>
      <c r="W59" s="5" t="str">
        <f>IF($E$4="Embrousaillement",Tableau182984[[#This Row],[L]],"")</f>
        <v/>
      </c>
      <c r="X59" s="5">
        <v>9.1666666666666661</v>
      </c>
      <c r="Y59" s="5">
        <f t="shared" si="5"/>
        <v>0</v>
      </c>
      <c r="Z59" s="5">
        <f t="shared" si="6"/>
        <v>0</v>
      </c>
      <c r="AA59" s="5">
        <f t="shared" si="7"/>
        <v>0</v>
      </c>
      <c r="AB59" s="5" t="s">
        <v>166</v>
      </c>
      <c r="AC59" s="5" t="s">
        <v>166</v>
      </c>
      <c r="AD59" s="5" t="str">
        <f t="shared" si="8"/>
        <v/>
      </c>
      <c r="AE59" s="5" t="s">
        <v>166</v>
      </c>
      <c r="AF59" s="5" t="s">
        <v>166</v>
      </c>
      <c r="AG59" s="5" t="str">
        <f t="shared" si="9"/>
        <v/>
      </c>
      <c r="AH59" s="5" t="s">
        <v>166</v>
      </c>
      <c r="AI59" s="5" t="s">
        <v>166</v>
      </c>
      <c r="AJ59" s="5" t="str">
        <f t="shared" si="10"/>
        <v/>
      </c>
      <c r="AK59" s="5" t="str">
        <f t="shared" si="11"/>
        <v/>
      </c>
      <c r="AL59" s="7">
        <f>IF(Tableau182984[[#This Row],[Age]]&lt;&gt;"",IF(Tableau182984[[#This Row],[Age]]=0,$AT$10*$B$10+SUMIF($AS$21:$AS$29,Tableau182984[[#This Row],[Age]],$AU$21:$AU$29)*$B$10+$AT$11*$B$10,SUMIF($AS$21:$AS$29,Tableau182984[[#This Row],[Age]],$AU$21:$AU$29)*$B$10+$AT$11*$B$10),"")</f>
        <v>9</v>
      </c>
      <c r="AM59" s="7">
        <f>IF(Tableau182984[[#This Row],[Age]]&lt;&gt;"",IF(Tableau182984[[#This Row],[Age]]=$B$11,$AT$10*$B$10,0)+Tableau182984[[#This Row],[VBO]]*$AX$21*$B$10+Tableau182984[[#This Row],[VBI]]*$AX$22*$B$10+Tableau182984[[#This Row],[VBE]]*$AX$23*$B$10,"")</f>
        <v>0</v>
      </c>
      <c r="AN59" s="7">
        <v>0.73217341201342301</v>
      </c>
      <c r="AO59" s="7">
        <v>0</v>
      </c>
      <c r="AP59" s="7">
        <f>IF(Tableau182984[[#This Row],[Age]]&lt;&gt;"",Tableau182984[[#This Row],[RA]]-Tableau182984[[#This Row],[DA]],"")</f>
        <v>-0.73217341201342301</v>
      </c>
    </row>
    <row r="60" spans="11:42" ht="15" customHeight="1" x14ac:dyDescent="0.2">
      <c r="K60" s="3">
        <v>58</v>
      </c>
      <c r="L60" s="4">
        <v>263.09870419597218</v>
      </c>
      <c r="M60" s="4">
        <v>0</v>
      </c>
      <c r="N60" s="4">
        <v>263.09870419597218</v>
      </c>
      <c r="O60" s="5">
        <f t="shared" si="0"/>
        <v>209.32132905831546</v>
      </c>
      <c r="P60" s="5">
        <f t="shared" si="1"/>
        <v>51.787251094000375</v>
      </c>
      <c r="Q60" s="5">
        <f t="shared" si="2"/>
        <v>60.939939254187742</v>
      </c>
      <c r="R60" s="5">
        <v>19.333333333333332</v>
      </c>
      <c r="S60" s="5">
        <v>374.54972162643031</v>
      </c>
      <c r="T60" s="5">
        <f t="shared" si="3"/>
        <v>0</v>
      </c>
      <c r="U60" s="5">
        <f t="shared" si="4"/>
        <v>0</v>
      </c>
      <c r="V60" s="5" t="str">
        <f>IF($E$4="Embrousaillement",Tableau182984[[#This Row],[SOL]],"")</f>
        <v/>
      </c>
      <c r="W60" s="5" t="str">
        <f>IF($E$4="Embrousaillement",Tableau182984[[#This Row],[L]],"")</f>
        <v/>
      </c>
      <c r="X60" s="5">
        <v>9.1666666666666661</v>
      </c>
      <c r="Y60" s="5">
        <f t="shared" si="5"/>
        <v>0</v>
      </c>
      <c r="Z60" s="5">
        <f t="shared" si="6"/>
        <v>0</v>
      </c>
      <c r="AA60" s="5">
        <f t="shared" si="7"/>
        <v>0</v>
      </c>
      <c r="AB60" s="5" t="s">
        <v>166</v>
      </c>
      <c r="AC60" s="5" t="s">
        <v>166</v>
      </c>
      <c r="AD60" s="5" t="str">
        <f t="shared" si="8"/>
        <v/>
      </c>
      <c r="AE60" s="5" t="s">
        <v>166</v>
      </c>
      <c r="AF60" s="5" t="s">
        <v>166</v>
      </c>
      <c r="AG60" s="5" t="str">
        <f t="shared" si="9"/>
        <v/>
      </c>
      <c r="AH60" s="5" t="s">
        <v>166</v>
      </c>
      <c r="AI60" s="5" t="s">
        <v>166</v>
      </c>
      <c r="AJ60" s="5" t="str">
        <f t="shared" si="10"/>
        <v/>
      </c>
      <c r="AK60" s="5" t="str">
        <f t="shared" si="11"/>
        <v/>
      </c>
      <c r="AL60" s="7">
        <f>IF(Tableau182984[[#This Row],[Age]]&lt;&gt;"",IF(Tableau182984[[#This Row],[Age]]=0,$AT$10*$B$10+SUMIF($AS$21:$AS$29,Tableau182984[[#This Row],[Age]],$AU$21:$AU$29)*$B$10+$AT$11*$B$10,SUMIF($AS$21:$AS$29,Tableau182984[[#This Row],[Age]],$AU$21:$AU$29)*$B$10+$AT$11*$B$10),"")</f>
        <v>9</v>
      </c>
      <c r="AM60" s="7">
        <f>IF(Tableau182984[[#This Row],[Age]]&lt;&gt;"",IF(Tableau182984[[#This Row],[Age]]=$B$11,$AT$10*$B$10,0)+Tableau182984[[#This Row],[VBO]]*$AX$21*$B$10+Tableau182984[[#This Row],[VBI]]*$AX$22*$B$10+Tableau182984[[#This Row],[VBE]]*$AX$23*$B$10,"")</f>
        <v>0</v>
      </c>
      <c r="AN60" s="7">
        <v>0.7006444134099743</v>
      </c>
      <c r="AO60" s="7">
        <v>0</v>
      </c>
      <c r="AP60" s="7">
        <f>IF(Tableau182984[[#This Row],[Age]]&lt;&gt;"",Tableau182984[[#This Row],[RA]]-Tableau182984[[#This Row],[DA]],"")</f>
        <v>-0.7006444134099743</v>
      </c>
    </row>
    <row r="61" spans="11:42" ht="15" customHeight="1" x14ac:dyDescent="0.2">
      <c r="K61" s="3">
        <v>59</v>
      </c>
      <c r="L61" s="4">
        <v>273.70325424184284</v>
      </c>
      <c r="M61" s="4">
        <v>0</v>
      </c>
      <c r="N61" s="4">
        <v>273.70325424184284</v>
      </c>
      <c r="O61" s="5">
        <f t="shared" si="0"/>
        <v>217.75830907481017</v>
      </c>
      <c r="P61" s="5">
        <f t="shared" si="1"/>
        <v>53.627375236293325</v>
      </c>
      <c r="Q61" s="5">
        <f t="shared" si="2"/>
        <v>61.097111052866211</v>
      </c>
      <c r="R61" s="5">
        <v>19.666666666666664</v>
      </c>
      <c r="S61" s="5">
        <v>384.39862590672954</v>
      </c>
      <c r="T61" s="5">
        <f t="shared" si="3"/>
        <v>0</v>
      </c>
      <c r="U61" s="5">
        <f t="shared" si="4"/>
        <v>0</v>
      </c>
      <c r="V61" s="5" t="str">
        <f>IF($E$4="Embrousaillement",Tableau182984[[#This Row],[SOL]],"")</f>
        <v/>
      </c>
      <c r="W61" s="5" t="str">
        <f>IF($E$4="Embrousaillement",Tableau182984[[#This Row],[L]],"")</f>
        <v/>
      </c>
      <c r="X61" s="5">
        <v>9.1666666666666661</v>
      </c>
      <c r="Y61" s="5">
        <f t="shared" si="5"/>
        <v>0</v>
      </c>
      <c r="Z61" s="5">
        <f t="shared" si="6"/>
        <v>0</v>
      </c>
      <c r="AA61" s="5">
        <f t="shared" si="7"/>
        <v>0</v>
      </c>
      <c r="AB61" s="5" t="s">
        <v>166</v>
      </c>
      <c r="AC61" s="5" t="s">
        <v>166</v>
      </c>
      <c r="AD61" s="5" t="str">
        <f t="shared" si="8"/>
        <v/>
      </c>
      <c r="AE61" s="5" t="s">
        <v>166</v>
      </c>
      <c r="AF61" s="5" t="s">
        <v>166</v>
      </c>
      <c r="AG61" s="5" t="str">
        <f t="shared" si="9"/>
        <v/>
      </c>
      <c r="AH61" s="5" t="s">
        <v>166</v>
      </c>
      <c r="AI61" s="5" t="s">
        <v>166</v>
      </c>
      <c r="AJ61" s="5" t="str">
        <f t="shared" si="10"/>
        <v/>
      </c>
      <c r="AK61" s="5" t="str">
        <f t="shared" si="11"/>
        <v/>
      </c>
      <c r="AL61" s="7">
        <f>IF(Tableau182984[[#This Row],[Age]]&lt;&gt;"",IF(Tableau182984[[#This Row],[Age]]=0,$AT$10*$B$10+SUMIF($AS$21:$AS$29,Tableau182984[[#This Row],[Age]],$AU$21:$AU$29)*$B$10+$AT$11*$B$10,SUMIF($AS$21:$AS$29,Tableau182984[[#This Row],[Age]],$AU$21:$AU$29)*$B$10+$AT$11*$B$10),"")</f>
        <v>9</v>
      </c>
      <c r="AM61" s="7">
        <f>IF(Tableau182984[[#This Row],[Age]]&lt;&gt;"",IF(Tableau182984[[#This Row],[Age]]=$B$11,$AT$10*$B$10,0)+Tableau182984[[#This Row],[VBO]]*$AX$21*$B$10+Tableau182984[[#This Row],[VBI]]*$AX$22*$B$10+Tableau182984[[#This Row],[VBE]]*$AX$23*$B$10,"")</f>
        <v>0</v>
      </c>
      <c r="AN61" s="7">
        <v>0.67047312288035821</v>
      </c>
      <c r="AO61" s="7">
        <v>0</v>
      </c>
      <c r="AP61" s="7">
        <f>IF(Tableau182984[[#This Row],[Age]]&lt;&gt;"",Tableau182984[[#This Row],[RA]]-Tableau182984[[#This Row],[DA]],"")</f>
        <v>-0.67047312288035821</v>
      </c>
    </row>
    <row r="62" spans="11:42" ht="15" customHeight="1" x14ac:dyDescent="0.2">
      <c r="K62" s="3">
        <v>60</v>
      </c>
      <c r="L62" s="4">
        <v>284.44456681418171</v>
      </c>
      <c r="M62" s="4">
        <v>284.44456681418171</v>
      </c>
      <c r="N62" s="4">
        <v>0</v>
      </c>
      <c r="O62" s="5">
        <f t="shared" si="0"/>
        <v>0</v>
      </c>
      <c r="P62" s="5">
        <f t="shared" si="1"/>
        <v>0</v>
      </c>
      <c r="Q62" s="5">
        <f t="shared" si="2"/>
        <v>61.251556272221123</v>
      </c>
      <c r="R62" s="5">
        <v>20</v>
      </c>
      <c r="S62" s="5">
        <v>148.96118649907206</v>
      </c>
      <c r="T62" s="5">
        <f t="shared" si="3"/>
        <v>0</v>
      </c>
      <c r="U62" s="5">
        <f t="shared" si="4"/>
        <v>0</v>
      </c>
      <c r="V62" s="5" t="str">
        <f>IF($E$4="Embrousaillement",Tableau182984[[#This Row],[SOL]],"")</f>
        <v/>
      </c>
      <c r="W62" s="5" t="str">
        <f>IF($E$4="Embrousaillement",Tableau182984[[#This Row],[L]],"")</f>
        <v/>
      </c>
      <c r="X62" s="5">
        <v>9.1666666666666661</v>
      </c>
      <c r="Y62" s="5">
        <f t="shared" si="5"/>
        <v>170.66674008850902</v>
      </c>
      <c r="Z62" s="5">
        <f t="shared" si="6"/>
        <v>0</v>
      </c>
      <c r="AA62" s="5">
        <f t="shared" si="7"/>
        <v>113.7778267256727</v>
      </c>
      <c r="AB62" s="5" t="s">
        <v>166</v>
      </c>
      <c r="AC62" s="5" t="s">
        <v>166</v>
      </c>
      <c r="AD62" s="5" t="str">
        <f t="shared" si="8"/>
        <v/>
      </c>
      <c r="AE62" s="5" t="s">
        <v>166</v>
      </c>
      <c r="AF62" s="5" t="s">
        <v>166</v>
      </c>
      <c r="AG62" s="5" t="str">
        <f t="shared" si="9"/>
        <v/>
      </c>
      <c r="AH62" s="5" t="s">
        <v>166</v>
      </c>
      <c r="AI62" s="5" t="s">
        <v>166</v>
      </c>
      <c r="AJ62" s="5" t="str">
        <f t="shared" si="10"/>
        <v/>
      </c>
      <c r="AK62" s="5" t="str">
        <f t="shared" si="11"/>
        <v/>
      </c>
      <c r="AL62" s="7">
        <f>IF(Tableau182984[[#This Row],[Age]]&lt;&gt;"",IF(Tableau182984[[#This Row],[Age]]=0,$AT$10*$B$10+SUMIF($AS$21:$AS$29,Tableau182984[[#This Row],[Age]],$AU$21:$AU$29)*$B$10+$AT$11*$B$10,SUMIF($AS$21:$AS$29,Tableau182984[[#This Row],[Age]],$AU$21:$AU$29)*$B$10+$AT$11*$B$10),"")</f>
        <v>9</v>
      </c>
      <c r="AM62" s="7">
        <f>IF(Tableau182984[[#This Row],[Age]]&lt;&gt;"",IF(Tableau182984[[#This Row],[Age]]=$B$11,$AT$10*$B$10,0)+Tableau182984[[#This Row],[VBO]]*$AX$21*$B$10+Tableau182984[[#This Row],[VBI]]*$AX$22*$B$10+Tableau182984[[#This Row],[VBE]]*$AX$23*$B$10,"")</f>
        <v>4551.1130690269074</v>
      </c>
      <c r="AN62" s="7">
        <v>0.64160107452665871</v>
      </c>
      <c r="AO62" s="7">
        <v>324.44433726444254</v>
      </c>
      <c r="AP62" s="7">
        <f>IF(Tableau182984[[#This Row],[Age]]&lt;&gt;"",Tableau182984[[#This Row],[RA]]-Tableau182984[[#This Row],[DA]],"")</f>
        <v>323.80273618991589</v>
      </c>
    </row>
    <row r="63" spans="11:42" ht="15" customHeight="1" x14ac:dyDescent="0.2">
      <c r="L63" s="4"/>
      <c r="M63" s="4"/>
      <c r="N63" s="4"/>
      <c r="O63" s="5" t="str">
        <f t="shared" si="0"/>
        <v/>
      </c>
      <c r="P63" s="5" t="str">
        <f t="shared" si="1"/>
        <v/>
      </c>
      <c r="Q63" s="5" t="str">
        <f t="shared" si="2"/>
        <v/>
      </c>
      <c r="R63" s="5" t="s">
        <v>166</v>
      </c>
      <c r="S63" s="5" t="s">
        <v>166</v>
      </c>
      <c r="T63" s="5" t="str">
        <f t="shared" si="3"/>
        <v/>
      </c>
      <c r="U63" s="5" t="str">
        <f t="shared" si="4"/>
        <v/>
      </c>
      <c r="V63" s="5" t="str">
        <f>IF($E$4="Embrousaillement",Tableau182984[[#This Row],[SOL]],"")</f>
        <v/>
      </c>
      <c r="W63" s="5" t="str">
        <f>IF($E$4="Embrousaillement",Tableau182984[[#This Row],[L]],"")</f>
        <v/>
      </c>
      <c r="X63" s="5" t="s">
        <v>166</v>
      </c>
      <c r="Y63" s="5" t="str">
        <f t="shared" si="5"/>
        <v/>
      </c>
      <c r="Z63" s="5" t="str">
        <f t="shared" si="6"/>
        <v/>
      </c>
      <c r="AA63" s="5" t="str">
        <f t="shared" si="7"/>
        <v/>
      </c>
      <c r="AB63" s="5" t="s">
        <v>166</v>
      </c>
      <c r="AC63" s="5" t="s">
        <v>166</v>
      </c>
      <c r="AD63" s="5" t="str">
        <f t="shared" si="8"/>
        <v/>
      </c>
      <c r="AE63" s="5" t="s">
        <v>166</v>
      </c>
      <c r="AF63" s="5" t="s">
        <v>166</v>
      </c>
      <c r="AG63" s="5" t="str">
        <f t="shared" si="9"/>
        <v/>
      </c>
      <c r="AH63" s="5" t="s">
        <v>166</v>
      </c>
      <c r="AI63" s="5" t="s">
        <v>166</v>
      </c>
      <c r="AJ63" s="5" t="str">
        <f t="shared" si="10"/>
        <v/>
      </c>
      <c r="AK63" s="5" t="str">
        <f t="shared" si="11"/>
        <v/>
      </c>
      <c r="AL63" s="7" t="str">
        <f>IF(Tableau182984[[#This Row],[Age]]&lt;&gt;"",IF(Tableau182984[[#This Row],[Age]]=0,$AT$10*$B$10+SUMIF($AS$21:$AS$29,Tableau182984[[#This Row],[Age]],$AU$21:$AU$29)*$B$10+$AT$11*$B$10,SUMIF($AS$21:$AS$29,Tableau182984[[#This Row],[Age]],$AU$21:$AU$29)*$B$10+$AT$11*$B$10),"")</f>
        <v/>
      </c>
      <c r="AM63" s="7" t="str">
        <f>IF(Tableau182984[[#This Row],[Age]]&lt;&gt;"",IF(Tableau182984[[#This Row],[Age]]=$B$11,$AT$10*$B$10,0)+Tableau182984[[#This Row],[VBO]]*$AX$21*$B$10+Tableau182984[[#This Row],[VBI]]*$AX$22*$B$10+Tableau182984[[#This Row],[VBE]]*$AX$23*$B$10,"")</f>
        <v/>
      </c>
      <c r="AN63" s="7" t="s">
        <v>166</v>
      </c>
      <c r="AO63" s="7" t="s">
        <v>166</v>
      </c>
      <c r="AP63" s="7" t="str">
        <f>IF(Tableau182984[[#This Row],[Age]]&lt;&gt;"",Tableau182984[[#This Row],[RA]]-Tableau182984[[#This Row],[DA]],"")</f>
        <v/>
      </c>
    </row>
    <row r="64" spans="11:42" ht="15" customHeight="1" x14ac:dyDescent="0.2">
      <c r="L64" s="4"/>
      <c r="M64" s="4"/>
      <c r="N64" s="4"/>
      <c r="O64" s="5" t="str">
        <f t="shared" si="0"/>
        <v/>
      </c>
      <c r="P64" s="5" t="str">
        <f t="shared" si="1"/>
        <v/>
      </c>
      <c r="Q64" s="5" t="str">
        <f t="shared" si="2"/>
        <v/>
      </c>
      <c r="R64" s="5" t="s">
        <v>166</v>
      </c>
      <c r="S64" s="5" t="s">
        <v>166</v>
      </c>
      <c r="T64" s="5" t="str">
        <f t="shared" si="3"/>
        <v/>
      </c>
      <c r="U64" s="5" t="str">
        <f t="shared" si="4"/>
        <v/>
      </c>
      <c r="V64" s="5" t="str">
        <f>IF($E$4="Embrousaillement",Tableau182984[[#This Row],[SOL]],"")</f>
        <v/>
      </c>
      <c r="W64" s="5" t="str">
        <f>IF($E$4="Embrousaillement",Tableau182984[[#This Row],[L]],"")</f>
        <v/>
      </c>
      <c r="X64" s="5" t="s">
        <v>166</v>
      </c>
      <c r="Y64" s="5" t="str">
        <f t="shared" si="5"/>
        <v/>
      </c>
      <c r="Z64" s="5" t="str">
        <f t="shared" si="6"/>
        <v/>
      </c>
      <c r="AA64" s="5" t="str">
        <f t="shared" si="7"/>
        <v/>
      </c>
      <c r="AB64" s="5" t="s">
        <v>166</v>
      </c>
      <c r="AC64" s="5" t="s">
        <v>166</v>
      </c>
      <c r="AD64" s="5" t="str">
        <f t="shared" si="8"/>
        <v/>
      </c>
      <c r="AE64" s="5" t="s">
        <v>166</v>
      </c>
      <c r="AF64" s="5" t="s">
        <v>166</v>
      </c>
      <c r="AG64" s="5" t="str">
        <f t="shared" si="9"/>
        <v/>
      </c>
      <c r="AH64" s="5" t="s">
        <v>166</v>
      </c>
      <c r="AI64" s="5" t="s">
        <v>166</v>
      </c>
      <c r="AJ64" s="5" t="str">
        <f t="shared" si="10"/>
        <v/>
      </c>
      <c r="AK64" s="5" t="str">
        <f t="shared" si="11"/>
        <v/>
      </c>
      <c r="AL64" s="7" t="str">
        <f>IF(Tableau182984[[#This Row],[Age]]&lt;&gt;"",IF(Tableau182984[[#This Row],[Age]]=0,$AT$10*$B$10+SUMIF($AS$21:$AS$29,Tableau182984[[#This Row],[Age]],$AU$21:$AU$29)*$B$10+$AT$11*$B$10,SUMIF($AS$21:$AS$29,Tableau182984[[#This Row],[Age]],$AU$21:$AU$29)*$B$10+$AT$11*$B$10),"")</f>
        <v/>
      </c>
      <c r="AM64" s="7" t="str">
        <f>IF(Tableau182984[[#This Row],[Age]]&lt;&gt;"",IF(Tableau182984[[#This Row],[Age]]=$B$11,$AT$10*$B$10,0)+Tableau182984[[#This Row],[VBO]]*$AX$21*$B$10+Tableau182984[[#This Row],[VBI]]*$AX$22*$B$10+Tableau182984[[#This Row],[VBE]]*$AX$23*$B$10,"")</f>
        <v/>
      </c>
      <c r="AN64" s="7" t="s">
        <v>166</v>
      </c>
      <c r="AO64" s="7" t="s">
        <v>166</v>
      </c>
      <c r="AP64" s="7" t="str">
        <f>IF(Tableau182984[[#This Row],[Age]]&lt;&gt;"",Tableau182984[[#This Row],[RA]]-Tableau182984[[#This Row],[DA]],"")</f>
        <v/>
      </c>
    </row>
    <row r="65" spans="1:42" ht="15" customHeight="1" x14ac:dyDescent="0.2">
      <c r="A65" s="30" t="s">
        <v>108</v>
      </c>
      <c r="B65" s="30" t="s">
        <v>109</v>
      </c>
      <c r="C65" s="30" t="s">
        <v>110</v>
      </c>
      <c r="L65" s="4"/>
      <c r="M65" s="4"/>
      <c r="N65" s="4"/>
      <c r="O65" s="5" t="str">
        <f t="shared" si="0"/>
        <v/>
      </c>
      <c r="P65" s="5" t="str">
        <f t="shared" si="1"/>
        <v/>
      </c>
      <c r="Q65" s="5" t="str">
        <f t="shared" si="2"/>
        <v/>
      </c>
      <c r="R65" s="5" t="s">
        <v>166</v>
      </c>
      <c r="S65" s="5" t="s">
        <v>166</v>
      </c>
      <c r="T65" s="5" t="str">
        <f t="shared" si="3"/>
        <v/>
      </c>
      <c r="U65" s="5" t="str">
        <f t="shared" si="4"/>
        <v/>
      </c>
      <c r="V65" s="5" t="str">
        <f>IF($E$4="Embrousaillement",Tableau182984[[#This Row],[SOL]],"")</f>
        <v/>
      </c>
      <c r="W65" s="5" t="str">
        <f>IF($E$4="Embrousaillement",Tableau182984[[#This Row],[L]],"")</f>
        <v/>
      </c>
      <c r="X65" s="5" t="s">
        <v>166</v>
      </c>
      <c r="Y65" s="5" t="str">
        <f t="shared" si="5"/>
        <v/>
      </c>
      <c r="Z65" s="5" t="str">
        <f t="shared" si="6"/>
        <v/>
      </c>
      <c r="AA65" s="5" t="str">
        <f t="shared" si="7"/>
        <v/>
      </c>
      <c r="AB65" s="5" t="s">
        <v>166</v>
      </c>
      <c r="AC65" s="5" t="s">
        <v>166</v>
      </c>
      <c r="AD65" s="5" t="str">
        <f t="shared" si="8"/>
        <v/>
      </c>
      <c r="AE65" s="5" t="s">
        <v>166</v>
      </c>
      <c r="AF65" s="5" t="s">
        <v>166</v>
      </c>
      <c r="AG65" s="5" t="str">
        <f t="shared" si="9"/>
        <v/>
      </c>
      <c r="AH65" s="5" t="s">
        <v>166</v>
      </c>
      <c r="AI65" s="5" t="s">
        <v>166</v>
      </c>
      <c r="AJ65" s="5" t="str">
        <f t="shared" si="10"/>
        <v/>
      </c>
      <c r="AK65" s="5" t="str">
        <f t="shared" si="11"/>
        <v/>
      </c>
      <c r="AL65" s="7" t="str">
        <f>IF(Tableau182984[[#This Row],[Age]]&lt;&gt;"",IF(Tableau182984[[#This Row],[Age]]=0,$AT$10*$B$10+SUMIF($AS$21:$AS$29,Tableau182984[[#This Row],[Age]],$AU$21:$AU$29)*$B$10+$AT$11*$B$10,SUMIF($AS$21:$AS$29,Tableau182984[[#This Row],[Age]],$AU$21:$AU$29)*$B$10+$AT$11*$B$10),"")</f>
        <v/>
      </c>
      <c r="AM65" s="7" t="str">
        <f>IF(Tableau182984[[#This Row],[Age]]&lt;&gt;"",IF(Tableau182984[[#This Row],[Age]]=$B$11,$AT$10*$B$10,0)+Tableau182984[[#This Row],[VBO]]*$AX$21*$B$10+Tableau182984[[#This Row],[VBI]]*$AX$22*$B$10+Tableau182984[[#This Row],[VBE]]*$AX$23*$B$10,"")</f>
        <v/>
      </c>
      <c r="AN65" s="7" t="s">
        <v>166</v>
      </c>
      <c r="AO65" s="7" t="s">
        <v>166</v>
      </c>
      <c r="AP65" s="7" t="str">
        <f>IF(Tableau182984[[#This Row],[Age]]&lt;&gt;"",Tableau182984[[#This Row],[RA]]-Tableau182984[[#This Row],[DA]],"")</f>
        <v/>
      </c>
    </row>
    <row r="66" spans="1:42" ht="15" customHeight="1" x14ac:dyDescent="0.2">
      <c r="A66" s="3" t="s">
        <v>1</v>
      </c>
      <c r="B66" s="3" t="s">
        <v>111</v>
      </c>
      <c r="C66" s="3" t="s">
        <v>112</v>
      </c>
      <c r="L66" s="4"/>
      <c r="M66" s="4"/>
      <c r="N66" s="4"/>
      <c r="O66" s="5" t="str">
        <f t="shared" ref="O66:O102" si="12">IF(K66&lt;&gt;"",N66*$B$7*$B$8,"")</f>
        <v/>
      </c>
      <c r="P66" s="5" t="str">
        <f t="shared" ref="P66:P102" si="13">IF(K66&lt;&gt;"",IF(O66&gt;0,EXP(-1.0587+0.8836*LN(O66)+0.284),0),"")</f>
        <v/>
      </c>
      <c r="Q66" s="5" t="str">
        <f t="shared" ref="Q66:Q102" si="14">IF(K66&lt;&gt;"",45+25*(1-EXP(-0.0175*K66)),"")</f>
        <v/>
      </c>
      <c r="R66" s="5" t="s">
        <v>166</v>
      </c>
      <c r="S66" s="5" t="s">
        <v>166</v>
      </c>
      <c r="T66" s="5" t="str">
        <f t="shared" ref="T66:T102" si="15">IF(AND(K66&lt;=$E$11,K66&lt;&gt;"",K66&gt;0),IF($E$4="Embrousaillement",1*K66*$E$7*$E$8,0),"")</f>
        <v/>
      </c>
      <c r="U66" s="5" t="str">
        <f t="shared" ref="U66:U102" si="16">IF(AND(K66&lt;=$E$11,K66&lt;&gt;"",K66&gt;0),IF($E$4="Embrousaillement",EXP(-1.0587+0.8836*LN(T66)+0.284),0),"")</f>
        <v/>
      </c>
      <c r="V66" s="5" t="str">
        <f>IF($E$4="Embrousaillement",Tableau182984[[#This Row],[SOL]],"")</f>
        <v/>
      </c>
      <c r="W66" s="5" t="str">
        <f>IF($E$4="Embrousaillement",Tableau182984[[#This Row],[L]],"")</f>
        <v/>
      </c>
      <c r="X66" s="5" t="s">
        <v>166</v>
      </c>
      <c r="Y66" s="5" t="str">
        <f t="shared" ref="Y66:Y102" si="17">IF(K66&lt;&gt;"",IF(M66&gt;0,IF($K66&gt;=$AT$7,$AU$7,IF(AND($K66&gt;=$AT$6,$K66&lt;$AT$7),$AU$6,IF(AND($K66&gt;=$AT$5,$K66&lt;$AT$6),$AU$5,IF(AND($K66&gt;=$AT$4,$K66&lt;$AT$5),$AU$4,$AU$4))))*M66,0),"")</f>
        <v/>
      </c>
      <c r="Z66" s="5" t="str">
        <f t="shared" ref="Z66:Z102" si="18">IF(K66&lt;&gt;"",IF(M66&gt;0,IF($K66&gt;=$AT$7,$AV$7,IF(AND($K66&gt;=$AT$6,$K66&lt;$AT$7),$AV$6,IF(AND($K66&gt;=$AT$5,$K66&lt;$AT$6),$AV$5,IF(AND($K66&gt;=$AT$4,$K66&lt;$AT$5),$AV$4,$AV$4))))*M66,0),"")</f>
        <v/>
      </c>
      <c r="AA66" s="5" t="str">
        <f t="shared" ref="AA66:AA102" si="19">IF(K66&lt;&gt;"",IF(M66&gt;0,IF($K66&gt;=$AT$7,$AW$7,IF(AND($K66&gt;=$AT$6,$K66&lt;$AT$7),$AW$6,IF(AND($K66&gt;=$AT$5,$K66&lt;$AT$6),$AW$5,IF(AND($K66&gt;=$AT$4,$K66&lt;$AT$5),$AW$4,$AW$4))))*M66,0),"")</f>
        <v/>
      </c>
      <c r="AB66" s="5" t="s">
        <v>166</v>
      </c>
      <c r="AC66" s="5" t="s">
        <v>166</v>
      </c>
      <c r="AD66" s="5" t="str">
        <f t="shared" ref="AD66:AD102" si="20">IF(AND(K66&lt;=30,K66&lt;&gt;"",K66&gt;0),EXP(-AC66)*IF(K66=1,0,AD65)+(((1-EXP(-AC66))/AC66)*AB66),"")</f>
        <v/>
      </c>
      <c r="AE66" s="5" t="s">
        <v>166</v>
      </c>
      <c r="AF66" s="5" t="s">
        <v>166</v>
      </c>
      <c r="AG66" s="5" t="str">
        <f t="shared" ref="AG66:AG102" si="21">IF(AND(K66&lt;=30,K66&lt;&gt;"",K66&gt;0),EXP(-AF66)*IF(K66=1,0,AG65)+(((1-EXP(-AF66))/AF66)*AE66),"")</f>
        <v/>
      </c>
      <c r="AH66" s="5" t="s">
        <v>166</v>
      </c>
      <c r="AI66" s="5" t="s">
        <v>166</v>
      </c>
      <c r="AJ66" s="5" t="str">
        <f t="shared" ref="AJ66:AJ102" si="22">IF(AND(K66&lt;=30,K66&lt;&gt;"",K66&gt;0),EXP(-AI66)*IF(K66=1,0,AJ65)+(((1-EXP(-AI66))/AI66)*AH66),"")</f>
        <v/>
      </c>
      <c r="AK66" s="5" t="str">
        <f t="shared" ref="AK66:AK102" si="23">IF(AND(K66&lt;=30,K66&lt;&gt;""),SUM(Y66:AA66)*$B$10,"")</f>
        <v/>
      </c>
      <c r="AL66" s="7" t="str">
        <f>IF(Tableau182984[[#This Row],[Age]]&lt;&gt;"",IF(Tableau182984[[#This Row],[Age]]=0,$AT$10*$B$10+SUMIF($AS$21:$AS$29,Tableau182984[[#This Row],[Age]],$AU$21:$AU$29)*$B$10+$AT$11*$B$10,SUMIF($AS$21:$AS$29,Tableau182984[[#This Row],[Age]],$AU$21:$AU$29)*$B$10+$AT$11*$B$10),"")</f>
        <v/>
      </c>
      <c r="AM66" s="7" t="str">
        <f>IF(Tableau182984[[#This Row],[Age]]&lt;&gt;"",IF(Tableau182984[[#This Row],[Age]]=$B$11,$AT$10*$B$10,0)+Tableau182984[[#This Row],[VBO]]*$AX$21*$B$10+Tableau182984[[#This Row],[VBI]]*$AX$22*$B$10+Tableau182984[[#This Row],[VBE]]*$AX$23*$B$10,"")</f>
        <v/>
      </c>
      <c r="AN66" s="7" t="s">
        <v>166</v>
      </c>
      <c r="AO66" s="7" t="s">
        <v>166</v>
      </c>
      <c r="AP66" s="7" t="str">
        <f>IF(Tableau182984[[#This Row],[Age]]&lt;&gt;"",Tableau182984[[#This Row],[RA]]-Tableau182984[[#This Row],[DA]],"")</f>
        <v/>
      </c>
    </row>
    <row r="67" spans="1:42" ht="15" customHeight="1" x14ac:dyDescent="0.2">
      <c r="A67" s="3" t="s">
        <v>2</v>
      </c>
      <c r="B67" s="3" t="s">
        <v>113</v>
      </c>
      <c r="C67" s="3" t="s">
        <v>114</v>
      </c>
      <c r="L67" s="4"/>
      <c r="M67" s="4"/>
      <c r="N67" s="4"/>
      <c r="O67" s="5" t="str">
        <f t="shared" si="12"/>
        <v/>
      </c>
      <c r="P67" s="5" t="str">
        <f t="shared" si="13"/>
        <v/>
      </c>
      <c r="Q67" s="5" t="str">
        <f t="shared" si="14"/>
        <v/>
      </c>
      <c r="R67" s="5" t="s">
        <v>166</v>
      </c>
      <c r="S67" s="5" t="s">
        <v>166</v>
      </c>
      <c r="T67" s="5" t="str">
        <f t="shared" si="15"/>
        <v/>
      </c>
      <c r="U67" s="5" t="str">
        <f t="shared" si="16"/>
        <v/>
      </c>
      <c r="V67" s="5" t="str">
        <f>IF($E$4="Embrousaillement",Tableau182984[[#This Row],[SOL]],"")</f>
        <v/>
      </c>
      <c r="W67" s="5" t="str">
        <f>IF($E$4="Embrousaillement",Tableau182984[[#This Row],[L]],"")</f>
        <v/>
      </c>
      <c r="X67" s="5" t="s">
        <v>166</v>
      </c>
      <c r="Y67" s="5" t="str">
        <f t="shared" si="17"/>
        <v/>
      </c>
      <c r="Z67" s="5" t="str">
        <f t="shared" si="18"/>
        <v/>
      </c>
      <c r="AA67" s="5" t="str">
        <f t="shared" si="19"/>
        <v/>
      </c>
      <c r="AB67" s="5" t="s">
        <v>166</v>
      </c>
      <c r="AC67" s="5" t="s">
        <v>166</v>
      </c>
      <c r="AD67" s="5" t="str">
        <f t="shared" si="20"/>
        <v/>
      </c>
      <c r="AE67" s="5" t="s">
        <v>166</v>
      </c>
      <c r="AF67" s="5" t="s">
        <v>166</v>
      </c>
      <c r="AG67" s="5" t="str">
        <f t="shared" si="21"/>
        <v/>
      </c>
      <c r="AH67" s="5" t="s">
        <v>166</v>
      </c>
      <c r="AI67" s="5" t="s">
        <v>166</v>
      </c>
      <c r="AJ67" s="5" t="str">
        <f t="shared" si="22"/>
        <v/>
      </c>
      <c r="AK67" s="5" t="str">
        <f t="shared" si="23"/>
        <v/>
      </c>
      <c r="AL67" s="7" t="str">
        <f>IF(Tableau182984[[#This Row],[Age]]&lt;&gt;"",IF(Tableau182984[[#This Row],[Age]]=0,$AT$10*$B$10+SUMIF($AS$21:$AS$29,Tableau182984[[#This Row],[Age]],$AU$21:$AU$29)*$B$10+$AT$11*$B$10,SUMIF($AS$21:$AS$29,Tableau182984[[#This Row],[Age]],$AU$21:$AU$29)*$B$10+$AT$11*$B$10),"")</f>
        <v/>
      </c>
      <c r="AM67" s="7" t="str">
        <f>IF(Tableau182984[[#This Row],[Age]]&lt;&gt;"",IF(Tableau182984[[#This Row],[Age]]=$B$11,$AT$10*$B$10,0)+Tableau182984[[#This Row],[VBO]]*$AX$21*$B$10+Tableau182984[[#This Row],[VBI]]*$AX$22*$B$10+Tableau182984[[#This Row],[VBE]]*$AX$23*$B$10,"")</f>
        <v/>
      </c>
      <c r="AN67" s="7" t="s">
        <v>166</v>
      </c>
      <c r="AO67" s="7" t="s">
        <v>166</v>
      </c>
      <c r="AP67" s="7" t="str">
        <f>IF(Tableau182984[[#This Row],[Age]]&lt;&gt;"",Tableau182984[[#This Row],[RA]]-Tableau182984[[#This Row],[DA]],"")</f>
        <v/>
      </c>
    </row>
    <row r="68" spans="1:42" ht="15" customHeight="1" x14ac:dyDescent="0.2">
      <c r="A68" s="3" t="s">
        <v>3</v>
      </c>
      <c r="B68" s="3" t="s">
        <v>113</v>
      </c>
      <c r="C68" s="3" t="s">
        <v>115</v>
      </c>
      <c r="L68" s="4"/>
      <c r="M68" s="4"/>
      <c r="N68" s="4"/>
      <c r="O68" s="5" t="str">
        <f t="shared" si="12"/>
        <v/>
      </c>
      <c r="P68" s="5" t="str">
        <f t="shared" si="13"/>
        <v/>
      </c>
      <c r="Q68" s="5" t="str">
        <f t="shared" si="14"/>
        <v/>
      </c>
      <c r="R68" s="5" t="s">
        <v>166</v>
      </c>
      <c r="S68" s="5" t="s">
        <v>166</v>
      </c>
      <c r="T68" s="5" t="str">
        <f t="shared" si="15"/>
        <v/>
      </c>
      <c r="U68" s="5" t="str">
        <f t="shared" si="16"/>
        <v/>
      </c>
      <c r="V68" s="5" t="str">
        <f>IF($E$4="Embrousaillement",Tableau182984[[#This Row],[SOL]],"")</f>
        <v/>
      </c>
      <c r="W68" s="5" t="str">
        <f>IF($E$4="Embrousaillement",Tableau182984[[#This Row],[L]],"")</f>
        <v/>
      </c>
      <c r="X68" s="5" t="s">
        <v>166</v>
      </c>
      <c r="Y68" s="5" t="str">
        <f t="shared" si="17"/>
        <v/>
      </c>
      <c r="Z68" s="5" t="str">
        <f t="shared" si="18"/>
        <v/>
      </c>
      <c r="AA68" s="5" t="str">
        <f t="shared" si="19"/>
        <v/>
      </c>
      <c r="AB68" s="5" t="s">
        <v>166</v>
      </c>
      <c r="AC68" s="5" t="s">
        <v>166</v>
      </c>
      <c r="AD68" s="5" t="str">
        <f t="shared" si="20"/>
        <v/>
      </c>
      <c r="AE68" s="5" t="s">
        <v>166</v>
      </c>
      <c r="AF68" s="5" t="s">
        <v>166</v>
      </c>
      <c r="AG68" s="5" t="str">
        <f t="shared" si="21"/>
        <v/>
      </c>
      <c r="AH68" s="5" t="s">
        <v>166</v>
      </c>
      <c r="AI68" s="5" t="s">
        <v>166</v>
      </c>
      <c r="AJ68" s="5" t="str">
        <f t="shared" si="22"/>
        <v/>
      </c>
      <c r="AK68" s="5" t="str">
        <f t="shared" si="23"/>
        <v/>
      </c>
      <c r="AL68" s="7" t="str">
        <f>IF(Tableau182984[[#This Row],[Age]]&lt;&gt;"",IF(Tableau182984[[#This Row],[Age]]=0,$AT$10*$B$10+SUMIF($AS$21:$AS$29,Tableau182984[[#This Row],[Age]],$AU$21:$AU$29)*$B$10+$AT$11*$B$10,SUMIF($AS$21:$AS$29,Tableau182984[[#This Row],[Age]],$AU$21:$AU$29)*$B$10+$AT$11*$B$10),"")</f>
        <v/>
      </c>
      <c r="AM68" s="7" t="str">
        <f>IF(Tableau182984[[#This Row],[Age]]&lt;&gt;"",IF(Tableau182984[[#This Row],[Age]]=$B$11,$AT$10*$B$10,0)+Tableau182984[[#This Row],[VBO]]*$AX$21*$B$10+Tableau182984[[#This Row],[VBI]]*$AX$22*$B$10+Tableau182984[[#This Row],[VBE]]*$AX$23*$B$10,"")</f>
        <v/>
      </c>
      <c r="AN68" s="7" t="s">
        <v>166</v>
      </c>
      <c r="AO68" s="7" t="s">
        <v>166</v>
      </c>
      <c r="AP68" s="7" t="str">
        <f>IF(Tableau182984[[#This Row],[Age]]&lt;&gt;"",Tableau182984[[#This Row],[RA]]-Tableau182984[[#This Row],[DA]],"")</f>
        <v/>
      </c>
    </row>
    <row r="69" spans="1:42" ht="15" customHeight="1" x14ac:dyDescent="0.2">
      <c r="A69" s="3" t="s">
        <v>4</v>
      </c>
      <c r="B69" s="3" t="s">
        <v>113</v>
      </c>
      <c r="C69" s="3" t="s">
        <v>116</v>
      </c>
      <c r="L69" s="4"/>
      <c r="M69" s="4"/>
      <c r="N69" s="4"/>
      <c r="O69" s="5" t="str">
        <f t="shared" si="12"/>
        <v/>
      </c>
      <c r="P69" s="5" t="str">
        <f t="shared" si="13"/>
        <v/>
      </c>
      <c r="Q69" s="5" t="str">
        <f t="shared" si="14"/>
        <v/>
      </c>
      <c r="R69" s="5" t="s">
        <v>166</v>
      </c>
      <c r="S69" s="5" t="s">
        <v>166</v>
      </c>
      <c r="T69" s="5" t="str">
        <f t="shared" si="15"/>
        <v/>
      </c>
      <c r="U69" s="5" t="str">
        <f t="shared" si="16"/>
        <v/>
      </c>
      <c r="V69" s="5" t="str">
        <f>IF($E$4="Embrousaillement",Tableau182984[[#This Row],[SOL]],"")</f>
        <v/>
      </c>
      <c r="W69" s="5" t="str">
        <f>IF($E$4="Embrousaillement",Tableau182984[[#This Row],[L]],"")</f>
        <v/>
      </c>
      <c r="X69" s="5" t="s">
        <v>166</v>
      </c>
      <c r="Y69" s="5" t="str">
        <f t="shared" si="17"/>
        <v/>
      </c>
      <c r="Z69" s="5" t="str">
        <f t="shared" si="18"/>
        <v/>
      </c>
      <c r="AA69" s="5" t="str">
        <f t="shared" si="19"/>
        <v/>
      </c>
      <c r="AB69" s="5" t="s">
        <v>166</v>
      </c>
      <c r="AC69" s="5" t="s">
        <v>166</v>
      </c>
      <c r="AD69" s="5" t="str">
        <f t="shared" si="20"/>
        <v/>
      </c>
      <c r="AE69" s="5" t="s">
        <v>166</v>
      </c>
      <c r="AF69" s="5" t="s">
        <v>166</v>
      </c>
      <c r="AG69" s="5" t="str">
        <f t="shared" si="21"/>
        <v/>
      </c>
      <c r="AH69" s="5" t="s">
        <v>166</v>
      </c>
      <c r="AI69" s="5" t="s">
        <v>166</v>
      </c>
      <c r="AJ69" s="5" t="str">
        <f t="shared" si="22"/>
        <v/>
      </c>
      <c r="AK69" s="5" t="str">
        <f t="shared" si="23"/>
        <v/>
      </c>
      <c r="AL69" s="7" t="str">
        <f>IF(Tableau182984[[#This Row],[Age]]&lt;&gt;"",IF(Tableau182984[[#This Row],[Age]]=0,$AT$10*$B$10+SUMIF($AS$21:$AS$29,Tableau182984[[#This Row],[Age]],$AU$21:$AU$29)*$B$10+$AT$11*$B$10,SUMIF($AS$21:$AS$29,Tableau182984[[#This Row],[Age]],$AU$21:$AU$29)*$B$10+$AT$11*$B$10),"")</f>
        <v/>
      </c>
      <c r="AM69" s="7" t="str">
        <f>IF(Tableau182984[[#This Row],[Age]]&lt;&gt;"",IF(Tableau182984[[#This Row],[Age]]=$B$11,$AT$10*$B$10,0)+Tableau182984[[#This Row],[VBO]]*$AX$21*$B$10+Tableau182984[[#This Row],[VBI]]*$AX$22*$B$10+Tableau182984[[#This Row],[VBE]]*$AX$23*$B$10,"")</f>
        <v/>
      </c>
      <c r="AN69" s="7" t="s">
        <v>166</v>
      </c>
      <c r="AO69" s="7" t="s">
        <v>166</v>
      </c>
      <c r="AP69" s="7" t="str">
        <f>IF(Tableau182984[[#This Row],[Age]]&lt;&gt;"",Tableau182984[[#This Row],[RA]]-Tableau182984[[#This Row],[DA]],"")</f>
        <v/>
      </c>
    </row>
    <row r="70" spans="1:42" ht="15" customHeight="1" x14ac:dyDescent="0.2">
      <c r="A70" s="3" t="s">
        <v>5</v>
      </c>
      <c r="B70" s="3" t="s">
        <v>117</v>
      </c>
      <c r="C70" s="3" t="s">
        <v>118</v>
      </c>
      <c r="L70" s="4"/>
      <c r="M70" s="4"/>
      <c r="N70" s="4"/>
      <c r="O70" s="5" t="str">
        <f t="shared" si="12"/>
        <v/>
      </c>
      <c r="P70" s="5" t="str">
        <f t="shared" si="13"/>
        <v/>
      </c>
      <c r="Q70" s="5" t="str">
        <f t="shared" si="14"/>
        <v/>
      </c>
      <c r="R70" s="5" t="s">
        <v>166</v>
      </c>
      <c r="S70" s="5" t="s">
        <v>166</v>
      </c>
      <c r="T70" s="5" t="str">
        <f t="shared" si="15"/>
        <v/>
      </c>
      <c r="U70" s="5" t="str">
        <f t="shared" si="16"/>
        <v/>
      </c>
      <c r="V70" s="5" t="str">
        <f>IF($E$4="Embrousaillement",Tableau182984[[#This Row],[SOL]],"")</f>
        <v/>
      </c>
      <c r="W70" s="5" t="str">
        <f>IF($E$4="Embrousaillement",Tableau182984[[#This Row],[L]],"")</f>
        <v/>
      </c>
      <c r="X70" s="5" t="s">
        <v>166</v>
      </c>
      <c r="Y70" s="5" t="str">
        <f t="shared" si="17"/>
        <v/>
      </c>
      <c r="Z70" s="5" t="str">
        <f t="shared" si="18"/>
        <v/>
      </c>
      <c r="AA70" s="5" t="str">
        <f t="shared" si="19"/>
        <v/>
      </c>
      <c r="AB70" s="5" t="s">
        <v>166</v>
      </c>
      <c r="AC70" s="5" t="s">
        <v>166</v>
      </c>
      <c r="AD70" s="5" t="str">
        <f t="shared" si="20"/>
        <v/>
      </c>
      <c r="AE70" s="5" t="s">
        <v>166</v>
      </c>
      <c r="AF70" s="5" t="s">
        <v>166</v>
      </c>
      <c r="AG70" s="5" t="str">
        <f t="shared" si="21"/>
        <v/>
      </c>
      <c r="AH70" s="5" t="s">
        <v>166</v>
      </c>
      <c r="AI70" s="5" t="s">
        <v>166</v>
      </c>
      <c r="AJ70" s="5" t="str">
        <f t="shared" si="22"/>
        <v/>
      </c>
      <c r="AK70" s="5" t="str">
        <f t="shared" si="23"/>
        <v/>
      </c>
      <c r="AL70" s="7" t="str">
        <f>IF(Tableau182984[[#This Row],[Age]]&lt;&gt;"",IF(Tableau182984[[#This Row],[Age]]=0,$AT$10*$B$10+SUMIF($AS$21:$AS$29,Tableau182984[[#This Row],[Age]],$AU$21:$AU$29)*$B$10+$AT$11*$B$10,SUMIF($AS$21:$AS$29,Tableau182984[[#This Row],[Age]],$AU$21:$AU$29)*$B$10+$AT$11*$B$10),"")</f>
        <v/>
      </c>
      <c r="AM70" s="7" t="str">
        <f>IF(Tableau182984[[#This Row],[Age]]&lt;&gt;"",IF(Tableau182984[[#This Row],[Age]]=$B$11,$AT$10*$B$10,0)+Tableau182984[[#This Row],[VBO]]*$AX$21*$B$10+Tableau182984[[#This Row],[VBI]]*$AX$22*$B$10+Tableau182984[[#This Row],[VBE]]*$AX$23*$B$10,"")</f>
        <v/>
      </c>
      <c r="AN70" s="7" t="s">
        <v>166</v>
      </c>
      <c r="AO70" s="7" t="s">
        <v>166</v>
      </c>
      <c r="AP70" s="7" t="str">
        <f>IF(Tableau182984[[#This Row],[Age]]&lt;&gt;"",Tableau182984[[#This Row],[RA]]-Tableau182984[[#This Row],[DA]],"")</f>
        <v/>
      </c>
    </row>
    <row r="71" spans="1:42" ht="15" customHeight="1" x14ac:dyDescent="0.2">
      <c r="A71" s="3" t="s">
        <v>6</v>
      </c>
      <c r="B71" s="3" t="s">
        <v>117</v>
      </c>
      <c r="C71" s="3" t="s">
        <v>119</v>
      </c>
      <c r="L71" s="4"/>
      <c r="M71" s="4"/>
      <c r="N71" s="4"/>
      <c r="O71" s="5" t="str">
        <f t="shared" si="12"/>
        <v/>
      </c>
      <c r="P71" s="5" t="str">
        <f t="shared" si="13"/>
        <v/>
      </c>
      <c r="Q71" s="5" t="str">
        <f t="shared" si="14"/>
        <v/>
      </c>
      <c r="R71" s="5" t="s">
        <v>166</v>
      </c>
      <c r="S71" s="5" t="s">
        <v>166</v>
      </c>
      <c r="T71" s="5" t="str">
        <f t="shared" si="15"/>
        <v/>
      </c>
      <c r="U71" s="5" t="str">
        <f t="shared" si="16"/>
        <v/>
      </c>
      <c r="V71" s="5" t="str">
        <f>IF($E$4="Embrousaillement",Tableau182984[[#This Row],[SOL]],"")</f>
        <v/>
      </c>
      <c r="W71" s="5" t="str">
        <f>IF($E$4="Embrousaillement",Tableau182984[[#This Row],[L]],"")</f>
        <v/>
      </c>
      <c r="X71" s="5" t="s">
        <v>166</v>
      </c>
      <c r="Y71" s="5" t="str">
        <f t="shared" si="17"/>
        <v/>
      </c>
      <c r="Z71" s="5" t="str">
        <f t="shared" si="18"/>
        <v/>
      </c>
      <c r="AA71" s="5" t="str">
        <f t="shared" si="19"/>
        <v/>
      </c>
      <c r="AB71" s="5" t="s">
        <v>166</v>
      </c>
      <c r="AC71" s="5" t="s">
        <v>166</v>
      </c>
      <c r="AD71" s="5" t="str">
        <f t="shared" si="20"/>
        <v/>
      </c>
      <c r="AE71" s="5" t="s">
        <v>166</v>
      </c>
      <c r="AF71" s="5" t="s">
        <v>166</v>
      </c>
      <c r="AG71" s="5" t="str">
        <f t="shared" si="21"/>
        <v/>
      </c>
      <c r="AH71" s="5" t="s">
        <v>166</v>
      </c>
      <c r="AI71" s="5" t="s">
        <v>166</v>
      </c>
      <c r="AJ71" s="5" t="str">
        <f t="shared" si="22"/>
        <v/>
      </c>
      <c r="AK71" s="5" t="str">
        <f t="shared" si="23"/>
        <v/>
      </c>
      <c r="AL71" s="7" t="str">
        <f>IF(Tableau182984[[#This Row],[Age]]&lt;&gt;"",IF(Tableau182984[[#This Row],[Age]]=0,$AT$10*$B$10+SUMIF($AS$21:$AS$29,Tableau182984[[#This Row],[Age]],$AU$21:$AU$29)*$B$10+$AT$11*$B$10,SUMIF($AS$21:$AS$29,Tableau182984[[#This Row],[Age]],$AU$21:$AU$29)*$B$10+$AT$11*$B$10),"")</f>
        <v/>
      </c>
      <c r="AM71" s="7" t="str">
        <f>IF(Tableau182984[[#This Row],[Age]]&lt;&gt;"",IF(Tableau182984[[#This Row],[Age]]=$B$11,$AT$10*$B$10,0)+Tableau182984[[#This Row],[VBO]]*$AX$21*$B$10+Tableau182984[[#This Row],[VBI]]*$AX$22*$B$10+Tableau182984[[#This Row],[VBE]]*$AX$23*$B$10,"")</f>
        <v/>
      </c>
      <c r="AN71" s="7" t="s">
        <v>166</v>
      </c>
      <c r="AO71" s="7" t="s">
        <v>166</v>
      </c>
      <c r="AP71" s="7" t="str">
        <f>IF(Tableau182984[[#This Row],[Age]]&lt;&gt;"",Tableau182984[[#This Row],[RA]]-Tableau182984[[#This Row],[DA]],"")</f>
        <v/>
      </c>
    </row>
    <row r="72" spans="1:42" ht="15" customHeight="1" x14ac:dyDescent="0.2">
      <c r="A72" s="3" t="s">
        <v>7</v>
      </c>
      <c r="B72" s="3" t="s">
        <v>120</v>
      </c>
      <c r="C72" s="3" t="s">
        <v>121</v>
      </c>
      <c r="L72" s="4"/>
      <c r="M72" s="4"/>
      <c r="N72" s="4"/>
      <c r="O72" s="5" t="str">
        <f t="shared" si="12"/>
        <v/>
      </c>
      <c r="P72" s="5" t="str">
        <f t="shared" si="13"/>
        <v/>
      </c>
      <c r="Q72" s="5" t="str">
        <f t="shared" si="14"/>
        <v/>
      </c>
      <c r="R72" s="5" t="s">
        <v>166</v>
      </c>
      <c r="S72" s="5" t="s">
        <v>166</v>
      </c>
      <c r="T72" s="5" t="str">
        <f t="shared" si="15"/>
        <v/>
      </c>
      <c r="U72" s="5" t="str">
        <f t="shared" si="16"/>
        <v/>
      </c>
      <c r="V72" s="5" t="str">
        <f>IF($E$4="Embrousaillement",Tableau182984[[#This Row],[SOL]],"")</f>
        <v/>
      </c>
      <c r="W72" s="5" t="str">
        <f>IF($E$4="Embrousaillement",Tableau182984[[#This Row],[L]],"")</f>
        <v/>
      </c>
      <c r="X72" s="5" t="s">
        <v>166</v>
      </c>
      <c r="Y72" s="5" t="str">
        <f t="shared" si="17"/>
        <v/>
      </c>
      <c r="Z72" s="5" t="str">
        <f t="shared" si="18"/>
        <v/>
      </c>
      <c r="AA72" s="5" t="str">
        <f t="shared" si="19"/>
        <v/>
      </c>
      <c r="AB72" s="5" t="s">
        <v>166</v>
      </c>
      <c r="AC72" s="5" t="s">
        <v>166</v>
      </c>
      <c r="AD72" s="5" t="str">
        <f t="shared" si="20"/>
        <v/>
      </c>
      <c r="AE72" s="5" t="s">
        <v>166</v>
      </c>
      <c r="AF72" s="5" t="s">
        <v>166</v>
      </c>
      <c r="AG72" s="5" t="str">
        <f t="shared" si="21"/>
        <v/>
      </c>
      <c r="AH72" s="5" t="s">
        <v>166</v>
      </c>
      <c r="AI72" s="5" t="s">
        <v>166</v>
      </c>
      <c r="AJ72" s="5" t="str">
        <f t="shared" si="22"/>
        <v/>
      </c>
      <c r="AK72" s="5" t="str">
        <f t="shared" si="23"/>
        <v/>
      </c>
      <c r="AL72" s="7" t="str">
        <f>IF(Tableau182984[[#This Row],[Age]]&lt;&gt;"",IF(Tableau182984[[#This Row],[Age]]=0,$AT$10*$B$10+SUMIF($AS$21:$AS$29,Tableau182984[[#This Row],[Age]],$AU$21:$AU$29)*$B$10+$AT$11*$B$10,SUMIF($AS$21:$AS$29,Tableau182984[[#This Row],[Age]],$AU$21:$AU$29)*$B$10+$AT$11*$B$10),"")</f>
        <v/>
      </c>
      <c r="AM72" s="7" t="str">
        <f>IF(Tableau182984[[#This Row],[Age]]&lt;&gt;"",IF(Tableau182984[[#This Row],[Age]]=$B$11,$AT$10*$B$10,0)+Tableau182984[[#This Row],[VBO]]*$AX$21*$B$10+Tableau182984[[#This Row],[VBI]]*$AX$22*$B$10+Tableau182984[[#This Row],[VBE]]*$AX$23*$B$10,"")</f>
        <v/>
      </c>
      <c r="AN72" s="7" t="s">
        <v>166</v>
      </c>
      <c r="AO72" s="7" t="s">
        <v>166</v>
      </c>
      <c r="AP72" s="7" t="str">
        <f>IF(Tableau182984[[#This Row],[Age]]&lt;&gt;"",Tableau182984[[#This Row],[RA]]-Tableau182984[[#This Row],[DA]],"")</f>
        <v/>
      </c>
    </row>
    <row r="73" spans="1:42" ht="15" customHeight="1" x14ac:dyDescent="0.2">
      <c r="A73" s="3" t="s">
        <v>8</v>
      </c>
      <c r="B73" s="3" t="s">
        <v>120</v>
      </c>
      <c r="C73" s="3" t="s">
        <v>122</v>
      </c>
      <c r="L73" s="4"/>
      <c r="M73" s="4"/>
      <c r="N73" s="4"/>
      <c r="O73" s="5" t="str">
        <f t="shared" si="12"/>
        <v/>
      </c>
      <c r="P73" s="5" t="str">
        <f t="shared" si="13"/>
        <v/>
      </c>
      <c r="Q73" s="5" t="str">
        <f t="shared" si="14"/>
        <v/>
      </c>
      <c r="R73" s="5" t="s">
        <v>166</v>
      </c>
      <c r="S73" s="5" t="s">
        <v>166</v>
      </c>
      <c r="T73" s="5" t="str">
        <f t="shared" si="15"/>
        <v/>
      </c>
      <c r="U73" s="5" t="str">
        <f t="shared" si="16"/>
        <v/>
      </c>
      <c r="V73" s="5" t="str">
        <f>IF($E$4="Embrousaillement",Tableau182984[[#This Row],[SOL]],"")</f>
        <v/>
      </c>
      <c r="W73" s="5" t="str">
        <f>IF($E$4="Embrousaillement",Tableau182984[[#This Row],[L]],"")</f>
        <v/>
      </c>
      <c r="X73" s="5" t="s">
        <v>166</v>
      </c>
      <c r="Y73" s="5" t="str">
        <f t="shared" si="17"/>
        <v/>
      </c>
      <c r="Z73" s="5" t="str">
        <f t="shared" si="18"/>
        <v/>
      </c>
      <c r="AA73" s="5" t="str">
        <f t="shared" si="19"/>
        <v/>
      </c>
      <c r="AB73" s="5" t="s">
        <v>166</v>
      </c>
      <c r="AC73" s="5" t="s">
        <v>166</v>
      </c>
      <c r="AD73" s="5" t="str">
        <f t="shared" si="20"/>
        <v/>
      </c>
      <c r="AE73" s="5" t="s">
        <v>166</v>
      </c>
      <c r="AF73" s="5" t="s">
        <v>166</v>
      </c>
      <c r="AG73" s="5" t="str">
        <f t="shared" si="21"/>
        <v/>
      </c>
      <c r="AH73" s="5" t="s">
        <v>166</v>
      </c>
      <c r="AI73" s="5" t="s">
        <v>166</v>
      </c>
      <c r="AJ73" s="5" t="str">
        <f t="shared" si="22"/>
        <v/>
      </c>
      <c r="AK73" s="5" t="str">
        <f t="shared" si="23"/>
        <v/>
      </c>
      <c r="AL73" s="7" t="str">
        <f>IF(Tableau182984[[#This Row],[Age]]&lt;&gt;"",IF(Tableau182984[[#This Row],[Age]]=0,$AT$10*$B$10+SUMIF($AS$21:$AS$29,Tableau182984[[#This Row],[Age]],$AU$21:$AU$29)*$B$10+$AT$11*$B$10,SUMIF($AS$21:$AS$29,Tableau182984[[#This Row],[Age]],$AU$21:$AU$29)*$B$10+$AT$11*$B$10),"")</f>
        <v/>
      </c>
      <c r="AM73" s="7" t="str">
        <f>IF(Tableau182984[[#This Row],[Age]]&lt;&gt;"",IF(Tableau182984[[#This Row],[Age]]=$B$11,$AT$10*$B$10,0)+Tableau182984[[#This Row],[VBO]]*$AX$21*$B$10+Tableau182984[[#This Row],[VBI]]*$AX$22*$B$10+Tableau182984[[#This Row],[VBE]]*$AX$23*$B$10,"")</f>
        <v/>
      </c>
      <c r="AN73" s="7" t="s">
        <v>166</v>
      </c>
      <c r="AO73" s="7" t="s">
        <v>166</v>
      </c>
      <c r="AP73" s="7" t="str">
        <f>IF(Tableau182984[[#This Row],[Age]]&lt;&gt;"",Tableau182984[[#This Row],[RA]]-Tableau182984[[#This Row],[DA]],"")</f>
        <v/>
      </c>
    </row>
    <row r="74" spans="1:42" ht="15" customHeight="1" x14ac:dyDescent="0.2">
      <c r="A74" s="3" t="s">
        <v>9</v>
      </c>
      <c r="B74" s="3" t="s">
        <v>123</v>
      </c>
      <c r="C74" s="3" t="s">
        <v>124</v>
      </c>
      <c r="L74" s="4"/>
      <c r="M74" s="4"/>
      <c r="N74" s="4"/>
      <c r="O74" s="5" t="str">
        <f t="shared" si="12"/>
        <v/>
      </c>
      <c r="P74" s="5" t="str">
        <f t="shared" si="13"/>
        <v/>
      </c>
      <c r="Q74" s="5" t="str">
        <f t="shared" si="14"/>
        <v/>
      </c>
      <c r="R74" s="5" t="s">
        <v>166</v>
      </c>
      <c r="S74" s="5" t="s">
        <v>166</v>
      </c>
      <c r="T74" s="5" t="str">
        <f t="shared" si="15"/>
        <v/>
      </c>
      <c r="U74" s="5" t="str">
        <f t="shared" si="16"/>
        <v/>
      </c>
      <c r="V74" s="5" t="str">
        <f>IF($E$4="Embrousaillement",Tableau182984[[#This Row],[SOL]],"")</f>
        <v/>
      </c>
      <c r="W74" s="5" t="str">
        <f>IF($E$4="Embrousaillement",Tableau182984[[#This Row],[L]],"")</f>
        <v/>
      </c>
      <c r="X74" s="5" t="s">
        <v>166</v>
      </c>
      <c r="Y74" s="5" t="str">
        <f t="shared" si="17"/>
        <v/>
      </c>
      <c r="Z74" s="5" t="str">
        <f t="shared" si="18"/>
        <v/>
      </c>
      <c r="AA74" s="5" t="str">
        <f t="shared" si="19"/>
        <v/>
      </c>
      <c r="AB74" s="5" t="s">
        <v>166</v>
      </c>
      <c r="AC74" s="5" t="s">
        <v>166</v>
      </c>
      <c r="AD74" s="5" t="str">
        <f t="shared" si="20"/>
        <v/>
      </c>
      <c r="AE74" s="5" t="s">
        <v>166</v>
      </c>
      <c r="AF74" s="5" t="s">
        <v>166</v>
      </c>
      <c r="AG74" s="5" t="str">
        <f t="shared" si="21"/>
        <v/>
      </c>
      <c r="AH74" s="5" t="s">
        <v>166</v>
      </c>
      <c r="AI74" s="5" t="s">
        <v>166</v>
      </c>
      <c r="AJ74" s="5" t="str">
        <f t="shared" si="22"/>
        <v/>
      </c>
      <c r="AK74" s="5" t="str">
        <f t="shared" si="23"/>
        <v/>
      </c>
      <c r="AL74" s="7" t="str">
        <f>IF(Tableau182984[[#This Row],[Age]]&lt;&gt;"",IF(Tableau182984[[#This Row],[Age]]=0,$AT$10*$B$10+SUMIF($AS$21:$AS$29,Tableau182984[[#This Row],[Age]],$AU$21:$AU$29)*$B$10+$AT$11*$B$10,SUMIF($AS$21:$AS$29,Tableau182984[[#This Row],[Age]],$AU$21:$AU$29)*$B$10+$AT$11*$B$10),"")</f>
        <v/>
      </c>
      <c r="AM74" s="7" t="str">
        <f>IF(Tableau182984[[#This Row],[Age]]&lt;&gt;"",IF(Tableau182984[[#This Row],[Age]]=$B$11,$AT$10*$B$10,0)+Tableau182984[[#This Row],[VBO]]*$AX$21*$B$10+Tableau182984[[#This Row],[VBI]]*$AX$22*$B$10+Tableau182984[[#This Row],[VBE]]*$AX$23*$B$10,"")</f>
        <v/>
      </c>
      <c r="AN74" s="7" t="s">
        <v>166</v>
      </c>
      <c r="AO74" s="7" t="s">
        <v>166</v>
      </c>
      <c r="AP74" s="7" t="str">
        <f>IF(Tableau182984[[#This Row],[Age]]&lt;&gt;"",Tableau182984[[#This Row],[RA]]-Tableau182984[[#This Row],[DA]],"")</f>
        <v/>
      </c>
    </row>
    <row r="75" spans="1:42" ht="15" customHeight="1" x14ac:dyDescent="0.2">
      <c r="A75" s="3" t="s">
        <v>10</v>
      </c>
      <c r="B75" s="3" t="s">
        <v>117</v>
      </c>
      <c r="C75" s="3" t="s">
        <v>125</v>
      </c>
      <c r="L75" s="4"/>
      <c r="M75" s="4"/>
      <c r="N75" s="4"/>
      <c r="O75" s="5" t="str">
        <f t="shared" si="12"/>
        <v/>
      </c>
      <c r="P75" s="5" t="str">
        <f t="shared" si="13"/>
        <v/>
      </c>
      <c r="Q75" s="5" t="str">
        <f t="shared" si="14"/>
        <v/>
      </c>
      <c r="R75" s="5" t="s">
        <v>166</v>
      </c>
      <c r="S75" s="5" t="s">
        <v>166</v>
      </c>
      <c r="T75" s="5" t="str">
        <f t="shared" si="15"/>
        <v/>
      </c>
      <c r="U75" s="5" t="str">
        <f t="shared" si="16"/>
        <v/>
      </c>
      <c r="V75" s="5" t="str">
        <f>IF($E$4="Embrousaillement",Tableau182984[[#This Row],[SOL]],"")</f>
        <v/>
      </c>
      <c r="W75" s="5" t="str">
        <f>IF($E$4="Embrousaillement",Tableau182984[[#This Row],[L]],"")</f>
        <v/>
      </c>
      <c r="X75" s="5" t="s">
        <v>166</v>
      </c>
      <c r="Y75" s="5" t="str">
        <f t="shared" si="17"/>
        <v/>
      </c>
      <c r="Z75" s="5" t="str">
        <f t="shared" si="18"/>
        <v/>
      </c>
      <c r="AA75" s="5" t="str">
        <f t="shared" si="19"/>
        <v/>
      </c>
      <c r="AB75" s="5" t="s">
        <v>166</v>
      </c>
      <c r="AC75" s="5" t="s">
        <v>166</v>
      </c>
      <c r="AD75" s="5" t="str">
        <f t="shared" si="20"/>
        <v/>
      </c>
      <c r="AE75" s="5" t="s">
        <v>166</v>
      </c>
      <c r="AF75" s="5" t="s">
        <v>166</v>
      </c>
      <c r="AG75" s="5" t="str">
        <f t="shared" si="21"/>
        <v/>
      </c>
      <c r="AH75" s="5" t="s">
        <v>166</v>
      </c>
      <c r="AI75" s="5" t="s">
        <v>166</v>
      </c>
      <c r="AJ75" s="5" t="str">
        <f t="shared" si="22"/>
        <v/>
      </c>
      <c r="AK75" s="5" t="str">
        <f t="shared" si="23"/>
        <v/>
      </c>
      <c r="AL75" s="7" t="str">
        <f>IF(Tableau182984[[#This Row],[Age]]&lt;&gt;"",IF(Tableau182984[[#This Row],[Age]]=0,$AT$10*$B$10+SUMIF($AS$21:$AS$29,Tableau182984[[#This Row],[Age]],$AU$21:$AU$29)*$B$10+$AT$11*$B$10,SUMIF($AS$21:$AS$29,Tableau182984[[#This Row],[Age]],$AU$21:$AU$29)*$B$10+$AT$11*$B$10),"")</f>
        <v/>
      </c>
      <c r="AM75" s="7" t="str">
        <f>IF(Tableau182984[[#This Row],[Age]]&lt;&gt;"",IF(Tableau182984[[#This Row],[Age]]=$B$11,$AT$10*$B$10,0)+Tableau182984[[#This Row],[VBO]]*$AX$21*$B$10+Tableau182984[[#This Row],[VBI]]*$AX$22*$B$10+Tableau182984[[#This Row],[VBE]]*$AX$23*$B$10,"")</f>
        <v/>
      </c>
      <c r="AN75" s="7" t="s">
        <v>166</v>
      </c>
      <c r="AO75" s="7" t="s">
        <v>166</v>
      </c>
      <c r="AP75" s="7" t="str">
        <f>IF(Tableau182984[[#This Row],[Age]]&lt;&gt;"",Tableau182984[[#This Row],[RA]]-Tableau182984[[#This Row],[DA]],"")</f>
        <v/>
      </c>
    </row>
    <row r="76" spans="1:42" ht="15" customHeight="1" x14ac:dyDescent="0.2">
      <c r="A76" s="3" t="s">
        <v>11</v>
      </c>
      <c r="B76" s="3" t="s">
        <v>117</v>
      </c>
      <c r="C76" s="3" t="s">
        <v>126</v>
      </c>
      <c r="L76" s="4"/>
      <c r="M76" s="4"/>
      <c r="N76" s="4"/>
      <c r="O76" s="5" t="str">
        <f t="shared" si="12"/>
        <v/>
      </c>
      <c r="P76" s="5" t="str">
        <f t="shared" si="13"/>
        <v/>
      </c>
      <c r="Q76" s="5" t="str">
        <f t="shared" si="14"/>
        <v/>
      </c>
      <c r="R76" s="5" t="s">
        <v>166</v>
      </c>
      <c r="S76" s="5" t="s">
        <v>166</v>
      </c>
      <c r="T76" s="5" t="str">
        <f t="shared" si="15"/>
        <v/>
      </c>
      <c r="U76" s="5" t="str">
        <f t="shared" si="16"/>
        <v/>
      </c>
      <c r="V76" s="5" t="str">
        <f>IF($E$4="Embrousaillement",Tableau182984[[#This Row],[SOL]],"")</f>
        <v/>
      </c>
      <c r="W76" s="5" t="str">
        <f>IF($E$4="Embrousaillement",Tableau182984[[#This Row],[L]],"")</f>
        <v/>
      </c>
      <c r="X76" s="5" t="s">
        <v>166</v>
      </c>
      <c r="Y76" s="5" t="str">
        <f t="shared" si="17"/>
        <v/>
      </c>
      <c r="Z76" s="5" t="str">
        <f t="shared" si="18"/>
        <v/>
      </c>
      <c r="AA76" s="5" t="str">
        <f t="shared" si="19"/>
        <v/>
      </c>
      <c r="AB76" s="5" t="s">
        <v>166</v>
      </c>
      <c r="AC76" s="5" t="s">
        <v>166</v>
      </c>
      <c r="AD76" s="5" t="str">
        <f t="shared" si="20"/>
        <v/>
      </c>
      <c r="AE76" s="5" t="s">
        <v>166</v>
      </c>
      <c r="AF76" s="5" t="s">
        <v>166</v>
      </c>
      <c r="AG76" s="5" t="str">
        <f t="shared" si="21"/>
        <v/>
      </c>
      <c r="AH76" s="5" t="s">
        <v>166</v>
      </c>
      <c r="AI76" s="5" t="s">
        <v>166</v>
      </c>
      <c r="AJ76" s="5" t="str">
        <f t="shared" si="22"/>
        <v/>
      </c>
      <c r="AK76" s="5" t="str">
        <f t="shared" si="23"/>
        <v/>
      </c>
      <c r="AL76" s="7" t="str">
        <f>IF(Tableau182984[[#This Row],[Age]]&lt;&gt;"",IF(Tableau182984[[#This Row],[Age]]=0,$AT$10*$B$10+SUMIF($AS$21:$AS$29,Tableau182984[[#This Row],[Age]],$AU$21:$AU$29)*$B$10+$AT$11*$B$10,SUMIF($AS$21:$AS$29,Tableau182984[[#This Row],[Age]],$AU$21:$AU$29)*$B$10+$AT$11*$B$10),"")</f>
        <v/>
      </c>
      <c r="AM76" s="7" t="str">
        <f>IF(Tableau182984[[#This Row],[Age]]&lt;&gt;"",IF(Tableau182984[[#This Row],[Age]]=$B$11,$AT$10*$B$10,0)+Tableau182984[[#This Row],[VBO]]*$AX$21*$B$10+Tableau182984[[#This Row],[VBI]]*$AX$22*$B$10+Tableau182984[[#This Row],[VBE]]*$AX$23*$B$10,"")</f>
        <v/>
      </c>
      <c r="AN76" s="7" t="s">
        <v>166</v>
      </c>
      <c r="AO76" s="7" t="s">
        <v>166</v>
      </c>
      <c r="AP76" s="7" t="str">
        <f>IF(Tableau182984[[#This Row],[Age]]&lt;&gt;"",Tableau182984[[#This Row],[RA]]-Tableau182984[[#This Row],[DA]],"")</f>
        <v/>
      </c>
    </row>
    <row r="77" spans="1:42" ht="15" customHeight="1" x14ac:dyDescent="0.2">
      <c r="A77" s="3" t="s">
        <v>12</v>
      </c>
      <c r="B77" s="3" t="s">
        <v>120</v>
      </c>
      <c r="C77" s="3" t="s">
        <v>127</v>
      </c>
      <c r="L77" s="4"/>
      <c r="M77" s="4"/>
      <c r="N77" s="4"/>
      <c r="O77" s="5" t="str">
        <f t="shared" si="12"/>
        <v/>
      </c>
      <c r="P77" s="5" t="str">
        <f t="shared" si="13"/>
        <v/>
      </c>
      <c r="Q77" s="5" t="str">
        <f t="shared" si="14"/>
        <v/>
      </c>
      <c r="R77" s="5" t="s">
        <v>166</v>
      </c>
      <c r="S77" s="5" t="s">
        <v>166</v>
      </c>
      <c r="T77" s="5" t="str">
        <f t="shared" si="15"/>
        <v/>
      </c>
      <c r="U77" s="5" t="str">
        <f t="shared" si="16"/>
        <v/>
      </c>
      <c r="V77" s="5" t="str">
        <f>IF($E$4="Embrousaillement",Tableau182984[[#This Row],[SOL]],"")</f>
        <v/>
      </c>
      <c r="W77" s="5" t="str">
        <f>IF($E$4="Embrousaillement",Tableau182984[[#This Row],[L]],"")</f>
        <v/>
      </c>
      <c r="X77" s="5" t="s">
        <v>166</v>
      </c>
      <c r="Y77" s="5" t="str">
        <f t="shared" si="17"/>
        <v/>
      </c>
      <c r="Z77" s="5" t="str">
        <f t="shared" si="18"/>
        <v/>
      </c>
      <c r="AA77" s="5" t="str">
        <f t="shared" si="19"/>
        <v/>
      </c>
      <c r="AB77" s="5" t="s">
        <v>166</v>
      </c>
      <c r="AC77" s="5" t="s">
        <v>166</v>
      </c>
      <c r="AD77" s="5" t="str">
        <f t="shared" si="20"/>
        <v/>
      </c>
      <c r="AE77" s="5" t="s">
        <v>166</v>
      </c>
      <c r="AF77" s="5" t="s">
        <v>166</v>
      </c>
      <c r="AG77" s="5" t="str">
        <f t="shared" si="21"/>
        <v/>
      </c>
      <c r="AH77" s="5" t="s">
        <v>166</v>
      </c>
      <c r="AI77" s="5" t="s">
        <v>166</v>
      </c>
      <c r="AJ77" s="5" t="str">
        <f t="shared" si="22"/>
        <v/>
      </c>
      <c r="AK77" s="5" t="str">
        <f t="shared" si="23"/>
        <v/>
      </c>
      <c r="AL77" s="7" t="str">
        <f>IF(Tableau182984[[#This Row],[Age]]&lt;&gt;"",IF(Tableau182984[[#This Row],[Age]]=0,$AT$10*$B$10+SUMIF($AS$21:$AS$29,Tableau182984[[#This Row],[Age]],$AU$21:$AU$29)*$B$10+$AT$11*$B$10,SUMIF($AS$21:$AS$29,Tableau182984[[#This Row],[Age]],$AU$21:$AU$29)*$B$10+$AT$11*$B$10),"")</f>
        <v/>
      </c>
      <c r="AM77" s="7" t="str">
        <f>IF(Tableau182984[[#This Row],[Age]]&lt;&gt;"",IF(Tableau182984[[#This Row],[Age]]=$B$11,$AT$10*$B$10,0)+Tableau182984[[#This Row],[VBO]]*$AX$21*$B$10+Tableau182984[[#This Row],[VBI]]*$AX$22*$B$10+Tableau182984[[#This Row],[VBE]]*$AX$23*$B$10,"")</f>
        <v/>
      </c>
      <c r="AN77" s="7" t="s">
        <v>166</v>
      </c>
      <c r="AO77" s="7" t="s">
        <v>166</v>
      </c>
      <c r="AP77" s="7" t="str">
        <f>IF(Tableau182984[[#This Row],[Age]]&lt;&gt;"",Tableau182984[[#This Row],[RA]]-Tableau182984[[#This Row],[DA]],"")</f>
        <v/>
      </c>
    </row>
    <row r="78" spans="1:42" ht="15" customHeight="1" x14ac:dyDescent="0.2">
      <c r="A78" s="3" t="s">
        <v>13</v>
      </c>
      <c r="B78" s="3" t="s">
        <v>120</v>
      </c>
      <c r="C78" s="3" t="s">
        <v>128</v>
      </c>
      <c r="L78" s="4"/>
      <c r="M78" s="4"/>
      <c r="N78" s="4"/>
      <c r="O78" s="5" t="str">
        <f t="shared" si="12"/>
        <v/>
      </c>
      <c r="P78" s="5" t="str">
        <f t="shared" si="13"/>
        <v/>
      </c>
      <c r="Q78" s="5" t="str">
        <f t="shared" si="14"/>
        <v/>
      </c>
      <c r="R78" s="5" t="s">
        <v>166</v>
      </c>
      <c r="S78" s="5" t="s">
        <v>166</v>
      </c>
      <c r="T78" s="5" t="str">
        <f t="shared" si="15"/>
        <v/>
      </c>
      <c r="U78" s="5" t="str">
        <f t="shared" si="16"/>
        <v/>
      </c>
      <c r="V78" s="5" t="str">
        <f>IF($E$4="Embrousaillement",Tableau182984[[#This Row],[SOL]],"")</f>
        <v/>
      </c>
      <c r="W78" s="5" t="str">
        <f>IF($E$4="Embrousaillement",Tableau182984[[#This Row],[L]],"")</f>
        <v/>
      </c>
      <c r="X78" s="5" t="s">
        <v>166</v>
      </c>
      <c r="Y78" s="5" t="str">
        <f t="shared" si="17"/>
        <v/>
      </c>
      <c r="Z78" s="5" t="str">
        <f t="shared" si="18"/>
        <v/>
      </c>
      <c r="AA78" s="5" t="str">
        <f t="shared" si="19"/>
        <v/>
      </c>
      <c r="AB78" s="5" t="s">
        <v>166</v>
      </c>
      <c r="AC78" s="5" t="s">
        <v>166</v>
      </c>
      <c r="AD78" s="5" t="str">
        <f t="shared" si="20"/>
        <v/>
      </c>
      <c r="AE78" s="5" t="s">
        <v>166</v>
      </c>
      <c r="AF78" s="5" t="s">
        <v>166</v>
      </c>
      <c r="AG78" s="5" t="str">
        <f t="shared" si="21"/>
        <v/>
      </c>
      <c r="AH78" s="5" t="s">
        <v>166</v>
      </c>
      <c r="AI78" s="5" t="s">
        <v>166</v>
      </c>
      <c r="AJ78" s="5" t="str">
        <f t="shared" si="22"/>
        <v/>
      </c>
      <c r="AK78" s="5" t="str">
        <f t="shared" si="23"/>
        <v/>
      </c>
      <c r="AL78" s="7" t="str">
        <f>IF(Tableau182984[[#This Row],[Age]]&lt;&gt;"",IF(Tableau182984[[#This Row],[Age]]=0,$AT$10*$B$10+SUMIF($AS$21:$AS$29,Tableau182984[[#This Row],[Age]],$AU$21:$AU$29)*$B$10+$AT$11*$B$10,SUMIF($AS$21:$AS$29,Tableau182984[[#This Row],[Age]],$AU$21:$AU$29)*$B$10+$AT$11*$B$10),"")</f>
        <v/>
      </c>
      <c r="AM78" s="7" t="str">
        <f>IF(Tableau182984[[#This Row],[Age]]&lt;&gt;"",IF(Tableau182984[[#This Row],[Age]]=$B$11,$AT$10*$B$10,0)+Tableau182984[[#This Row],[VBO]]*$AX$21*$B$10+Tableau182984[[#This Row],[VBI]]*$AX$22*$B$10+Tableau182984[[#This Row],[VBE]]*$AX$23*$B$10,"")</f>
        <v/>
      </c>
      <c r="AN78" s="7" t="s">
        <v>166</v>
      </c>
      <c r="AO78" s="7" t="s">
        <v>166</v>
      </c>
      <c r="AP78" s="7" t="str">
        <f>IF(Tableau182984[[#This Row],[Age]]&lt;&gt;"",Tableau182984[[#This Row],[RA]]-Tableau182984[[#This Row],[DA]],"")</f>
        <v/>
      </c>
    </row>
    <row r="79" spans="1:42" ht="15" customHeight="1" x14ac:dyDescent="0.2">
      <c r="A79" s="3" t="s">
        <v>14</v>
      </c>
      <c r="B79" s="3" t="s">
        <v>123</v>
      </c>
      <c r="C79" s="3" t="s">
        <v>129</v>
      </c>
      <c r="L79" s="4"/>
      <c r="M79" s="4"/>
      <c r="N79" s="4"/>
      <c r="O79" s="5" t="str">
        <f t="shared" si="12"/>
        <v/>
      </c>
      <c r="P79" s="5" t="str">
        <f t="shared" si="13"/>
        <v/>
      </c>
      <c r="Q79" s="5" t="str">
        <f t="shared" si="14"/>
        <v/>
      </c>
      <c r="R79" s="5" t="s">
        <v>166</v>
      </c>
      <c r="S79" s="5" t="s">
        <v>166</v>
      </c>
      <c r="T79" s="5" t="str">
        <f t="shared" si="15"/>
        <v/>
      </c>
      <c r="U79" s="5" t="str">
        <f t="shared" si="16"/>
        <v/>
      </c>
      <c r="V79" s="5" t="str">
        <f>IF($E$4="Embrousaillement",Tableau182984[[#This Row],[SOL]],"")</f>
        <v/>
      </c>
      <c r="W79" s="5" t="str">
        <f>IF($E$4="Embrousaillement",Tableau182984[[#This Row],[L]],"")</f>
        <v/>
      </c>
      <c r="X79" s="5" t="s">
        <v>166</v>
      </c>
      <c r="Y79" s="5" t="str">
        <f t="shared" si="17"/>
        <v/>
      </c>
      <c r="Z79" s="5" t="str">
        <f t="shared" si="18"/>
        <v/>
      </c>
      <c r="AA79" s="5" t="str">
        <f t="shared" si="19"/>
        <v/>
      </c>
      <c r="AB79" s="5" t="s">
        <v>166</v>
      </c>
      <c r="AC79" s="5" t="s">
        <v>166</v>
      </c>
      <c r="AD79" s="5" t="str">
        <f t="shared" si="20"/>
        <v/>
      </c>
      <c r="AE79" s="5" t="s">
        <v>166</v>
      </c>
      <c r="AF79" s="5" t="s">
        <v>166</v>
      </c>
      <c r="AG79" s="5" t="str">
        <f t="shared" si="21"/>
        <v/>
      </c>
      <c r="AH79" s="5" t="s">
        <v>166</v>
      </c>
      <c r="AI79" s="5" t="s">
        <v>166</v>
      </c>
      <c r="AJ79" s="5" t="str">
        <f t="shared" si="22"/>
        <v/>
      </c>
      <c r="AK79" s="5" t="str">
        <f t="shared" si="23"/>
        <v/>
      </c>
      <c r="AL79" s="7" t="str">
        <f>IF(Tableau182984[[#This Row],[Age]]&lt;&gt;"",IF(Tableau182984[[#This Row],[Age]]=0,$AT$10*$B$10+SUMIF($AS$21:$AS$29,Tableau182984[[#This Row],[Age]],$AU$21:$AU$29)*$B$10+$AT$11*$B$10,SUMIF($AS$21:$AS$29,Tableau182984[[#This Row],[Age]],$AU$21:$AU$29)*$B$10+$AT$11*$B$10),"")</f>
        <v/>
      </c>
      <c r="AM79" s="7" t="str">
        <f>IF(Tableau182984[[#This Row],[Age]]&lt;&gt;"",IF(Tableau182984[[#This Row],[Age]]=$B$11,$AT$10*$B$10,0)+Tableau182984[[#This Row],[VBO]]*$AX$21*$B$10+Tableau182984[[#This Row],[VBI]]*$AX$22*$B$10+Tableau182984[[#This Row],[VBE]]*$AX$23*$B$10,"")</f>
        <v/>
      </c>
      <c r="AN79" s="7" t="s">
        <v>166</v>
      </c>
      <c r="AO79" s="7" t="s">
        <v>166</v>
      </c>
      <c r="AP79" s="7" t="str">
        <f>IF(Tableau182984[[#This Row],[Age]]&lt;&gt;"",Tableau182984[[#This Row],[RA]]-Tableau182984[[#This Row],[DA]],"")</f>
        <v/>
      </c>
    </row>
    <row r="80" spans="1:42" ht="15" customHeight="1" x14ac:dyDescent="0.2">
      <c r="A80" s="3" t="s">
        <v>15</v>
      </c>
      <c r="B80" s="3" t="s">
        <v>113</v>
      </c>
      <c r="C80" s="3" t="s">
        <v>130</v>
      </c>
      <c r="L80" s="4"/>
      <c r="M80" s="4"/>
      <c r="N80" s="4"/>
      <c r="O80" s="5" t="str">
        <f t="shared" si="12"/>
        <v/>
      </c>
      <c r="P80" s="5" t="str">
        <f t="shared" si="13"/>
        <v/>
      </c>
      <c r="Q80" s="5" t="str">
        <f t="shared" si="14"/>
        <v/>
      </c>
      <c r="R80" s="5" t="s">
        <v>166</v>
      </c>
      <c r="S80" s="5" t="s">
        <v>166</v>
      </c>
      <c r="T80" s="5" t="str">
        <f t="shared" si="15"/>
        <v/>
      </c>
      <c r="U80" s="5" t="str">
        <f t="shared" si="16"/>
        <v/>
      </c>
      <c r="V80" s="5" t="str">
        <f>IF($E$4="Embrousaillement",Tableau182984[[#This Row],[SOL]],"")</f>
        <v/>
      </c>
      <c r="W80" s="5" t="str">
        <f>IF($E$4="Embrousaillement",Tableau182984[[#This Row],[L]],"")</f>
        <v/>
      </c>
      <c r="X80" s="5" t="s">
        <v>166</v>
      </c>
      <c r="Y80" s="5" t="str">
        <f t="shared" si="17"/>
        <v/>
      </c>
      <c r="Z80" s="5" t="str">
        <f t="shared" si="18"/>
        <v/>
      </c>
      <c r="AA80" s="5" t="str">
        <f t="shared" si="19"/>
        <v/>
      </c>
      <c r="AB80" s="5" t="s">
        <v>166</v>
      </c>
      <c r="AC80" s="5" t="s">
        <v>166</v>
      </c>
      <c r="AD80" s="5" t="str">
        <f t="shared" si="20"/>
        <v/>
      </c>
      <c r="AE80" s="5" t="s">
        <v>166</v>
      </c>
      <c r="AF80" s="5" t="s">
        <v>166</v>
      </c>
      <c r="AG80" s="5" t="str">
        <f t="shared" si="21"/>
        <v/>
      </c>
      <c r="AH80" s="5" t="s">
        <v>166</v>
      </c>
      <c r="AI80" s="5" t="s">
        <v>166</v>
      </c>
      <c r="AJ80" s="5" t="str">
        <f t="shared" si="22"/>
        <v/>
      </c>
      <c r="AK80" s="5" t="str">
        <f t="shared" si="23"/>
        <v/>
      </c>
      <c r="AL80" s="7" t="str">
        <f>IF(Tableau182984[[#This Row],[Age]]&lt;&gt;"",IF(Tableau182984[[#This Row],[Age]]=0,$AT$10*$B$10+SUMIF($AS$21:$AS$29,Tableau182984[[#This Row],[Age]],$AU$21:$AU$29)*$B$10+$AT$11*$B$10,SUMIF($AS$21:$AS$29,Tableau182984[[#This Row],[Age]],$AU$21:$AU$29)*$B$10+$AT$11*$B$10),"")</f>
        <v/>
      </c>
      <c r="AM80" s="7" t="str">
        <f>IF(Tableau182984[[#This Row],[Age]]&lt;&gt;"",IF(Tableau182984[[#This Row],[Age]]=$B$11,$AT$10*$B$10,0)+Tableau182984[[#This Row],[VBO]]*$AX$21*$B$10+Tableau182984[[#This Row],[VBI]]*$AX$22*$B$10+Tableau182984[[#This Row],[VBE]]*$AX$23*$B$10,"")</f>
        <v/>
      </c>
      <c r="AN80" s="7" t="s">
        <v>166</v>
      </c>
      <c r="AO80" s="7" t="s">
        <v>166</v>
      </c>
      <c r="AP80" s="7" t="str">
        <f>IF(Tableau182984[[#This Row],[Age]]&lt;&gt;"",Tableau182984[[#This Row],[RA]]-Tableau182984[[#This Row],[DA]],"")</f>
        <v/>
      </c>
    </row>
    <row r="81" spans="1:42" ht="15" customHeight="1" x14ac:dyDescent="0.2">
      <c r="A81" s="3" t="s">
        <v>16</v>
      </c>
      <c r="B81" s="3" t="s">
        <v>113</v>
      </c>
      <c r="C81" s="3" t="s">
        <v>131</v>
      </c>
      <c r="L81" s="4"/>
      <c r="M81" s="4"/>
      <c r="N81" s="4"/>
      <c r="O81" s="5" t="str">
        <f t="shared" si="12"/>
        <v/>
      </c>
      <c r="P81" s="5" t="str">
        <f t="shared" si="13"/>
        <v/>
      </c>
      <c r="Q81" s="5" t="str">
        <f t="shared" si="14"/>
        <v/>
      </c>
      <c r="R81" s="5" t="s">
        <v>166</v>
      </c>
      <c r="S81" s="5" t="s">
        <v>166</v>
      </c>
      <c r="T81" s="5" t="str">
        <f t="shared" si="15"/>
        <v/>
      </c>
      <c r="U81" s="5" t="str">
        <f t="shared" si="16"/>
        <v/>
      </c>
      <c r="V81" s="5" t="str">
        <f>IF($E$4="Embrousaillement",Tableau182984[[#This Row],[SOL]],"")</f>
        <v/>
      </c>
      <c r="W81" s="5" t="str">
        <f>IF($E$4="Embrousaillement",Tableau182984[[#This Row],[L]],"")</f>
        <v/>
      </c>
      <c r="X81" s="5" t="s">
        <v>166</v>
      </c>
      <c r="Y81" s="5" t="str">
        <f t="shared" si="17"/>
        <v/>
      </c>
      <c r="Z81" s="5" t="str">
        <f t="shared" si="18"/>
        <v/>
      </c>
      <c r="AA81" s="5" t="str">
        <f t="shared" si="19"/>
        <v/>
      </c>
      <c r="AB81" s="5" t="s">
        <v>166</v>
      </c>
      <c r="AC81" s="5" t="s">
        <v>166</v>
      </c>
      <c r="AD81" s="5" t="str">
        <f t="shared" si="20"/>
        <v/>
      </c>
      <c r="AE81" s="5" t="s">
        <v>166</v>
      </c>
      <c r="AF81" s="5" t="s">
        <v>166</v>
      </c>
      <c r="AG81" s="5" t="str">
        <f t="shared" si="21"/>
        <v/>
      </c>
      <c r="AH81" s="5" t="s">
        <v>166</v>
      </c>
      <c r="AI81" s="5" t="s">
        <v>166</v>
      </c>
      <c r="AJ81" s="5" t="str">
        <f t="shared" si="22"/>
        <v/>
      </c>
      <c r="AK81" s="5" t="str">
        <f t="shared" si="23"/>
        <v/>
      </c>
      <c r="AL81" s="7" t="str">
        <f>IF(Tableau182984[[#This Row],[Age]]&lt;&gt;"",IF(Tableau182984[[#This Row],[Age]]=0,$AT$10*$B$10+SUMIF($AS$21:$AS$29,Tableau182984[[#This Row],[Age]],$AU$21:$AU$29)*$B$10+$AT$11*$B$10,SUMIF($AS$21:$AS$29,Tableau182984[[#This Row],[Age]],$AU$21:$AU$29)*$B$10+$AT$11*$B$10),"")</f>
        <v/>
      </c>
      <c r="AM81" s="7" t="str">
        <f>IF(Tableau182984[[#This Row],[Age]]&lt;&gt;"",IF(Tableau182984[[#This Row],[Age]]=$B$11,$AT$10*$B$10,0)+Tableau182984[[#This Row],[VBO]]*$AX$21*$B$10+Tableau182984[[#This Row],[VBI]]*$AX$22*$B$10+Tableau182984[[#This Row],[VBE]]*$AX$23*$B$10,"")</f>
        <v/>
      </c>
      <c r="AN81" s="7" t="s">
        <v>166</v>
      </c>
      <c r="AO81" s="7" t="s">
        <v>166</v>
      </c>
      <c r="AP81" s="7" t="str">
        <f>IF(Tableau182984[[#This Row],[Age]]&lt;&gt;"",Tableau182984[[#This Row],[RA]]-Tableau182984[[#This Row],[DA]],"")</f>
        <v/>
      </c>
    </row>
    <row r="82" spans="1:42" ht="15" customHeight="1" x14ac:dyDescent="0.2">
      <c r="A82" s="3" t="s">
        <v>17</v>
      </c>
      <c r="B82" s="3" t="s">
        <v>113</v>
      </c>
      <c r="C82" s="3" t="s">
        <v>132</v>
      </c>
      <c r="L82" s="4"/>
      <c r="M82" s="4"/>
      <c r="N82" s="4"/>
      <c r="O82" s="5" t="str">
        <f t="shared" si="12"/>
        <v/>
      </c>
      <c r="P82" s="5" t="str">
        <f t="shared" si="13"/>
        <v/>
      </c>
      <c r="Q82" s="5" t="str">
        <f t="shared" si="14"/>
        <v/>
      </c>
      <c r="R82" s="5" t="s">
        <v>166</v>
      </c>
      <c r="S82" s="5" t="s">
        <v>166</v>
      </c>
      <c r="T82" s="5" t="str">
        <f t="shared" si="15"/>
        <v/>
      </c>
      <c r="U82" s="5" t="str">
        <f t="shared" si="16"/>
        <v/>
      </c>
      <c r="V82" s="5" t="str">
        <f>IF($E$4="Embrousaillement",Tableau182984[[#This Row],[SOL]],"")</f>
        <v/>
      </c>
      <c r="W82" s="5" t="str">
        <f>IF($E$4="Embrousaillement",Tableau182984[[#This Row],[L]],"")</f>
        <v/>
      </c>
      <c r="X82" s="5" t="s">
        <v>166</v>
      </c>
      <c r="Y82" s="5" t="str">
        <f t="shared" si="17"/>
        <v/>
      </c>
      <c r="Z82" s="5" t="str">
        <f t="shared" si="18"/>
        <v/>
      </c>
      <c r="AA82" s="5" t="str">
        <f t="shared" si="19"/>
        <v/>
      </c>
      <c r="AB82" s="5" t="s">
        <v>166</v>
      </c>
      <c r="AC82" s="5" t="s">
        <v>166</v>
      </c>
      <c r="AD82" s="5" t="str">
        <f t="shared" si="20"/>
        <v/>
      </c>
      <c r="AE82" s="5" t="s">
        <v>166</v>
      </c>
      <c r="AF82" s="5" t="s">
        <v>166</v>
      </c>
      <c r="AG82" s="5" t="str">
        <f t="shared" si="21"/>
        <v/>
      </c>
      <c r="AH82" s="5" t="s">
        <v>166</v>
      </c>
      <c r="AI82" s="5" t="s">
        <v>166</v>
      </c>
      <c r="AJ82" s="5" t="str">
        <f t="shared" si="22"/>
        <v/>
      </c>
      <c r="AK82" s="5" t="str">
        <f t="shared" si="23"/>
        <v/>
      </c>
      <c r="AL82" s="7" t="str">
        <f>IF(Tableau182984[[#This Row],[Age]]&lt;&gt;"",IF(Tableau182984[[#This Row],[Age]]=0,$AT$10*$B$10+SUMIF($AS$21:$AS$29,Tableau182984[[#This Row],[Age]],$AU$21:$AU$29)*$B$10+$AT$11*$B$10,SUMIF($AS$21:$AS$29,Tableau182984[[#This Row],[Age]],$AU$21:$AU$29)*$B$10+$AT$11*$B$10),"")</f>
        <v/>
      </c>
      <c r="AM82" s="7" t="str">
        <f>IF(Tableau182984[[#This Row],[Age]]&lt;&gt;"",IF(Tableau182984[[#This Row],[Age]]=$B$11,$AT$10*$B$10,0)+Tableau182984[[#This Row],[VBO]]*$AX$21*$B$10+Tableau182984[[#This Row],[VBI]]*$AX$22*$B$10+Tableau182984[[#This Row],[VBE]]*$AX$23*$B$10,"")</f>
        <v/>
      </c>
      <c r="AN82" s="7" t="s">
        <v>166</v>
      </c>
      <c r="AO82" s="7" t="s">
        <v>166</v>
      </c>
      <c r="AP82" s="7" t="str">
        <f>IF(Tableau182984[[#This Row],[Age]]&lt;&gt;"",Tableau182984[[#This Row],[RA]]-Tableau182984[[#This Row],[DA]],"")</f>
        <v/>
      </c>
    </row>
    <row r="83" spans="1:42" ht="15" customHeight="1" x14ac:dyDescent="0.2">
      <c r="A83" s="3" t="s">
        <v>18</v>
      </c>
      <c r="B83" s="3" t="s">
        <v>123</v>
      </c>
      <c r="C83" s="3" t="s">
        <v>133</v>
      </c>
      <c r="L83" s="4"/>
      <c r="M83" s="4"/>
      <c r="N83" s="4"/>
      <c r="O83" s="5" t="str">
        <f t="shared" si="12"/>
        <v/>
      </c>
      <c r="P83" s="5" t="str">
        <f t="shared" si="13"/>
        <v/>
      </c>
      <c r="Q83" s="5" t="str">
        <f t="shared" si="14"/>
        <v/>
      </c>
      <c r="R83" s="5" t="s">
        <v>166</v>
      </c>
      <c r="S83" s="5" t="s">
        <v>166</v>
      </c>
      <c r="T83" s="5" t="str">
        <f t="shared" si="15"/>
        <v/>
      </c>
      <c r="U83" s="5" t="str">
        <f t="shared" si="16"/>
        <v/>
      </c>
      <c r="V83" s="5" t="str">
        <f>IF($E$4="Embrousaillement",Tableau182984[[#This Row],[SOL]],"")</f>
        <v/>
      </c>
      <c r="W83" s="5" t="str">
        <f>IF($E$4="Embrousaillement",Tableau182984[[#This Row],[L]],"")</f>
        <v/>
      </c>
      <c r="X83" s="5" t="s">
        <v>166</v>
      </c>
      <c r="Y83" s="5" t="str">
        <f t="shared" si="17"/>
        <v/>
      </c>
      <c r="Z83" s="5" t="str">
        <f t="shared" si="18"/>
        <v/>
      </c>
      <c r="AA83" s="5" t="str">
        <f t="shared" si="19"/>
        <v/>
      </c>
      <c r="AB83" s="5" t="s">
        <v>166</v>
      </c>
      <c r="AC83" s="5" t="s">
        <v>166</v>
      </c>
      <c r="AD83" s="5" t="str">
        <f t="shared" si="20"/>
        <v/>
      </c>
      <c r="AE83" s="5" t="s">
        <v>166</v>
      </c>
      <c r="AF83" s="5" t="s">
        <v>166</v>
      </c>
      <c r="AG83" s="5" t="str">
        <f t="shared" si="21"/>
        <v/>
      </c>
      <c r="AH83" s="5" t="s">
        <v>166</v>
      </c>
      <c r="AI83" s="5" t="s">
        <v>166</v>
      </c>
      <c r="AJ83" s="5" t="str">
        <f t="shared" si="22"/>
        <v/>
      </c>
      <c r="AK83" s="5" t="str">
        <f t="shared" si="23"/>
        <v/>
      </c>
      <c r="AL83" s="7" t="str">
        <f>IF(Tableau182984[[#This Row],[Age]]&lt;&gt;"",IF(Tableau182984[[#This Row],[Age]]=0,$AT$10*$B$10+SUMIF($AS$21:$AS$29,Tableau182984[[#This Row],[Age]],$AU$21:$AU$29)*$B$10+$AT$11*$B$10,SUMIF($AS$21:$AS$29,Tableau182984[[#This Row],[Age]],$AU$21:$AU$29)*$B$10+$AT$11*$B$10),"")</f>
        <v/>
      </c>
      <c r="AM83" s="7" t="str">
        <f>IF(Tableau182984[[#This Row],[Age]]&lt;&gt;"",IF(Tableau182984[[#This Row],[Age]]=$B$11,$AT$10*$B$10,0)+Tableau182984[[#This Row],[VBO]]*$AX$21*$B$10+Tableau182984[[#This Row],[VBI]]*$AX$22*$B$10+Tableau182984[[#This Row],[VBE]]*$AX$23*$B$10,"")</f>
        <v/>
      </c>
      <c r="AN83" s="7" t="s">
        <v>166</v>
      </c>
      <c r="AO83" s="7" t="s">
        <v>166</v>
      </c>
      <c r="AP83" s="7" t="str">
        <f>IF(Tableau182984[[#This Row],[Age]]&lt;&gt;"",Tableau182984[[#This Row],[RA]]-Tableau182984[[#This Row],[DA]],"")</f>
        <v/>
      </c>
    </row>
    <row r="84" spans="1:42" ht="15" customHeight="1" x14ac:dyDescent="0.2">
      <c r="A84" s="3" t="s">
        <v>19</v>
      </c>
      <c r="B84" s="3" t="s">
        <v>134</v>
      </c>
      <c r="C84" s="3" t="s">
        <v>135</v>
      </c>
      <c r="L84" s="4"/>
      <c r="M84" s="4"/>
      <c r="N84" s="4"/>
      <c r="O84" s="5" t="str">
        <f t="shared" si="12"/>
        <v/>
      </c>
      <c r="P84" s="5" t="str">
        <f t="shared" si="13"/>
        <v/>
      </c>
      <c r="Q84" s="5" t="str">
        <f t="shared" si="14"/>
        <v/>
      </c>
      <c r="R84" s="5" t="s">
        <v>166</v>
      </c>
      <c r="S84" s="5" t="s">
        <v>166</v>
      </c>
      <c r="T84" s="5" t="str">
        <f t="shared" si="15"/>
        <v/>
      </c>
      <c r="U84" s="5" t="str">
        <f t="shared" si="16"/>
        <v/>
      </c>
      <c r="V84" s="5" t="str">
        <f>IF($E$4="Embrousaillement",Tableau182984[[#This Row],[SOL]],"")</f>
        <v/>
      </c>
      <c r="W84" s="5" t="str">
        <f>IF($E$4="Embrousaillement",Tableau182984[[#This Row],[L]],"")</f>
        <v/>
      </c>
      <c r="X84" s="5" t="s">
        <v>166</v>
      </c>
      <c r="Y84" s="5" t="str">
        <f t="shared" si="17"/>
        <v/>
      </c>
      <c r="Z84" s="5" t="str">
        <f t="shared" si="18"/>
        <v/>
      </c>
      <c r="AA84" s="5" t="str">
        <f t="shared" si="19"/>
        <v/>
      </c>
      <c r="AB84" s="5" t="s">
        <v>166</v>
      </c>
      <c r="AC84" s="5" t="s">
        <v>166</v>
      </c>
      <c r="AD84" s="5" t="str">
        <f t="shared" si="20"/>
        <v/>
      </c>
      <c r="AE84" s="5" t="s">
        <v>166</v>
      </c>
      <c r="AF84" s="5" t="s">
        <v>166</v>
      </c>
      <c r="AG84" s="5" t="str">
        <f t="shared" si="21"/>
        <v/>
      </c>
      <c r="AH84" s="5" t="s">
        <v>166</v>
      </c>
      <c r="AI84" s="5" t="s">
        <v>166</v>
      </c>
      <c r="AJ84" s="5" t="str">
        <f t="shared" si="22"/>
        <v/>
      </c>
      <c r="AK84" s="5" t="str">
        <f t="shared" si="23"/>
        <v/>
      </c>
      <c r="AL84" s="7" t="str">
        <f>IF(Tableau182984[[#This Row],[Age]]&lt;&gt;"",IF(Tableau182984[[#This Row],[Age]]=0,$AT$10*$B$10+SUMIF($AS$21:$AS$29,Tableau182984[[#This Row],[Age]],$AU$21:$AU$29)*$B$10+$AT$11*$B$10,SUMIF($AS$21:$AS$29,Tableau182984[[#This Row],[Age]],$AU$21:$AU$29)*$B$10+$AT$11*$B$10),"")</f>
        <v/>
      </c>
      <c r="AM84" s="7" t="str">
        <f>IF(Tableau182984[[#This Row],[Age]]&lt;&gt;"",IF(Tableau182984[[#This Row],[Age]]=$B$11,$AT$10*$B$10,0)+Tableau182984[[#This Row],[VBO]]*$AX$21*$B$10+Tableau182984[[#This Row],[VBI]]*$AX$22*$B$10+Tableau182984[[#This Row],[VBE]]*$AX$23*$B$10,"")</f>
        <v/>
      </c>
      <c r="AN84" s="7" t="s">
        <v>166</v>
      </c>
      <c r="AO84" s="7" t="s">
        <v>166</v>
      </c>
      <c r="AP84" s="7" t="str">
        <f>IF(Tableau182984[[#This Row],[Age]]&lt;&gt;"",Tableau182984[[#This Row],[RA]]-Tableau182984[[#This Row],[DA]],"")</f>
        <v/>
      </c>
    </row>
    <row r="85" spans="1:42" ht="15" customHeight="1" x14ac:dyDescent="0.2">
      <c r="A85" s="3" t="s">
        <v>20</v>
      </c>
      <c r="B85" s="3" t="s">
        <v>123</v>
      </c>
      <c r="C85" s="3" t="s">
        <v>136</v>
      </c>
      <c r="L85" s="4"/>
      <c r="M85" s="4"/>
      <c r="N85" s="4"/>
      <c r="O85" s="5" t="str">
        <f t="shared" si="12"/>
        <v/>
      </c>
      <c r="P85" s="5" t="str">
        <f t="shared" si="13"/>
        <v/>
      </c>
      <c r="Q85" s="5" t="str">
        <f t="shared" si="14"/>
        <v/>
      </c>
      <c r="R85" s="5" t="s">
        <v>166</v>
      </c>
      <c r="S85" s="5" t="s">
        <v>166</v>
      </c>
      <c r="T85" s="5" t="str">
        <f t="shared" si="15"/>
        <v/>
      </c>
      <c r="U85" s="5" t="str">
        <f t="shared" si="16"/>
        <v/>
      </c>
      <c r="V85" s="5" t="str">
        <f>IF($E$4="Embrousaillement",Tableau182984[[#This Row],[SOL]],"")</f>
        <v/>
      </c>
      <c r="W85" s="5" t="str">
        <f>IF($E$4="Embrousaillement",Tableau182984[[#This Row],[L]],"")</f>
        <v/>
      </c>
      <c r="X85" s="5" t="s">
        <v>166</v>
      </c>
      <c r="Y85" s="5" t="str">
        <f t="shared" si="17"/>
        <v/>
      </c>
      <c r="Z85" s="5" t="str">
        <f t="shared" si="18"/>
        <v/>
      </c>
      <c r="AA85" s="5" t="str">
        <f t="shared" si="19"/>
        <v/>
      </c>
      <c r="AB85" s="5" t="s">
        <v>166</v>
      </c>
      <c r="AC85" s="5" t="s">
        <v>166</v>
      </c>
      <c r="AD85" s="5" t="str">
        <f t="shared" si="20"/>
        <v/>
      </c>
      <c r="AE85" s="5" t="s">
        <v>166</v>
      </c>
      <c r="AF85" s="5" t="s">
        <v>166</v>
      </c>
      <c r="AG85" s="5" t="str">
        <f t="shared" si="21"/>
        <v/>
      </c>
      <c r="AH85" s="5" t="s">
        <v>166</v>
      </c>
      <c r="AI85" s="5" t="s">
        <v>166</v>
      </c>
      <c r="AJ85" s="5" t="str">
        <f t="shared" si="22"/>
        <v/>
      </c>
      <c r="AK85" s="5" t="str">
        <f t="shared" si="23"/>
        <v/>
      </c>
      <c r="AL85" s="7" t="str">
        <f>IF(Tableau182984[[#This Row],[Age]]&lt;&gt;"",IF(Tableau182984[[#This Row],[Age]]=0,$AT$10*$B$10+SUMIF($AS$21:$AS$29,Tableau182984[[#This Row],[Age]],$AU$21:$AU$29)*$B$10+$AT$11*$B$10,SUMIF($AS$21:$AS$29,Tableau182984[[#This Row],[Age]],$AU$21:$AU$29)*$B$10+$AT$11*$B$10),"")</f>
        <v/>
      </c>
      <c r="AM85" s="7" t="str">
        <f>IF(Tableau182984[[#This Row],[Age]]&lt;&gt;"",IF(Tableau182984[[#This Row],[Age]]=$B$11,$AT$10*$B$10,0)+Tableau182984[[#This Row],[VBO]]*$AX$21*$B$10+Tableau182984[[#This Row],[VBI]]*$AX$22*$B$10+Tableau182984[[#This Row],[VBE]]*$AX$23*$B$10,"")</f>
        <v/>
      </c>
      <c r="AN85" s="7" t="s">
        <v>166</v>
      </c>
      <c r="AO85" s="7" t="s">
        <v>166</v>
      </c>
      <c r="AP85" s="7" t="str">
        <f>IF(Tableau182984[[#This Row],[Age]]&lt;&gt;"",Tableau182984[[#This Row],[RA]]-Tableau182984[[#This Row],[DA]],"")</f>
        <v/>
      </c>
    </row>
    <row r="86" spans="1:42" ht="15" customHeight="1" x14ac:dyDescent="0.2">
      <c r="A86" s="3" t="s">
        <v>21</v>
      </c>
      <c r="B86" s="3" t="s">
        <v>123</v>
      </c>
      <c r="C86" s="3" t="s">
        <v>137</v>
      </c>
      <c r="L86" s="4"/>
      <c r="M86" s="4"/>
      <c r="N86" s="4"/>
      <c r="O86" s="5" t="str">
        <f t="shared" si="12"/>
        <v/>
      </c>
      <c r="P86" s="5" t="str">
        <f t="shared" si="13"/>
        <v/>
      </c>
      <c r="Q86" s="5" t="str">
        <f t="shared" si="14"/>
        <v/>
      </c>
      <c r="R86" s="5" t="s">
        <v>166</v>
      </c>
      <c r="S86" s="5" t="s">
        <v>166</v>
      </c>
      <c r="T86" s="5" t="str">
        <f t="shared" si="15"/>
        <v/>
      </c>
      <c r="U86" s="5" t="str">
        <f t="shared" si="16"/>
        <v/>
      </c>
      <c r="V86" s="5" t="str">
        <f>IF($E$4="Embrousaillement",Tableau182984[[#This Row],[SOL]],"")</f>
        <v/>
      </c>
      <c r="W86" s="5" t="str">
        <f>IF($E$4="Embrousaillement",Tableau182984[[#This Row],[L]],"")</f>
        <v/>
      </c>
      <c r="X86" s="5" t="s">
        <v>166</v>
      </c>
      <c r="Y86" s="5" t="str">
        <f t="shared" si="17"/>
        <v/>
      </c>
      <c r="Z86" s="5" t="str">
        <f t="shared" si="18"/>
        <v/>
      </c>
      <c r="AA86" s="5" t="str">
        <f t="shared" si="19"/>
        <v/>
      </c>
      <c r="AB86" s="5" t="s">
        <v>166</v>
      </c>
      <c r="AC86" s="5" t="s">
        <v>166</v>
      </c>
      <c r="AD86" s="5" t="str">
        <f t="shared" si="20"/>
        <v/>
      </c>
      <c r="AE86" s="5" t="s">
        <v>166</v>
      </c>
      <c r="AF86" s="5" t="s">
        <v>166</v>
      </c>
      <c r="AG86" s="5" t="str">
        <f t="shared" si="21"/>
        <v/>
      </c>
      <c r="AH86" s="5" t="s">
        <v>166</v>
      </c>
      <c r="AI86" s="5" t="s">
        <v>166</v>
      </c>
      <c r="AJ86" s="5" t="str">
        <f t="shared" si="22"/>
        <v/>
      </c>
      <c r="AK86" s="5" t="str">
        <f t="shared" si="23"/>
        <v/>
      </c>
      <c r="AL86" s="7" t="str">
        <f>IF(Tableau182984[[#This Row],[Age]]&lt;&gt;"",IF(Tableau182984[[#This Row],[Age]]=0,$AT$10*$B$10+SUMIF($AS$21:$AS$29,Tableau182984[[#This Row],[Age]],$AU$21:$AU$29)*$B$10+$AT$11*$B$10,SUMIF($AS$21:$AS$29,Tableau182984[[#This Row],[Age]],$AU$21:$AU$29)*$B$10+$AT$11*$B$10),"")</f>
        <v/>
      </c>
      <c r="AM86" s="7" t="str">
        <f>IF(Tableau182984[[#This Row],[Age]]&lt;&gt;"",IF(Tableau182984[[#This Row],[Age]]=$B$11,$AT$10*$B$10,0)+Tableau182984[[#This Row],[VBO]]*$AX$21*$B$10+Tableau182984[[#This Row],[VBI]]*$AX$22*$B$10+Tableau182984[[#This Row],[VBE]]*$AX$23*$B$10,"")</f>
        <v/>
      </c>
      <c r="AN86" s="7" t="s">
        <v>166</v>
      </c>
      <c r="AO86" s="7" t="s">
        <v>166</v>
      </c>
      <c r="AP86" s="7" t="str">
        <f>IF(Tableau182984[[#This Row],[Age]]&lt;&gt;"",Tableau182984[[#This Row],[RA]]-Tableau182984[[#This Row],[DA]],"")</f>
        <v/>
      </c>
    </row>
    <row r="87" spans="1:42" ht="15" customHeight="1" x14ac:dyDescent="0.2">
      <c r="A87" s="3" t="s">
        <v>22</v>
      </c>
      <c r="B87" s="3" t="s">
        <v>134</v>
      </c>
      <c r="C87" s="3" t="s">
        <v>138</v>
      </c>
      <c r="L87" s="4"/>
      <c r="M87" s="4"/>
      <c r="N87" s="4"/>
      <c r="O87" s="5" t="str">
        <f t="shared" si="12"/>
        <v/>
      </c>
      <c r="P87" s="5" t="str">
        <f t="shared" si="13"/>
        <v/>
      </c>
      <c r="Q87" s="5" t="str">
        <f t="shared" si="14"/>
        <v/>
      </c>
      <c r="R87" s="5" t="s">
        <v>166</v>
      </c>
      <c r="S87" s="5" t="s">
        <v>166</v>
      </c>
      <c r="T87" s="5" t="str">
        <f t="shared" si="15"/>
        <v/>
      </c>
      <c r="U87" s="5" t="str">
        <f t="shared" si="16"/>
        <v/>
      </c>
      <c r="V87" s="5" t="str">
        <f>IF($E$4="Embrousaillement",Tableau182984[[#This Row],[SOL]],"")</f>
        <v/>
      </c>
      <c r="W87" s="5" t="str">
        <f>IF($E$4="Embrousaillement",Tableau182984[[#This Row],[L]],"")</f>
        <v/>
      </c>
      <c r="X87" s="5" t="s">
        <v>166</v>
      </c>
      <c r="Y87" s="5" t="str">
        <f t="shared" si="17"/>
        <v/>
      </c>
      <c r="Z87" s="5" t="str">
        <f t="shared" si="18"/>
        <v/>
      </c>
      <c r="AA87" s="5" t="str">
        <f t="shared" si="19"/>
        <v/>
      </c>
      <c r="AB87" s="5" t="s">
        <v>166</v>
      </c>
      <c r="AC87" s="5" t="s">
        <v>166</v>
      </c>
      <c r="AD87" s="5" t="str">
        <f t="shared" si="20"/>
        <v/>
      </c>
      <c r="AE87" s="5" t="s">
        <v>166</v>
      </c>
      <c r="AF87" s="5" t="s">
        <v>166</v>
      </c>
      <c r="AG87" s="5" t="str">
        <f t="shared" si="21"/>
        <v/>
      </c>
      <c r="AH87" s="5" t="s">
        <v>166</v>
      </c>
      <c r="AI87" s="5" t="s">
        <v>166</v>
      </c>
      <c r="AJ87" s="5" t="str">
        <f t="shared" si="22"/>
        <v/>
      </c>
      <c r="AK87" s="5" t="str">
        <f t="shared" si="23"/>
        <v/>
      </c>
      <c r="AL87" s="7" t="str">
        <f>IF(Tableau182984[[#This Row],[Age]]&lt;&gt;"",IF(Tableau182984[[#This Row],[Age]]=0,$AT$10*$B$10+SUMIF($AS$21:$AS$29,Tableau182984[[#This Row],[Age]],$AU$21:$AU$29)*$B$10+$AT$11*$B$10,SUMIF($AS$21:$AS$29,Tableau182984[[#This Row],[Age]],$AU$21:$AU$29)*$B$10+$AT$11*$B$10),"")</f>
        <v/>
      </c>
      <c r="AM87" s="7" t="str">
        <f>IF(Tableau182984[[#This Row],[Age]]&lt;&gt;"",IF(Tableau182984[[#This Row],[Age]]=$B$11,$AT$10*$B$10,0)+Tableau182984[[#This Row],[VBO]]*$AX$21*$B$10+Tableau182984[[#This Row],[VBI]]*$AX$22*$B$10+Tableau182984[[#This Row],[VBE]]*$AX$23*$B$10,"")</f>
        <v/>
      </c>
      <c r="AN87" s="7" t="s">
        <v>166</v>
      </c>
      <c r="AO87" s="7" t="s">
        <v>166</v>
      </c>
      <c r="AP87" s="7" t="str">
        <f>IF(Tableau182984[[#This Row],[Age]]&lt;&gt;"",Tableau182984[[#This Row],[RA]]-Tableau182984[[#This Row],[DA]],"")</f>
        <v/>
      </c>
    </row>
    <row r="88" spans="1:42" ht="15" customHeight="1" x14ac:dyDescent="0.2">
      <c r="A88" s="3" t="s">
        <v>23</v>
      </c>
      <c r="B88" s="3" t="s">
        <v>123</v>
      </c>
      <c r="C88" s="3" t="s">
        <v>139</v>
      </c>
      <c r="L88" s="4"/>
      <c r="M88" s="4"/>
      <c r="N88" s="4"/>
      <c r="O88" s="5" t="str">
        <f t="shared" si="12"/>
        <v/>
      </c>
      <c r="P88" s="5" t="str">
        <f t="shared" si="13"/>
        <v/>
      </c>
      <c r="Q88" s="5" t="str">
        <f t="shared" si="14"/>
        <v/>
      </c>
      <c r="R88" s="5" t="s">
        <v>166</v>
      </c>
      <c r="S88" s="5" t="s">
        <v>166</v>
      </c>
      <c r="T88" s="5" t="str">
        <f t="shared" si="15"/>
        <v/>
      </c>
      <c r="U88" s="5" t="str">
        <f t="shared" si="16"/>
        <v/>
      </c>
      <c r="V88" s="5" t="str">
        <f>IF($E$4="Embrousaillement",Tableau182984[[#This Row],[SOL]],"")</f>
        <v/>
      </c>
      <c r="W88" s="5" t="str">
        <f>IF($E$4="Embrousaillement",Tableau182984[[#This Row],[L]],"")</f>
        <v/>
      </c>
      <c r="X88" s="5" t="s">
        <v>166</v>
      </c>
      <c r="Y88" s="5" t="str">
        <f t="shared" si="17"/>
        <v/>
      </c>
      <c r="Z88" s="5" t="str">
        <f t="shared" si="18"/>
        <v/>
      </c>
      <c r="AA88" s="5" t="str">
        <f t="shared" si="19"/>
        <v/>
      </c>
      <c r="AB88" s="5" t="s">
        <v>166</v>
      </c>
      <c r="AC88" s="5" t="s">
        <v>166</v>
      </c>
      <c r="AD88" s="5" t="str">
        <f t="shared" si="20"/>
        <v/>
      </c>
      <c r="AE88" s="5" t="s">
        <v>166</v>
      </c>
      <c r="AF88" s="5" t="s">
        <v>166</v>
      </c>
      <c r="AG88" s="5" t="str">
        <f t="shared" si="21"/>
        <v/>
      </c>
      <c r="AH88" s="5" t="s">
        <v>166</v>
      </c>
      <c r="AI88" s="5" t="s">
        <v>166</v>
      </c>
      <c r="AJ88" s="5" t="str">
        <f t="shared" si="22"/>
        <v/>
      </c>
      <c r="AK88" s="5" t="str">
        <f t="shared" si="23"/>
        <v/>
      </c>
      <c r="AL88" s="7" t="str">
        <f>IF(Tableau182984[[#This Row],[Age]]&lt;&gt;"",IF(Tableau182984[[#This Row],[Age]]=0,$AT$10*$B$10+SUMIF($AS$21:$AS$29,Tableau182984[[#This Row],[Age]],$AU$21:$AU$29)*$B$10+$AT$11*$B$10,SUMIF($AS$21:$AS$29,Tableau182984[[#This Row],[Age]],$AU$21:$AU$29)*$B$10+$AT$11*$B$10),"")</f>
        <v/>
      </c>
      <c r="AM88" s="7" t="str">
        <f>IF(Tableau182984[[#This Row],[Age]]&lt;&gt;"",IF(Tableau182984[[#This Row],[Age]]=$B$11,$AT$10*$B$10,0)+Tableau182984[[#This Row],[VBO]]*$AX$21*$B$10+Tableau182984[[#This Row],[VBI]]*$AX$22*$B$10+Tableau182984[[#This Row],[VBE]]*$AX$23*$B$10,"")</f>
        <v/>
      </c>
      <c r="AN88" s="7" t="s">
        <v>166</v>
      </c>
      <c r="AO88" s="7" t="s">
        <v>166</v>
      </c>
      <c r="AP88" s="7" t="str">
        <f>IF(Tableau182984[[#This Row],[Age]]&lt;&gt;"",Tableau182984[[#This Row],[RA]]-Tableau182984[[#This Row],[DA]],"")</f>
        <v/>
      </c>
    </row>
    <row r="89" spans="1:42" ht="15" customHeight="1" x14ac:dyDescent="0.2">
      <c r="A89" s="3" t="s">
        <v>24</v>
      </c>
      <c r="B89" s="3" t="s">
        <v>123</v>
      </c>
      <c r="C89" s="3" t="s">
        <v>140</v>
      </c>
      <c r="L89" s="4"/>
      <c r="M89" s="4"/>
      <c r="N89" s="4"/>
      <c r="O89" s="5" t="str">
        <f t="shared" si="12"/>
        <v/>
      </c>
      <c r="P89" s="5" t="str">
        <f t="shared" si="13"/>
        <v/>
      </c>
      <c r="Q89" s="5" t="str">
        <f t="shared" si="14"/>
        <v/>
      </c>
      <c r="R89" s="5" t="s">
        <v>166</v>
      </c>
      <c r="S89" s="5" t="s">
        <v>166</v>
      </c>
      <c r="T89" s="5" t="str">
        <f t="shared" si="15"/>
        <v/>
      </c>
      <c r="U89" s="5" t="str">
        <f t="shared" si="16"/>
        <v/>
      </c>
      <c r="V89" s="5" t="str">
        <f>IF($E$4="Embrousaillement",Tableau182984[[#This Row],[SOL]],"")</f>
        <v/>
      </c>
      <c r="W89" s="5" t="str">
        <f>IF($E$4="Embrousaillement",Tableau182984[[#This Row],[L]],"")</f>
        <v/>
      </c>
      <c r="X89" s="5" t="s">
        <v>166</v>
      </c>
      <c r="Y89" s="5" t="str">
        <f t="shared" si="17"/>
        <v/>
      </c>
      <c r="Z89" s="5" t="str">
        <f t="shared" si="18"/>
        <v/>
      </c>
      <c r="AA89" s="5" t="str">
        <f t="shared" si="19"/>
        <v/>
      </c>
      <c r="AB89" s="5" t="s">
        <v>166</v>
      </c>
      <c r="AC89" s="5" t="s">
        <v>166</v>
      </c>
      <c r="AD89" s="5" t="str">
        <f t="shared" si="20"/>
        <v/>
      </c>
      <c r="AE89" s="5" t="s">
        <v>166</v>
      </c>
      <c r="AF89" s="5" t="s">
        <v>166</v>
      </c>
      <c r="AG89" s="5" t="str">
        <f t="shared" si="21"/>
        <v/>
      </c>
      <c r="AH89" s="5" t="s">
        <v>166</v>
      </c>
      <c r="AI89" s="5" t="s">
        <v>166</v>
      </c>
      <c r="AJ89" s="5" t="str">
        <f t="shared" si="22"/>
        <v/>
      </c>
      <c r="AK89" s="5" t="str">
        <f t="shared" si="23"/>
        <v/>
      </c>
      <c r="AL89" s="7" t="str">
        <f>IF(Tableau182984[[#This Row],[Age]]&lt;&gt;"",IF(Tableau182984[[#This Row],[Age]]=0,$AT$10*$B$10+SUMIF($AS$21:$AS$29,Tableau182984[[#This Row],[Age]],$AU$21:$AU$29)*$B$10+$AT$11*$B$10,SUMIF($AS$21:$AS$29,Tableau182984[[#This Row],[Age]],$AU$21:$AU$29)*$B$10+$AT$11*$B$10),"")</f>
        <v/>
      </c>
      <c r="AM89" s="7" t="str">
        <f>IF(Tableau182984[[#This Row],[Age]]&lt;&gt;"",IF(Tableau182984[[#This Row],[Age]]=$B$11,$AT$10*$B$10,0)+Tableau182984[[#This Row],[VBO]]*$AX$21*$B$10+Tableau182984[[#This Row],[VBI]]*$AX$22*$B$10+Tableau182984[[#This Row],[VBE]]*$AX$23*$B$10,"")</f>
        <v/>
      </c>
      <c r="AN89" s="7" t="s">
        <v>166</v>
      </c>
      <c r="AO89" s="7" t="s">
        <v>166</v>
      </c>
      <c r="AP89" s="7" t="str">
        <f>IF(Tableau182984[[#This Row],[Age]]&lt;&gt;"",Tableau182984[[#This Row],[RA]]-Tableau182984[[#This Row],[DA]],"")</f>
        <v/>
      </c>
    </row>
    <row r="90" spans="1:42" ht="15" customHeight="1" x14ac:dyDescent="0.2">
      <c r="A90" s="3" t="s">
        <v>25</v>
      </c>
      <c r="B90" s="3" t="s">
        <v>134</v>
      </c>
      <c r="C90" s="3" t="s">
        <v>141</v>
      </c>
      <c r="L90" s="4"/>
      <c r="M90" s="4"/>
      <c r="N90" s="4"/>
      <c r="O90" s="5" t="str">
        <f t="shared" si="12"/>
        <v/>
      </c>
      <c r="P90" s="5" t="str">
        <f t="shared" si="13"/>
        <v/>
      </c>
      <c r="Q90" s="5" t="str">
        <f t="shared" si="14"/>
        <v/>
      </c>
      <c r="R90" s="5" t="s">
        <v>166</v>
      </c>
      <c r="S90" s="5" t="s">
        <v>166</v>
      </c>
      <c r="T90" s="5" t="str">
        <f t="shared" si="15"/>
        <v/>
      </c>
      <c r="U90" s="5" t="str">
        <f t="shared" si="16"/>
        <v/>
      </c>
      <c r="V90" s="5" t="str">
        <f>IF($E$4="Embrousaillement",Tableau182984[[#This Row],[SOL]],"")</f>
        <v/>
      </c>
      <c r="W90" s="5" t="str">
        <f>IF($E$4="Embrousaillement",Tableau182984[[#This Row],[L]],"")</f>
        <v/>
      </c>
      <c r="X90" s="5" t="s">
        <v>166</v>
      </c>
      <c r="Y90" s="5" t="str">
        <f t="shared" si="17"/>
        <v/>
      </c>
      <c r="Z90" s="5" t="str">
        <f t="shared" si="18"/>
        <v/>
      </c>
      <c r="AA90" s="5" t="str">
        <f t="shared" si="19"/>
        <v/>
      </c>
      <c r="AB90" s="5" t="s">
        <v>166</v>
      </c>
      <c r="AC90" s="5" t="s">
        <v>166</v>
      </c>
      <c r="AD90" s="5" t="str">
        <f t="shared" si="20"/>
        <v/>
      </c>
      <c r="AE90" s="5" t="s">
        <v>166</v>
      </c>
      <c r="AF90" s="5" t="s">
        <v>166</v>
      </c>
      <c r="AG90" s="5" t="str">
        <f t="shared" si="21"/>
        <v/>
      </c>
      <c r="AH90" s="5" t="s">
        <v>166</v>
      </c>
      <c r="AI90" s="5" t="s">
        <v>166</v>
      </c>
      <c r="AJ90" s="5" t="str">
        <f t="shared" si="22"/>
        <v/>
      </c>
      <c r="AK90" s="5" t="str">
        <f t="shared" si="23"/>
        <v/>
      </c>
      <c r="AL90" s="7" t="str">
        <f>IF(Tableau182984[[#This Row],[Age]]&lt;&gt;"",IF(Tableau182984[[#This Row],[Age]]=0,$AT$10*$B$10+SUMIF($AS$21:$AS$29,Tableau182984[[#This Row],[Age]],$AU$21:$AU$29)*$B$10+$AT$11*$B$10,SUMIF($AS$21:$AS$29,Tableau182984[[#This Row],[Age]],$AU$21:$AU$29)*$B$10+$AT$11*$B$10),"")</f>
        <v/>
      </c>
      <c r="AM90" s="7" t="str">
        <f>IF(Tableau182984[[#This Row],[Age]]&lt;&gt;"",IF(Tableau182984[[#This Row],[Age]]=$B$11,$AT$10*$B$10,0)+Tableau182984[[#This Row],[VBO]]*$AX$21*$B$10+Tableau182984[[#This Row],[VBI]]*$AX$22*$B$10+Tableau182984[[#This Row],[VBE]]*$AX$23*$B$10,"")</f>
        <v/>
      </c>
      <c r="AN90" s="7" t="s">
        <v>166</v>
      </c>
      <c r="AO90" s="7" t="s">
        <v>166</v>
      </c>
      <c r="AP90" s="7" t="str">
        <f>IF(Tableau182984[[#This Row],[Age]]&lt;&gt;"",Tableau182984[[#This Row],[RA]]-Tableau182984[[#This Row],[DA]],"")</f>
        <v/>
      </c>
    </row>
    <row r="91" spans="1:42" ht="15" customHeight="1" x14ac:dyDescent="0.2">
      <c r="A91" s="3" t="s">
        <v>26</v>
      </c>
      <c r="B91" s="3" t="s">
        <v>123</v>
      </c>
      <c r="C91" s="3" t="s">
        <v>142</v>
      </c>
      <c r="L91" s="4"/>
      <c r="M91" s="4"/>
      <c r="N91" s="4"/>
      <c r="O91" s="5" t="str">
        <f t="shared" si="12"/>
        <v/>
      </c>
      <c r="P91" s="5" t="str">
        <f t="shared" si="13"/>
        <v/>
      </c>
      <c r="Q91" s="5" t="str">
        <f t="shared" si="14"/>
        <v/>
      </c>
      <c r="R91" s="5" t="s">
        <v>166</v>
      </c>
      <c r="S91" s="5" t="s">
        <v>166</v>
      </c>
      <c r="T91" s="5" t="str">
        <f t="shared" si="15"/>
        <v/>
      </c>
      <c r="U91" s="5" t="str">
        <f t="shared" si="16"/>
        <v/>
      </c>
      <c r="V91" s="5" t="str">
        <f>IF($E$4="Embrousaillement",Tableau182984[[#This Row],[SOL]],"")</f>
        <v/>
      </c>
      <c r="W91" s="5" t="str">
        <f>IF($E$4="Embrousaillement",Tableau182984[[#This Row],[L]],"")</f>
        <v/>
      </c>
      <c r="X91" s="5" t="s">
        <v>166</v>
      </c>
      <c r="Y91" s="5" t="str">
        <f t="shared" si="17"/>
        <v/>
      </c>
      <c r="Z91" s="5" t="str">
        <f t="shared" si="18"/>
        <v/>
      </c>
      <c r="AA91" s="5" t="str">
        <f t="shared" si="19"/>
        <v/>
      </c>
      <c r="AB91" s="5" t="s">
        <v>166</v>
      </c>
      <c r="AC91" s="5" t="s">
        <v>166</v>
      </c>
      <c r="AD91" s="5" t="str">
        <f t="shared" si="20"/>
        <v/>
      </c>
      <c r="AE91" s="5" t="s">
        <v>166</v>
      </c>
      <c r="AF91" s="5" t="s">
        <v>166</v>
      </c>
      <c r="AG91" s="5" t="str">
        <f t="shared" si="21"/>
        <v/>
      </c>
      <c r="AH91" s="5" t="s">
        <v>166</v>
      </c>
      <c r="AI91" s="5" t="s">
        <v>166</v>
      </c>
      <c r="AJ91" s="5" t="str">
        <f t="shared" si="22"/>
        <v/>
      </c>
      <c r="AK91" s="5" t="str">
        <f t="shared" si="23"/>
        <v/>
      </c>
      <c r="AL91" s="7" t="str">
        <f>IF(Tableau182984[[#This Row],[Age]]&lt;&gt;"",IF(Tableau182984[[#This Row],[Age]]=0,$AT$10*$B$10+SUMIF($AS$21:$AS$29,Tableau182984[[#This Row],[Age]],$AU$21:$AU$29)*$B$10+$AT$11*$B$10,SUMIF($AS$21:$AS$29,Tableau182984[[#This Row],[Age]],$AU$21:$AU$29)*$B$10+$AT$11*$B$10),"")</f>
        <v/>
      </c>
      <c r="AM91" s="7" t="str">
        <f>IF(Tableau182984[[#This Row],[Age]]&lt;&gt;"",IF(Tableau182984[[#This Row],[Age]]=$B$11,$AT$10*$B$10,0)+Tableau182984[[#This Row],[VBO]]*$AX$21*$B$10+Tableau182984[[#This Row],[VBI]]*$AX$22*$B$10+Tableau182984[[#This Row],[VBE]]*$AX$23*$B$10,"")</f>
        <v/>
      </c>
      <c r="AN91" s="7" t="s">
        <v>166</v>
      </c>
      <c r="AO91" s="7" t="s">
        <v>166</v>
      </c>
      <c r="AP91" s="7" t="str">
        <f>IF(Tableau182984[[#This Row],[Age]]&lt;&gt;"",Tableau182984[[#This Row],[RA]]-Tableau182984[[#This Row],[DA]],"")</f>
        <v/>
      </c>
    </row>
    <row r="92" spans="1:42" ht="15" customHeight="1" x14ac:dyDescent="0.2">
      <c r="A92" s="3" t="s">
        <v>91</v>
      </c>
      <c r="B92" s="3" t="s">
        <v>143</v>
      </c>
      <c r="C92" s="3" t="s">
        <v>144</v>
      </c>
      <c r="L92" s="4"/>
      <c r="M92" s="4"/>
      <c r="N92" s="4"/>
      <c r="O92" s="5" t="str">
        <f t="shared" si="12"/>
        <v/>
      </c>
      <c r="P92" s="5" t="str">
        <f t="shared" si="13"/>
        <v/>
      </c>
      <c r="Q92" s="5" t="str">
        <f t="shared" si="14"/>
        <v/>
      </c>
      <c r="R92" s="5" t="s">
        <v>166</v>
      </c>
      <c r="S92" s="5" t="s">
        <v>166</v>
      </c>
      <c r="T92" s="5" t="str">
        <f t="shared" si="15"/>
        <v/>
      </c>
      <c r="U92" s="5" t="str">
        <f t="shared" si="16"/>
        <v/>
      </c>
      <c r="V92" s="5" t="str">
        <f>IF($E$4="Embrousaillement",Tableau182984[[#This Row],[SOL]],"")</f>
        <v/>
      </c>
      <c r="W92" s="5" t="str">
        <f>IF($E$4="Embrousaillement",Tableau182984[[#This Row],[L]],"")</f>
        <v/>
      </c>
      <c r="X92" s="5" t="s">
        <v>166</v>
      </c>
      <c r="Y92" s="5" t="str">
        <f t="shared" si="17"/>
        <v/>
      </c>
      <c r="Z92" s="5" t="str">
        <f t="shared" si="18"/>
        <v/>
      </c>
      <c r="AA92" s="5" t="str">
        <f t="shared" si="19"/>
        <v/>
      </c>
      <c r="AB92" s="5" t="s">
        <v>166</v>
      </c>
      <c r="AC92" s="5" t="s">
        <v>166</v>
      </c>
      <c r="AD92" s="5" t="str">
        <f t="shared" si="20"/>
        <v/>
      </c>
      <c r="AE92" s="5" t="s">
        <v>166</v>
      </c>
      <c r="AF92" s="5" t="s">
        <v>166</v>
      </c>
      <c r="AG92" s="5" t="str">
        <f t="shared" si="21"/>
        <v/>
      </c>
      <c r="AH92" s="5" t="s">
        <v>166</v>
      </c>
      <c r="AI92" s="5" t="s">
        <v>166</v>
      </c>
      <c r="AJ92" s="5" t="str">
        <f t="shared" si="22"/>
        <v/>
      </c>
      <c r="AK92" s="5" t="str">
        <f t="shared" si="23"/>
        <v/>
      </c>
      <c r="AL92" s="7" t="str">
        <f>IF(Tableau182984[[#This Row],[Age]]&lt;&gt;"",IF(Tableau182984[[#This Row],[Age]]=0,$AT$10*$B$10+SUMIF($AS$21:$AS$29,Tableau182984[[#This Row],[Age]],$AU$21:$AU$29)*$B$10+$AT$11*$B$10,SUMIF($AS$21:$AS$29,Tableau182984[[#This Row],[Age]],$AU$21:$AU$29)*$B$10+$AT$11*$B$10),"")</f>
        <v/>
      </c>
      <c r="AM92" s="7" t="str">
        <f>IF(Tableau182984[[#This Row],[Age]]&lt;&gt;"",IF(Tableau182984[[#This Row],[Age]]=$B$11,$AT$10*$B$10,0)+Tableau182984[[#This Row],[VBO]]*$AX$21*$B$10+Tableau182984[[#This Row],[VBI]]*$AX$22*$B$10+Tableau182984[[#This Row],[VBE]]*$AX$23*$B$10,"")</f>
        <v/>
      </c>
      <c r="AN92" s="7" t="s">
        <v>166</v>
      </c>
      <c r="AO92" s="7" t="s">
        <v>166</v>
      </c>
      <c r="AP92" s="7" t="str">
        <f>IF(Tableau182984[[#This Row],[Age]]&lt;&gt;"",Tableau182984[[#This Row],[RA]]-Tableau182984[[#This Row],[DA]],"")</f>
        <v/>
      </c>
    </row>
    <row r="93" spans="1:42" ht="15" customHeight="1" x14ac:dyDescent="0.2">
      <c r="A93" s="3" t="s">
        <v>28</v>
      </c>
      <c r="B93" s="3" t="s">
        <v>145</v>
      </c>
      <c r="C93" s="3" t="s">
        <v>146</v>
      </c>
      <c r="L93" s="4"/>
      <c r="M93" s="4"/>
      <c r="N93" s="4"/>
      <c r="O93" s="5" t="str">
        <f t="shared" si="12"/>
        <v/>
      </c>
      <c r="P93" s="5" t="str">
        <f t="shared" si="13"/>
        <v/>
      </c>
      <c r="Q93" s="5" t="str">
        <f t="shared" si="14"/>
        <v/>
      </c>
      <c r="R93" s="5" t="s">
        <v>166</v>
      </c>
      <c r="S93" s="5" t="s">
        <v>166</v>
      </c>
      <c r="T93" s="5" t="str">
        <f t="shared" si="15"/>
        <v/>
      </c>
      <c r="U93" s="5" t="str">
        <f t="shared" si="16"/>
        <v/>
      </c>
      <c r="V93" s="5" t="str">
        <f>IF($E$4="Embrousaillement",Tableau182984[[#This Row],[SOL]],"")</f>
        <v/>
      </c>
      <c r="W93" s="5" t="str">
        <f>IF($E$4="Embrousaillement",Tableau182984[[#This Row],[L]],"")</f>
        <v/>
      </c>
      <c r="X93" s="5" t="s">
        <v>166</v>
      </c>
      <c r="Y93" s="5" t="str">
        <f t="shared" si="17"/>
        <v/>
      </c>
      <c r="Z93" s="5" t="str">
        <f t="shared" si="18"/>
        <v/>
      </c>
      <c r="AA93" s="5" t="str">
        <f t="shared" si="19"/>
        <v/>
      </c>
      <c r="AB93" s="5" t="s">
        <v>166</v>
      </c>
      <c r="AC93" s="5" t="s">
        <v>166</v>
      </c>
      <c r="AD93" s="5" t="str">
        <f t="shared" si="20"/>
        <v/>
      </c>
      <c r="AE93" s="5" t="s">
        <v>166</v>
      </c>
      <c r="AF93" s="5" t="s">
        <v>166</v>
      </c>
      <c r="AG93" s="5" t="str">
        <f t="shared" si="21"/>
        <v/>
      </c>
      <c r="AH93" s="5" t="s">
        <v>166</v>
      </c>
      <c r="AI93" s="5" t="s">
        <v>166</v>
      </c>
      <c r="AJ93" s="5" t="str">
        <f t="shared" si="22"/>
        <v/>
      </c>
      <c r="AK93" s="5" t="str">
        <f t="shared" si="23"/>
        <v/>
      </c>
      <c r="AL93" s="7" t="str">
        <f>IF(Tableau182984[[#This Row],[Age]]&lt;&gt;"",IF(Tableau182984[[#This Row],[Age]]=0,$AT$10*$B$10+SUMIF($AS$21:$AS$29,Tableau182984[[#This Row],[Age]],$AU$21:$AU$29)*$B$10+$AT$11*$B$10,SUMIF($AS$21:$AS$29,Tableau182984[[#This Row],[Age]],$AU$21:$AU$29)*$B$10+$AT$11*$B$10),"")</f>
        <v/>
      </c>
      <c r="AM93" s="7" t="str">
        <f>IF(Tableau182984[[#This Row],[Age]]&lt;&gt;"",IF(Tableau182984[[#This Row],[Age]]=$B$11,$AT$10*$B$10,0)+Tableau182984[[#This Row],[VBO]]*$AX$21*$B$10+Tableau182984[[#This Row],[VBI]]*$AX$22*$B$10+Tableau182984[[#This Row],[VBE]]*$AX$23*$B$10,"")</f>
        <v/>
      </c>
      <c r="AN93" s="7" t="s">
        <v>166</v>
      </c>
      <c r="AO93" s="7" t="s">
        <v>166</v>
      </c>
      <c r="AP93" s="7" t="str">
        <f>IF(Tableau182984[[#This Row],[Age]]&lt;&gt;"",Tableau182984[[#This Row],[RA]]-Tableau182984[[#This Row],[DA]],"")</f>
        <v/>
      </c>
    </row>
    <row r="94" spans="1:42" ht="15" customHeight="1" x14ac:dyDescent="0.2">
      <c r="A94" s="3" t="s">
        <v>29</v>
      </c>
      <c r="B94" s="3" t="s">
        <v>145</v>
      </c>
      <c r="C94" s="3" t="s">
        <v>147</v>
      </c>
      <c r="L94" s="4"/>
      <c r="M94" s="4"/>
      <c r="N94" s="4"/>
      <c r="O94" s="5" t="str">
        <f t="shared" si="12"/>
        <v/>
      </c>
      <c r="P94" s="5" t="str">
        <f t="shared" si="13"/>
        <v/>
      </c>
      <c r="Q94" s="5" t="str">
        <f t="shared" si="14"/>
        <v/>
      </c>
      <c r="R94" s="5" t="s">
        <v>166</v>
      </c>
      <c r="S94" s="5" t="s">
        <v>166</v>
      </c>
      <c r="T94" s="5" t="str">
        <f t="shared" si="15"/>
        <v/>
      </c>
      <c r="U94" s="5" t="str">
        <f t="shared" si="16"/>
        <v/>
      </c>
      <c r="V94" s="5" t="str">
        <f>IF($E$4="Embrousaillement",Tableau182984[[#This Row],[SOL]],"")</f>
        <v/>
      </c>
      <c r="W94" s="5" t="str">
        <f>IF($E$4="Embrousaillement",Tableau182984[[#This Row],[L]],"")</f>
        <v/>
      </c>
      <c r="X94" s="5" t="s">
        <v>166</v>
      </c>
      <c r="Y94" s="5" t="str">
        <f t="shared" si="17"/>
        <v/>
      </c>
      <c r="Z94" s="5" t="str">
        <f t="shared" si="18"/>
        <v/>
      </c>
      <c r="AA94" s="5" t="str">
        <f t="shared" si="19"/>
        <v/>
      </c>
      <c r="AB94" s="5" t="s">
        <v>166</v>
      </c>
      <c r="AC94" s="5" t="s">
        <v>166</v>
      </c>
      <c r="AD94" s="5" t="str">
        <f t="shared" si="20"/>
        <v/>
      </c>
      <c r="AE94" s="5" t="s">
        <v>166</v>
      </c>
      <c r="AF94" s="5" t="s">
        <v>166</v>
      </c>
      <c r="AG94" s="5" t="str">
        <f t="shared" si="21"/>
        <v/>
      </c>
      <c r="AH94" s="5" t="s">
        <v>166</v>
      </c>
      <c r="AI94" s="5" t="s">
        <v>166</v>
      </c>
      <c r="AJ94" s="5" t="str">
        <f t="shared" si="22"/>
        <v/>
      </c>
      <c r="AK94" s="5" t="str">
        <f t="shared" si="23"/>
        <v/>
      </c>
      <c r="AL94" s="7" t="str">
        <f>IF(Tableau182984[[#This Row],[Age]]&lt;&gt;"",IF(Tableau182984[[#This Row],[Age]]=0,$AT$10*$B$10+SUMIF($AS$21:$AS$29,Tableau182984[[#This Row],[Age]],$AU$21:$AU$29)*$B$10+$AT$11*$B$10,SUMIF($AS$21:$AS$29,Tableau182984[[#This Row],[Age]],$AU$21:$AU$29)*$B$10+$AT$11*$B$10),"")</f>
        <v/>
      </c>
      <c r="AM94" s="7" t="str">
        <f>IF(Tableau182984[[#This Row],[Age]]&lt;&gt;"",IF(Tableau182984[[#This Row],[Age]]=$B$11,$AT$10*$B$10,0)+Tableau182984[[#This Row],[VBO]]*$AX$21*$B$10+Tableau182984[[#This Row],[VBI]]*$AX$22*$B$10+Tableau182984[[#This Row],[VBE]]*$AX$23*$B$10,"")</f>
        <v/>
      </c>
      <c r="AN94" s="7" t="s">
        <v>166</v>
      </c>
      <c r="AO94" s="7" t="s">
        <v>166</v>
      </c>
      <c r="AP94" s="7" t="str">
        <f>IF(Tableau182984[[#This Row],[Age]]&lt;&gt;"",Tableau182984[[#This Row],[RA]]-Tableau182984[[#This Row],[DA]],"")</f>
        <v/>
      </c>
    </row>
    <row r="95" spans="1:42" ht="15" customHeight="1" x14ac:dyDescent="0.2">
      <c r="A95" s="3" t="s">
        <v>30</v>
      </c>
      <c r="B95" s="3" t="s">
        <v>145</v>
      </c>
      <c r="C95" s="3" t="s">
        <v>148</v>
      </c>
      <c r="L95" s="4"/>
      <c r="M95" s="4"/>
      <c r="N95" s="4"/>
      <c r="O95" s="5" t="str">
        <f t="shared" si="12"/>
        <v/>
      </c>
      <c r="P95" s="5" t="str">
        <f t="shared" si="13"/>
        <v/>
      </c>
      <c r="Q95" s="5" t="str">
        <f t="shared" si="14"/>
        <v/>
      </c>
      <c r="R95" s="5" t="s">
        <v>166</v>
      </c>
      <c r="S95" s="5" t="s">
        <v>166</v>
      </c>
      <c r="T95" s="5" t="str">
        <f t="shared" si="15"/>
        <v/>
      </c>
      <c r="U95" s="5" t="str">
        <f t="shared" si="16"/>
        <v/>
      </c>
      <c r="V95" s="5" t="str">
        <f>IF($E$4="Embrousaillement",Tableau182984[[#This Row],[SOL]],"")</f>
        <v/>
      </c>
      <c r="W95" s="5" t="str">
        <f>IF($E$4="Embrousaillement",Tableau182984[[#This Row],[L]],"")</f>
        <v/>
      </c>
      <c r="X95" s="5" t="s">
        <v>166</v>
      </c>
      <c r="Y95" s="5" t="str">
        <f t="shared" si="17"/>
        <v/>
      </c>
      <c r="Z95" s="5" t="str">
        <f t="shared" si="18"/>
        <v/>
      </c>
      <c r="AA95" s="5" t="str">
        <f t="shared" si="19"/>
        <v/>
      </c>
      <c r="AB95" s="5" t="s">
        <v>166</v>
      </c>
      <c r="AC95" s="5" t="s">
        <v>166</v>
      </c>
      <c r="AD95" s="5" t="str">
        <f t="shared" si="20"/>
        <v/>
      </c>
      <c r="AE95" s="5" t="s">
        <v>166</v>
      </c>
      <c r="AF95" s="5" t="s">
        <v>166</v>
      </c>
      <c r="AG95" s="5" t="str">
        <f t="shared" si="21"/>
        <v/>
      </c>
      <c r="AH95" s="5" t="s">
        <v>166</v>
      </c>
      <c r="AI95" s="5" t="s">
        <v>166</v>
      </c>
      <c r="AJ95" s="5" t="str">
        <f t="shared" si="22"/>
        <v/>
      </c>
      <c r="AK95" s="5" t="str">
        <f t="shared" si="23"/>
        <v/>
      </c>
      <c r="AL95" s="7" t="str">
        <f>IF(Tableau182984[[#This Row],[Age]]&lt;&gt;"",IF(Tableau182984[[#This Row],[Age]]=0,$AT$10*$B$10+SUMIF($AS$21:$AS$29,Tableau182984[[#This Row],[Age]],$AU$21:$AU$29)*$B$10+$AT$11*$B$10,SUMIF($AS$21:$AS$29,Tableau182984[[#This Row],[Age]],$AU$21:$AU$29)*$B$10+$AT$11*$B$10),"")</f>
        <v/>
      </c>
      <c r="AM95" s="7" t="str">
        <f>IF(Tableau182984[[#This Row],[Age]]&lt;&gt;"",IF(Tableau182984[[#This Row],[Age]]=$B$11,$AT$10*$B$10,0)+Tableau182984[[#This Row],[VBO]]*$AX$21*$B$10+Tableau182984[[#This Row],[VBI]]*$AX$22*$B$10+Tableau182984[[#This Row],[VBE]]*$AX$23*$B$10,"")</f>
        <v/>
      </c>
      <c r="AN95" s="7" t="s">
        <v>166</v>
      </c>
      <c r="AO95" s="7" t="s">
        <v>166</v>
      </c>
      <c r="AP95" s="7" t="str">
        <f>IF(Tableau182984[[#This Row],[Age]]&lt;&gt;"",Tableau182984[[#This Row],[RA]]-Tableau182984[[#This Row],[DA]],"")</f>
        <v/>
      </c>
    </row>
    <row r="96" spans="1:42" ht="15" customHeight="1" x14ac:dyDescent="0.2">
      <c r="A96" s="3" t="s">
        <v>31</v>
      </c>
      <c r="B96" s="3" t="s">
        <v>145</v>
      </c>
      <c r="C96" s="3" t="s">
        <v>149</v>
      </c>
      <c r="L96" s="4"/>
      <c r="M96" s="4"/>
      <c r="N96" s="4"/>
      <c r="O96" s="5" t="str">
        <f t="shared" si="12"/>
        <v/>
      </c>
      <c r="P96" s="5" t="str">
        <f t="shared" si="13"/>
        <v/>
      </c>
      <c r="Q96" s="5" t="str">
        <f t="shared" si="14"/>
        <v/>
      </c>
      <c r="R96" s="5" t="s">
        <v>166</v>
      </c>
      <c r="S96" s="5" t="s">
        <v>166</v>
      </c>
      <c r="T96" s="5" t="str">
        <f t="shared" si="15"/>
        <v/>
      </c>
      <c r="U96" s="5" t="str">
        <f t="shared" si="16"/>
        <v/>
      </c>
      <c r="V96" s="5" t="str">
        <f>IF($E$4="Embrousaillement",Tableau182984[[#This Row],[SOL]],"")</f>
        <v/>
      </c>
      <c r="W96" s="5" t="str">
        <f>IF($E$4="Embrousaillement",Tableau182984[[#This Row],[L]],"")</f>
        <v/>
      </c>
      <c r="X96" s="5" t="s">
        <v>166</v>
      </c>
      <c r="Y96" s="5" t="str">
        <f t="shared" si="17"/>
        <v/>
      </c>
      <c r="Z96" s="5" t="str">
        <f t="shared" si="18"/>
        <v/>
      </c>
      <c r="AA96" s="5" t="str">
        <f t="shared" si="19"/>
        <v/>
      </c>
      <c r="AB96" s="5" t="s">
        <v>166</v>
      </c>
      <c r="AC96" s="5" t="s">
        <v>166</v>
      </c>
      <c r="AD96" s="5" t="str">
        <f t="shared" si="20"/>
        <v/>
      </c>
      <c r="AE96" s="5" t="s">
        <v>166</v>
      </c>
      <c r="AF96" s="5" t="s">
        <v>166</v>
      </c>
      <c r="AG96" s="5" t="str">
        <f t="shared" si="21"/>
        <v/>
      </c>
      <c r="AH96" s="5" t="s">
        <v>166</v>
      </c>
      <c r="AI96" s="5" t="s">
        <v>166</v>
      </c>
      <c r="AJ96" s="5" t="str">
        <f t="shared" si="22"/>
        <v/>
      </c>
      <c r="AK96" s="5" t="str">
        <f t="shared" si="23"/>
        <v/>
      </c>
      <c r="AL96" s="7" t="str">
        <f>IF(Tableau182984[[#This Row],[Age]]&lt;&gt;"",IF(Tableau182984[[#This Row],[Age]]=0,$AT$10*$B$10+SUMIF($AS$21:$AS$29,Tableau182984[[#This Row],[Age]],$AU$21:$AU$29)*$B$10+$AT$11*$B$10,SUMIF($AS$21:$AS$29,Tableau182984[[#This Row],[Age]],$AU$21:$AU$29)*$B$10+$AT$11*$B$10),"")</f>
        <v/>
      </c>
      <c r="AM96" s="7" t="str">
        <f>IF(Tableau182984[[#This Row],[Age]]&lt;&gt;"",IF(Tableau182984[[#This Row],[Age]]=$B$11,$AT$10*$B$10,0)+Tableau182984[[#This Row],[VBO]]*$AX$21*$B$10+Tableau182984[[#This Row],[VBI]]*$AX$22*$B$10+Tableau182984[[#This Row],[VBE]]*$AX$23*$B$10,"")</f>
        <v/>
      </c>
      <c r="AN96" s="7" t="s">
        <v>166</v>
      </c>
      <c r="AO96" s="7" t="s">
        <v>166</v>
      </c>
      <c r="AP96" s="7" t="str">
        <f>IF(Tableau182984[[#This Row],[Age]]&lt;&gt;"",Tableau182984[[#This Row],[RA]]-Tableau182984[[#This Row],[DA]],"")</f>
        <v/>
      </c>
    </row>
    <row r="97" spans="1:42" ht="15" customHeight="1" x14ac:dyDescent="0.2">
      <c r="A97" s="3" t="s">
        <v>32</v>
      </c>
      <c r="B97" s="3" t="s">
        <v>145</v>
      </c>
      <c r="C97" s="3" t="s">
        <v>150</v>
      </c>
      <c r="L97" s="4"/>
      <c r="M97" s="4"/>
      <c r="N97" s="4"/>
      <c r="O97" s="5" t="str">
        <f t="shared" si="12"/>
        <v/>
      </c>
      <c r="P97" s="5" t="str">
        <f t="shared" si="13"/>
        <v/>
      </c>
      <c r="Q97" s="5" t="str">
        <f t="shared" si="14"/>
        <v/>
      </c>
      <c r="R97" s="5" t="s">
        <v>166</v>
      </c>
      <c r="S97" s="5" t="s">
        <v>166</v>
      </c>
      <c r="T97" s="5" t="str">
        <f t="shared" si="15"/>
        <v/>
      </c>
      <c r="U97" s="5" t="str">
        <f t="shared" si="16"/>
        <v/>
      </c>
      <c r="V97" s="5" t="str">
        <f>IF($E$4="Embrousaillement",Tableau182984[[#This Row],[SOL]],"")</f>
        <v/>
      </c>
      <c r="W97" s="5" t="str">
        <f>IF($E$4="Embrousaillement",Tableau182984[[#This Row],[L]],"")</f>
        <v/>
      </c>
      <c r="X97" s="5" t="s">
        <v>166</v>
      </c>
      <c r="Y97" s="5" t="str">
        <f t="shared" si="17"/>
        <v/>
      </c>
      <c r="Z97" s="5" t="str">
        <f t="shared" si="18"/>
        <v/>
      </c>
      <c r="AA97" s="5" t="str">
        <f t="shared" si="19"/>
        <v/>
      </c>
      <c r="AB97" s="5" t="s">
        <v>166</v>
      </c>
      <c r="AC97" s="5" t="s">
        <v>166</v>
      </c>
      <c r="AD97" s="5" t="str">
        <f t="shared" si="20"/>
        <v/>
      </c>
      <c r="AE97" s="5" t="s">
        <v>166</v>
      </c>
      <c r="AF97" s="5" t="s">
        <v>166</v>
      </c>
      <c r="AG97" s="5" t="str">
        <f t="shared" si="21"/>
        <v/>
      </c>
      <c r="AH97" s="5" t="s">
        <v>166</v>
      </c>
      <c r="AI97" s="5" t="s">
        <v>166</v>
      </c>
      <c r="AJ97" s="5" t="str">
        <f t="shared" si="22"/>
        <v/>
      </c>
      <c r="AK97" s="5" t="str">
        <f t="shared" si="23"/>
        <v/>
      </c>
      <c r="AL97" s="7" t="str">
        <f>IF(Tableau182984[[#This Row],[Age]]&lt;&gt;"",IF(Tableau182984[[#This Row],[Age]]=0,$AT$10*$B$10+SUMIF($AS$21:$AS$29,Tableau182984[[#This Row],[Age]],$AU$21:$AU$29)*$B$10+$AT$11*$B$10,SUMIF($AS$21:$AS$29,Tableau182984[[#This Row],[Age]],$AU$21:$AU$29)*$B$10+$AT$11*$B$10),"")</f>
        <v/>
      </c>
      <c r="AM97" s="7" t="str">
        <f>IF(Tableau182984[[#This Row],[Age]]&lt;&gt;"",IF(Tableau182984[[#This Row],[Age]]=$B$11,$AT$10*$B$10,0)+Tableau182984[[#This Row],[VBO]]*$AX$21*$B$10+Tableau182984[[#This Row],[VBI]]*$AX$22*$B$10+Tableau182984[[#This Row],[VBE]]*$AX$23*$B$10,"")</f>
        <v/>
      </c>
      <c r="AN97" s="7" t="s">
        <v>166</v>
      </c>
      <c r="AO97" s="7" t="s">
        <v>166</v>
      </c>
      <c r="AP97" s="7" t="str">
        <f>IF(Tableau182984[[#This Row],[Age]]&lt;&gt;"",Tableau182984[[#This Row],[RA]]-Tableau182984[[#This Row],[DA]],"")</f>
        <v/>
      </c>
    </row>
    <row r="98" spans="1:42" ht="15" customHeight="1" x14ac:dyDescent="0.2">
      <c r="A98" s="3" t="s">
        <v>151</v>
      </c>
      <c r="B98" s="3" t="s">
        <v>145</v>
      </c>
      <c r="C98" s="3" t="s">
        <v>152</v>
      </c>
      <c r="L98" s="4"/>
      <c r="M98" s="4"/>
      <c r="N98" s="4"/>
      <c r="O98" s="5" t="str">
        <f t="shared" si="12"/>
        <v/>
      </c>
      <c r="P98" s="5" t="str">
        <f t="shared" si="13"/>
        <v/>
      </c>
      <c r="Q98" s="5" t="str">
        <f t="shared" si="14"/>
        <v/>
      </c>
      <c r="R98" s="5" t="s">
        <v>166</v>
      </c>
      <c r="S98" s="5" t="s">
        <v>166</v>
      </c>
      <c r="T98" s="5" t="str">
        <f t="shared" si="15"/>
        <v/>
      </c>
      <c r="U98" s="5" t="str">
        <f t="shared" si="16"/>
        <v/>
      </c>
      <c r="V98" s="5" t="str">
        <f>IF($E$4="Embrousaillement",Tableau182984[[#This Row],[SOL]],"")</f>
        <v/>
      </c>
      <c r="W98" s="5" t="str">
        <f>IF($E$4="Embrousaillement",Tableau182984[[#This Row],[L]],"")</f>
        <v/>
      </c>
      <c r="X98" s="5" t="s">
        <v>166</v>
      </c>
      <c r="Y98" s="5" t="str">
        <f t="shared" si="17"/>
        <v/>
      </c>
      <c r="Z98" s="5" t="str">
        <f t="shared" si="18"/>
        <v/>
      </c>
      <c r="AA98" s="5" t="str">
        <f t="shared" si="19"/>
        <v/>
      </c>
      <c r="AB98" s="5" t="s">
        <v>166</v>
      </c>
      <c r="AC98" s="5" t="s">
        <v>166</v>
      </c>
      <c r="AD98" s="5" t="str">
        <f t="shared" si="20"/>
        <v/>
      </c>
      <c r="AE98" s="5" t="s">
        <v>166</v>
      </c>
      <c r="AF98" s="5" t="s">
        <v>166</v>
      </c>
      <c r="AG98" s="5" t="str">
        <f t="shared" si="21"/>
        <v/>
      </c>
      <c r="AH98" s="5" t="s">
        <v>166</v>
      </c>
      <c r="AI98" s="5" t="s">
        <v>166</v>
      </c>
      <c r="AJ98" s="5" t="str">
        <f t="shared" si="22"/>
        <v/>
      </c>
      <c r="AK98" s="5" t="str">
        <f t="shared" si="23"/>
        <v/>
      </c>
      <c r="AL98" s="7" t="str">
        <f>IF(Tableau182984[[#This Row],[Age]]&lt;&gt;"",IF(Tableau182984[[#This Row],[Age]]=0,$AT$10*$B$10+SUMIF($AS$21:$AS$29,Tableau182984[[#This Row],[Age]],$AU$21:$AU$29)*$B$10+$AT$11*$B$10,SUMIF($AS$21:$AS$29,Tableau182984[[#This Row],[Age]],$AU$21:$AU$29)*$B$10+$AT$11*$B$10),"")</f>
        <v/>
      </c>
      <c r="AM98" s="7" t="str">
        <f>IF(Tableau182984[[#This Row],[Age]]&lt;&gt;"",IF(Tableau182984[[#This Row],[Age]]=$B$11,$AT$10*$B$10,0)+Tableau182984[[#This Row],[VBO]]*$AX$21*$B$10+Tableau182984[[#This Row],[VBI]]*$AX$22*$B$10+Tableau182984[[#This Row],[VBE]]*$AX$23*$B$10,"")</f>
        <v/>
      </c>
      <c r="AN98" s="7" t="s">
        <v>166</v>
      </c>
      <c r="AO98" s="7" t="s">
        <v>166</v>
      </c>
      <c r="AP98" s="7" t="str">
        <f>IF(Tableau182984[[#This Row],[Age]]&lt;&gt;"",Tableau182984[[#This Row],[RA]]-Tableau182984[[#This Row],[DA]],"")</f>
        <v/>
      </c>
    </row>
    <row r="99" spans="1:42" ht="15" customHeight="1" x14ac:dyDescent="0.2">
      <c r="A99" s="3" t="s">
        <v>153</v>
      </c>
      <c r="B99" s="3" t="s">
        <v>145</v>
      </c>
      <c r="C99" s="3" t="s">
        <v>154</v>
      </c>
      <c r="L99" s="4"/>
      <c r="M99" s="4"/>
      <c r="N99" s="4"/>
      <c r="O99" s="5" t="str">
        <f t="shared" si="12"/>
        <v/>
      </c>
      <c r="P99" s="5" t="str">
        <f t="shared" si="13"/>
        <v/>
      </c>
      <c r="Q99" s="5" t="str">
        <f t="shared" si="14"/>
        <v/>
      </c>
      <c r="R99" s="5" t="s">
        <v>166</v>
      </c>
      <c r="S99" s="5" t="s">
        <v>166</v>
      </c>
      <c r="T99" s="5" t="str">
        <f t="shared" si="15"/>
        <v/>
      </c>
      <c r="U99" s="5" t="str">
        <f t="shared" si="16"/>
        <v/>
      </c>
      <c r="V99" s="5" t="str">
        <f>IF($E$4="Embrousaillement",Tableau182984[[#This Row],[SOL]],"")</f>
        <v/>
      </c>
      <c r="W99" s="5" t="str">
        <f>IF($E$4="Embrousaillement",Tableau182984[[#This Row],[L]],"")</f>
        <v/>
      </c>
      <c r="X99" s="5" t="s">
        <v>166</v>
      </c>
      <c r="Y99" s="5" t="str">
        <f t="shared" si="17"/>
        <v/>
      </c>
      <c r="Z99" s="5" t="str">
        <f t="shared" si="18"/>
        <v/>
      </c>
      <c r="AA99" s="5" t="str">
        <f t="shared" si="19"/>
        <v/>
      </c>
      <c r="AB99" s="5" t="s">
        <v>166</v>
      </c>
      <c r="AC99" s="5" t="s">
        <v>166</v>
      </c>
      <c r="AD99" s="5" t="str">
        <f t="shared" si="20"/>
        <v/>
      </c>
      <c r="AE99" s="5" t="s">
        <v>166</v>
      </c>
      <c r="AF99" s="5" t="s">
        <v>166</v>
      </c>
      <c r="AG99" s="5" t="str">
        <f t="shared" si="21"/>
        <v/>
      </c>
      <c r="AH99" s="5" t="s">
        <v>166</v>
      </c>
      <c r="AI99" s="5" t="s">
        <v>166</v>
      </c>
      <c r="AJ99" s="5" t="str">
        <f t="shared" si="22"/>
        <v/>
      </c>
      <c r="AK99" s="5" t="str">
        <f t="shared" si="23"/>
        <v/>
      </c>
      <c r="AL99" s="7" t="str">
        <f>IF(Tableau182984[[#This Row],[Age]]&lt;&gt;"",IF(Tableau182984[[#This Row],[Age]]=0,$AT$10*$B$10+SUMIF($AS$21:$AS$29,Tableau182984[[#This Row],[Age]],$AU$21:$AU$29)*$B$10+$AT$11*$B$10,SUMIF($AS$21:$AS$29,Tableau182984[[#This Row],[Age]],$AU$21:$AU$29)*$B$10+$AT$11*$B$10),"")</f>
        <v/>
      </c>
      <c r="AM99" s="7" t="str">
        <f>IF(Tableau182984[[#This Row],[Age]]&lt;&gt;"",IF(Tableau182984[[#This Row],[Age]]=$B$11,$AT$10*$B$10,0)+Tableau182984[[#This Row],[VBO]]*$AX$21*$B$10+Tableau182984[[#This Row],[VBI]]*$AX$22*$B$10+Tableau182984[[#This Row],[VBE]]*$AX$23*$B$10,"")</f>
        <v/>
      </c>
      <c r="AN99" s="7" t="s">
        <v>166</v>
      </c>
      <c r="AO99" s="7" t="s">
        <v>166</v>
      </c>
      <c r="AP99" s="7" t="str">
        <f>IF(Tableau182984[[#This Row],[Age]]&lt;&gt;"",Tableau182984[[#This Row],[RA]]-Tableau182984[[#This Row],[DA]],"")</f>
        <v/>
      </c>
    </row>
    <row r="100" spans="1:42" ht="15" customHeight="1" x14ac:dyDescent="0.2">
      <c r="A100" s="3" t="s">
        <v>155</v>
      </c>
      <c r="B100" s="3" t="s">
        <v>145</v>
      </c>
      <c r="C100" s="3" t="s">
        <v>156</v>
      </c>
      <c r="L100" s="4"/>
      <c r="M100" s="4"/>
      <c r="N100" s="4"/>
      <c r="O100" s="5" t="str">
        <f t="shared" si="12"/>
        <v/>
      </c>
      <c r="P100" s="5" t="str">
        <f t="shared" si="13"/>
        <v/>
      </c>
      <c r="Q100" s="5" t="str">
        <f t="shared" si="14"/>
        <v/>
      </c>
      <c r="R100" s="5" t="s">
        <v>166</v>
      </c>
      <c r="S100" s="5" t="s">
        <v>166</v>
      </c>
      <c r="T100" s="5" t="str">
        <f t="shared" si="15"/>
        <v/>
      </c>
      <c r="U100" s="5" t="str">
        <f t="shared" si="16"/>
        <v/>
      </c>
      <c r="V100" s="5" t="str">
        <f>IF($E$4="Embrousaillement",Tableau182984[[#This Row],[SOL]],"")</f>
        <v/>
      </c>
      <c r="W100" s="5" t="str">
        <f>IF($E$4="Embrousaillement",Tableau182984[[#This Row],[L]],"")</f>
        <v/>
      </c>
      <c r="X100" s="5" t="s">
        <v>166</v>
      </c>
      <c r="Y100" s="5" t="str">
        <f t="shared" si="17"/>
        <v/>
      </c>
      <c r="Z100" s="5" t="str">
        <f t="shared" si="18"/>
        <v/>
      </c>
      <c r="AA100" s="5" t="str">
        <f t="shared" si="19"/>
        <v/>
      </c>
      <c r="AB100" s="5" t="s">
        <v>166</v>
      </c>
      <c r="AC100" s="5" t="s">
        <v>166</v>
      </c>
      <c r="AD100" s="5" t="str">
        <f t="shared" si="20"/>
        <v/>
      </c>
      <c r="AE100" s="5" t="s">
        <v>166</v>
      </c>
      <c r="AF100" s="5" t="s">
        <v>166</v>
      </c>
      <c r="AG100" s="5" t="str">
        <f t="shared" si="21"/>
        <v/>
      </c>
      <c r="AH100" s="5" t="s">
        <v>166</v>
      </c>
      <c r="AI100" s="5" t="s">
        <v>166</v>
      </c>
      <c r="AJ100" s="5" t="str">
        <f t="shared" si="22"/>
        <v/>
      </c>
      <c r="AK100" s="5" t="str">
        <f t="shared" si="23"/>
        <v/>
      </c>
      <c r="AL100" s="7" t="str">
        <f>IF(Tableau182984[[#This Row],[Age]]&lt;&gt;"",IF(Tableau182984[[#This Row],[Age]]=0,$AT$10*$B$10+SUMIF($AS$21:$AS$29,Tableau182984[[#This Row],[Age]],$AU$21:$AU$29)*$B$10+$AT$11*$B$10,SUMIF($AS$21:$AS$29,Tableau182984[[#This Row],[Age]],$AU$21:$AU$29)*$B$10+$AT$11*$B$10),"")</f>
        <v/>
      </c>
      <c r="AM100" s="7" t="str">
        <f>IF(Tableau182984[[#This Row],[Age]]&lt;&gt;"",IF(Tableau182984[[#This Row],[Age]]=$B$11,$AT$10*$B$10,0)+Tableau182984[[#This Row],[VBO]]*$AX$21*$B$10+Tableau182984[[#This Row],[VBI]]*$AX$22*$B$10+Tableau182984[[#This Row],[VBE]]*$AX$23*$B$10,"")</f>
        <v/>
      </c>
      <c r="AN100" s="7" t="s">
        <v>166</v>
      </c>
      <c r="AO100" s="7" t="s">
        <v>166</v>
      </c>
      <c r="AP100" s="7" t="str">
        <f>IF(Tableau182984[[#This Row],[Age]]&lt;&gt;"",Tableau182984[[#This Row],[RA]]-Tableau182984[[#This Row],[DA]],"")</f>
        <v/>
      </c>
    </row>
    <row r="101" spans="1:42" ht="15" customHeight="1" x14ac:dyDescent="0.2">
      <c r="A101" s="3" t="s">
        <v>157</v>
      </c>
      <c r="B101" s="3" t="s">
        <v>145</v>
      </c>
      <c r="C101" s="3" t="s">
        <v>158</v>
      </c>
      <c r="L101" s="4"/>
      <c r="M101" s="4"/>
      <c r="N101" s="4"/>
      <c r="O101" s="5" t="str">
        <f t="shared" si="12"/>
        <v/>
      </c>
      <c r="P101" s="5" t="str">
        <f t="shared" si="13"/>
        <v/>
      </c>
      <c r="Q101" s="5" t="str">
        <f t="shared" si="14"/>
        <v/>
      </c>
      <c r="R101" s="5" t="s">
        <v>166</v>
      </c>
      <c r="S101" s="5" t="s">
        <v>166</v>
      </c>
      <c r="T101" s="5" t="str">
        <f t="shared" si="15"/>
        <v/>
      </c>
      <c r="U101" s="5" t="str">
        <f t="shared" si="16"/>
        <v/>
      </c>
      <c r="V101" s="5" t="str">
        <f>IF($E$4="Embrousaillement",Tableau182984[[#This Row],[SOL]],"")</f>
        <v/>
      </c>
      <c r="W101" s="5" t="str">
        <f>IF($E$4="Embrousaillement",Tableau182984[[#This Row],[L]],"")</f>
        <v/>
      </c>
      <c r="X101" s="5" t="s">
        <v>166</v>
      </c>
      <c r="Y101" s="5" t="str">
        <f t="shared" si="17"/>
        <v/>
      </c>
      <c r="Z101" s="5" t="str">
        <f t="shared" si="18"/>
        <v/>
      </c>
      <c r="AA101" s="5" t="str">
        <f t="shared" si="19"/>
        <v/>
      </c>
      <c r="AB101" s="5" t="s">
        <v>166</v>
      </c>
      <c r="AC101" s="5" t="s">
        <v>166</v>
      </c>
      <c r="AD101" s="5" t="str">
        <f t="shared" si="20"/>
        <v/>
      </c>
      <c r="AE101" s="5" t="s">
        <v>166</v>
      </c>
      <c r="AF101" s="5" t="s">
        <v>166</v>
      </c>
      <c r="AG101" s="5" t="str">
        <f t="shared" si="21"/>
        <v/>
      </c>
      <c r="AH101" s="5" t="s">
        <v>166</v>
      </c>
      <c r="AI101" s="5" t="s">
        <v>166</v>
      </c>
      <c r="AJ101" s="5" t="str">
        <f t="shared" si="22"/>
        <v/>
      </c>
      <c r="AK101" s="5" t="str">
        <f t="shared" si="23"/>
        <v/>
      </c>
      <c r="AL101" s="7" t="str">
        <f>IF(Tableau182984[[#This Row],[Age]]&lt;&gt;"",IF(Tableau182984[[#This Row],[Age]]=0,$AT$10*$B$10+SUMIF($AS$21:$AS$29,Tableau182984[[#This Row],[Age]],$AU$21:$AU$29)*$B$10+$AT$11*$B$10,SUMIF($AS$21:$AS$29,Tableau182984[[#This Row],[Age]],$AU$21:$AU$29)*$B$10+$AT$11*$B$10),"")</f>
        <v/>
      </c>
      <c r="AM101" s="7" t="str">
        <f>IF(Tableau182984[[#This Row],[Age]]&lt;&gt;"",IF(Tableau182984[[#This Row],[Age]]=$B$11,$AT$10*$B$10,0)+Tableau182984[[#This Row],[VBO]]*$AX$21*$B$10+Tableau182984[[#This Row],[VBI]]*$AX$22*$B$10+Tableau182984[[#This Row],[VBE]]*$AX$23*$B$10,"")</f>
        <v/>
      </c>
      <c r="AN101" s="7" t="s">
        <v>166</v>
      </c>
      <c r="AO101" s="7" t="s">
        <v>166</v>
      </c>
      <c r="AP101" s="7" t="str">
        <f>IF(Tableau182984[[#This Row],[Age]]&lt;&gt;"",Tableau182984[[#This Row],[RA]]-Tableau182984[[#This Row],[DA]],"")</f>
        <v/>
      </c>
    </row>
    <row r="102" spans="1:42" ht="15" customHeight="1" x14ac:dyDescent="0.2">
      <c r="A102" s="3" t="s">
        <v>159</v>
      </c>
      <c r="B102" s="3" t="s">
        <v>145</v>
      </c>
      <c r="C102" s="3" t="s">
        <v>160</v>
      </c>
      <c r="L102" s="4"/>
      <c r="M102" s="4"/>
      <c r="N102" s="4"/>
      <c r="O102" s="5" t="str">
        <f t="shared" si="12"/>
        <v/>
      </c>
      <c r="P102" s="5" t="str">
        <f t="shared" si="13"/>
        <v/>
      </c>
      <c r="Q102" s="5" t="str">
        <f t="shared" si="14"/>
        <v/>
      </c>
      <c r="R102" s="5" t="s">
        <v>166</v>
      </c>
      <c r="S102" s="5" t="s">
        <v>166</v>
      </c>
      <c r="T102" s="5" t="str">
        <f t="shared" si="15"/>
        <v/>
      </c>
      <c r="U102" s="5" t="str">
        <f t="shared" si="16"/>
        <v/>
      </c>
      <c r="V102" s="5" t="str">
        <f>IF($E$4="Embrousaillement",Tableau182984[[#This Row],[SOL]],"")</f>
        <v/>
      </c>
      <c r="W102" s="5" t="str">
        <f>IF($E$4="Embrousaillement",Tableau182984[[#This Row],[L]],"")</f>
        <v/>
      </c>
      <c r="X102" s="5" t="s">
        <v>166</v>
      </c>
      <c r="Y102" s="5" t="str">
        <f t="shared" si="17"/>
        <v/>
      </c>
      <c r="Z102" s="5" t="str">
        <f t="shared" si="18"/>
        <v/>
      </c>
      <c r="AA102" s="5" t="str">
        <f t="shared" si="19"/>
        <v/>
      </c>
      <c r="AB102" s="5" t="s">
        <v>166</v>
      </c>
      <c r="AC102" s="5" t="s">
        <v>166</v>
      </c>
      <c r="AD102" s="5" t="str">
        <f t="shared" si="20"/>
        <v/>
      </c>
      <c r="AE102" s="5" t="s">
        <v>166</v>
      </c>
      <c r="AF102" s="5" t="s">
        <v>166</v>
      </c>
      <c r="AG102" s="5" t="str">
        <f t="shared" si="21"/>
        <v/>
      </c>
      <c r="AH102" s="5" t="s">
        <v>166</v>
      </c>
      <c r="AI102" s="5" t="s">
        <v>166</v>
      </c>
      <c r="AJ102" s="5" t="str">
        <f t="shared" si="22"/>
        <v/>
      </c>
      <c r="AK102" s="5" t="str">
        <f t="shared" si="23"/>
        <v/>
      </c>
      <c r="AL102" s="7" t="str">
        <f>IF(Tableau182984[[#This Row],[Age]]&lt;&gt;"",IF(Tableau182984[[#This Row],[Age]]=0,$AT$10*$B$10+SUMIF($AS$21:$AS$29,Tableau182984[[#This Row],[Age]],$AU$21:$AU$29)*$B$10+$AT$11*$B$10,SUMIF($AS$21:$AS$29,Tableau182984[[#This Row],[Age]],$AU$21:$AU$29)*$B$10+$AT$11*$B$10),"")</f>
        <v/>
      </c>
      <c r="AM102" s="7" t="str">
        <f>IF(Tableau182984[[#This Row],[Age]]&lt;&gt;"",IF(Tableau182984[[#This Row],[Age]]=$B$11,$AT$10*$B$10,0)+Tableau182984[[#This Row],[VBO]]*$AX$21*$B$10+Tableau182984[[#This Row],[VBI]]*$AX$22*$B$10+Tableau182984[[#This Row],[VBE]]*$AX$23*$B$10,"")</f>
        <v/>
      </c>
      <c r="AN102" s="7" t="s">
        <v>166</v>
      </c>
      <c r="AO102" s="7" t="s">
        <v>166</v>
      </c>
      <c r="AP102" s="7" t="str">
        <f>IF(Tableau182984[[#This Row],[Age]]&lt;&gt;"",Tableau182984[[#This Row],[RA]]-Tableau182984[[#This Row],[DA]],"")</f>
        <v/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D6CD3B-BC2C-4415-B03C-4A8D35324D38}">
  <dimension ref="A1:AX102"/>
  <sheetViews>
    <sheetView workbookViewId="0">
      <selection activeCell="B1" sqref="B1"/>
    </sheetView>
  </sheetViews>
  <sheetFormatPr baseColWidth="10" defaultColWidth="14" defaultRowHeight="15" x14ac:dyDescent="0.2"/>
  <cols>
    <col min="1" max="1" width="15.28515625" style="3" customWidth="1"/>
    <col min="2" max="2" width="14" style="3"/>
    <col min="3" max="3" width="7.140625" style="3" customWidth="1"/>
    <col min="4" max="5" width="14" style="3"/>
    <col min="6" max="6" width="7.140625" style="3" customWidth="1"/>
    <col min="7" max="8" width="14" style="3"/>
    <col min="9" max="9" width="7.140625" style="3" customWidth="1"/>
    <col min="10" max="10" width="11.7109375" style="3" customWidth="1"/>
    <col min="11" max="21" width="10.7109375" style="3" customWidth="1"/>
    <col min="22" max="23" width="14" style="3"/>
    <col min="24" max="24" width="10.7109375" style="3" customWidth="1"/>
    <col min="25" max="27" width="14" style="3"/>
    <col min="28" max="28" width="10.7109375" style="3" customWidth="1"/>
    <col min="29" max="29" width="14" style="3"/>
    <col min="30" max="31" width="10.7109375" style="3" customWidth="1"/>
    <col min="32" max="32" width="14" style="3"/>
    <col min="33" max="34" width="10.7109375" style="3" customWidth="1"/>
    <col min="35" max="35" width="14" style="3"/>
    <col min="36" max="42" width="10.7109375" style="3" customWidth="1"/>
    <col min="43" max="43" width="7.140625" style="3" customWidth="1"/>
    <col min="44" max="16384" width="14" style="3"/>
  </cols>
  <sheetData>
    <row r="1" spans="1:49" ht="15" customHeight="1" x14ac:dyDescent="0.25">
      <c r="A1" s="1" t="s">
        <v>0</v>
      </c>
      <c r="B1" s="2">
        <v>4</v>
      </c>
      <c r="K1" s="3" t="s">
        <v>1</v>
      </c>
      <c r="L1" s="3" t="s">
        <v>2</v>
      </c>
      <c r="M1" s="3" t="s">
        <v>3</v>
      </c>
      <c r="N1" s="3" t="s">
        <v>4</v>
      </c>
      <c r="O1" s="3" t="s">
        <v>5</v>
      </c>
      <c r="P1" s="3" t="s">
        <v>6</v>
      </c>
      <c r="Q1" s="3" t="s">
        <v>7</v>
      </c>
      <c r="R1" s="3" t="s">
        <v>8</v>
      </c>
      <c r="S1" s="3" t="s">
        <v>9</v>
      </c>
      <c r="T1" s="3" t="s">
        <v>10</v>
      </c>
      <c r="U1" s="3" t="s">
        <v>11</v>
      </c>
      <c r="V1" s="3" t="s">
        <v>12</v>
      </c>
      <c r="W1" s="3" t="s">
        <v>13</v>
      </c>
      <c r="X1" s="3" t="s">
        <v>14</v>
      </c>
      <c r="Y1" s="3" t="s">
        <v>15</v>
      </c>
      <c r="Z1" s="3" t="s">
        <v>16</v>
      </c>
      <c r="AA1" s="3" t="s">
        <v>17</v>
      </c>
      <c r="AB1" s="3" t="s">
        <v>18</v>
      </c>
      <c r="AC1" s="3" t="s">
        <v>19</v>
      </c>
      <c r="AD1" s="3" t="s">
        <v>20</v>
      </c>
      <c r="AE1" s="3" t="s">
        <v>21</v>
      </c>
      <c r="AF1" s="3" t="s">
        <v>22</v>
      </c>
      <c r="AG1" s="3" t="s">
        <v>23</v>
      </c>
      <c r="AH1" s="3" t="s">
        <v>24</v>
      </c>
      <c r="AI1" s="3" t="s">
        <v>25</v>
      </c>
      <c r="AJ1" s="3" t="s">
        <v>26</v>
      </c>
      <c r="AK1" s="3" t="s">
        <v>27</v>
      </c>
      <c r="AL1" s="3" t="s">
        <v>28</v>
      </c>
      <c r="AM1" s="3" t="s">
        <v>29</v>
      </c>
      <c r="AN1" s="3" t="s">
        <v>30</v>
      </c>
      <c r="AO1" s="3" t="s">
        <v>31</v>
      </c>
      <c r="AP1" s="3" t="s">
        <v>32</v>
      </c>
    </row>
    <row r="2" spans="1:49" ht="15" customHeight="1" x14ac:dyDescent="0.25">
      <c r="K2" s="3">
        <v>0</v>
      </c>
      <c r="L2" s="4">
        <v>0</v>
      </c>
      <c r="M2" s="4">
        <v>0</v>
      </c>
      <c r="N2" s="4">
        <v>0</v>
      </c>
      <c r="O2" s="5">
        <f t="shared" ref="O2:O65" si="0">IF(K2&lt;&gt;"",N2*$B$7*$B$8,"")</f>
        <v>0</v>
      </c>
      <c r="P2" s="5">
        <f t="shared" ref="P2:P65" si="1">IF(K2&lt;&gt;"",IF(O2&gt;0,EXP(-1.0587+0.8836*LN(O2)+0.284),0),"")</f>
        <v>0</v>
      </c>
      <c r="Q2" s="5">
        <f t="shared" ref="Q2:Q65" si="2">IF(K2&lt;&gt;"",45+25*(1-EXP(-0.0175*K2)),"")</f>
        <v>45</v>
      </c>
      <c r="R2" s="5">
        <v>0</v>
      </c>
      <c r="S2" s="5">
        <v>82.5</v>
      </c>
      <c r="T2" s="5" t="str">
        <f t="shared" ref="T2:T65" si="3">IF(AND(K2&lt;=$E$11,K2&lt;&gt;"",K2&gt;0),IF($E$4="Embrousaillement",1*K2*$E$7*$E$8,0),"")</f>
        <v/>
      </c>
      <c r="U2" s="5" t="str">
        <f t="shared" ref="U2:U65" si="4">IF(AND(K2&lt;=$E$11,K2&lt;&gt;"",K2&gt;0),IF($E$4="Embrousaillement",EXP(-1.0587+0.8836*LN(T2)+0.284),0),"")</f>
        <v/>
      </c>
      <c r="V2" s="5" t="str">
        <f>IF($E$4="Embrousaillement",Tableau182985[[#This Row],[SOL]],"")</f>
        <v/>
      </c>
      <c r="W2" s="5" t="str">
        <f>IF($E$4="Embrousaillement",Tableau182985[[#This Row],[L]],"")</f>
        <v/>
      </c>
      <c r="X2" s="5" t="s">
        <v>166</v>
      </c>
      <c r="Y2" s="5">
        <f t="shared" ref="Y2:Y65" si="5">IF(K2&lt;&gt;"",IF(M2&gt;0,IF($K2&gt;=$AT$7,$AU$7,IF(AND($K2&gt;=$AT$6,$K2&lt;$AT$7),$AU$6,IF(AND($K2&gt;=$AT$5,$K2&lt;$AT$6),$AU$5,IF(AND($K2&gt;=$AT$4,$K2&lt;$AT$5),$AU$4,$AU$4))))*M2,0),"")</f>
        <v>0</v>
      </c>
      <c r="Z2" s="5">
        <f t="shared" ref="Z2:Z65" si="6">IF(K2&lt;&gt;"",IF(M2&gt;0,IF($K2&gt;=$AT$7,$AV$7,IF(AND($K2&gt;=$AT$6,$K2&lt;$AT$7),$AV$6,IF(AND($K2&gt;=$AT$5,$K2&lt;$AT$6),$AV$5,IF(AND($K2&gt;=$AT$4,$K2&lt;$AT$5),$AV$4,$AV$4))))*M2,0),"")</f>
        <v>0</v>
      </c>
      <c r="AA2" s="5">
        <f t="shared" ref="AA2:AA65" si="7">IF(K2&lt;&gt;"",IF(M2&gt;0,IF($K2&gt;=$AT$7,$AW$7,IF(AND($K2&gt;=$AT$6,$K2&lt;$AT$7),$AW$6,IF(AND($K2&gt;=$AT$5,$K2&lt;$AT$6),$AW$5,IF(AND($K2&gt;=$AT$4,$K2&lt;$AT$5),$AW$4,$AW$4))))*M2,0),"")</f>
        <v>0</v>
      </c>
      <c r="AB2" s="5">
        <v>0</v>
      </c>
      <c r="AC2" s="5">
        <v>1.980420515885558E-2</v>
      </c>
      <c r="AD2" s="5" t="str">
        <f t="shared" ref="AD2:AD65" si="8">IF(AND(K2&lt;=30,K2&lt;&gt;"",K2&gt;0),EXP(-AC2)*IF(K2=1,0,AD1)+(((1-EXP(-AC2))/AC2)*AB2),"")</f>
        <v/>
      </c>
      <c r="AE2" s="5">
        <v>0</v>
      </c>
      <c r="AF2" s="5">
        <v>2.7725887222397813E-2</v>
      </c>
      <c r="AG2" s="5" t="str">
        <f t="shared" ref="AG2:AG65" si="9">IF(AND(K2&lt;=30,K2&lt;&gt;"",K2&gt;0),EXP(-AF2)*IF(K2=1,0,AG1)+(((1-EXP(-AF2))/AF2)*AE2),"")</f>
        <v/>
      </c>
      <c r="AH2" s="5">
        <v>0</v>
      </c>
      <c r="AI2" s="5">
        <v>0.34657359027997264</v>
      </c>
      <c r="AJ2" s="5" t="str">
        <f t="shared" ref="AJ2:AJ65" si="10">IF(AND(K2&lt;=30,K2&lt;&gt;"",K2&gt;0),EXP(-AI2)*IF(K2=1,0,AJ1)+(((1-EXP(-AI2))/AI2)*AH2),"")</f>
        <v/>
      </c>
      <c r="AK2" s="5">
        <f t="shared" ref="AK2:AK65" si="11">IF(AND(K2&lt;=30,K2&lt;&gt;""),SUM(Y2:AA2)*$B$10,"")</f>
        <v>0</v>
      </c>
      <c r="AL2" s="6">
        <f>IF(Tableau182985[[#This Row],[Age]]&lt;&gt;"",IF(Tableau182985[[#This Row],[Age]]=0,$AT$10*$B$10+SUMIF($AS$21:$AS$29,Tableau182985[[#This Row],[Age]],$AU$21:$AU$29)*$B$10+$AT$11*$B$10,SUMIF($AS$21:$AS$29,Tableau182985[[#This Row],[Age]],$AU$21:$AU$29)*$B$10+$AT$11*$B$10),"")</f>
        <v>384</v>
      </c>
      <c r="AM2" s="7">
        <f>IF(Tableau182985[[#This Row],[Age]]&lt;&gt;"",IF(Tableau182985[[#This Row],[Age]]=$B$11,$AT$10*$B$10,0)+Tableau182985[[#This Row],[VBO]]*$AX$21*$B$10+Tableau182985[[#This Row],[VBI]]*$AX$22*$B$10+Tableau182985[[#This Row],[VBE]]*$AX$23*$B$10,"")</f>
        <v>0</v>
      </c>
      <c r="AN2" s="7">
        <v>384</v>
      </c>
      <c r="AO2" s="7">
        <v>0</v>
      </c>
      <c r="AP2" s="7">
        <f>IF(Tableau182985[[#This Row],[Age]]&lt;&gt;"",Tableau182985[[#This Row],[RA]]-Tableau182985[[#This Row],[DA]],"")</f>
        <v>-384</v>
      </c>
      <c r="AS2" s="1" t="s">
        <v>33</v>
      </c>
    </row>
    <row r="3" spans="1:49" ht="15" customHeight="1" x14ac:dyDescent="0.25">
      <c r="A3" s="1" t="s">
        <v>34</v>
      </c>
      <c r="D3" s="1" t="s">
        <v>35</v>
      </c>
      <c r="K3" s="3">
        <v>1</v>
      </c>
      <c r="L3" s="4">
        <v>6.3302305840971839E-3</v>
      </c>
      <c r="M3" s="4">
        <v>0</v>
      </c>
      <c r="N3" s="4">
        <v>6.3302305840971839E-3</v>
      </c>
      <c r="O3" s="5">
        <f t="shared" si="0"/>
        <v>6.418853812274544E-3</v>
      </c>
      <c r="P3" s="5">
        <f t="shared" si="1"/>
        <v>5.3237971386597104E-3</v>
      </c>
      <c r="Q3" s="5">
        <f t="shared" si="2"/>
        <v>45.433694108373167</v>
      </c>
      <c r="R3" s="5">
        <v>0.33333333333333331</v>
      </c>
      <c r="S3" s="5">
        <v>83.916442868331686</v>
      </c>
      <c r="T3" s="5">
        <f t="shared" si="3"/>
        <v>0</v>
      </c>
      <c r="U3" s="5">
        <f t="shared" si="4"/>
        <v>0</v>
      </c>
      <c r="V3" s="5" t="str">
        <f>IF($E$4="Embrousaillement",Tableau182985[[#This Row],[SOL]],"")</f>
        <v/>
      </c>
      <c r="W3" s="5" t="str">
        <f>IF($E$4="Embrousaillement",Tableau182985[[#This Row],[L]],"")</f>
        <v/>
      </c>
      <c r="X3" s="5">
        <v>9.1666666666666661</v>
      </c>
      <c r="Y3" s="5">
        <f t="shared" si="5"/>
        <v>0</v>
      </c>
      <c r="Z3" s="5">
        <f t="shared" si="6"/>
        <v>0</v>
      </c>
      <c r="AA3" s="5">
        <f t="shared" si="7"/>
        <v>0</v>
      </c>
      <c r="AB3" s="5">
        <v>0</v>
      </c>
      <c r="AC3" s="5">
        <v>1.980420515885558E-2</v>
      </c>
      <c r="AD3" s="5">
        <f t="shared" si="8"/>
        <v>0</v>
      </c>
      <c r="AE3" s="5">
        <v>0</v>
      </c>
      <c r="AF3" s="5">
        <v>2.7725887222397813E-2</v>
      </c>
      <c r="AG3" s="5">
        <f t="shared" si="9"/>
        <v>0</v>
      </c>
      <c r="AH3" s="5">
        <v>0</v>
      </c>
      <c r="AI3" s="5">
        <v>0.34657359027997264</v>
      </c>
      <c r="AJ3" s="5">
        <f t="shared" si="10"/>
        <v>0</v>
      </c>
      <c r="AK3" s="5">
        <f t="shared" si="11"/>
        <v>0</v>
      </c>
      <c r="AL3" s="6">
        <f>IF(Tableau182985[[#This Row],[Age]]&lt;&gt;"",IF(Tableau182985[[#This Row],[Age]]=0,$AT$10*$B$10+SUMIF($AS$21:$AS$29,Tableau182985[[#This Row],[Age]],$AU$21:$AU$29)*$B$10+$AT$11*$B$10,SUMIF($AS$21:$AS$29,Tableau182985[[#This Row],[Age]],$AU$21:$AU$29)*$B$10+$AT$11*$B$10),"")</f>
        <v>2249</v>
      </c>
      <c r="AM3" s="7">
        <f>IF(Tableau182985[[#This Row],[Age]]&lt;&gt;"",IF(Tableau182985[[#This Row],[Age]]=$B$11,$AT$10*$B$10,0)+Tableau182985[[#This Row],[VBO]]*$AX$21*$B$10+Tableau182985[[#This Row],[VBI]]*$AX$22*$B$10+Tableau182985[[#This Row],[VBE]]*$AX$23*$B$10,"")</f>
        <v>0</v>
      </c>
      <c r="AN3" s="7">
        <v>2152.1531100478469</v>
      </c>
      <c r="AO3" s="7">
        <v>0</v>
      </c>
      <c r="AP3" s="7">
        <f>IF(Tableau182985[[#This Row],[Age]]&lt;&gt;"",Tableau182985[[#This Row],[RA]]-Tableau182985[[#This Row],[DA]],"")</f>
        <v>-2152.1531100478469</v>
      </c>
      <c r="AS3" s="8" t="s">
        <v>36</v>
      </c>
      <c r="AT3" s="8" t="s">
        <v>1</v>
      </c>
      <c r="AU3" s="8" t="s">
        <v>37</v>
      </c>
      <c r="AV3" s="8" t="s">
        <v>38</v>
      </c>
      <c r="AW3" s="8" t="s">
        <v>39</v>
      </c>
    </row>
    <row r="4" spans="1:49" ht="15" customHeight="1" x14ac:dyDescent="0.2">
      <c r="A4" s="3" t="s">
        <v>40</v>
      </c>
      <c r="B4" s="9" t="s">
        <v>163</v>
      </c>
      <c r="D4" s="3" t="s">
        <v>42</v>
      </c>
      <c r="E4" s="9" t="s">
        <v>43</v>
      </c>
      <c r="K4" s="3">
        <v>2</v>
      </c>
      <c r="L4" s="4">
        <v>4.9830347249264405E-2</v>
      </c>
      <c r="M4" s="4">
        <v>0</v>
      </c>
      <c r="N4" s="4">
        <v>4.9830347249264405E-2</v>
      </c>
      <c r="O4" s="5">
        <f t="shared" si="0"/>
        <v>5.0527972110754112E-2</v>
      </c>
      <c r="P4" s="5">
        <f t="shared" si="1"/>
        <v>3.2960426594979005E-2</v>
      </c>
      <c r="Q4" s="5">
        <f t="shared" si="2"/>
        <v>45.859864593560836</v>
      </c>
      <c r="R4" s="5">
        <v>0.66666666666666663</v>
      </c>
      <c r="S4" s="5">
        <v>85.371345124289988</v>
      </c>
      <c r="T4" s="5">
        <f t="shared" si="3"/>
        <v>0</v>
      </c>
      <c r="U4" s="5">
        <f t="shared" si="4"/>
        <v>0</v>
      </c>
      <c r="V4" s="5" t="str">
        <f>IF($E$4="Embrousaillement",Tableau182985[[#This Row],[SOL]],"")</f>
        <v/>
      </c>
      <c r="W4" s="5" t="str">
        <f>IF($E$4="Embrousaillement",Tableau182985[[#This Row],[L]],"")</f>
        <v/>
      </c>
      <c r="X4" s="5">
        <v>9.1666666666666661</v>
      </c>
      <c r="Y4" s="5">
        <f t="shared" si="5"/>
        <v>0</v>
      </c>
      <c r="Z4" s="5">
        <f t="shared" si="6"/>
        <v>0</v>
      </c>
      <c r="AA4" s="5">
        <f t="shared" si="7"/>
        <v>0</v>
      </c>
      <c r="AB4" s="5">
        <v>0</v>
      </c>
      <c r="AC4" s="5">
        <v>1.980420515885558E-2</v>
      </c>
      <c r="AD4" s="5">
        <f t="shared" si="8"/>
        <v>0</v>
      </c>
      <c r="AE4" s="5">
        <v>0</v>
      </c>
      <c r="AF4" s="5">
        <v>2.7725887222397813E-2</v>
      </c>
      <c r="AG4" s="5">
        <f t="shared" si="9"/>
        <v>0</v>
      </c>
      <c r="AH4" s="5">
        <v>0</v>
      </c>
      <c r="AI4" s="5">
        <v>0.34657359027997264</v>
      </c>
      <c r="AJ4" s="5">
        <f t="shared" si="10"/>
        <v>0</v>
      </c>
      <c r="AK4" s="5">
        <f t="shared" si="11"/>
        <v>0</v>
      </c>
      <c r="AL4" s="6">
        <f>IF(Tableau182985[[#This Row],[Age]]&lt;&gt;"",IF(Tableau182985[[#This Row],[Age]]=0,$AT$10*$B$10+SUMIF($AS$21:$AS$29,Tableau182985[[#This Row],[Age]],$AU$21:$AU$29)*$B$10+$AT$11*$B$10,SUMIF($AS$21:$AS$29,Tableau182985[[#This Row],[Age]],$AU$21:$AU$29)*$B$10+$AT$11*$B$10),"")</f>
        <v>134</v>
      </c>
      <c r="AM4" s="7">
        <f>IF(Tableau182985[[#This Row],[Age]]&lt;&gt;"",IF(Tableau182985[[#This Row],[Age]]=$B$11,$AT$10*$B$10,0)+Tableau182985[[#This Row],[VBO]]*$AX$21*$B$10+Tableau182985[[#This Row],[VBI]]*$AX$22*$B$10+Tableau182985[[#This Row],[VBE]]*$AX$23*$B$10,"")</f>
        <v>0</v>
      </c>
      <c r="AN4" s="7">
        <v>122.70781346580895</v>
      </c>
      <c r="AO4" s="7">
        <v>0</v>
      </c>
      <c r="AP4" s="7">
        <f>IF(Tableau182985[[#This Row],[Age]]&lt;&gt;"",Tableau182985[[#This Row],[RA]]-Tableau182985[[#This Row],[DA]],"")</f>
        <v>-122.70781346580895</v>
      </c>
      <c r="AS4" s="8" t="s">
        <v>44</v>
      </c>
      <c r="AT4" s="8">
        <v>30</v>
      </c>
      <c r="AU4" s="10">
        <v>0</v>
      </c>
      <c r="AV4" s="10">
        <v>0</v>
      </c>
      <c r="AW4" s="10">
        <v>1</v>
      </c>
    </row>
    <row r="5" spans="1:49" ht="15" customHeight="1" x14ac:dyDescent="0.2">
      <c r="A5" s="3" t="s">
        <v>45</v>
      </c>
      <c r="B5" s="9" t="s">
        <v>46</v>
      </c>
      <c r="D5" s="3" t="s">
        <v>40</v>
      </c>
      <c r="E5" s="9"/>
      <c r="G5" s="3" t="s">
        <v>47</v>
      </c>
      <c r="H5" s="9">
        <v>0</v>
      </c>
      <c r="K5" s="3">
        <v>3</v>
      </c>
      <c r="L5" s="4">
        <v>0.16549713451981238</v>
      </c>
      <c r="M5" s="4">
        <v>0</v>
      </c>
      <c r="N5" s="4">
        <v>0.16549713451981238</v>
      </c>
      <c r="O5" s="5">
        <f t="shared" si="0"/>
        <v>0.16781409440308978</v>
      </c>
      <c r="P5" s="5">
        <f t="shared" si="1"/>
        <v>9.5194195696878439E-2</v>
      </c>
      <c r="Q5" s="5">
        <f t="shared" si="2"/>
        <v>46.278641973604969</v>
      </c>
      <c r="R5" s="5">
        <v>1</v>
      </c>
      <c r="S5" s="5">
        <v>86.90654667090449</v>
      </c>
      <c r="T5" s="5">
        <f t="shared" si="3"/>
        <v>0</v>
      </c>
      <c r="U5" s="5">
        <f t="shared" si="4"/>
        <v>0</v>
      </c>
      <c r="V5" s="5" t="str">
        <f>IF($E$4="Embrousaillement",Tableau182985[[#This Row],[SOL]],"")</f>
        <v/>
      </c>
      <c r="W5" s="5" t="str">
        <f>IF($E$4="Embrousaillement",Tableau182985[[#This Row],[L]],"")</f>
        <v/>
      </c>
      <c r="X5" s="5">
        <v>9.1666666666666661</v>
      </c>
      <c r="Y5" s="5">
        <f t="shared" si="5"/>
        <v>0</v>
      </c>
      <c r="Z5" s="5">
        <f t="shared" si="6"/>
        <v>0</v>
      </c>
      <c r="AA5" s="5">
        <f t="shared" si="7"/>
        <v>0</v>
      </c>
      <c r="AB5" s="5">
        <v>0</v>
      </c>
      <c r="AC5" s="5">
        <v>1.980420515885558E-2</v>
      </c>
      <c r="AD5" s="5">
        <f t="shared" si="8"/>
        <v>0</v>
      </c>
      <c r="AE5" s="5">
        <v>0</v>
      </c>
      <c r="AF5" s="5">
        <v>2.7725887222397813E-2</v>
      </c>
      <c r="AG5" s="5">
        <f t="shared" si="9"/>
        <v>0</v>
      </c>
      <c r="AH5" s="5">
        <v>0</v>
      </c>
      <c r="AI5" s="5">
        <v>0.34657359027997264</v>
      </c>
      <c r="AJ5" s="5">
        <f t="shared" si="10"/>
        <v>0</v>
      </c>
      <c r="AK5" s="5">
        <f t="shared" si="11"/>
        <v>0</v>
      </c>
      <c r="AL5" s="6">
        <f>IF(Tableau182985[[#This Row],[Age]]&lt;&gt;"",IF(Tableau182985[[#This Row],[Age]]=0,$AT$10*$B$10+SUMIF($AS$21:$AS$29,Tableau182985[[#This Row],[Age]],$AU$21:$AU$29)*$B$10+$AT$11*$B$10,SUMIF($AS$21:$AS$29,Tableau182985[[#This Row],[Age]],$AU$21:$AU$29)*$B$10+$AT$11*$B$10),"")</f>
        <v>184</v>
      </c>
      <c r="AM5" s="7">
        <f>IF(Tableau182985[[#This Row],[Age]]&lt;&gt;"",IF(Tableau182985[[#This Row],[Age]]=$B$11,$AT$10*$B$10,0)+Tableau182985[[#This Row],[VBO]]*$AX$21*$B$10+Tableau182985[[#This Row],[VBI]]*$AX$22*$B$10+Tableau182985[[#This Row],[VBE]]*$AX$23*$B$10,"")</f>
        <v>0</v>
      </c>
      <c r="AN5" s="7">
        <v>161.23857514610333</v>
      </c>
      <c r="AO5" s="7">
        <v>0</v>
      </c>
      <c r="AP5" s="7">
        <f>IF(Tableau182985[[#This Row],[Age]]&lt;&gt;"",Tableau182985[[#This Row],[RA]]-Tableau182985[[#This Row],[DA]],"")</f>
        <v>-161.23857514610333</v>
      </c>
      <c r="AS5" s="8" t="s">
        <v>48</v>
      </c>
      <c r="AT5" s="8">
        <v>40</v>
      </c>
      <c r="AU5" s="10">
        <v>0.3</v>
      </c>
      <c r="AV5" s="10">
        <v>0</v>
      </c>
      <c r="AW5" s="10">
        <v>0.7</v>
      </c>
    </row>
    <row r="6" spans="1:49" ht="15" customHeight="1" x14ac:dyDescent="0.2">
      <c r="A6" s="3" t="s">
        <v>49</v>
      </c>
      <c r="B6" s="3" t="s">
        <v>169</v>
      </c>
      <c r="D6" s="3" t="s">
        <v>49</v>
      </c>
      <c r="K6" s="3">
        <v>4</v>
      </c>
      <c r="L6" s="4">
        <v>0.38607160156540943</v>
      </c>
      <c r="M6" s="4">
        <v>0</v>
      </c>
      <c r="N6" s="4">
        <v>0.38607160156540943</v>
      </c>
      <c r="O6" s="5">
        <f t="shared" si="0"/>
        <v>0.39147660398732514</v>
      </c>
      <c r="P6" s="5">
        <f t="shared" si="1"/>
        <v>0.20121804286173101</v>
      </c>
      <c r="Q6" s="5">
        <f t="shared" si="2"/>
        <v>46.690154502351291</v>
      </c>
      <c r="R6" s="5">
        <v>1.3333333333333333</v>
      </c>
      <c r="S6" s="5">
        <v>88.559199287052877</v>
      </c>
      <c r="T6" s="5">
        <f t="shared" si="3"/>
        <v>0</v>
      </c>
      <c r="U6" s="5">
        <f t="shared" si="4"/>
        <v>0</v>
      </c>
      <c r="V6" s="5" t="str">
        <f>IF($E$4="Embrousaillement",Tableau182985[[#This Row],[SOL]],"")</f>
        <v/>
      </c>
      <c r="W6" s="5" t="str">
        <f>IF($E$4="Embrousaillement",Tableau182985[[#This Row],[L]],"")</f>
        <v/>
      </c>
      <c r="X6" s="5">
        <v>9.1666666666666661</v>
      </c>
      <c r="Y6" s="5">
        <f t="shared" si="5"/>
        <v>0</v>
      </c>
      <c r="Z6" s="5">
        <f t="shared" si="6"/>
        <v>0</v>
      </c>
      <c r="AA6" s="5">
        <f t="shared" si="7"/>
        <v>0</v>
      </c>
      <c r="AB6" s="5">
        <v>0</v>
      </c>
      <c r="AC6" s="5">
        <v>1.980420515885558E-2</v>
      </c>
      <c r="AD6" s="5">
        <f t="shared" si="8"/>
        <v>0</v>
      </c>
      <c r="AE6" s="5">
        <v>0</v>
      </c>
      <c r="AF6" s="5">
        <v>2.7725887222397813E-2</v>
      </c>
      <c r="AG6" s="5">
        <f t="shared" si="9"/>
        <v>0</v>
      </c>
      <c r="AH6" s="5">
        <v>0</v>
      </c>
      <c r="AI6" s="5">
        <v>0.34657359027997264</v>
      </c>
      <c r="AJ6" s="5">
        <f t="shared" si="10"/>
        <v>0</v>
      </c>
      <c r="AK6" s="5">
        <f t="shared" si="11"/>
        <v>0</v>
      </c>
      <c r="AL6" s="6">
        <f>IF(Tableau182985[[#This Row],[Age]]&lt;&gt;"",IF(Tableau182985[[#This Row],[Age]]=0,$AT$10*$B$10+SUMIF($AS$21:$AS$29,Tableau182985[[#This Row],[Age]],$AU$21:$AU$29)*$B$10+$AT$11*$B$10,SUMIF($AS$21:$AS$29,Tableau182985[[#This Row],[Age]],$AU$21:$AU$29)*$B$10+$AT$11*$B$10),"")</f>
        <v>134</v>
      </c>
      <c r="AM6" s="7">
        <f>IF(Tableau182985[[#This Row],[Age]]&lt;&gt;"",IF(Tableau182985[[#This Row],[Age]]=$B$11,$AT$10*$B$10,0)+Tableau182985[[#This Row],[VBO]]*$AX$21*$B$10+Tableau182985[[#This Row],[VBI]]*$AX$22*$B$10+Tableau182985[[#This Row],[VBE]]*$AX$23*$B$10,"")</f>
        <v>0</v>
      </c>
      <c r="AN6" s="7">
        <v>112.3672200414908</v>
      </c>
      <c r="AO6" s="7">
        <v>0</v>
      </c>
      <c r="AP6" s="7">
        <f>IF(Tableau182985[[#This Row],[Age]]&lt;&gt;"",Tableau182985[[#This Row],[RA]]-Tableau182985[[#This Row],[DA]],"")</f>
        <v>-112.3672200414908</v>
      </c>
      <c r="AS6" s="8" t="s">
        <v>50</v>
      </c>
      <c r="AT6" s="8">
        <v>60</v>
      </c>
      <c r="AU6" s="10">
        <v>0.6</v>
      </c>
      <c r="AV6" s="10">
        <v>0</v>
      </c>
      <c r="AW6" s="10">
        <v>0.4</v>
      </c>
    </row>
    <row r="7" spans="1:49" ht="15" customHeight="1" x14ac:dyDescent="0.2">
      <c r="A7" s="3" t="s">
        <v>51</v>
      </c>
      <c r="B7" s="3">
        <v>0.65</v>
      </c>
      <c r="D7" s="3" t="s">
        <v>51</v>
      </c>
      <c r="K7" s="3">
        <v>5</v>
      </c>
      <c r="L7" s="4">
        <v>0.74215980869768261</v>
      </c>
      <c r="M7" s="4">
        <v>0</v>
      </c>
      <c r="N7" s="4">
        <v>0.74215980869768261</v>
      </c>
      <c r="O7" s="5">
        <f t="shared" si="0"/>
        <v>0.75255004601945019</v>
      </c>
      <c r="P7" s="5">
        <f t="shared" si="1"/>
        <v>0.35847488368738223</v>
      </c>
      <c r="Q7" s="5">
        <f t="shared" si="2"/>
        <v>47.094528208728065</v>
      </c>
      <c r="R7" s="5">
        <v>1.6666666666666665</v>
      </c>
      <c r="S7" s="5">
        <v>90.363041481176694</v>
      </c>
      <c r="T7" s="5">
        <f t="shared" si="3"/>
        <v>0</v>
      </c>
      <c r="U7" s="5">
        <f t="shared" si="4"/>
        <v>0</v>
      </c>
      <c r="V7" s="5" t="str">
        <f>IF($E$4="Embrousaillement",Tableau182985[[#This Row],[SOL]],"")</f>
        <v/>
      </c>
      <c r="W7" s="5" t="str">
        <f>IF($E$4="Embrousaillement",Tableau182985[[#This Row],[L]],"")</f>
        <v/>
      </c>
      <c r="X7" s="5">
        <v>9.1666666666666661</v>
      </c>
      <c r="Y7" s="5">
        <f t="shared" si="5"/>
        <v>0</v>
      </c>
      <c r="Z7" s="5">
        <f t="shared" si="6"/>
        <v>0</v>
      </c>
      <c r="AA7" s="5">
        <f t="shared" si="7"/>
        <v>0</v>
      </c>
      <c r="AB7" s="5">
        <v>0</v>
      </c>
      <c r="AC7" s="5">
        <v>1.980420515885558E-2</v>
      </c>
      <c r="AD7" s="5">
        <f t="shared" si="8"/>
        <v>0</v>
      </c>
      <c r="AE7" s="5">
        <v>0</v>
      </c>
      <c r="AF7" s="5">
        <v>2.7725887222397813E-2</v>
      </c>
      <c r="AG7" s="5">
        <f t="shared" si="9"/>
        <v>0</v>
      </c>
      <c r="AH7" s="5">
        <v>0</v>
      </c>
      <c r="AI7" s="5">
        <v>0.34657359027997264</v>
      </c>
      <c r="AJ7" s="5">
        <f t="shared" si="10"/>
        <v>0</v>
      </c>
      <c r="AK7" s="5">
        <f t="shared" si="11"/>
        <v>0</v>
      </c>
      <c r="AL7" s="6">
        <f>IF(Tableau182985[[#This Row],[Age]]&lt;&gt;"",IF(Tableau182985[[#This Row],[Age]]=0,$AT$10*$B$10+SUMIF($AS$21:$AS$29,Tableau182985[[#This Row],[Age]],$AU$21:$AU$29)*$B$10+$AT$11*$B$10,SUMIF($AS$21:$AS$29,Tableau182985[[#This Row],[Age]],$AU$21:$AU$29)*$B$10+$AT$11*$B$10),"")</f>
        <v>9</v>
      </c>
      <c r="AM7" s="7">
        <f>IF(Tableau182985[[#This Row],[Age]]&lt;&gt;"",IF(Tableau182985[[#This Row],[Age]]=$B$11,$AT$10*$B$10,0)+Tableau182985[[#This Row],[VBO]]*$AX$21*$B$10+Tableau182985[[#This Row],[VBI]]*$AX$22*$B$10+Tableau182985[[#This Row],[VBE]]*$AX$23*$B$10,"")</f>
        <v>0</v>
      </c>
      <c r="AN7" s="7">
        <v>7.2220594185061566</v>
      </c>
      <c r="AO7" s="7">
        <v>0</v>
      </c>
      <c r="AP7" s="7">
        <f>IF(Tableau182985[[#This Row],[Age]]&lt;&gt;"",Tableau182985[[#This Row],[RA]]-Tableau182985[[#This Row],[DA]],"")</f>
        <v>-7.2220594185061566</v>
      </c>
      <c r="AS7" s="8" t="s">
        <v>52</v>
      </c>
      <c r="AT7" s="8" t="s">
        <v>166</v>
      </c>
      <c r="AU7" s="10" t="s">
        <v>166</v>
      </c>
      <c r="AV7" s="10" t="s">
        <v>166</v>
      </c>
      <c r="AW7" s="10" t="s">
        <v>166</v>
      </c>
    </row>
    <row r="8" spans="1:49" ht="15" customHeight="1" x14ac:dyDescent="0.2">
      <c r="A8" s="3" t="s">
        <v>53</v>
      </c>
      <c r="B8" s="3">
        <v>1.56</v>
      </c>
      <c r="D8" s="3" t="s">
        <v>53</v>
      </c>
      <c r="K8" s="3">
        <v>6</v>
      </c>
      <c r="L8" s="4">
        <v>1.26234787570992</v>
      </c>
      <c r="M8" s="4">
        <v>0</v>
      </c>
      <c r="N8" s="4">
        <v>1.26234787570992</v>
      </c>
      <c r="O8" s="5">
        <f t="shared" si="0"/>
        <v>1.2800207459698589</v>
      </c>
      <c r="P8" s="5">
        <f t="shared" si="1"/>
        <v>0.57317734126415021</v>
      </c>
      <c r="Q8" s="5">
        <f t="shared" si="2"/>
        <v>47.491886935343359</v>
      </c>
      <c r="R8" s="5">
        <v>2</v>
      </c>
      <c r="S8" s="5">
        <v>92.348952715762437</v>
      </c>
      <c r="T8" s="5">
        <f t="shared" si="3"/>
        <v>0</v>
      </c>
      <c r="U8" s="5">
        <f t="shared" si="4"/>
        <v>0</v>
      </c>
      <c r="V8" s="5" t="str">
        <f>IF($E$4="Embrousaillement",Tableau182985[[#This Row],[SOL]],"")</f>
        <v/>
      </c>
      <c r="W8" s="5" t="str">
        <f>IF($E$4="Embrousaillement",Tableau182985[[#This Row],[L]],"")</f>
        <v/>
      </c>
      <c r="X8" s="5">
        <v>9.1666666666666661</v>
      </c>
      <c r="Y8" s="5">
        <f t="shared" si="5"/>
        <v>0</v>
      </c>
      <c r="Z8" s="5">
        <f t="shared" si="6"/>
        <v>0</v>
      </c>
      <c r="AA8" s="5">
        <f t="shared" si="7"/>
        <v>0</v>
      </c>
      <c r="AB8" s="5">
        <v>0</v>
      </c>
      <c r="AC8" s="5">
        <v>1.980420515885558E-2</v>
      </c>
      <c r="AD8" s="5">
        <f t="shared" si="8"/>
        <v>0</v>
      </c>
      <c r="AE8" s="5">
        <v>0</v>
      </c>
      <c r="AF8" s="5">
        <v>2.7725887222397813E-2</v>
      </c>
      <c r="AG8" s="5">
        <f t="shared" si="9"/>
        <v>0</v>
      </c>
      <c r="AH8" s="5">
        <v>0</v>
      </c>
      <c r="AI8" s="5">
        <v>0.34657359027997264</v>
      </c>
      <c r="AJ8" s="5">
        <f t="shared" si="10"/>
        <v>0</v>
      </c>
      <c r="AK8" s="5">
        <f t="shared" si="11"/>
        <v>0</v>
      </c>
      <c r="AL8" s="7">
        <f>IF(Tableau182985[[#This Row],[Age]]&lt;&gt;"",IF(Tableau182985[[#This Row],[Age]]=0,$AT$10*$B$10+SUMIF($AS$21:$AS$29,Tableau182985[[#This Row],[Age]],$AU$21:$AU$29)*$B$10+$AT$11*$B$10,SUMIF($AS$21:$AS$29,Tableau182985[[#This Row],[Age]],$AU$21:$AU$29)*$B$10+$AT$11*$B$10),"")</f>
        <v>9</v>
      </c>
      <c r="AM8" s="7">
        <f>IF(Tableau182985[[#This Row],[Age]]&lt;&gt;"",IF(Tableau182985[[#This Row],[Age]]=$B$11,$AT$10*$B$10,0)+Tableau182985[[#This Row],[VBO]]*$AX$21*$B$10+Tableau182985[[#This Row],[VBI]]*$AX$22*$B$10+Tableau182985[[#This Row],[VBE]]*$AX$23*$B$10,"")</f>
        <v>0</v>
      </c>
      <c r="AN8" s="7">
        <v>6.9110616445035014</v>
      </c>
      <c r="AO8" s="7">
        <v>0</v>
      </c>
      <c r="AP8" s="7">
        <f>IF(Tableau182985[[#This Row],[Age]]&lt;&gt;"",Tableau182985[[#This Row],[RA]]-Tableau182985[[#This Row],[DA]],"")</f>
        <v>-6.9110616445035014</v>
      </c>
    </row>
    <row r="9" spans="1:49" ht="15" customHeight="1" x14ac:dyDescent="0.25">
      <c r="A9" s="11" t="s">
        <v>54</v>
      </c>
      <c r="B9" s="11">
        <v>0.25</v>
      </c>
      <c r="D9" s="3" t="s">
        <v>55</v>
      </c>
      <c r="E9" s="3">
        <f>E11*1</f>
        <v>60</v>
      </c>
      <c r="K9" s="3">
        <v>7</v>
      </c>
      <c r="L9" s="4">
        <v>1.9733114333983361</v>
      </c>
      <c r="M9" s="4">
        <v>0</v>
      </c>
      <c r="N9" s="4">
        <v>1.9733114333983361</v>
      </c>
      <c r="O9" s="5">
        <f t="shared" si="0"/>
        <v>2.0009377934659129</v>
      </c>
      <c r="P9" s="5">
        <f t="shared" si="1"/>
        <v>0.85059350565380221</v>
      </c>
      <c r="Q9" s="5">
        <f t="shared" si="2"/>
        <v>47.882352376412911</v>
      </c>
      <c r="R9" s="5">
        <v>2.333333333333333</v>
      </c>
      <c r="S9" s="5">
        <v>94.54529897418486</v>
      </c>
      <c r="T9" s="5">
        <f t="shared" si="3"/>
        <v>0</v>
      </c>
      <c r="U9" s="5">
        <f t="shared" si="4"/>
        <v>0</v>
      </c>
      <c r="V9" s="5" t="str">
        <f>IF($E$4="Embrousaillement",Tableau182985[[#This Row],[SOL]],"")</f>
        <v/>
      </c>
      <c r="W9" s="5" t="str">
        <f>IF($E$4="Embrousaillement",Tableau182985[[#This Row],[L]],"")</f>
        <v/>
      </c>
      <c r="X9" s="5">
        <v>9.1666666666666661</v>
      </c>
      <c r="Y9" s="5">
        <f t="shared" si="5"/>
        <v>0</v>
      </c>
      <c r="Z9" s="5">
        <f t="shared" si="6"/>
        <v>0</v>
      </c>
      <c r="AA9" s="5">
        <f t="shared" si="7"/>
        <v>0</v>
      </c>
      <c r="AB9" s="5">
        <v>0</v>
      </c>
      <c r="AC9" s="5">
        <v>1.980420515885558E-2</v>
      </c>
      <c r="AD9" s="5">
        <f t="shared" si="8"/>
        <v>0</v>
      </c>
      <c r="AE9" s="5">
        <v>0</v>
      </c>
      <c r="AF9" s="5">
        <v>2.7725887222397813E-2</v>
      </c>
      <c r="AG9" s="5">
        <f t="shared" si="9"/>
        <v>0</v>
      </c>
      <c r="AH9" s="5">
        <v>0</v>
      </c>
      <c r="AI9" s="5">
        <v>0.34657359027997264</v>
      </c>
      <c r="AJ9" s="5">
        <f t="shared" si="10"/>
        <v>0</v>
      </c>
      <c r="AK9" s="5">
        <f t="shared" si="11"/>
        <v>0</v>
      </c>
      <c r="AL9" s="7">
        <f>IF(Tableau182985[[#This Row],[Age]]&lt;&gt;"",IF(Tableau182985[[#This Row],[Age]]=0,$AT$10*$B$10+SUMIF($AS$21:$AS$29,Tableau182985[[#This Row],[Age]],$AU$21:$AU$29)*$B$10+$AT$11*$B$10,SUMIF($AS$21:$AS$29,Tableau182985[[#This Row],[Age]],$AU$21:$AU$29)*$B$10+$AT$11*$B$10),"")</f>
        <v>9</v>
      </c>
      <c r="AM9" s="7">
        <f>IF(Tableau182985[[#This Row],[Age]]&lt;&gt;"",IF(Tableau182985[[#This Row],[Age]]=$B$11,$AT$10*$B$10,0)+Tableau182985[[#This Row],[VBO]]*$AX$21*$B$10+Tableau182985[[#This Row],[VBI]]*$AX$22*$B$10+Tableau182985[[#This Row],[VBE]]*$AX$23*$B$10,"")</f>
        <v>0</v>
      </c>
      <c r="AN9" s="7">
        <v>6.6134561191421062</v>
      </c>
      <c r="AO9" s="7">
        <v>0</v>
      </c>
      <c r="AP9" s="7">
        <f>IF(Tableau182985[[#This Row],[Age]]&lt;&gt;"",Tableau182985[[#This Row],[RA]]-Tableau182985[[#This Row],[DA]],"")</f>
        <v>-6.6134561191421062</v>
      </c>
      <c r="AS9" s="1" t="s">
        <v>56</v>
      </c>
    </row>
    <row r="10" spans="1:49" ht="15" customHeight="1" x14ac:dyDescent="0.2">
      <c r="A10" s="3" t="s">
        <v>57</v>
      </c>
      <c r="B10" s="9">
        <v>0.5</v>
      </c>
      <c r="D10" s="11" t="s">
        <v>58</v>
      </c>
      <c r="E10" s="9"/>
      <c r="K10" s="3">
        <v>8</v>
      </c>
      <c r="L10" s="4">
        <v>2.8999197684271625</v>
      </c>
      <c r="M10" s="4">
        <v>0</v>
      </c>
      <c r="N10" s="4">
        <v>2.8999197684271625</v>
      </c>
      <c r="O10" s="5">
        <f t="shared" si="0"/>
        <v>2.9405186451851431</v>
      </c>
      <c r="P10" s="5">
        <f t="shared" si="1"/>
        <v>1.1952299195160732</v>
      </c>
      <c r="Q10" s="5">
        <f t="shared" si="2"/>
        <v>48.266044115029857</v>
      </c>
      <c r="R10" s="5">
        <v>2.6666666666666665</v>
      </c>
      <c r="S10" s="5">
        <v>96.978184141537596</v>
      </c>
      <c r="T10" s="5">
        <f t="shared" si="3"/>
        <v>0</v>
      </c>
      <c r="U10" s="5">
        <f t="shared" si="4"/>
        <v>0</v>
      </c>
      <c r="V10" s="5" t="str">
        <f>IF($E$4="Embrousaillement",Tableau182985[[#This Row],[SOL]],"")</f>
        <v/>
      </c>
      <c r="W10" s="5" t="str">
        <f>IF($E$4="Embrousaillement",Tableau182985[[#This Row],[L]],"")</f>
        <v/>
      </c>
      <c r="X10" s="5">
        <v>9.1666666666666661</v>
      </c>
      <c r="Y10" s="5">
        <f t="shared" si="5"/>
        <v>0</v>
      </c>
      <c r="Z10" s="5">
        <f t="shared" si="6"/>
        <v>0</v>
      </c>
      <c r="AA10" s="5">
        <f t="shared" si="7"/>
        <v>0</v>
      </c>
      <c r="AB10" s="5">
        <v>0</v>
      </c>
      <c r="AC10" s="5">
        <v>1.980420515885558E-2</v>
      </c>
      <c r="AD10" s="5">
        <f t="shared" si="8"/>
        <v>0</v>
      </c>
      <c r="AE10" s="5">
        <v>0</v>
      </c>
      <c r="AF10" s="5">
        <v>2.7725887222397813E-2</v>
      </c>
      <c r="AG10" s="5">
        <f t="shared" si="9"/>
        <v>0</v>
      </c>
      <c r="AH10" s="5">
        <v>0</v>
      </c>
      <c r="AI10" s="5">
        <v>0.34657359027997264</v>
      </c>
      <c r="AJ10" s="5">
        <f t="shared" si="10"/>
        <v>0</v>
      </c>
      <c r="AK10" s="5">
        <f t="shared" si="11"/>
        <v>0</v>
      </c>
      <c r="AL10" s="7">
        <f>IF(Tableau182985[[#This Row],[Age]]&lt;&gt;"",IF(Tableau182985[[#This Row],[Age]]=0,$AT$10*$B$10+SUMIF($AS$21:$AS$29,Tableau182985[[#This Row],[Age]],$AU$21:$AU$29)*$B$10+$AT$11*$B$10,SUMIF($AS$21:$AS$29,Tableau182985[[#This Row],[Age]],$AU$21:$AU$29)*$B$10+$AT$11*$B$10),"")</f>
        <v>9</v>
      </c>
      <c r="AM10" s="7">
        <f>IF(Tableau182985[[#This Row],[Age]]&lt;&gt;"",IF(Tableau182985[[#This Row],[Age]]=$B$11,$AT$10*$B$10,0)+Tableau182985[[#This Row],[VBO]]*$AX$21*$B$10+Tableau182985[[#This Row],[VBI]]*$AX$22*$B$10+Tableau182985[[#This Row],[VBE]]*$AX$23*$B$10,"")</f>
        <v>0</v>
      </c>
      <c r="AN10" s="7">
        <v>6.3286661427197206</v>
      </c>
      <c r="AO10" s="7">
        <v>0</v>
      </c>
      <c r="AP10" s="7">
        <f>IF(Tableau182985[[#This Row],[Age]]&lt;&gt;"",Tableau182985[[#This Row],[RA]]-Tableau182985[[#This Row],[DA]],"")</f>
        <v>-6.3286661427197206</v>
      </c>
      <c r="AS10" s="3" t="s">
        <v>59</v>
      </c>
      <c r="AT10" s="9">
        <v>0</v>
      </c>
    </row>
    <row r="11" spans="1:49" ht="15" customHeight="1" x14ac:dyDescent="0.2">
      <c r="A11" s="3" t="s">
        <v>60</v>
      </c>
      <c r="B11" s="3">
        <f>MAX(K:K)</f>
        <v>60</v>
      </c>
      <c r="D11" s="3" t="s">
        <v>61</v>
      </c>
      <c r="E11" s="9">
        <f>B11</f>
        <v>60</v>
      </c>
      <c r="K11" s="3">
        <v>9</v>
      </c>
      <c r="L11" s="4">
        <v>4.0653349009844311</v>
      </c>
      <c r="M11" s="4">
        <v>0</v>
      </c>
      <c r="N11" s="4">
        <v>4.0653349009844311</v>
      </c>
      <c r="O11" s="5">
        <f t="shared" si="0"/>
        <v>4.1222495895982139</v>
      </c>
      <c r="P11" s="5">
        <f t="shared" si="1"/>
        <v>1.6109598540739833</v>
      </c>
      <c r="Q11" s="5">
        <f t="shared" si="2"/>
        <v>48.643079659788015</v>
      </c>
      <c r="R11" s="5">
        <v>3</v>
      </c>
      <c r="S11" s="5">
        <v>99.671649266809226</v>
      </c>
      <c r="T11" s="5">
        <f t="shared" si="3"/>
        <v>0</v>
      </c>
      <c r="U11" s="5">
        <f t="shared" si="4"/>
        <v>0</v>
      </c>
      <c r="V11" s="5" t="str">
        <f>IF($E$4="Embrousaillement",Tableau182985[[#This Row],[SOL]],"")</f>
        <v/>
      </c>
      <c r="W11" s="5" t="str">
        <f>IF($E$4="Embrousaillement",Tableau182985[[#This Row],[L]],"")</f>
        <v/>
      </c>
      <c r="X11" s="5">
        <v>9.1666666666666661</v>
      </c>
      <c r="Y11" s="5">
        <f t="shared" si="5"/>
        <v>0</v>
      </c>
      <c r="Z11" s="5">
        <f t="shared" si="6"/>
        <v>0</v>
      </c>
      <c r="AA11" s="5">
        <f t="shared" si="7"/>
        <v>0</v>
      </c>
      <c r="AB11" s="5">
        <v>0</v>
      </c>
      <c r="AC11" s="5">
        <v>1.980420515885558E-2</v>
      </c>
      <c r="AD11" s="5">
        <f t="shared" si="8"/>
        <v>0</v>
      </c>
      <c r="AE11" s="5">
        <v>0</v>
      </c>
      <c r="AF11" s="5">
        <v>2.7725887222397813E-2</v>
      </c>
      <c r="AG11" s="5">
        <f t="shared" si="9"/>
        <v>0</v>
      </c>
      <c r="AH11" s="5">
        <v>0</v>
      </c>
      <c r="AI11" s="5">
        <v>0.34657359027997264</v>
      </c>
      <c r="AJ11" s="5">
        <f t="shared" si="10"/>
        <v>0</v>
      </c>
      <c r="AK11" s="5">
        <f t="shared" si="11"/>
        <v>0</v>
      </c>
      <c r="AL11" s="7">
        <f>IF(Tableau182985[[#This Row],[Age]]&lt;&gt;"",IF(Tableau182985[[#This Row],[Age]]=0,$AT$10*$B$10+SUMIF($AS$21:$AS$29,Tableau182985[[#This Row],[Age]],$AU$21:$AU$29)*$B$10+$AT$11*$B$10,SUMIF($AS$21:$AS$29,Tableau182985[[#This Row],[Age]],$AU$21:$AU$29)*$B$10+$AT$11*$B$10),"")</f>
        <v>9</v>
      </c>
      <c r="AM11" s="7">
        <f>IF(Tableau182985[[#This Row],[Age]]&lt;&gt;"",IF(Tableau182985[[#This Row],[Age]]=$B$11,$AT$10*$B$10,0)+Tableau182985[[#This Row],[VBO]]*$AX$21*$B$10+Tableau182985[[#This Row],[VBI]]*$AX$22*$B$10+Tableau182985[[#This Row],[VBE]]*$AX$23*$B$10,"")</f>
        <v>0</v>
      </c>
      <c r="AN11" s="7">
        <v>6.0561398494925562</v>
      </c>
      <c r="AO11" s="7">
        <v>0</v>
      </c>
      <c r="AP11" s="7">
        <f>IF(Tableau182985[[#This Row],[Age]]&lt;&gt;"",Tableau182985[[#This Row],[RA]]-Tableau182985[[#This Row],[DA]],"")</f>
        <v>-6.0561398494925562</v>
      </c>
      <c r="AS11" s="3" t="s">
        <v>62</v>
      </c>
      <c r="AT11" s="9">
        <v>18</v>
      </c>
    </row>
    <row r="12" spans="1:49" ht="15" customHeight="1" x14ac:dyDescent="0.2">
      <c r="K12" s="3">
        <v>10</v>
      </c>
      <c r="L12" s="4">
        <v>5.4911058244022648</v>
      </c>
      <c r="M12" s="4">
        <v>0</v>
      </c>
      <c r="N12" s="4">
        <v>5.4911058244022648</v>
      </c>
      <c r="O12" s="5">
        <f t="shared" si="0"/>
        <v>5.5679813059438965</v>
      </c>
      <c r="P12" s="5">
        <f t="shared" si="1"/>
        <v>2.1011188214571797</v>
      </c>
      <c r="Q12" s="5">
        <f t="shared" si="2"/>
        <v>49.013574480769819</v>
      </c>
      <c r="R12" s="5">
        <v>3.333333333333333</v>
      </c>
      <c r="S12" s="5">
        <v>102.64783902013421</v>
      </c>
      <c r="T12" s="5">
        <f t="shared" si="3"/>
        <v>0</v>
      </c>
      <c r="U12" s="5">
        <f t="shared" si="4"/>
        <v>0</v>
      </c>
      <c r="V12" s="5" t="str">
        <f>IF($E$4="Embrousaillement",Tableau182985[[#This Row],[SOL]],"")</f>
        <v/>
      </c>
      <c r="W12" s="5" t="str">
        <f>IF($E$4="Embrousaillement",Tableau182985[[#This Row],[L]],"")</f>
        <v/>
      </c>
      <c r="X12" s="5">
        <v>9.1666666666666661</v>
      </c>
      <c r="Y12" s="5">
        <f t="shared" si="5"/>
        <v>0</v>
      </c>
      <c r="Z12" s="5">
        <f t="shared" si="6"/>
        <v>0</v>
      </c>
      <c r="AA12" s="5">
        <f t="shared" si="7"/>
        <v>0</v>
      </c>
      <c r="AB12" s="5">
        <v>0</v>
      </c>
      <c r="AC12" s="5">
        <v>1.980420515885558E-2</v>
      </c>
      <c r="AD12" s="5">
        <f t="shared" si="8"/>
        <v>0</v>
      </c>
      <c r="AE12" s="5">
        <v>0</v>
      </c>
      <c r="AF12" s="5">
        <v>2.7725887222397813E-2</v>
      </c>
      <c r="AG12" s="5">
        <f t="shared" si="9"/>
        <v>0</v>
      </c>
      <c r="AH12" s="5">
        <v>0</v>
      </c>
      <c r="AI12" s="5">
        <v>0.34657359027997264</v>
      </c>
      <c r="AJ12" s="5">
        <f t="shared" si="10"/>
        <v>0</v>
      </c>
      <c r="AK12" s="5">
        <f t="shared" si="11"/>
        <v>0</v>
      </c>
      <c r="AL12" s="7">
        <f>IF(Tableau182985[[#This Row],[Age]]&lt;&gt;"",IF(Tableau182985[[#This Row],[Age]]=0,$AT$10*$B$10+SUMIF($AS$21:$AS$29,Tableau182985[[#This Row],[Age]],$AU$21:$AU$29)*$B$10+$AT$11*$B$10,SUMIF($AS$21:$AS$29,Tableau182985[[#This Row],[Age]],$AU$21:$AU$29)*$B$10+$AT$11*$B$10),"")</f>
        <v>9</v>
      </c>
      <c r="AM12" s="7">
        <f>IF(Tableau182985[[#This Row],[Age]]&lt;&gt;"",IF(Tableau182985[[#This Row],[Age]]=$B$11,$AT$10*$B$10,0)+Tableau182985[[#This Row],[VBO]]*$AX$21*$B$10+Tableau182985[[#This Row],[VBI]]*$AX$22*$B$10+Tableau182985[[#This Row],[VBE]]*$AX$23*$B$10,"")</f>
        <v>0</v>
      </c>
      <c r="AN12" s="7">
        <v>5.7953491382703897</v>
      </c>
      <c r="AO12" s="7">
        <v>0</v>
      </c>
      <c r="AP12" s="7">
        <f>IF(Tableau182985[[#This Row],[Age]]&lt;&gt;"",Tableau182985[[#This Row],[RA]]-Tableau182985[[#This Row],[DA]],"")</f>
        <v>-5.7953491382703897</v>
      </c>
    </row>
    <row r="13" spans="1:49" ht="15" customHeight="1" x14ac:dyDescent="0.2">
      <c r="K13" s="3">
        <v>11</v>
      </c>
      <c r="L13" s="4">
        <v>7.1972581260669175</v>
      </c>
      <c r="M13" s="4">
        <v>0</v>
      </c>
      <c r="N13" s="4">
        <v>7.1972581260669175</v>
      </c>
      <c r="O13" s="5">
        <f t="shared" si="0"/>
        <v>7.2980197398318554</v>
      </c>
      <c r="P13" s="5">
        <f t="shared" si="1"/>
        <v>2.6685788069319898</v>
      </c>
      <c r="Q13" s="5">
        <f t="shared" si="2"/>
        <v>49.377642044909919</v>
      </c>
      <c r="R13" s="5">
        <v>3.6666666666666665</v>
      </c>
      <c r="S13" s="5">
        <v>105.92714553903059</v>
      </c>
      <c r="T13" s="5">
        <f t="shared" si="3"/>
        <v>0</v>
      </c>
      <c r="U13" s="5">
        <f t="shared" si="4"/>
        <v>0</v>
      </c>
      <c r="V13" s="5" t="str">
        <f>IF($E$4="Embrousaillement",Tableau182985[[#This Row],[SOL]],"")</f>
        <v/>
      </c>
      <c r="W13" s="5" t="str">
        <f>IF($E$4="Embrousaillement",Tableau182985[[#This Row],[L]],"")</f>
        <v/>
      </c>
      <c r="X13" s="5">
        <v>9.1666666666666661</v>
      </c>
      <c r="Y13" s="5">
        <f t="shared" si="5"/>
        <v>0</v>
      </c>
      <c r="Z13" s="5">
        <f t="shared" si="6"/>
        <v>0</v>
      </c>
      <c r="AA13" s="5">
        <f t="shared" si="7"/>
        <v>0</v>
      </c>
      <c r="AB13" s="5">
        <v>0</v>
      </c>
      <c r="AC13" s="5">
        <v>1.980420515885558E-2</v>
      </c>
      <c r="AD13" s="5">
        <f t="shared" si="8"/>
        <v>0</v>
      </c>
      <c r="AE13" s="5">
        <v>0</v>
      </c>
      <c r="AF13" s="5">
        <v>2.7725887222397813E-2</v>
      </c>
      <c r="AG13" s="5">
        <f t="shared" si="9"/>
        <v>0</v>
      </c>
      <c r="AH13" s="5">
        <v>0</v>
      </c>
      <c r="AI13" s="5">
        <v>0.34657359027997264</v>
      </c>
      <c r="AJ13" s="5">
        <f t="shared" si="10"/>
        <v>0</v>
      </c>
      <c r="AK13" s="5">
        <f t="shared" si="11"/>
        <v>0</v>
      </c>
      <c r="AL13" s="7">
        <f>IF(Tableau182985[[#This Row],[Age]]&lt;&gt;"",IF(Tableau182985[[#This Row],[Age]]=0,$AT$10*$B$10+SUMIF($AS$21:$AS$29,Tableau182985[[#This Row],[Age]],$AU$21:$AU$29)*$B$10+$AT$11*$B$10,SUMIF($AS$21:$AS$29,Tableau182985[[#This Row],[Age]],$AU$21:$AU$29)*$B$10+$AT$11*$B$10),"")</f>
        <v>9</v>
      </c>
      <c r="AM13" s="7">
        <f>IF(Tableau182985[[#This Row],[Age]]&lt;&gt;"",IF(Tableau182985[[#This Row],[Age]]=$B$11,$AT$10*$B$10,0)+Tableau182985[[#This Row],[VBO]]*$AX$21*$B$10+Tableau182985[[#This Row],[VBI]]*$AX$22*$B$10+Tableau182985[[#This Row],[VBE]]*$AX$23*$B$10,"")</f>
        <v>0</v>
      </c>
      <c r="AN13" s="7">
        <v>5.5457886490625734</v>
      </c>
      <c r="AO13" s="7">
        <v>0</v>
      </c>
      <c r="AP13" s="7">
        <f>IF(Tableau182985[[#This Row],[Age]]&lt;&gt;"",Tableau182985[[#This Row],[RA]]-Tableau182985[[#This Row],[DA]],"")</f>
        <v>-5.5457886490625734</v>
      </c>
    </row>
    <row r="14" spans="1:49" ht="15" customHeight="1" x14ac:dyDescent="0.2">
      <c r="K14" s="3">
        <v>12</v>
      </c>
      <c r="L14" s="4">
        <v>9.2023791995029391</v>
      </c>
      <c r="M14" s="4">
        <v>0</v>
      </c>
      <c r="N14" s="4">
        <v>9.2023791995029391</v>
      </c>
      <c r="O14" s="5">
        <f t="shared" si="0"/>
        <v>9.3312125082959803</v>
      </c>
      <c r="P14" s="5">
        <f t="shared" si="1"/>
        <v>3.3158078277808669</v>
      </c>
      <c r="Q14" s="5">
        <f t="shared" si="2"/>
        <v>49.735393850745325</v>
      </c>
      <c r="R14" s="5">
        <v>4</v>
      </c>
      <c r="S14" s="5">
        <v>109.52833560236667</v>
      </c>
      <c r="T14" s="5">
        <f t="shared" si="3"/>
        <v>0</v>
      </c>
      <c r="U14" s="5">
        <f t="shared" si="4"/>
        <v>0</v>
      </c>
      <c r="V14" s="5" t="str">
        <f>IF($E$4="Embrousaillement",Tableau182985[[#This Row],[SOL]],"")</f>
        <v/>
      </c>
      <c r="W14" s="5" t="str">
        <f>IF($E$4="Embrousaillement",Tableau182985[[#This Row],[L]],"")</f>
        <v/>
      </c>
      <c r="X14" s="5">
        <v>9.1666666666666661</v>
      </c>
      <c r="Y14" s="5">
        <f t="shared" si="5"/>
        <v>0</v>
      </c>
      <c r="Z14" s="5">
        <f t="shared" si="6"/>
        <v>0</v>
      </c>
      <c r="AA14" s="5">
        <f t="shared" si="7"/>
        <v>0</v>
      </c>
      <c r="AB14" s="5">
        <v>0</v>
      </c>
      <c r="AC14" s="5">
        <v>1.980420515885558E-2</v>
      </c>
      <c r="AD14" s="5">
        <f t="shared" si="8"/>
        <v>0</v>
      </c>
      <c r="AE14" s="5">
        <v>0</v>
      </c>
      <c r="AF14" s="5">
        <v>2.7725887222397813E-2</v>
      </c>
      <c r="AG14" s="5">
        <f t="shared" si="9"/>
        <v>0</v>
      </c>
      <c r="AH14" s="5">
        <v>0</v>
      </c>
      <c r="AI14" s="5">
        <v>0.34657359027997264</v>
      </c>
      <c r="AJ14" s="5">
        <f t="shared" si="10"/>
        <v>0</v>
      </c>
      <c r="AK14" s="5">
        <f t="shared" si="11"/>
        <v>0</v>
      </c>
      <c r="AL14" s="7">
        <f>IF(Tableau182985[[#This Row],[Age]]&lt;&gt;"",IF(Tableau182985[[#This Row],[Age]]=0,$AT$10*$B$10+SUMIF($AS$21:$AS$29,Tableau182985[[#This Row],[Age]],$AU$21:$AU$29)*$B$10+$AT$11*$B$10,SUMIF($AS$21:$AS$29,Tableau182985[[#This Row],[Age]],$AU$21:$AU$29)*$B$10+$AT$11*$B$10),"")</f>
        <v>9</v>
      </c>
      <c r="AM14" s="7">
        <f>IF(Tableau182985[[#This Row],[Age]]&lt;&gt;"",IF(Tableau182985[[#This Row],[Age]]=$B$11,$AT$10*$B$10,0)+Tableau182985[[#This Row],[VBO]]*$AX$21*$B$10+Tableau182985[[#This Row],[VBI]]*$AX$22*$B$10+Tableau182985[[#This Row],[VBE]]*$AX$23*$B$10,"")</f>
        <v>0</v>
      </c>
      <c r="AN14" s="7">
        <v>5.3069747837919374</v>
      </c>
      <c r="AO14" s="7">
        <v>0</v>
      </c>
      <c r="AP14" s="7">
        <f>IF(Tableau182985[[#This Row],[Age]]&lt;&gt;"",Tableau182985[[#This Row],[RA]]-Tableau182985[[#This Row],[DA]],"")</f>
        <v>-5.3069747837919374</v>
      </c>
    </row>
    <row r="15" spans="1:49" ht="15" customHeight="1" x14ac:dyDescent="0.25">
      <c r="A15" s="1" t="s">
        <v>63</v>
      </c>
      <c r="B15" s="1" t="s">
        <v>64</v>
      </c>
      <c r="C15" s="1"/>
      <c r="D15" s="1"/>
      <c r="E15" s="1"/>
      <c r="F15" s="1"/>
      <c r="G15" s="1"/>
      <c r="H15" s="1"/>
      <c r="K15" s="3">
        <v>13</v>
      </c>
      <c r="L15" s="4">
        <v>11.523699248465936</v>
      </c>
      <c r="M15" s="4">
        <v>0</v>
      </c>
      <c r="N15" s="4">
        <v>11.523699248465936</v>
      </c>
      <c r="O15" s="5">
        <f t="shared" si="0"/>
        <v>11.68503103794446</v>
      </c>
      <c r="P15" s="5">
        <f t="shared" si="1"/>
        <v>4.0449188979164665</v>
      </c>
      <c r="Q15" s="5">
        <f t="shared" si="2"/>
        <v>50.086939462562704</v>
      </c>
      <c r="R15" s="5">
        <v>4.333333333333333</v>
      </c>
      <c r="S15" s="5">
        <v>113.46866486162163</v>
      </c>
      <c r="T15" s="5">
        <f t="shared" si="3"/>
        <v>0</v>
      </c>
      <c r="U15" s="5">
        <f t="shared" si="4"/>
        <v>0</v>
      </c>
      <c r="V15" s="5" t="str">
        <f>IF($E$4="Embrousaillement",Tableau182985[[#This Row],[SOL]],"")</f>
        <v/>
      </c>
      <c r="W15" s="5" t="str">
        <f>IF($E$4="Embrousaillement",Tableau182985[[#This Row],[L]],"")</f>
        <v/>
      </c>
      <c r="X15" s="5">
        <v>9.1666666666666661</v>
      </c>
      <c r="Y15" s="5">
        <f t="shared" si="5"/>
        <v>0</v>
      </c>
      <c r="Z15" s="5">
        <f t="shared" si="6"/>
        <v>0</v>
      </c>
      <c r="AA15" s="5">
        <f t="shared" si="7"/>
        <v>0</v>
      </c>
      <c r="AB15" s="5">
        <v>0</v>
      </c>
      <c r="AC15" s="5">
        <v>1.980420515885558E-2</v>
      </c>
      <c r="AD15" s="5">
        <f t="shared" si="8"/>
        <v>0</v>
      </c>
      <c r="AE15" s="5">
        <v>0</v>
      </c>
      <c r="AF15" s="5">
        <v>2.7725887222397813E-2</v>
      </c>
      <c r="AG15" s="5">
        <f t="shared" si="9"/>
        <v>0</v>
      </c>
      <c r="AH15" s="5">
        <v>0</v>
      </c>
      <c r="AI15" s="5">
        <v>0.34657359027997264</v>
      </c>
      <c r="AJ15" s="5">
        <f t="shared" si="10"/>
        <v>0</v>
      </c>
      <c r="AK15" s="5">
        <f t="shared" si="11"/>
        <v>0</v>
      </c>
      <c r="AL15" s="7">
        <f>IF(Tableau182985[[#This Row],[Age]]&lt;&gt;"",IF(Tableau182985[[#This Row],[Age]]=0,$AT$10*$B$10+SUMIF($AS$21:$AS$29,Tableau182985[[#This Row],[Age]],$AU$21:$AU$29)*$B$10+$AT$11*$B$10,SUMIF($AS$21:$AS$29,Tableau182985[[#This Row],[Age]],$AU$21:$AU$29)*$B$10+$AT$11*$B$10),"")</f>
        <v>9</v>
      </c>
      <c r="AM15" s="7">
        <f>IF(Tableau182985[[#This Row],[Age]]&lt;&gt;"",IF(Tableau182985[[#This Row],[Age]]=$B$11,$AT$10*$B$10,0)+Tableau182985[[#This Row],[VBO]]*$AX$21*$B$10+Tableau182985[[#This Row],[VBI]]*$AX$22*$B$10+Tableau182985[[#This Row],[VBE]]*$AX$23*$B$10,"")</f>
        <v>0</v>
      </c>
      <c r="AN15" s="7">
        <v>5.078444769178887</v>
      </c>
      <c r="AO15" s="7">
        <v>0</v>
      </c>
      <c r="AP15" s="7">
        <f>IF(Tableau182985[[#This Row],[Age]]&lt;&gt;"",Tableau182985[[#This Row],[RA]]-Tableau182985[[#This Row],[DA]],"")</f>
        <v>-5.078444769178887</v>
      </c>
    </row>
    <row r="16" spans="1:49" ht="15" customHeight="1" x14ac:dyDescent="0.2">
      <c r="A16" s="12"/>
      <c r="B16" s="13"/>
      <c r="C16" s="13"/>
      <c r="D16" s="13"/>
      <c r="E16" s="13"/>
      <c r="F16" s="13"/>
      <c r="G16" s="13"/>
      <c r="H16" s="13"/>
      <c r="I16" s="14"/>
      <c r="K16" s="3">
        <v>14</v>
      </c>
      <c r="L16" s="4">
        <v>14.177168275204039</v>
      </c>
      <c r="M16" s="4">
        <v>0</v>
      </c>
      <c r="N16" s="4">
        <v>14.177168275204039</v>
      </c>
      <c r="O16" s="5">
        <f t="shared" si="0"/>
        <v>14.375648631056897</v>
      </c>
      <c r="P16" s="5">
        <f t="shared" si="1"/>
        <v>4.8577110589066708</v>
      </c>
      <c r="Q16" s="5">
        <f t="shared" si="2"/>
        <v>50.432386543953299</v>
      </c>
      <c r="R16" s="5">
        <v>4.6666666666666661</v>
      </c>
      <c r="S16" s="5">
        <v>117.76398161614654</v>
      </c>
      <c r="T16" s="5">
        <f t="shared" si="3"/>
        <v>0</v>
      </c>
      <c r="U16" s="5">
        <f t="shared" si="4"/>
        <v>0</v>
      </c>
      <c r="V16" s="5" t="str">
        <f>IF($E$4="Embrousaillement",Tableau182985[[#This Row],[SOL]],"")</f>
        <v/>
      </c>
      <c r="W16" s="5" t="str">
        <f>IF($E$4="Embrousaillement",Tableau182985[[#This Row],[L]],"")</f>
        <v/>
      </c>
      <c r="X16" s="5">
        <v>9.1666666666666661</v>
      </c>
      <c r="Y16" s="5">
        <f t="shared" si="5"/>
        <v>0</v>
      </c>
      <c r="Z16" s="5">
        <f t="shared" si="6"/>
        <v>0</v>
      </c>
      <c r="AA16" s="5">
        <f t="shared" si="7"/>
        <v>0</v>
      </c>
      <c r="AB16" s="5">
        <v>0</v>
      </c>
      <c r="AC16" s="5">
        <v>1.980420515885558E-2</v>
      </c>
      <c r="AD16" s="5">
        <f t="shared" si="8"/>
        <v>0</v>
      </c>
      <c r="AE16" s="5">
        <v>0</v>
      </c>
      <c r="AF16" s="5">
        <v>2.7725887222397813E-2</v>
      </c>
      <c r="AG16" s="5">
        <f t="shared" si="9"/>
        <v>0</v>
      </c>
      <c r="AH16" s="5">
        <v>0</v>
      </c>
      <c r="AI16" s="5">
        <v>0.34657359027997264</v>
      </c>
      <c r="AJ16" s="5">
        <f t="shared" si="10"/>
        <v>0</v>
      </c>
      <c r="AK16" s="5">
        <f t="shared" si="11"/>
        <v>0</v>
      </c>
      <c r="AL16" s="7">
        <f>IF(Tableau182985[[#This Row],[Age]]&lt;&gt;"",IF(Tableau182985[[#This Row],[Age]]=0,$AT$10*$B$10+SUMIF($AS$21:$AS$29,Tableau182985[[#This Row],[Age]],$AU$21:$AU$29)*$B$10+$AT$11*$B$10,SUMIF($AS$21:$AS$29,Tableau182985[[#This Row],[Age]],$AU$21:$AU$29)*$B$10+$AT$11*$B$10),"")</f>
        <v>9</v>
      </c>
      <c r="AM16" s="7">
        <f>IF(Tableau182985[[#This Row],[Age]]&lt;&gt;"",IF(Tableau182985[[#This Row],[Age]]=$B$11,$AT$10*$B$10,0)+Tableau182985[[#This Row],[VBO]]*$AX$21*$B$10+Tableau182985[[#This Row],[VBI]]*$AX$22*$B$10+Tableau182985[[#This Row],[VBE]]*$AX$23*$B$10,"")</f>
        <v>0</v>
      </c>
      <c r="AN16" s="7">
        <v>4.859755759979798</v>
      </c>
      <c r="AO16" s="7">
        <v>0</v>
      </c>
      <c r="AP16" s="7">
        <f>IF(Tableau182985[[#This Row],[Age]]&lt;&gt;"",Tableau182985[[#This Row],[RA]]-Tableau182985[[#This Row],[DA]],"")</f>
        <v>-4.859755759979798</v>
      </c>
      <c r="AS16" s="3" t="s">
        <v>65</v>
      </c>
      <c r="AT16" s="9"/>
    </row>
    <row r="17" spans="1:50" ht="15" customHeight="1" x14ac:dyDescent="0.2">
      <c r="A17" s="15" t="s">
        <v>66</v>
      </c>
      <c r="B17" s="16">
        <f>AT16*B10+SUM(AP:AP)</f>
        <v>-2743.1015669005774</v>
      </c>
      <c r="I17" s="17"/>
      <c r="K17" s="3">
        <v>15</v>
      </c>
      <c r="L17" s="4">
        <v>17.177529236734049</v>
      </c>
      <c r="M17" s="4">
        <v>3.4355058473468096</v>
      </c>
      <c r="N17" s="4">
        <v>13.742023389387239</v>
      </c>
      <c r="O17" s="5">
        <f t="shared" si="0"/>
        <v>13.93441171683866</v>
      </c>
      <c r="P17" s="5">
        <f t="shared" si="1"/>
        <v>4.7257287022508896</v>
      </c>
      <c r="Q17" s="5">
        <f t="shared" si="2"/>
        <v>50.771840890785739</v>
      </c>
      <c r="R17" s="5">
        <v>5</v>
      </c>
      <c r="S17" s="5">
        <v>118.49824724806433</v>
      </c>
      <c r="T17" s="5">
        <f t="shared" si="3"/>
        <v>0</v>
      </c>
      <c r="U17" s="5">
        <f t="shared" si="4"/>
        <v>0</v>
      </c>
      <c r="V17" s="5" t="str">
        <f>IF($E$4="Embrousaillement",Tableau182985[[#This Row],[SOL]],"")</f>
        <v/>
      </c>
      <c r="W17" s="5" t="str">
        <f>IF($E$4="Embrousaillement",Tableau182985[[#This Row],[L]],"")</f>
        <v/>
      </c>
      <c r="X17" s="5">
        <v>9.1666666666666661</v>
      </c>
      <c r="Y17" s="5">
        <f t="shared" si="5"/>
        <v>0</v>
      </c>
      <c r="Z17" s="5">
        <f t="shared" si="6"/>
        <v>0</v>
      </c>
      <c r="AA17" s="5">
        <f t="shared" si="7"/>
        <v>3.4355058473468096</v>
      </c>
      <c r="AB17" s="5">
        <v>0</v>
      </c>
      <c r="AC17" s="5">
        <v>1.980420515885558E-2</v>
      </c>
      <c r="AD17" s="5">
        <f t="shared" si="8"/>
        <v>0</v>
      </c>
      <c r="AE17" s="5">
        <v>0</v>
      </c>
      <c r="AF17" s="5">
        <v>2.7725887222397813E-2</v>
      </c>
      <c r="AG17" s="5">
        <f t="shared" si="9"/>
        <v>0</v>
      </c>
      <c r="AH17" s="5">
        <v>1.9446394556752671</v>
      </c>
      <c r="AI17" s="5">
        <v>0.34657359027997264</v>
      </c>
      <c r="AJ17" s="5">
        <f t="shared" si="10"/>
        <v>1.6434365617537441</v>
      </c>
      <c r="AK17" s="5">
        <f t="shared" si="11"/>
        <v>1.7177529236734048</v>
      </c>
      <c r="AL17" s="7">
        <f>IF(Tableau182985[[#This Row],[Age]]&lt;&gt;"",IF(Tableau182985[[#This Row],[Age]]=0,$AT$10*$B$10+SUMIF($AS$21:$AS$29,Tableau182985[[#This Row],[Age]],$AU$21:$AU$29)*$B$10+$AT$11*$B$10,SUMIF($AS$21:$AS$29,Tableau182985[[#This Row],[Age]],$AU$21:$AU$29)*$B$10+$AT$11*$B$10),"")</f>
        <v>9</v>
      </c>
      <c r="AM17" s="7">
        <f>IF(Tableau182985[[#This Row],[Age]]&lt;&gt;"",IF(Tableau182985[[#This Row],[Age]]=$B$11,$AT$10*$B$10,0)+Tableau182985[[#This Row],[VBO]]*$AX$21*$B$10+Tableau182985[[#This Row],[VBI]]*$AX$22*$B$10+Tableau182985[[#This Row],[VBE]]*$AX$23*$B$10,"")</f>
        <v>8.5887646183670245</v>
      </c>
      <c r="AN17" s="7">
        <v>4.6504839808419112</v>
      </c>
      <c r="AO17" s="7">
        <v>4.4379902525486266</v>
      </c>
      <c r="AP17" s="7">
        <f>IF(Tableau182985[[#This Row],[Age]]&lt;&gt;"",Tableau182985[[#This Row],[RA]]-Tableau182985[[#This Row],[DA]],"")</f>
        <v>-0.21249372829328461</v>
      </c>
      <c r="AS17" s="3" t="s">
        <v>67</v>
      </c>
    </row>
    <row r="18" spans="1:50" ht="15" customHeight="1" x14ac:dyDescent="0.2">
      <c r="A18" s="15" t="s">
        <v>68</v>
      </c>
      <c r="B18" s="16">
        <v>0</v>
      </c>
      <c r="I18" s="17"/>
      <c r="K18" s="3">
        <v>16</v>
      </c>
      <c r="L18" s="4">
        <v>16.430710036007941</v>
      </c>
      <c r="M18" s="4">
        <v>0</v>
      </c>
      <c r="N18" s="4">
        <v>16.430710036007941</v>
      </c>
      <c r="O18" s="5">
        <f t="shared" si="0"/>
        <v>16.660739976512051</v>
      </c>
      <c r="P18" s="5">
        <f t="shared" si="1"/>
        <v>5.5340252499248255</v>
      </c>
      <c r="Q18" s="5">
        <f t="shared" si="2"/>
        <v>51.105406463606862</v>
      </c>
      <c r="R18" s="5">
        <v>5.333333333333333</v>
      </c>
      <c r="S18" s="5">
        <v>122.79896434574579</v>
      </c>
      <c r="T18" s="5">
        <f t="shared" si="3"/>
        <v>0</v>
      </c>
      <c r="U18" s="5">
        <f t="shared" si="4"/>
        <v>0</v>
      </c>
      <c r="V18" s="5" t="str">
        <f>IF($E$4="Embrousaillement",Tableau182985[[#This Row],[SOL]],"")</f>
        <v/>
      </c>
      <c r="W18" s="5" t="str">
        <f>IF($E$4="Embrousaillement",Tableau182985[[#This Row],[L]],"")</f>
        <v/>
      </c>
      <c r="X18" s="5">
        <v>9.1666666666666661</v>
      </c>
      <c r="Y18" s="5">
        <f t="shared" si="5"/>
        <v>0</v>
      </c>
      <c r="Z18" s="5">
        <f t="shared" si="6"/>
        <v>0</v>
      </c>
      <c r="AA18" s="5">
        <f t="shared" si="7"/>
        <v>0</v>
      </c>
      <c r="AB18" s="5">
        <v>0</v>
      </c>
      <c r="AC18" s="5">
        <v>1.980420515885558E-2</v>
      </c>
      <c r="AD18" s="5">
        <f t="shared" si="8"/>
        <v>0</v>
      </c>
      <c r="AE18" s="5">
        <v>0</v>
      </c>
      <c r="AF18" s="5">
        <v>2.7725887222397813E-2</v>
      </c>
      <c r="AG18" s="5">
        <f t="shared" si="9"/>
        <v>0</v>
      </c>
      <c r="AH18" s="5">
        <v>0</v>
      </c>
      <c r="AI18" s="5">
        <v>0.34657359027997264</v>
      </c>
      <c r="AJ18" s="5">
        <f t="shared" si="10"/>
        <v>1.1620851372659768</v>
      </c>
      <c r="AK18" s="5">
        <f t="shared" si="11"/>
        <v>0</v>
      </c>
      <c r="AL18" s="7">
        <f>IF(Tableau182985[[#This Row],[Age]]&lt;&gt;"",IF(Tableau182985[[#This Row],[Age]]=0,$AT$10*$B$10+SUMIF($AS$21:$AS$29,Tableau182985[[#This Row],[Age]],$AU$21:$AU$29)*$B$10+$AT$11*$B$10,SUMIF($AS$21:$AS$29,Tableau182985[[#This Row],[Age]],$AU$21:$AU$29)*$B$10+$AT$11*$B$10),"")</f>
        <v>9</v>
      </c>
      <c r="AM18" s="7">
        <f>IF(Tableau182985[[#This Row],[Age]]&lt;&gt;"",IF(Tableau182985[[#This Row],[Age]]=$B$11,$AT$10*$B$10,0)+Tableau182985[[#This Row],[VBO]]*$AX$21*$B$10+Tableau182985[[#This Row],[VBI]]*$AX$22*$B$10+Tableau182985[[#This Row],[VBE]]*$AX$23*$B$10,"")</f>
        <v>0</v>
      </c>
      <c r="AN18" s="7">
        <v>4.450223905111879</v>
      </c>
      <c r="AO18" s="7">
        <v>0</v>
      </c>
      <c r="AP18" s="7">
        <f>IF(Tableau182985[[#This Row],[Age]]&lt;&gt;"",Tableau182985[[#This Row],[RA]]-Tableau182985[[#This Row],[DA]],"")</f>
        <v>-4.450223905111879</v>
      </c>
    </row>
    <row r="19" spans="1:50" ht="15" customHeight="1" x14ac:dyDescent="0.2">
      <c r="A19" s="15" t="s">
        <v>69</v>
      </c>
      <c r="B19" s="16">
        <f>B17-B18</f>
        <v>-2743.1015669005774</v>
      </c>
      <c r="I19" s="17"/>
      <c r="K19" s="3">
        <v>17</v>
      </c>
      <c r="L19" s="4">
        <v>19.417821663379836</v>
      </c>
      <c r="M19" s="4">
        <v>0</v>
      </c>
      <c r="N19" s="4">
        <v>19.417821663379836</v>
      </c>
      <c r="O19" s="5">
        <f t="shared" si="0"/>
        <v>19.689671166667157</v>
      </c>
      <c r="P19" s="5">
        <f t="shared" si="1"/>
        <v>6.4141804076307753</v>
      </c>
      <c r="Q19" s="5">
        <f t="shared" si="2"/>
        <v>51.433185419480445</v>
      </c>
      <c r="R19" s="5">
        <v>5.6666666666666661</v>
      </c>
      <c r="S19" s="5">
        <v>127.41516623722083</v>
      </c>
      <c r="T19" s="5">
        <f t="shared" si="3"/>
        <v>0</v>
      </c>
      <c r="U19" s="5">
        <f t="shared" si="4"/>
        <v>0</v>
      </c>
      <c r="V19" s="5" t="str">
        <f>IF($E$4="Embrousaillement",Tableau182985[[#This Row],[SOL]],"")</f>
        <v/>
      </c>
      <c r="W19" s="5" t="str">
        <f>IF($E$4="Embrousaillement",Tableau182985[[#This Row],[L]],"")</f>
        <v/>
      </c>
      <c r="X19" s="5">
        <v>9.1666666666666661</v>
      </c>
      <c r="Y19" s="5">
        <f t="shared" si="5"/>
        <v>0</v>
      </c>
      <c r="Z19" s="5">
        <f t="shared" si="6"/>
        <v>0</v>
      </c>
      <c r="AA19" s="5">
        <f t="shared" si="7"/>
        <v>0</v>
      </c>
      <c r="AB19" s="5">
        <v>0</v>
      </c>
      <c r="AC19" s="5">
        <v>1.980420515885558E-2</v>
      </c>
      <c r="AD19" s="5">
        <f t="shared" si="8"/>
        <v>0</v>
      </c>
      <c r="AE19" s="5">
        <v>0</v>
      </c>
      <c r="AF19" s="5">
        <v>2.7725887222397813E-2</v>
      </c>
      <c r="AG19" s="5">
        <f t="shared" si="9"/>
        <v>0</v>
      </c>
      <c r="AH19" s="5">
        <v>0</v>
      </c>
      <c r="AI19" s="5">
        <v>0.34657359027997264</v>
      </c>
      <c r="AJ19" s="5">
        <f t="shared" si="10"/>
        <v>0.82171828087687215</v>
      </c>
      <c r="AK19" s="5">
        <f t="shared" si="11"/>
        <v>0</v>
      </c>
      <c r="AL19" s="7">
        <f>IF(Tableau182985[[#This Row],[Age]]&lt;&gt;"",IF(Tableau182985[[#This Row],[Age]]=0,$AT$10*$B$10+SUMIF($AS$21:$AS$29,Tableau182985[[#This Row],[Age]],$AU$21:$AU$29)*$B$10+$AT$11*$B$10,SUMIF($AS$21:$AS$29,Tableau182985[[#This Row],[Age]],$AU$21:$AU$29)*$B$10+$AT$11*$B$10),"")</f>
        <v>9</v>
      </c>
      <c r="AM19" s="7">
        <f>IF(Tableau182985[[#This Row],[Age]]&lt;&gt;"",IF(Tableau182985[[#This Row],[Age]]=$B$11,$AT$10*$B$10,0)+Tableau182985[[#This Row],[VBO]]*$AX$21*$B$10+Tableau182985[[#This Row],[VBI]]*$AX$22*$B$10+Tableau182985[[#This Row],[VBE]]*$AX$23*$B$10,"")</f>
        <v>0</v>
      </c>
      <c r="AN19" s="7">
        <v>4.2585874690065824</v>
      </c>
      <c r="AO19" s="7">
        <v>0</v>
      </c>
      <c r="AP19" s="7">
        <f>IF(Tableau182985[[#This Row],[Age]]&lt;&gt;"",Tableau182985[[#This Row],[RA]]-Tableau182985[[#This Row],[DA]],"")</f>
        <v>-4.2585874690065824</v>
      </c>
      <c r="AS19" s="18" t="s">
        <v>70</v>
      </c>
      <c r="AW19" s="18" t="s">
        <v>29</v>
      </c>
    </row>
    <row r="20" spans="1:50" ht="15" customHeight="1" x14ac:dyDescent="0.2">
      <c r="A20" s="19"/>
      <c r="B20" s="20"/>
      <c r="C20" s="20"/>
      <c r="D20" s="20"/>
      <c r="E20" s="20"/>
      <c r="F20" s="20"/>
      <c r="G20" s="20"/>
      <c r="H20" s="20"/>
      <c r="I20" s="21"/>
      <c r="K20" s="3">
        <v>18</v>
      </c>
      <c r="L20" s="4">
        <v>22.712578296935547</v>
      </c>
      <c r="M20" s="4">
        <v>0</v>
      </c>
      <c r="N20" s="4">
        <v>22.712578296935547</v>
      </c>
      <c r="O20" s="5">
        <f t="shared" si="0"/>
        <v>23.030554393092643</v>
      </c>
      <c r="P20" s="5">
        <f t="shared" si="1"/>
        <v>7.3668906935224063</v>
      </c>
      <c r="Q20" s="5">
        <f t="shared" si="2"/>
        <v>51.755278143273578</v>
      </c>
      <c r="R20" s="5">
        <v>6</v>
      </c>
      <c r="S20" s="5">
        <v>132.35578502559548</v>
      </c>
      <c r="T20" s="5">
        <f t="shared" si="3"/>
        <v>0</v>
      </c>
      <c r="U20" s="5">
        <f t="shared" si="4"/>
        <v>0</v>
      </c>
      <c r="V20" s="5" t="str">
        <f>IF($E$4="Embrousaillement",Tableau182985[[#This Row],[SOL]],"")</f>
        <v/>
      </c>
      <c r="W20" s="5" t="str">
        <f>IF($E$4="Embrousaillement",Tableau182985[[#This Row],[L]],"")</f>
        <v/>
      </c>
      <c r="X20" s="5">
        <v>9.1666666666666661</v>
      </c>
      <c r="Y20" s="5">
        <f t="shared" si="5"/>
        <v>0</v>
      </c>
      <c r="Z20" s="5">
        <f t="shared" si="6"/>
        <v>0</v>
      </c>
      <c r="AA20" s="5">
        <f t="shared" si="7"/>
        <v>0</v>
      </c>
      <c r="AB20" s="5">
        <v>0</v>
      </c>
      <c r="AC20" s="5">
        <v>1.980420515885558E-2</v>
      </c>
      <c r="AD20" s="5">
        <f t="shared" si="8"/>
        <v>0</v>
      </c>
      <c r="AE20" s="5">
        <v>0</v>
      </c>
      <c r="AF20" s="5">
        <v>2.7725887222397813E-2</v>
      </c>
      <c r="AG20" s="5">
        <f t="shared" si="9"/>
        <v>0</v>
      </c>
      <c r="AH20" s="5">
        <v>0</v>
      </c>
      <c r="AI20" s="5">
        <v>0.34657359027997264</v>
      </c>
      <c r="AJ20" s="5">
        <f t="shared" si="10"/>
        <v>0.58104256863298853</v>
      </c>
      <c r="AK20" s="5">
        <f t="shared" si="11"/>
        <v>0</v>
      </c>
      <c r="AL20" s="7">
        <f>IF(Tableau182985[[#This Row],[Age]]&lt;&gt;"",IF(Tableau182985[[#This Row],[Age]]=0,$AT$10*$B$10+SUMIF($AS$21:$AS$29,Tableau182985[[#This Row],[Age]],$AU$21:$AU$29)*$B$10+$AT$11*$B$10,SUMIF($AS$21:$AS$29,Tableau182985[[#This Row],[Age]],$AU$21:$AU$29)*$B$10+$AT$11*$B$10),"")</f>
        <v>9</v>
      </c>
      <c r="AM20" s="7">
        <f>IF(Tableau182985[[#This Row],[Age]]&lt;&gt;"",IF(Tableau182985[[#This Row],[Age]]=$B$11,$AT$10*$B$10,0)+Tableau182985[[#This Row],[VBO]]*$AX$21*$B$10+Tableau182985[[#This Row],[VBI]]*$AX$22*$B$10+Tableau182985[[#This Row],[VBE]]*$AX$23*$B$10,"")</f>
        <v>0</v>
      </c>
      <c r="AN20" s="7">
        <v>4.0752033196235251</v>
      </c>
      <c r="AO20" s="7">
        <v>0</v>
      </c>
      <c r="AP20" s="7">
        <f>IF(Tableau182985[[#This Row],[Age]]&lt;&gt;"",Tableau182985[[#This Row],[RA]]-Tableau182985[[#This Row],[DA]],"")</f>
        <v>-4.0752033196235251</v>
      </c>
      <c r="AS20" s="3" t="s">
        <v>71</v>
      </c>
      <c r="AT20" s="3" t="s">
        <v>72</v>
      </c>
      <c r="AU20" s="3" t="s">
        <v>73</v>
      </c>
      <c r="AW20" s="3" t="s">
        <v>49</v>
      </c>
      <c r="AX20" s="3" t="s">
        <v>74</v>
      </c>
    </row>
    <row r="21" spans="1:50" ht="15" customHeight="1" x14ac:dyDescent="0.2">
      <c r="K21" s="3">
        <v>19</v>
      </c>
      <c r="L21" s="4">
        <v>26.323440494046238</v>
      </c>
      <c r="M21" s="4">
        <v>0</v>
      </c>
      <c r="N21" s="4">
        <v>26.323440494046238</v>
      </c>
      <c r="O21" s="5">
        <f t="shared" si="0"/>
        <v>26.691968660962889</v>
      </c>
      <c r="P21" s="5">
        <f t="shared" si="1"/>
        <v>8.3927052020915678</v>
      </c>
      <c r="Q21" s="5">
        <f t="shared" si="2"/>
        <v>52.07178327840036</v>
      </c>
      <c r="R21" s="5">
        <v>6.333333333333333</v>
      </c>
      <c r="S21" s="5">
        <v>137.62895061058833</v>
      </c>
      <c r="T21" s="5">
        <f t="shared" si="3"/>
        <v>0</v>
      </c>
      <c r="U21" s="5">
        <f t="shared" si="4"/>
        <v>0</v>
      </c>
      <c r="V21" s="5" t="str">
        <f>IF($E$4="Embrousaillement",Tableau182985[[#This Row],[SOL]],"")</f>
        <v/>
      </c>
      <c r="W21" s="5" t="str">
        <f>IF($E$4="Embrousaillement",Tableau182985[[#This Row],[L]],"")</f>
        <v/>
      </c>
      <c r="X21" s="5">
        <v>9.1666666666666661</v>
      </c>
      <c r="Y21" s="5">
        <f t="shared" si="5"/>
        <v>0</v>
      </c>
      <c r="Z21" s="5">
        <f t="shared" si="6"/>
        <v>0</v>
      </c>
      <c r="AA21" s="5">
        <f t="shared" si="7"/>
        <v>0</v>
      </c>
      <c r="AB21" s="5">
        <v>0</v>
      </c>
      <c r="AC21" s="5">
        <v>1.980420515885558E-2</v>
      </c>
      <c r="AD21" s="5">
        <f t="shared" si="8"/>
        <v>0</v>
      </c>
      <c r="AE21" s="5">
        <v>0</v>
      </c>
      <c r="AF21" s="5">
        <v>2.7725887222397813E-2</v>
      </c>
      <c r="AG21" s="5">
        <f t="shared" si="9"/>
        <v>0</v>
      </c>
      <c r="AH21" s="5">
        <v>0</v>
      </c>
      <c r="AI21" s="5">
        <v>0.34657359027997264</v>
      </c>
      <c r="AJ21" s="5">
        <f t="shared" si="10"/>
        <v>0.41085914043843619</v>
      </c>
      <c r="AK21" s="5">
        <f t="shared" si="11"/>
        <v>0</v>
      </c>
      <c r="AL21" s="7">
        <f>IF(Tableau182985[[#This Row],[Age]]&lt;&gt;"",IF(Tableau182985[[#This Row],[Age]]=0,$AT$10*$B$10+SUMIF($AS$21:$AS$29,Tableau182985[[#This Row],[Age]],$AU$21:$AU$29)*$B$10+$AT$11*$B$10,SUMIF($AS$21:$AS$29,Tableau182985[[#This Row],[Age]],$AU$21:$AU$29)*$B$10+$AT$11*$B$10),"")</f>
        <v>9</v>
      </c>
      <c r="AM21" s="7">
        <f>IF(Tableau182985[[#This Row],[Age]]&lt;&gt;"",IF(Tableau182985[[#This Row],[Age]]=$B$11,$AT$10*$B$10,0)+Tableau182985[[#This Row],[VBO]]*$AX$21*$B$10+Tableau182985[[#This Row],[VBI]]*$AX$22*$B$10+Tableau182985[[#This Row],[VBE]]*$AX$23*$B$10,"")</f>
        <v>0</v>
      </c>
      <c r="AN21" s="7">
        <v>3.8997160953335168</v>
      </c>
      <c r="AO21" s="7">
        <v>0</v>
      </c>
      <c r="AP21" s="7">
        <f>IF(Tableau182985[[#This Row],[Age]]&lt;&gt;"",Tableau182985[[#This Row],[RA]]-Tableau182985[[#This Row],[DA]],"")</f>
        <v>-3.8997160953335168</v>
      </c>
      <c r="AS21" s="3">
        <v>0</v>
      </c>
      <c r="AT21" s="3" t="s">
        <v>75</v>
      </c>
      <c r="AU21" s="22">
        <v>750</v>
      </c>
      <c r="AW21" s="3" t="s">
        <v>76</v>
      </c>
      <c r="AX21" s="23">
        <v>50</v>
      </c>
    </row>
    <row r="22" spans="1:50" ht="15" customHeight="1" x14ac:dyDescent="0.2">
      <c r="K22" s="3">
        <v>20</v>
      </c>
      <c r="L22" s="4">
        <v>30.258154533208486</v>
      </c>
      <c r="M22" s="4">
        <v>6.0516309066416971</v>
      </c>
      <c r="N22" s="4">
        <v>24.206523626566788</v>
      </c>
      <c r="O22" s="5">
        <f t="shared" si="0"/>
        <v>24.545414957338725</v>
      </c>
      <c r="P22" s="5">
        <f t="shared" si="1"/>
        <v>7.7934524743273359</v>
      </c>
      <c r="Q22" s="5">
        <f t="shared" si="2"/>
        <v>52.382797757032165</v>
      </c>
      <c r="R22" s="5">
        <v>6.6666666666666661</v>
      </c>
      <c r="S22" s="5">
        <v>136.41911516519039</v>
      </c>
      <c r="T22" s="5">
        <f t="shared" si="3"/>
        <v>0</v>
      </c>
      <c r="U22" s="5">
        <f t="shared" si="4"/>
        <v>0</v>
      </c>
      <c r="V22" s="5" t="str">
        <f>IF($E$4="Embrousaillement",Tableau182985[[#This Row],[SOL]],"")</f>
        <v/>
      </c>
      <c r="W22" s="5" t="str">
        <f>IF($E$4="Embrousaillement",Tableau182985[[#This Row],[L]],"")</f>
        <v/>
      </c>
      <c r="X22" s="5">
        <v>9.1666666666666661</v>
      </c>
      <c r="Y22" s="5">
        <f t="shared" si="5"/>
        <v>0</v>
      </c>
      <c r="Z22" s="5">
        <f t="shared" si="6"/>
        <v>0</v>
      </c>
      <c r="AA22" s="5">
        <f t="shared" si="7"/>
        <v>6.0516309066416971</v>
      </c>
      <c r="AB22" s="5">
        <v>0</v>
      </c>
      <c r="AC22" s="5">
        <v>1.980420515885558E-2</v>
      </c>
      <c r="AD22" s="5">
        <f t="shared" si="8"/>
        <v>0</v>
      </c>
      <c r="AE22" s="5">
        <v>0</v>
      </c>
      <c r="AF22" s="5">
        <v>2.7725887222397813E-2</v>
      </c>
      <c r="AG22" s="5">
        <f t="shared" si="9"/>
        <v>0</v>
      </c>
      <c r="AH22" s="5">
        <v>3.4254752444469774</v>
      </c>
      <c r="AI22" s="5">
        <v>0.34657359027997264</v>
      </c>
      <c r="AJ22" s="5">
        <f t="shared" si="10"/>
        <v>3.1854287396173384</v>
      </c>
      <c r="AK22" s="5">
        <f t="shared" si="11"/>
        <v>3.0258154533208486</v>
      </c>
      <c r="AL22" s="7">
        <f>IF(Tableau182985[[#This Row],[Age]]&lt;&gt;"",IF(Tableau182985[[#This Row],[Age]]=0,$AT$10*$B$10+SUMIF($AS$21:$AS$29,Tableau182985[[#This Row],[Age]],$AU$21:$AU$29)*$B$10+$AT$11*$B$10,SUMIF($AS$21:$AS$29,Tableau182985[[#This Row],[Age]],$AU$21:$AU$29)*$B$10+$AT$11*$B$10),"")</f>
        <v>9</v>
      </c>
      <c r="AM22" s="7">
        <f>IF(Tableau182985[[#This Row],[Age]]&lt;&gt;"",IF(Tableau182985[[#This Row],[Age]]=$B$11,$AT$10*$B$10,0)+Tableau182985[[#This Row],[VBO]]*$AX$21*$B$10+Tableau182985[[#This Row],[VBI]]*$AX$22*$B$10+Tableau182985[[#This Row],[VBE]]*$AX$23*$B$10,"")</f>
        <v>15.129077266604243</v>
      </c>
      <c r="AN22" s="7">
        <v>3.7317857371612608</v>
      </c>
      <c r="AO22" s="7">
        <v>6.2731638622138215</v>
      </c>
      <c r="AP22" s="7">
        <f>IF(Tableau182985[[#This Row],[Age]]&lt;&gt;"",Tableau182985[[#This Row],[RA]]-Tableau182985[[#This Row],[DA]],"")</f>
        <v>2.5413781250525607</v>
      </c>
      <c r="AS22" s="3">
        <v>1</v>
      </c>
      <c r="AT22" s="3" t="s">
        <v>77</v>
      </c>
      <c r="AU22" s="22">
        <v>400</v>
      </c>
      <c r="AW22" s="3" t="s">
        <v>78</v>
      </c>
      <c r="AX22" s="23">
        <v>5</v>
      </c>
    </row>
    <row r="23" spans="1:50" ht="15" customHeight="1" x14ac:dyDescent="0.2">
      <c r="K23" s="3">
        <v>21</v>
      </c>
      <c r="L23" s="4">
        <v>27.619036236128235</v>
      </c>
      <c r="M23" s="4">
        <v>0</v>
      </c>
      <c r="N23" s="4">
        <v>27.619036236128235</v>
      </c>
      <c r="O23" s="5">
        <f t="shared" si="0"/>
        <v>28.005702743434036</v>
      </c>
      <c r="P23" s="5">
        <f t="shared" si="1"/>
        <v>8.7566713438380717</v>
      </c>
      <c r="Q23" s="5">
        <f t="shared" si="2"/>
        <v>52.688416829783918</v>
      </c>
      <c r="R23" s="5">
        <v>7</v>
      </c>
      <c r="S23" s="5">
        <v>141.44266495560331</v>
      </c>
      <c r="T23" s="5">
        <f t="shared" si="3"/>
        <v>0</v>
      </c>
      <c r="U23" s="5">
        <f t="shared" si="4"/>
        <v>0</v>
      </c>
      <c r="V23" s="5" t="str">
        <f>IF($E$4="Embrousaillement",Tableau182985[[#This Row],[SOL]],"")</f>
        <v/>
      </c>
      <c r="W23" s="5" t="str">
        <f>IF($E$4="Embrousaillement",Tableau182985[[#This Row],[L]],"")</f>
        <v/>
      </c>
      <c r="X23" s="5">
        <v>9.1666666666666661</v>
      </c>
      <c r="Y23" s="5">
        <f t="shared" si="5"/>
        <v>0</v>
      </c>
      <c r="Z23" s="5">
        <f t="shared" si="6"/>
        <v>0</v>
      </c>
      <c r="AA23" s="5">
        <f t="shared" si="7"/>
        <v>0</v>
      </c>
      <c r="AB23" s="5">
        <v>0</v>
      </c>
      <c r="AC23" s="5">
        <v>1.980420515885558E-2</v>
      </c>
      <c r="AD23" s="5">
        <f t="shared" si="8"/>
        <v>0</v>
      </c>
      <c r="AE23" s="5">
        <v>0</v>
      </c>
      <c r="AF23" s="5">
        <v>2.7725887222397813E-2</v>
      </c>
      <c r="AG23" s="5">
        <f t="shared" si="9"/>
        <v>0</v>
      </c>
      <c r="AH23" s="5">
        <v>0</v>
      </c>
      <c r="AI23" s="5">
        <v>0.34657359027997264</v>
      </c>
      <c r="AJ23" s="5">
        <f t="shared" si="10"/>
        <v>2.2524382627699375</v>
      </c>
      <c r="AK23" s="5">
        <f t="shared" si="11"/>
        <v>0</v>
      </c>
      <c r="AL23" s="7">
        <f>IF(Tableau182985[[#This Row],[Age]]&lt;&gt;"",IF(Tableau182985[[#This Row],[Age]]=0,$AT$10*$B$10+SUMIF($AS$21:$AS$29,Tableau182985[[#This Row],[Age]],$AU$21:$AU$29)*$B$10+$AT$11*$B$10,SUMIF($AS$21:$AS$29,Tableau182985[[#This Row],[Age]],$AU$21:$AU$29)*$B$10+$AT$11*$B$10),"")</f>
        <v>9</v>
      </c>
      <c r="AM23" s="7">
        <f>IF(Tableau182985[[#This Row],[Age]]&lt;&gt;"",IF(Tableau182985[[#This Row],[Age]]=$B$11,$AT$10*$B$10,0)+Tableau182985[[#This Row],[VBO]]*$AX$21*$B$10+Tableau182985[[#This Row],[VBI]]*$AX$22*$B$10+Tableau182985[[#This Row],[VBE]]*$AX$23*$B$10,"")</f>
        <v>0</v>
      </c>
      <c r="AN23" s="7">
        <v>3.5710868298193881</v>
      </c>
      <c r="AO23" s="7">
        <v>0</v>
      </c>
      <c r="AP23" s="7">
        <f>IF(Tableau182985[[#This Row],[Age]]&lt;&gt;"",Tableau182985[[#This Row],[RA]]-Tableau182985[[#This Row],[DA]],"")</f>
        <v>-3.5710868298193881</v>
      </c>
      <c r="AS23" s="3">
        <v>1</v>
      </c>
      <c r="AT23" s="3" t="s">
        <v>79</v>
      </c>
      <c r="AU23" s="22">
        <v>2800</v>
      </c>
      <c r="AW23" s="3" t="s">
        <v>80</v>
      </c>
      <c r="AX23" s="23">
        <v>5</v>
      </c>
    </row>
    <row r="24" spans="1:50" ht="15" customHeight="1" x14ac:dyDescent="0.25">
      <c r="A24" s="1" t="s">
        <v>81</v>
      </c>
      <c r="B24" s="1" t="s">
        <v>82</v>
      </c>
      <c r="K24" s="3">
        <v>22</v>
      </c>
      <c r="L24" s="4">
        <v>31.301445554875009</v>
      </c>
      <c r="M24" s="4">
        <v>0</v>
      </c>
      <c r="N24" s="4">
        <v>31.301445554875009</v>
      </c>
      <c r="O24" s="5">
        <f t="shared" si="0"/>
        <v>31.739665792643262</v>
      </c>
      <c r="P24" s="5">
        <f t="shared" si="1"/>
        <v>9.780654118741694</v>
      </c>
      <c r="Q24" s="5">
        <f t="shared" si="2"/>
        <v>52.988734094885309</v>
      </c>
      <c r="R24" s="5">
        <v>7.333333333333333</v>
      </c>
      <c r="S24" s="5">
        <v>146.74773554123192</v>
      </c>
      <c r="T24" s="5">
        <f t="shared" si="3"/>
        <v>0</v>
      </c>
      <c r="U24" s="5">
        <f t="shared" si="4"/>
        <v>0</v>
      </c>
      <c r="V24" s="5" t="str">
        <f>IF($E$4="Embrousaillement",Tableau182985[[#This Row],[SOL]],"")</f>
        <v/>
      </c>
      <c r="W24" s="5" t="str">
        <f>IF($E$4="Embrousaillement",Tableau182985[[#This Row],[L]],"")</f>
        <v/>
      </c>
      <c r="X24" s="5">
        <v>9.1666666666666661</v>
      </c>
      <c r="Y24" s="5">
        <f t="shared" si="5"/>
        <v>0</v>
      </c>
      <c r="Z24" s="5">
        <f t="shared" si="6"/>
        <v>0</v>
      </c>
      <c r="AA24" s="5">
        <f t="shared" si="7"/>
        <v>0</v>
      </c>
      <c r="AB24" s="5">
        <v>0</v>
      </c>
      <c r="AC24" s="5">
        <v>1.980420515885558E-2</v>
      </c>
      <c r="AD24" s="5">
        <f t="shared" si="8"/>
        <v>0</v>
      </c>
      <c r="AE24" s="5">
        <v>0</v>
      </c>
      <c r="AF24" s="5">
        <v>2.7725887222397813E-2</v>
      </c>
      <c r="AG24" s="5">
        <f t="shared" si="9"/>
        <v>0</v>
      </c>
      <c r="AH24" s="5">
        <v>0</v>
      </c>
      <c r="AI24" s="5">
        <v>0.34657359027997264</v>
      </c>
      <c r="AJ24" s="5">
        <f t="shared" si="10"/>
        <v>1.5927143698086696</v>
      </c>
      <c r="AK24" s="5">
        <f t="shared" si="11"/>
        <v>0</v>
      </c>
      <c r="AL24" s="7">
        <f>IF(Tableau182985[[#This Row],[Age]]&lt;&gt;"",IF(Tableau182985[[#This Row],[Age]]=0,$AT$10*$B$10+SUMIF($AS$21:$AS$29,Tableau182985[[#This Row],[Age]],$AU$21:$AU$29)*$B$10+$AT$11*$B$10,SUMIF($AS$21:$AS$29,Tableau182985[[#This Row],[Age]],$AU$21:$AU$29)*$B$10+$AT$11*$B$10),"")</f>
        <v>9</v>
      </c>
      <c r="AM24" s="7">
        <f>IF(Tableau182985[[#This Row],[Age]]&lt;&gt;"",IF(Tableau182985[[#This Row],[Age]]=$B$11,$AT$10*$B$10,0)+Tableau182985[[#This Row],[VBO]]*$AX$21*$B$10+Tableau182985[[#This Row],[VBI]]*$AX$22*$B$10+Tableau182985[[#This Row],[VBE]]*$AX$23*$B$10,"")</f>
        <v>0</v>
      </c>
      <c r="AN24" s="7">
        <v>3.4173079711190328</v>
      </c>
      <c r="AO24" s="7">
        <v>0</v>
      </c>
      <c r="AP24" s="7">
        <f>IF(Tableau182985[[#This Row],[Age]]&lt;&gt;"",Tableau182985[[#This Row],[RA]]-Tableau182985[[#This Row],[DA]],"")</f>
        <v>-3.4173079711190328</v>
      </c>
      <c r="AS24" s="3">
        <v>1</v>
      </c>
      <c r="AT24" s="3" t="s">
        <v>83</v>
      </c>
      <c r="AU24" s="22">
        <v>1280</v>
      </c>
    </row>
    <row r="25" spans="1:50" ht="15" customHeight="1" x14ac:dyDescent="0.2">
      <c r="A25" s="12"/>
      <c r="B25" s="13"/>
      <c r="C25" s="13"/>
      <c r="D25" s="13"/>
      <c r="E25" s="13"/>
      <c r="F25" s="13"/>
      <c r="G25" s="13"/>
      <c r="H25" s="13"/>
      <c r="I25" s="14"/>
      <c r="K25" s="3">
        <v>23</v>
      </c>
      <c r="L25" s="4">
        <v>35.258433206724227</v>
      </c>
      <c r="M25" s="4">
        <v>0</v>
      </c>
      <c r="N25" s="4">
        <v>35.258433206724227</v>
      </c>
      <c r="O25" s="5">
        <f t="shared" si="0"/>
        <v>35.75205127161837</v>
      </c>
      <c r="P25" s="5">
        <f t="shared" si="1"/>
        <v>10.865477006251714</v>
      </c>
      <c r="Q25" s="5">
        <f t="shared" si="2"/>
        <v>53.283841526846018</v>
      </c>
      <c r="R25" s="5">
        <v>7.6666666666666661</v>
      </c>
      <c r="S25" s="5">
        <v>152.33869589675177</v>
      </c>
      <c r="T25" s="5">
        <f t="shared" si="3"/>
        <v>0</v>
      </c>
      <c r="U25" s="5">
        <f t="shared" si="4"/>
        <v>0</v>
      </c>
      <c r="V25" s="5" t="str">
        <f>IF($E$4="Embrousaillement",Tableau182985[[#This Row],[SOL]],"")</f>
        <v/>
      </c>
      <c r="W25" s="5" t="str">
        <f>IF($E$4="Embrousaillement",Tableau182985[[#This Row],[L]],"")</f>
        <v/>
      </c>
      <c r="X25" s="5">
        <v>9.1666666666666661</v>
      </c>
      <c r="Y25" s="5">
        <f t="shared" si="5"/>
        <v>0</v>
      </c>
      <c r="Z25" s="5">
        <f t="shared" si="6"/>
        <v>0</v>
      </c>
      <c r="AA25" s="5">
        <f t="shared" si="7"/>
        <v>0</v>
      </c>
      <c r="AB25" s="5">
        <v>0</v>
      </c>
      <c r="AC25" s="5">
        <v>1.980420515885558E-2</v>
      </c>
      <c r="AD25" s="5">
        <f t="shared" si="8"/>
        <v>0</v>
      </c>
      <c r="AE25" s="5">
        <v>0</v>
      </c>
      <c r="AF25" s="5">
        <v>2.7725887222397813E-2</v>
      </c>
      <c r="AG25" s="5">
        <f t="shared" si="9"/>
        <v>0</v>
      </c>
      <c r="AH25" s="5">
        <v>0</v>
      </c>
      <c r="AI25" s="5">
        <v>0.34657359027997264</v>
      </c>
      <c r="AJ25" s="5">
        <f t="shared" si="10"/>
        <v>1.126219131384969</v>
      </c>
      <c r="AK25" s="5">
        <f t="shared" si="11"/>
        <v>0</v>
      </c>
      <c r="AL25" s="7">
        <f>IF(Tableau182985[[#This Row],[Age]]&lt;&gt;"",IF(Tableau182985[[#This Row],[Age]]=0,$AT$10*$B$10+SUMIF($AS$21:$AS$29,Tableau182985[[#This Row],[Age]],$AU$21:$AU$29)*$B$10+$AT$11*$B$10,SUMIF($AS$21:$AS$29,Tableau182985[[#This Row],[Age]],$AU$21:$AU$29)*$B$10+$AT$11*$B$10),"")</f>
        <v>9</v>
      </c>
      <c r="AM25" s="7">
        <f>IF(Tableau182985[[#This Row],[Age]]&lt;&gt;"",IF(Tableau182985[[#This Row],[Age]]=$B$11,$AT$10*$B$10,0)+Tableau182985[[#This Row],[VBO]]*$AX$21*$B$10+Tableau182985[[#This Row],[VBI]]*$AX$22*$B$10+Tableau182985[[#This Row],[VBE]]*$AX$23*$B$10,"")</f>
        <v>0</v>
      </c>
      <c r="AN25" s="7">
        <v>3.2701511685349596</v>
      </c>
      <c r="AO25" s="7">
        <v>0</v>
      </c>
      <c r="AP25" s="7">
        <f>IF(Tableau182985[[#This Row],[Age]]&lt;&gt;"",Tableau182985[[#This Row],[RA]]-Tableau182985[[#This Row],[DA]],"")</f>
        <v>-3.2701511685349596</v>
      </c>
      <c r="AS25" s="3">
        <v>2</v>
      </c>
      <c r="AT25" s="3" t="s">
        <v>84</v>
      </c>
      <c r="AU25" s="22">
        <v>250</v>
      </c>
    </row>
    <row r="26" spans="1:50" ht="15" customHeight="1" x14ac:dyDescent="0.25">
      <c r="A26" s="24" t="s">
        <v>85</v>
      </c>
      <c r="D26" s="1" t="s">
        <v>86</v>
      </c>
      <c r="G26" s="1" t="s">
        <v>87</v>
      </c>
      <c r="I26" s="17"/>
      <c r="K26" s="3">
        <v>24</v>
      </c>
      <c r="L26" s="4">
        <v>39.494236375916003</v>
      </c>
      <c r="M26" s="4">
        <v>0</v>
      </c>
      <c r="N26" s="4">
        <v>39.494236375916003</v>
      </c>
      <c r="O26" s="5">
        <f t="shared" si="0"/>
        <v>40.047155685178829</v>
      </c>
      <c r="P26" s="5">
        <f t="shared" si="1"/>
        <v>12.011144669074923</v>
      </c>
      <c r="Q26" s="5">
        <f t="shared" si="2"/>
        <v>53.573829504623582</v>
      </c>
      <c r="R26" s="5">
        <v>8</v>
      </c>
      <c r="S26" s="5">
        <v>158.21945731697252</v>
      </c>
      <c r="T26" s="5">
        <f t="shared" si="3"/>
        <v>0</v>
      </c>
      <c r="U26" s="5">
        <f t="shared" si="4"/>
        <v>0</v>
      </c>
      <c r="V26" s="5" t="str">
        <f>IF($E$4="Embrousaillement",Tableau182985[[#This Row],[SOL]],"")</f>
        <v/>
      </c>
      <c r="W26" s="5" t="str">
        <f>IF($E$4="Embrousaillement",Tableau182985[[#This Row],[L]],"")</f>
        <v/>
      </c>
      <c r="X26" s="5">
        <v>9.1666666666666661</v>
      </c>
      <c r="Y26" s="5">
        <f t="shared" si="5"/>
        <v>0</v>
      </c>
      <c r="Z26" s="5">
        <f t="shared" si="6"/>
        <v>0</v>
      </c>
      <c r="AA26" s="5">
        <f t="shared" si="7"/>
        <v>0</v>
      </c>
      <c r="AB26" s="5">
        <v>0</v>
      </c>
      <c r="AC26" s="5">
        <v>1.980420515885558E-2</v>
      </c>
      <c r="AD26" s="5">
        <f t="shared" si="8"/>
        <v>0</v>
      </c>
      <c r="AE26" s="5">
        <v>0</v>
      </c>
      <c r="AF26" s="5">
        <v>2.7725887222397813E-2</v>
      </c>
      <c r="AG26" s="5">
        <f t="shared" si="9"/>
        <v>0</v>
      </c>
      <c r="AH26" s="5">
        <v>0</v>
      </c>
      <c r="AI26" s="5">
        <v>0.34657359027997264</v>
      </c>
      <c r="AJ26" s="5">
        <f t="shared" si="10"/>
        <v>0.79635718490433494</v>
      </c>
      <c r="AK26" s="5">
        <f t="shared" si="11"/>
        <v>0</v>
      </c>
      <c r="AL26" s="7">
        <f>IF(Tableau182985[[#This Row],[Age]]&lt;&gt;"",IF(Tableau182985[[#This Row],[Age]]=0,$AT$10*$B$10+SUMIF($AS$21:$AS$29,Tableau182985[[#This Row],[Age]],$AU$21:$AU$29)*$B$10+$AT$11*$B$10,SUMIF($AS$21:$AS$29,Tableau182985[[#This Row],[Age]],$AU$21:$AU$29)*$B$10+$AT$11*$B$10),"")</f>
        <v>9</v>
      </c>
      <c r="AM26" s="7">
        <f>IF(Tableau182985[[#This Row],[Age]]&lt;&gt;"",IF(Tableau182985[[#This Row],[Age]]=$B$11,$AT$10*$B$10,0)+Tableau182985[[#This Row],[VBO]]*$AX$21*$B$10+Tableau182985[[#This Row],[VBI]]*$AX$22*$B$10+Tableau182985[[#This Row],[VBE]]*$AX$23*$B$10,"")</f>
        <v>0</v>
      </c>
      <c r="AN26" s="7">
        <v>3.1293312617559428</v>
      </c>
      <c r="AO26" s="7">
        <v>0</v>
      </c>
      <c r="AP26" s="7">
        <f>IF(Tableau182985[[#This Row],[Age]]&lt;&gt;"",Tableau182985[[#This Row],[RA]]-Tableau182985[[#This Row],[DA]],"")</f>
        <v>-3.1293312617559428</v>
      </c>
      <c r="AS26" s="3">
        <v>3</v>
      </c>
      <c r="AT26" s="3" t="s">
        <v>88</v>
      </c>
      <c r="AU26" s="22">
        <v>350</v>
      </c>
    </row>
    <row r="27" spans="1:50" ht="15" customHeight="1" x14ac:dyDescent="0.2">
      <c r="A27" s="15" t="s">
        <v>89</v>
      </c>
      <c r="B27" s="25">
        <f>S32</f>
        <v>184.08712320444192</v>
      </c>
      <c r="D27" s="3" t="s">
        <v>90</v>
      </c>
      <c r="E27" s="25">
        <f>SUM(AD2:AD32)</f>
        <v>0</v>
      </c>
      <c r="G27" s="3" t="s">
        <v>91</v>
      </c>
      <c r="H27" s="25">
        <f>SUM(AK2:AK32)</f>
        <v>11.838784245909242</v>
      </c>
      <c r="I27" s="17"/>
      <c r="K27" s="3">
        <v>25</v>
      </c>
      <c r="L27" s="4">
        <v>44.012675550391563</v>
      </c>
      <c r="M27" s="4">
        <v>0</v>
      </c>
      <c r="N27" s="4">
        <v>44.012675550391563</v>
      </c>
      <c r="O27" s="5">
        <f t="shared" si="0"/>
        <v>44.628853008097046</v>
      </c>
      <c r="P27" s="5">
        <f t="shared" si="1"/>
        <v>13.217597411353843</v>
      </c>
      <c r="Q27" s="5">
        <f t="shared" si="2"/>
        <v>53.858786839302695</v>
      </c>
      <c r="R27" s="5">
        <v>8.3333333333333321</v>
      </c>
      <c r="S27" s="5">
        <v>164.39350422343784</v>
      </c>
      <c r="T27" s="5">
        <f t="shared" si="3"/>
        <v>0</v>
      </c>
      <c r="U27" s="5">
        <f t="shared" si="4"/>
        <v>0</v>
      </c>
      <c r="V27" s="5" t="str">
        <f>IF($E$4="Embrousaillement",Tableau182985[[#This Row],[SOL]],"")</f>
        <v/>
      </c>
      <c r="W27" s="5" t="str">
        <f>IF($E$4="Embrousaillement",Tableau182985[[#This Row],[L]],"")</f>
        <v/>
      </c>
      <c r="X27" s="5">
        <v>9.1666666666666661</v>
      </c>
      <c r="Y27" s="5">
        <f t="shared" si="5"/>
        <v>0</v>
      </c>
      <c r="Z27" s="5">
        <f t="shared" si="6"/>
        <v>0</v>
      </c>
      <c r="AA27" s="5">
        <f t="shared" si="7"/>
        <v>0</v>
      </c>
      <c r="AB27" s="5">
        <v>0</v>
      </c>
      <c r="AC27" s="5">
        <v>1.980420515885558E-2</v>
      </c>
      <c r="AD27" s="5">
        <f t="shared" si="8"/>
        <v>0</v>
      </c>
      <c r="AE27" s="5">
        <v>0</v>
      </c>
      <c r="AF27" s="5">
        <v>2.7725887222397813E-2</v>
      </c>
      <c r="AG27" s="5">
        <f t="shared" si="9"/>
        <v>0</v>
      </c>
      <c r="AH27" s="5">
        <v>0</v>
      </c>
      <c r="AI27" s="5">
        <v>0.34657359027997264</v>
      </c>
      <c r="AJ27" s="5">
        <f t="shared" si="10"/>
        <v>0.5631095656924846</v>
      </c>
      <c r="AK27" s="5">
        <f t="shared" si="11"/>
        <v>0</v>
      </c>
      <c r="AL27" s="7">
        <f>IF(Tableau182985[[#This Row],[Age]]&lt;&gt;"",IF(Tableau182985[[#This Row],[Age]]=0,$AT$10*$B$10+SUMIF($AS$21:$AS$29,Tableau182985[[#This Row],[Age]],$AU$21:$AU$29)*$B$10+$AT$11*$B$10,SUMIF($AS$21:$AS$29,Tableau182985[[#This Row],[Age]],$AU$21:$AU$29)*$B$10+$AT$11*$B$10),"")</f>
        <v>9</v>
      </c>
      <c r="AM27" s="7">
        <f>IF(Tableau182985[[#This Row],[Age]]&lt;&gt;"",IF(Tableau182985[[#This Row],[Age]]=$B$11,$AT$10*$B$10,0)+Tableau182985[[#This Row],[VBO]]*$AX$21*$B$10+Tableau182985[[#This Row],[VBI]]*$AX$22*$B$10+Tableau182985[[#This Row],[VBE]]*$AX$23*$B$10,"")</f>
        <v>0</v>
      </c>
      <c r="AN27" s="7">
        <v>2.9945753701013809</v>
      </c>
      <c r="AO27" s="7">
        <v>0</v>
      </c>
      <c r="AP27" s="7">
        <f>IF(Tableau182985[[#This Row],[Age]]&lt;&gt;"",Tableau182985[[#This Row],[RA]]-Tableau182985[[#This Row],[DA]],"")</f>
        <v>-2.9945753701013809</v>
      </c>
      <c r="AS27" s="3">
        <v>4</v>
      </c>
      <c r="AT27" s="3" t="s">
        <v>92</v>
      </c>
      <c r="AU27" s="22">
        <v>250</v>
      </c>
    </row>
    <row r="28" spans="1:50" ht="15" customHeight="1" x14ac:dyDescent="0.2">
      <c r="A28" s="15" t="s">
        <v>93</v>
      </c>
      <c r="B28" s="25">
        <f>SUM(S:S)/$B$11</f>
        <v>206.66796961912328</v>
      </c>
      <c r="D28" s="3" t="s">
        <v>94</v>
      </c>
      <c r="E28" s="25">
        <f>SUM(AG2:AG32)</f>
        <v>0</v>
      </c>
      <c r="G28" s="3" t="s">
        <v>95</v>
      </c>
      <c r="H28" s="25">
        <f>IF(OR($E$6="Résineux lents",$E$6="Résineux rapides"),$B$10*20,0)</f>
        <v>0</v>
      </c>
      <c r="I28" s="17"/>
      <c r="K28" s="3">
        <v>26</v>
      </c>
      <c r="L28" s="4">
        <v>48.817180813124814</v>
      </c>
      <c r="M28" s="4">
        <v>0</v>
      </c>
      <c r="N28" s="4">
        <v>48.817180813124814</v>
      </c>
      <c r="O28" s="5">
        <f t="shared" si="0"/>
        <v>49.500621344508566</v>
      </c>
      <c r="P28" s="5">
        <f t="shared" si="1"/>
        <v>14.484717702536535</v>
      </c>
      <c r="Q28" s="5">
        <f t="shared" si="2"/>
        <v>54.138800801294295</v>
      </c>
      <c r="R28" s="5">
        <v>8.6666666666666661</v>
      </c>
      <c r="S28" s="5">
        <v>170.86392311139687</v>
      </c>
      <c r="T28" s="5">
        <f t="shared" si="3"/>
        <v>0</v>
      </c>
      <c r="U28" s="5">
        <f t="shared" si="4"/>
        <v>0</v>
      </c>
      <c r="V28" s="5" t="str">
        <f>IF($E$4="Embrousaillement",Tableau182985[[#This Row],[SOL]],"")</f>
        <v/>
      </c>
      <c r="W28" s="5" t="str">
        <f>IF($E$4="Embrousaillement",Tableau182985[[#This Row],[L]],"")</f>
        <v/>
      </c>
      <c r="X28" s="5">
        <v>9.1666666666666661</v>
      </c>
      <c r="Y28" s="5">
        <f t="shared" si="5"/>
        <v>0</v>
      </c>
      <c r="Z28" s="5">
        <f t="shared" si="6"/>
        <v>0</v>
      </c>
      <c r="AA28" s="5">
        <f t="shared" si="7"/>
        <v>0</v>
      </c>
      <c r="AB28" s="5">
        <v>0</v>
      </c>
      <c r="AC28" s="5">
        <v>1.980420515885558E-2</v>
      </c>
      <c r="AD28" s="5">
        <f t="shared" si="8"/>
        <v>0</v>
      </c>
      <c r="AE28" s="5">
        <v>0</v>
      </c>
      <c r="AF28" s="5">
        <v>2.7725887222397813E-2</v>
      </c>
      <c r="AG28" s="5">
        <f t="shared" si="9"/>
        <v>0</v>
      </c>
      <c r="AH28" s="5">
        <v>0</v>
      </c>
      <c r="AI28" s="5">
        <v>0.34657359027997264</v>
      </c>
      <c r="AJ28" s="5">
        <f t="shared" si="10"/>
        <v>0.39817859245216752</v>
      </c>
      <c r="AK28" s="5">
        <f t="shared" si="11"/>
        <v>0</v>
      </c>
      <c r="AL28" s="7">
        <f>IF(Tableau182985[[#This Row],[Age]]&lt;&gt;"",IF(Tableau182985[[#This Row],[Age]]=0,$AT$10*$B$10+SUMIF($AS$21:$AS$29,Tableau182985[[#This Row],[Age]],$AU$21:$AU$29)*$B$10+$AT$11*$B$10,SUMIF($AS$21:$AS$29,Tableau182985[[#This Row],[Age]],$AU$21:$AU$29)*$B$10+$AT$11*$B$10),"")</f>
        <v>9</v>
      </c>
      <c r="AM28" s="7">
        <f>IF(Tableau182985[[#This Row],[Age]]&lt;&gt;"",IF(Tableau182985[[#This Row],[Age]]=$B$11,$AT$10*$B$10,0)+Tableau182985[[#This Row],[VBO]]*$AX$21*$B$10+Tableau182985[[#This Row],[VBI]]*$AX$22*$B$10+Tableau182985[[#This Row],[VBE]]*$AX$23*$B$10,"")</f>
        <v>0</v>
      </c>
      <c r="AN28" s="7">
        <v>2.8656223637333795</v>
      </c>
      <c r="AO28" s="7">
        <v>0</v>
      </c>
      <c r="AP28" s="7">
        <f>IF(Tableau182985[[#This Row],[Age]]&lt;&gt;"",Tableau182985[[#This Row],[RA]]-Tableau182985[[#This Row],[DA]],"")</f>
        <v>-2.8656223637333795</v>
      </c>
      <c r="AT28" s="3" t="s">
        <v>96</v>
      </c>
      <c r="AU28" s="22"/>
    </row>
    <row r="29" spans="1:50" ht="15" customHeight="1" x14ac:dyDescent="0.2">
      <c r="A29" s="15" t="s">
        <v>97</v>
      </c>
      <c r="B29" s="25">
        <f>X32</f>
        <v>9.1666666666666661</v>
      </c>
      <c r="D29" s="3" t="s">
        <v>98</v>
      </c>
      <c r="E29" s="25">
        <f>SUM(AJ2:AJ32)</f>
        <v>22.042804171384546</v>
      </c>
      <c r="H29" s="25"/>
      <c r="I29" s="17"/>
      <c r="K29" s="3">
        <v>27</v>
      </c>
      <c r="L29" s="4">
        <v>53.910816750158816</v>
      </c>
      <c r="M29" s="4">
        <v>0</v>
      </c>
      <c r="N29" s="4">
        <v>53.910816750158816</v>
      </c>
      <c r="O29" s="5">
        <f t="shared" si="0"/>
        <v>54.665568184661048</v>
      </c>
      <c r="P29" s="5">
        <f t="shared" si="1"/>
        <v>15.812336111751344</v>
      </c>
      <c r="Q29" s="5">
        <f t="shared" si="2"/>
        <v>54.413957147062774</v>
      </c>
      <c r="R29" s="5">
        <v>9</v>
      </c>
      <c r="S29" s="5">
        <v>177.63342976107421</v>
      </c>
      <c r="T29" s="5">
        <f t="shared" si="3"/>
        <v>0</v>
      </c>
      <c r="U29" s="5">
        <f t="shared" si="4"/>
        <v>0</v>
      </c>
      <c r="V29" s="5" t="str">
        <f>IF($E$4="Embrousaillement",Tableau182985[[#This Row],[SOL]],"")</f>
        <v/>
      </c>
      <c r="W29" s="5" t="str">
        <f>IF($E$4="Embrousaillement",Tableau182985[[#This Row],[L]],"")</f>
        <v/>
      </c>
      <c r="X29" s="5">
        <v>9.1666666666666661</v>
      </c>
      <c r="Y29" s="5">
        <f t="shared" si="5"/>
        <v>0</v>
      </c>
      <c r="Z29" s="5">
        <f t="shared" si="6"/>
        <v>0</v>
      </c>
      <c r="AA29" s="5">
        <f t="shared" si="7"/>
        <v>0</v>
      </c>
      <c r="AB29" s="5">
        <v>0</v>
      </c>
      <c r="AC29" s="5">
        <v>1.980420515885558E-2</v>
      </c>
      <c r="AD29" s="5">
        <f t="shared" si="8"/>
        <v>0</v>
      </c>
      <c r="AE29" s="5">
        <v>0</v>
      </c>
      <c r="AF29" s="5">
        <v>2.7725887222397813E-2</v>
      </c>
      <c r="AG29" s="5">
        <f t="shared" si="9"/>
        <v>0</v>
      </c>
      <c r="AH29" s="5">
        <v>0</v>
      </c>
      <c r="AI29" s="5">
        <v>0.34657359027997264</v>
      </c>
      <c r="AJ29" s="5">
        <f t="shared" si="10"/>
        <v>0.2815547828462423</v>
      </c>
      <c r="AK29" s="5">
        <f t="shared" si="11"/>
        <v>0</v>
      </c>
      <c r="AL29" s="7">
        <f>IF(Tableau182985[[#This Row],[Age]]&lt;&gt;"",IF(Tableau182985[[#This Row],[Age]]=0,$AT$10*$B$10+SUMIF($AS$21:$AS$29,Tableau182985[[#This Row],[Age]],$AU$21:$AU$29)*$B$10+$AT$11*$B$10,SUMIF($AS$21:$AS$29,Tableau182985[[#This Row],[Age]],$AU$21:$AU$29)*$B$10+$AT$11*$B$10),"")</f>
        <v>9</v>
      </c>
      <c r="AM29" s="7">
        <f>IF(Tableau182985[[#This Row],[Age]]&lt;&gt;"",IF(Tableau182985[[#This Row],[Age]]=$B$11,$AT$10*$B$10,0)+Tableau182985[[#This Row],[VBO]]*$AX$21*$B$10+Tableau182985[[#This Row],[VBI]]*$AX$22*$B$10+Tableau182985[[#This Row],[VBE]]*$AX$23*$B$10,"")</f>
        <v>0</v>
      </c>
      <c r="AN29" s="7">
        <v>2.7422223576395974</v>
      </c>
      <c r="AO29" s="7">
        <v>0</v>
      </c>
      <c r="AP29" s="7">
        <f>IF(Tableau182985[[#This Row],[Age]]&lt;&gt;"",Tableau182985[[#This Row],[RA]]-Tableau182985[[#This Row],[DA]],"")</f>
        <v>-2.7422223576395974</v>
      </c>
      <c r="AT29" s="3" t="s">
        <v>99</v>
      </c>
      <c r="AU29" s="22"/>
    </row>
    <row r="30" spans="1:50" ht="15" customHeight="1" x14ac:dyDescent="0.2">
      <c r="A30" s="15" t="s">
        <v>100</v>
      </c>
      <c r="B30" s="25">
        <f>SUM(X:X)/$E$11</f>
        <v>9.1666666666666696</v>
      </c>
      <c r="D30" s="3" t="s">
        <v>101</v>
      </c>
      <c r="E30" s="25">
        <v>0</v>
      </c>
      <c r="H30" s="25"/>
      <c r="I30" s="17"/>
      <c r="K30" s="3">
        <v>28</v>
      </c>
      <c r="L30" s="4">
        <v>59.296306041048979</v>
      </c>
      <c r="M30" s="4">
        <v>0</v>
      </c>
      <c r="N30" s="4">
        <v>59.296306041048979</v>
      </c>
      <c r="O30" s="5">
        <f t="shared" si="0"/>
        <v>60.126454325623676</v>
      </c>
      <c r="P30" s="5">
        <f t="shared" si="1"/>
        <v>17.200236714929311</v>
      </c>
      <c r="Q30" s="5">
        <f t="shared" si="2"/>
        <v>54.684340145389598</v>
      </c>
      <c r="R30" s="5">
        <v>9.3333333333333321</v>
      </c>
      <c r="S30" s="5">
        <v>184.7043948254736</v>
      </c>
      <c r="T30" s="5">
        <f t="shared" si="3"/>
        <v>0</v>
      </c>
      <c r="U30" s="5">
        <f t="shared" si="4"/>
        <v>0</v>
      </c>
      <c r="V30" s="5" t="str">
        <f>IF($E$4="Embrousaillement",Tableau182985[[#This Row],[SOL]],"")</f>
        <v/>
      </c>
      <c r="W30" s="5" t="str">
        <f>IF($E$4="Embrousaillement",Tableau182985[[#This Row],[L]],"")</f>
        <v/>
      </c>
      <c r="X30" s="5">
        <v>9.1666666666666661</v>
      </c>
      <c r="Y30" s="5">
        <f t="shared" si="5"/>
        <v>0</v>
      </c>
      <c r="Z30" s="5">
        <f t="shared" si="6"/>
        <v>0</v>
      </c>
      <c r="AA30" s="5">
        <f t="shared" si="7"/>
        <v>0</v>
      </c>
      <c r="AB30" s="5">
        <v>0</v>
      </c>
      <c r="AC30" s="5">
        <v>1.980420515885558E-2</v>
      </c>
      <c r="AD30" s="5">
        <f t="shared" si="8"/>
        <v>0</v>
      </c>
      <c r="AE30" s="5">
        <v>0</v>
      </c>
      <c r="AF30" s="5">
        <v>2.7725887222397813E-2</v>
      </c>
      <c r="AG30" s="5">
        <f t="shared" si="9"/>
        <v>0</v>
      </c>
      <c r="AH30" s="5">
        <v>0</v>
      </c>
      <c r="AI30" s="5">
        <v>0.34657359027997264</v>
      </c>
      <c r="AJ30" s="5">
        <f t="shared" si="10"/>
        <v>0.19908929622608376</v>
      </c>
      <c r="AK30" s="5">
        <f t="shared" si="11"/>
        <v>0</v>
      </c>
      <c r="AL30" s="7">
        <f>IF(Tableau182985[[#This Row],[Age]]&lt;&gt;"",IF(Tableau182985[[#This Row],[Age]]=0,$AT$10*$B$10+SUMIF($AS$21:$AS$29,Tableau182985[[#This Row],[Age]],$AU$21:$AU$29)*$B$10+$AT$11*$B$10,SUMIF($AS$21:$AS$29,Tableau182985[[#This Row],[Age]],$AU$21:$AU$29)*$B$10+$AT$11*$B$10),"")</f>
        <v>9</v>
      </c>
      <c r="AM30" s="7">
        <f>IF(Tableau182985[[#This Row],[Age]]&lt;&gt;"",IF(Tableau182985[[#This Row],[Age]]=$B$11,$AT$10*$B$10,0)+Tableau182985[[#This Row],[VBO]]*$AX$21*$B$10+Tableau182985[[#This Row],[VBI]]*$AX$22*$B$10+Tableau182985[[#This Row],[VBE]]*$AX$23*$B$10,"")</f>
        <v>0</v>
      </c>
      <c r="AN30" s="7">
        <v>2.6241362274063142</v>
      </c>
      <c r="AO30" s="7">
        <v>0</v>
      </c>
      <c r="AP30" s="7">
        <f>IF(Tableau182985[[#This Row],[Age]]&lt;&gt;"",Tableau182985[[#This Row],[RA]]-Tableau182985[[#This Row],[DA]],"")</f>
        <v>-2.6241362274063142</v>
      </c>
      <c r="AT30" s="3" t="s">
        <v>102</v>
      </c>
    </row>
    <row r="31" spans="1:50" ht="15" customHeight="1" x14ac:dyDescent="0.2">
      <c r="A31" s="15"/>
      <c r="B31" s="25"/>
      <c r="E31" s="25"/>
      <c r="H31" s="25"/>
      <c r="I31" s="17"/>
      <c r="K31" s="3">
        <v>29</v>
      </c>
      <c r="L31" s="4">
        <v>64.976051794495376</v>
      </c>
      <c r="M31" s="4">
        <v>0</v>
      </c>
      <c r="N31" s="4">
        <v>64.976051794495376</v>
      </c>
      <c r="O31" s="5">
        <f t="shared" si="0"/>
        <v>65.885716519618327</v>
      </c>
      <c r="P31" s="5">
        <f t="shared" si="1"/>
        <v>18.648162028441554</v>
      </c>
      <c r="Q31" s="5">
        <f t="shared" si="2"/>
        <v>54.950032603181285</v>
      </c>
      <c r="R31" s="5">
        <v>9.6666666666666661</v>
      </c>
      <c r="S31" s="5">
        <v>192.07886789699003</v>
      </c>
      <c r="T31" s="5">
        <f t="shared" si="3"/>
        <v>0</v>
      </c>
      <c r="U31" s="5">
        <f t="shared" si="4"/>
        <v>0</v>
      </c>
      <c r="V31" s="5" t="str">
        <f>IF($E$4="Embrousaillement",Tableau182985[[#This Row],[SOL]],"")</f>
        <v/>
      </c>
      <c r="W31" s="5" t="str">
        <f>IF($E$4="Embrousaillement",Tableau182985[[#This Row],[L]],"")</f>
        <v/>
      </c>
      <c r="X31" s="5">
        <v>9.1666666666666661</v>
      </c>
      <c r="Y31" s="5">
        <f t="shared" si="5"/>
        <v>0</v>
      </c>
      <c r="Z31" s="5">
        <f t="shared" si="6"/>
        <v>0</v>
      </c>
      <c r="AA31" s="5">
        <f t="shared" si="7"/>
        <v>0</v>
      </c>
      <c r="AB31" s="5">
        <v>0</v>
      </c>
      <c r="AC31" s="5">
        <v>1.980420515885558E-2</v>
      </c>
      <c r="AD31" s="5">
        <f t="shared" si="8"/>
        <v>0</v>
      </c>
      <c r="AE31" s="5">
        <v>0</v>
      </c>
      <c r="AF31" s="5">
        <v>2.7725887222397813E-2</v>
      </c>
      <c r="AG31" s="5">
        <f t="shared" si="9"/>
        <v>0</v>
      </c>
      <c r="AH31" s="5">
        <v>0</v>
      </c>
      <c r="AI31" s="5">
        <v>0.34657359027997264</v>
      </c>
      <c r="AJ31" s="5">
        <f t="shared" si="10"/>
        <v>0.14077739142312115</v>
      </c>
      <c r="AK31" s="5">
        <f t="shared" si="11"/>
        <v>0</v>
      </c>
      <c r="AL31" s="7">
        <f>IF(Tableau182985[[#This Row],[Age]]&lt;&gt;"",IF(Tableau182985[[#This Row],[Age]]=0,$AT$10*$B$10+SUMIF($AS$21:$AS$29,Tableau182985[[#This Row],[Age]],$AU$21:$AU$29)*$B$10+$AT$11*$B$10,SUMIF($AS$21:$AS$29,Tableau182985[[#This Row],[Age]],$AU$21:$AU$29)*$B$10+$AT$11*$B$10),"")</f>
        <v>9</v>
      </c>
      <c r="AM31" s="7">
        <f>IF(Tableau182985[[#This Row],[Age]]&lt;&gt;"",IF(Tableau182985[[#This Row],[Age]]=$B$11,$AT$10*$B$10,0)+Tableau182985[[#This Row],[VBO]]*$AX$21*$B$10+Tableau182985[[#This Row],[VBI]]*$AX$22*$B$10+Tableau182985[[#This Row],[VBE]]*$AX$23*$B$10,"")</f>
        <v>0</v>
      </c>
      <c r="AN31" s="7">
        <v>2.5111351458433622</v>
      </c>
      <c r="AO31" s="7">
        <v>0</v>
      </c>
      <c r="AP31" s="7">
        <f>IF(Tableau182985[[#This Row],[Age]]&lt;&gt;"",Tableau182985[[#This Row],[RA]]-Tableau182985[[#This Row],[DA]],"")</f>
        <v>-2.5111351458433622</v>
      </c>
    </row>
    <row r="32" spans="1:50" ht="15" customHeight="1" x14ac:dyDescent="0.2">
      <c r="A32" s="15" t="s">
        <v>103</v>
      </c>
      <c r="B32" s="25">
        <f>IF(B11&gt;=30,B27-B29,"")</f>
        <v>174.92045653777527</v>
      </c>
      <c r="E32" s="25"/>
      <c r="H32" s="25"/>
      <c r="I32" s="17"/>
      <c r="K32" s="26">
        <v>30</v>
      </c>
      <c r="L32" s="27">
        <v>70.952158689149869</v>
      </c>
      <c r="M32" s="27">
        <v>14.190431737829975</v>
      </c>
      <c r="N32" s="27">
        <v>56.761726951319901</v>
      </c>
      <c r="O32" s="27">
        <f t="shared" si="0"/>
        <v>57.556391128638381</v>
      </c>
      <c r="P32" s="27">
        <f t="shared" si="1"/>
        <v>16.54896091490723</v>
      </c>
      <c r="Q32" s="27">
        <f t="shared" si="2"/>
        <v>55.211115890829625</v>
      </c>
      <c r="R32" s="27">
        <v>10</v>
      </c>
      <c r="S32" s="27">
        <v>184.08712320444192</v>
      </c>
      <c r="T32" s="27">
        <f t="shared" si="3"/>
        <v>0</v>
      </c>
      <c r="U32" s="27">
        <f t="shared" si="4"/>
        <v>0</v>
      </c>
      <c r="V32" s="27" t="str">
        <f>IF($E$4="Embrousaillement",Tableau182985[[#This Row],[SOL]],"")</f>
        <v/>
      </c>
      <c r="W32" s="27" t="str">
        <f>IF($E$4="Embrousaillement",Tableau182985[[#This Row],[L]],"")</f>
        <v/>
      </c>
      <c r="X32" s="27">
        <v>9.1666666666666661</v>
      </c>
      <c r="Y32" s="27">
        <f t="shared" si="5"/>
        <v>0</v>
      </c>
      <c r="Z32" s="27">
        <f t="shared" si="6"/>
        <v>0</v>
      </c>
      <c r="AA32" s="27">
        <f t="shared" si="7"/>
        <v>14.190431737829975</v>
      </c>
      <c r="AB32" s="27">
        <v>0</v>
      </c>
      <c r="AC32" s="27">
        <v>1.980420515885558E-2</v>
      </c>
      <c r="AD32" s="27">
        <f t="shared" si="8"/>
        <v>0</v>
      </c>
      <c r="AE32" s="27">
        <v>0</v>
      </c>
      <c r="AF32" s="27">
        <v>2.7725887222397813E-2</v>
      </c>
      <c r="AG32" s="27">
        <f t="shared" si="9"/>
        <v>0</v>
      </c>
      <c r="AH32" s="27">
        <v>8.0323756316008428</v>
      </c>
      <c r="AI32" s="27">
        <v>0.34657359027997264</v>
      </c>
      <c r="AJ32" s="27">
        <f t="shared" si="10"/>
        <v>6.8877951652911813</v>
      </c>
      <c r="AK32" s="27">
        <f t="shared" si="11"/>
        <v>7.0952158689149876</v>
      </c>
      <c r="AL32" s="28">
        <f>IF(Tableau182985[[#This Row],[Age]]&lt;&gt;"",IF(Tableau182985[[#This Row],[Age]]=0,$AT$10*$B$10+SUMIF($AS$21:$AS$29,Tableau182985[[#This Row],[Age]],$AU$21:$AU$29)*$B$10+$AT$11*$B$10,SUMIF($AS$21:$AS$29,Tableau182985[[#This Row],[Age]],$AU$21:$AU$29)*$B$10+$AT$11*$B$10),"")</f>
        <v>9</v>
      </c>
      <c r="AM32" s="28">
        <f>IF(Tableau182985[[#This Row],[Age]]&lt;&gt;"",IF(Tableau182985[[#This Row],[Age]]=$B$11,$AT$10*$B$10,0)+Tableau182985[[#This Row],[VBO]]*$AX$21*$B$10+Tableau182985[[#This Row],[VBI]]*$AX$22*$B$10+Tableau182985[[#This Row],[VBE]]*$AX$23*$B$10,"")</f>
        <v>35.476079344574941</v>
      </c>
      <c r="AN32" s="28">
        <v>2.4030001395630269</v>
      </c>
      <c r="AO32" s="28">
        <v>9.4721137351291791</v>
      </c>
      <c r="AP32" s="28">
        <f>IF(Tableau182985[[#This Row],[Age]]&lt;&gt;"",Tableau182985[[#This Row],[RA]]-Tableau182985[[#This Row],[DA]],"")</f>
        <v>7.0691135955661526</v>
      </c>
      <c r="AS32" s="3" t="s">
        <v>70</v>
      </c>
      <c r="AT32" s="29">
        <f>SUM(AL2:AL7)</f>
        <v>3094</v>
      </c>
    </row>
    <row r="33" spans="1:42" ht="15" customHeight="1" x14ac:dyDescent="0.2">
      <c r="A33" s="15" t="s">
        <v>104</v>
      </c>
      <c r="B33" s="25">
        <f>B28-B30</f>
        <v>197.50130295245663</v>
      </c>
      <c r="E33" s="25"/>
      <c r="H33" s="25"/>
      <c r="I33" s="17"/>
      <c r="K33" s="3">
        <v>31</v>
      </c>
      <c r="L33" s="4">
        <v>61.781162381525206</v>
      </c>
      <c r="M33" s="4">
        <v>0</v>
      </c>
      <c r="N33" s="4">
        <v>61.781162381525206</v>
      </c>
      <c r="O33" s="5">
        <f t="shared" si="0"/>
        <v>62.646098654866563</v>
      </c>
      <c r="P33" s="5">
        <f t="shared" si="1"/>
        <v>17.835596139654974</v>
      </c>
      <c r="Q33" s="5">
        <f t="shared" si="2"/>
        <v>55.467669967132053</v>
      </c>
      <c r="R33" s="5">
        <v>10.333333333333332</v>
      </c>
      <c r="S33" s="5">
        <v>190.72131526774902</v>
      </c>
      <c r="T33" s="5">
        <f t="shared" si="3"/>
        <v>0</v>
      </c>
      <c r="U33" s="5">
        <f t="shared" si="4"/>
        <v>0</v>
      </c>
      <c r="V33" s="5" t="str">
        <f>IF($E$4="Embrousaillement",Tableau182985[[#This Row],[SOL]],"")</f>
        <v/>
      </c>
      <c r="W33" s="5" t="str">
        <f>IF($E$4="Embrousaillement",Tableau182985[[#This Row],[L]],"")</f>
        <v/>
      </c>
      <c r="X33" s="5">
        <v>9.1666666666666661</v>
      </c>
      <c r="Y33" s="5">
        <f t="shared" si="5"/>
        <v>0</v>
      </c>
      <c r="Z33" s="5">
        <f t="shared" si="6"/>
        <v>0</v>
      </c>
      <c r="AA33" s="5">
        <f t="shared" si="7"/>
        <v>0</v>
      </c>
      <c r="AB33" s="5" t="s">
        <v>166</v>
      </c>
      <c r="AC33" s="5" t="s">
        <v>166</v>
      </c>
      <c r="AD33" s="5" t="str">
        <f t="shared" si="8"/>
        <v/>
      </c>
      <c r="AE33" s="5" t="s">
        <v>166</v>
      </c>
      <c r="AF33" s="5" t="s">
        <v>166</v>
      </c>
      <c r="AG33" s="5" t="str">
        <f t="shared" si="9"/>
        <v/>
      </c>
      <c r="AH33" s="5" t="s">
        <v>166</v>
      </c>
      <c r="AI33" s="5" t="s">
        <v>166</v>
      </c>
      <c r="AJ33" s="5" t="str">
        <f t="shared" si="10"/>
        <v/>
      </c>
      <c r="AK33" s="5" t="str">
        <f t="shared" si="11"/>
        <v/>
      </c>
      <c r="AL33" s="7">
        <f>IF(Tableau182985[[#This Row],[Age]]&lt;&gt;"",IF(Tableau182985[[#This Row],[Age]]=0,$AT$10*$B$10+SUMIF($AS$21:$AS$29,Tableau182985[[#This Row],[Age]],$AU$21:$AU$29)*$B$10+$AT$11*$B$10,SUMIF($AS$21:$AS$29,Tableau182985[[#This Row],[Age]],$AU$21:$AU$29)*$B$10+$AT$11*$B$10),"")</f>
        <v>9</v>
      </c>
      <c r="AM33" s="7">
        <f>IF(Tableau182985[[#This Row],[Age]]&lt;&gt;"",IF(Tableau182985[[#This Row],[Age]]=$B$11,$AT$10*$B$10,0)+Tableau182985[[#This Row],[VBO]]*$AX$21*$B$10+Tableau182985[[#This Row],[VBI]]*$AX$22*$B$10+Tableau182985[[#This Row],[VBE]]*$AX$23*$B$10,"")</f>
        <v>0</v>
      </c>
      <c r="AN33" s="7">
        <v>2.2995216646536139</v>
      </c>
      <c r="AO33" s="7">
        <v>0</v>
      </c>
      <c r="AP33" s="7">
        <f>IF(Tableau182985[[#This Row],[Age]]&lt;&gt;"",Tableau182985[[#This Row],[RA]]-Tableau182985[[#This Row],[DA]],"")</f>
        <v>-2.2995216646536139</v>
      </c>
    </row>
    <row r="34" spans="1:42" ht="15" customHeight="1" x14ac:dyDescent="0.2">
      <c r="A34" s="15"/>
      <c r="B34" s="25"/>
      <c r="E34" s="25"/>
      <c r="H34" s="25"/>
      <c r="I34" s="17"/>
      <c r="K34" s="3">
        <v>32</v>
      </c>
      <c r="L34" s="4">
        <v>67.040401122736256</v>
      </c>
      <c r="M34" s="4">
        <v>0</v>
      </c>
      <c r="N34" s="4">
        <v>67.040401122736256</v>
      </c>
      <c r="O34" s="5">
        <f t="shared" si="0"/>
        <v>67.978966738454574</v>
      </c>
      <c r="P34" s="5">
        <f t="shared" si="1"/>
        <v>19.170711225625961</v>
      </c>
      <c r="Q34" s="5">
        <f t="shared" si="2"/>
        <v>55.719773403779627</v>
      </c>
      <c r="R34" s="5">
        <v>10.666666666666666</v>
      </c>
      <c r="S34" s="5">
        <v>197.60131802287165</v>
      </c>
      <c r="T34" s="5">
        <f t="shared" si="3"/>
        <v>0</v>
      </c>
      <c r="U34" s="5">
        <f t="shared" si="4"/>
        <v>0</v>
      </c>
      <c r="V34" s="5" t="str">
        <f>IF($E$4="Embrousaillement",Tableau182985[[#This Row],[SOL]],"")</f>
        <v/>
      </c>
      <c r="W34" s="5" t="str">
        <f>IF($E$4="Embrousaillement",Tableau182985[[#This Row],[L]],"")</f>
        <v/>
      </c>
      <c r="X34" s="5">
        <v>9.1666666666666661</v>
      </c>
      <c r="Y34" s="5">
        <f t="shared" si="5"/>
        <v>0</v>
      </c>
      <c r="Z34" s="5">
        <f t="shared" si="6"/>
        <v>0</v>
      </c>
      <c r="AA34" s="5">
        <f t="shared" si="7"/>
        <v>0</v>
      </c>
      <c r="AB34" s="5" t="s">
        <v>166</v>
      </c>
      <c r="AC34" s="5" t="s">
        <v>166</v>
      </c>
      <c r="AD34" s="5" t="str">
        <f t="shared" si="8"/>
        <v/>
      </c>
      <c r="AE34" s="5" t="s">
        <v>166</v>
      </c>
      <c r="AF34" s="5" t="s">
        <v>166</v>
      </c>
      <c r="AG34" s="5" t="str">
        <f t="shared" si="9"/>
        <v/>
      </c>
      <c r="AH34" s="5" t="s">
        <v>166</v>
      </c>
      <c r="AI34" s="5" t="s">
        <v>166</v>
      </c>
      <c r="AJ34" s="5" t="str">
        <f t="shared" si="10"/>
        <v/>
      </c>
      <c r="AK34" s="5" t="str">
        <f t="shared" si="11"/>
        <v/>
      </c>
      <c r="AL34" s="7">
        <f>IF(Tableau182985[[#This Row],[Age]]&lt;&gt;"",IF(Tableau182985[[#This Row],[Age]]=0,$AT$10*$B$10+SUMIF($AS$21:$AS$29,Tableau182985[[#This Row],[Age]],$AU$21:$AU$29)*$B$10+$AT$11*$B$10,SUMIF($AS$21:$AS$29,Tableau182985[[#This Row],[Age]],$AU$21:$AU$29)*$B$10+$AT$11*$B$10),"")</f>
        <v>9</v>
      </c>
      <c r="AM34" s="7">
        <f>IF(Tableau182985[[#This Row],[Age]]&lt;&gt;"",IF(Tableau182985[[#This Row],[Age]]=$B$11,$AT$10*$B$10,0)+Tableau182985[[#This Row],[VBO]]*$AX$21*$B$10+Tableau182985[[#This Row],[VBI]]*$AX$22*$B$10+Tableau182985[[#This Row],[VBE]]*$AX$23*$B$10,"")</f>
        <v>0</v>
      </c>
      <c r="AN34" s="7">
        <v>2.2004992006254689</v>
      </c>
      <c r="AO34" s="7">
        <v>0</v>
      </c>
      <c r="AP34" s="7">
        <f>IF(Tableau182985[[#This Row],[Age]]&lt;&gt;"",Tableau182985[[#This Row],[RA]]-Tableau182985[[#This Row],[DA]],"")</f>
        <v>-2.2004992006254689</v>
      </c>
    </row>
    <row r="35" spans="1:42" ht="15" customHeight="1" x14ac:dyDescent="0.2">
      <c r="A35" s="15" t="s">
        <v>105</v>
      </c>
      <c r="B35" s="25">
        <f>IF(ISERROR(MIN(B32:B33)),0,IF(B11&gt;=30,MIN(B32:B33),B33))</f>
        <v>174.92045653777527</v>
      </c>
      <c r="D35" s="3" t="s">
        <v>106</v>
      </c>
      <c r="E35" s="25">
        <f>IF(ISNA((SUM(E27:E29)-E30)/30),0,(SUM(E27:E29)-E30)/30)</f>
        <v>0.73476013904615156</v>
      </c>
      <c r="G35" s="3" t="s">
        <v>107</v>
      </c>
      <c r="H35" s="25">
        <f>IF(ISNA((H27-H28)*$B$9),0,(H27-H28)*$B$9)</f>
        <v>2.9596960614773105</v>
      </c>
      <c r="I35" s="17"/>
      <c r="K35" s="3">
        <v>33</v>
      </c>
      <c r="L35" s="4">
        <v>72.540503278515686</v>
      </c>
      <c r="M35" s="4">
        <v>0</v>
      </c>
      <c r="N35" s="4">
        <v>72.540503278515686</v>
      </c>
      <c r="O35" s="5">
        <f t="shared" si="0"/>
        <v>73.556070324414904</v>
      </c>
      <c r="P35" s="5">
        <f t="shared" si="1"/>
        <v>20.553992255773451</v>
      </c>
      <c r="Q35" s="5">
        <f t="shared" si="2"/>
        <v>55.96750340942021</v>
      </c>
      <c r="R35" s="5">
        <v>11</v>
      </c>
      <c r="S35" s="5">
        <v>204.72793574751773</v>
      </c>
      <c r="T35" s="5">
        <f t="shared" si="3"/>
        <v>0</v>
      </c>
      <c r="U35" s="5">
        <f t="shared" si="4"/>
        <v>0</v>
      </c>
      <c r="V35" s="5" t="str">
        <f>IF($E$4="Embrousaillement",Tableau182985[[#This Row],[SOL]],"")</f>
        <v/>
      </c>
      <c r="W35" s="5" t="str">
        <f>IF($E$4="Embrousaillement",Tableau182985[[#This Row],[L]],"")</f>
        <v/>
      </c>
      <c r="X35" s="5">
        <v>9.1666666666666661</v>
      </c>
      <c r="Y35" s="5">
        <f t="shared" si="5"/>
        <v>0</v>
      </c>
      <c r="Z35" s="5">
        <f t="shared" si="6"/>
        <v>0</v>
      </c>
      <c r="AA35" s="5">
        <f t="shared" si="7"/>
        <v>0</v>
      </c>
      <c r="AB35" s="5" t="s">
        <v>166</v>
      </c>
      <c r="AC35" s="5" t="s">
        <v>166</v>
      </c>
      <c r="AD35" s="5" t="str">
        <f t="shared" si="8"/>
        <v/>
      </c>
      <c r="AE35" s="5" t="s">
        <v>166</v>
      </c>
      <c r="AF35" s="5" t="s">
        <v>166</v>
      </c>
      <c r="AG35" s="5" t="str">
        <f t="shared" si="9"/>
        <v/>
      </c>
      <c r="AH35" s="5" t="s">
        <v>166</v>
      </c>
      <c r="AI35" s="5" t="s">
        <v>166</v>
      </c>
      <c r="AJ35" s="5" t="str">
        <f t="shared" si="10"/>
        <v/>
      </c>
      <c r="AK35" s="5" t="str">
        <f t="shared" si="11"/>
        <v/>
      </c>
      <c r="AL35" s="7">
        <f>IF(Tableau182985[[#This Row],[Age]]&lt;&gt;"",IF(Tableau182985[[#This Row],[Age]]=0,$AT$10*$B$10+SUMIF($AS$21:$AS$29,Tableau182985[[#This Row],[Age]],$AU$21:$AU$29)*$B$10+$AT$11*$B$10,SUMIF($AS$21:$AS$29,Tableau182985[[#This Row],[Age]],$AU$21:$AU$29)*$B$10+$AT$11*$B$10),"")</f>
        <v>9</v>
      </c>
      <c r="AM35" s="7">
        <f>IF(Tableau182985[[#This Row],[Age]]&lt;&gt;"",IF(Tableau182985[[#This Row],[Age]]=$B$11,$AT$10*$B$10,0)+Tableau182985[[#This Row],[VBO]]*$AX$21*$B$10+Tableau182985[[#This Row],[VBI]]*$AX$22*$B$10+Tableau182985[[#This Row],[VBE]]*$AX$23*$B$10,"")</f>
        <v>0</v>
      </c>
      <c r="AN35" s="7">
        <v>2.1057408618425546</v>
      </c>
      <c r="AO35" s="7">
        <v>0</v>
      </c>
      <c r="AP35" s="7">
        <f>IF(Tableau182985[[#This Row],[Age]]&lt;&gt;"",Tableau182985[[#This Row],[RA]]-Tableau182985[[#This Row],[DA]],"")</f>
        <v>-2.1057408618425546</v>
      </c>
    </row>
    <row r="36" spans="1:42" ht="15" customHeight="1" x14ac:dyDescent="0.2">
      <c r="A36" s="19"/>
      <c r="B36" s="20"/>
      <c r="C36" s="20"/>
      <c r="D36" s="20"/>
      <c r="E36" s="20"/>
      <c r="F36" s="20"/>
      <c r="G36" s="20"/>
      <c r="H36" s="20"/>
      <c r="I36" s="21"/>
      <c r="K36" s="3">
        <v>34</v>
      </c>
      <c r="L36" s="4">
        <v>78.282349187062891</v>
      </c>
      <c r="M36" s="4">
        <v>0</v>
      </c>
      <c r="N36" s="4">
        <v>78.282349187062891</v>
      </c>
      <c r="O36" s="5">
        <f t="shared" si="0"/>
        <v>79.378302075681773</v>
      </c>
      <c r="P36" s="5">
        <f t="shared" si="1"/>
        <v>21.985106803354647</v>
      </c>
      <c r="Q36" s="5">
        <f t="shared" si="2"/>
        <v>56.210935853304257</v>
      </c>
      <c r="R36" s="5">
        <v>11.333333333333332</v>
      </c>
      <c r="S36" s="5">
        <v>212.10179540766313</v>
      </c>
      <c r="T36" s="5">
        <f t="shared" si="3"/>
        <v>0</v>
      </c>
      <c r="U36" s="5">
        <f t="shared" si="4"/>
        <v>0</v>
      </c>
      <c r="V36" s="5" t="str">
        <f>IF($E$4="Embrousaillement",Tableau182985[[#This Row],[SOL]],"")</f>
        <v/>
      </c>
      <c r="W36" s="5" t="str">
        <f>IF($E$4="Embrousaillement",Tableau182985[[#This Row],[L]],"")</f>
        <v/>
      </c>
      <c r="X36" s="5">
        <v>9.1666666666666661</v>
      </c>
      <c r="Y36" s="5">
        <f t="shared" si="5"/>
        <v>0</v>
      </c>
      <c r="Z36" s="5">
        <f t="shared" si="6"/>
        <v>0</v>
      </c>
      <c r="AA36" s="5">
        <f t="shared" si="7"/>
        <v>0</v>
      </c>
      <c r="AB36" s="5" t="s">
        <v>166</v>
      </c>
      <c r="AC36" s="5" t="s">
        <v>166</v>
      </c>
      <c r="AD36" s="5" t="str">
        <f t="shared" si="8"/>
        <v/>
      </c>
      <c r="AE36" s="5" t="s">
        <v>166</v>
      </c>
      <c r="AF36" s="5" t="s">
        <v>166</v>
      </c>
      <c r="AG36" s="5" t="str">
        <f t="shared" si="9"/>
        <v/>
      </c>
      <c r="AH36" s="5" t="s">
        <v>166</v>
      </c>
      <c r="AI36" s="5" t="s">
        <v>166</v>
      </c>
      <c r="AJ36" s="5" t="str">
        <f t="shared" si="10"/>
        <v/>
      </c>
      <c r="AK36" s="5" t="str">
        <f t="shared" si="11"/>
        <v/>
      </c>
      <c r="AL36" s="7">
        <f>IF(Tableau182985[[#This Row],[Age]]&lt;&gt;"",IF(Tableau182985[[#This Row],[Age]]=0,$AT$10*$B$10+SUMIF($AS$21:$AS$29,Tableau182985[[#This Row],[Age]],$AU$21:$AU$29)*$B$10+$AT$11*$B$10,SUMIF($AS$21:$AS$29,Tableau182985[[#This Row],[Age]],$AU$21:$AU$29)*$B$10+$AT$11*$B$10),"")</f>
        <v>9</v>
      </c>
      <c r="AM36" s="7">
        <f>IF(Tableau182985[[#This Row],[Age]]&lt;&gt;"",IF(Tableau182985[[#This Row],[Age]]=$B$11,$AT$10*$B$10,0)+Tableau182985[[#This Row],[VBO]]*$AX$21*$B$10+Tableau182985[[#This Row],[VBI]]*$AX$22*$B$10+Tableau182985[[#This Row],[VBE]]*$AX$23*$B$10,"")</f>
        <v>0</v>
      </c>
      <c r="AN36" s="7">
        <v>2.0150630256866551</v>
      </c>
      <c r="AO36" s="7">
        <v>0</v>
      </c>
      <c r="AP36" s="7">
        <f>IF(Tableau182985[[#This Row],[Age]]&lt;&gt;"",Tableau182985[[#This Row],[RA]]-Tableau182985[[#This Row],[DA]],"")</f>
        <v>-2.0150630256866551</v>
      </c>
    </row>
    <row r="37" spans="1:42" ht="15" customHeight="1" x14ac:dyDescent="0.2">
      <c r="K37" s="3">
        <v>35</v>
      </c>
      <c r="L37" s="4">
        <v>84.26665220253318</v>
      </c>
      <c r="M37" s="4">
        <v>0</v>
      </c>
      <c r="N37" s="4">
        <v>84.26665220253318</v>
      </c>
      <c r="O37" s="5">
        <f t="shared" si="0"/>
        <v>85.446385333368639</v>
      </c>
      <c r="P37" s="5">
        <f t="shared" si="1"/>
        <v>23.463706311907387</v>
      </c>
      <c r="Q37" s="5">
        <f t="shared" si="2"/>
        <v>56.450145288520318</v>
      </c>
      <c r="R37" s="5">
        <v>11.666666666666666</v>
      </c>
      <c r="S37" s="5">
        <v>219.72336005893732</v>
      </c>
      <c r="T37" s="5">
        <f t="shared" si="3"/>
        <v>0</v>
      </c>
      <c r="U37" s="5">
        <f t="shared" si="4"/>
        <v>0</v>
      </c>
      <c r="V37" s="5" t="str">
        <f>IF($E$4="Embrousaillement",Tableau182985[[#This Row],[SOL]],"")</f>
        <v/>
      </c>
      <c r="W37" s="5" t="str">
        <f>IF($E$4="Embrousaillement",Tableau182985[[#This Row],[L]],"")</f>
        <v/>
      </c>
      <c r="X37" s="5">
        <v>9.1666666666666661</v>
      </c>
      <c r="Y37" s="5">
        <f t="shared" si="5"/>
        <v>0</v>
      </c>
      <c r="Z37" s="5">
        <f t="shared" si="6"/>
        <v>0</v>
      </c>
      <c r="AA37" s="5">
        <f t="shared" si="7"/>
        <v>0</v>
      </c>
      <c r="AB37" s="5" t="s">
        <v>166</v>
      </c>
      <c r="AC37" s="5" t="s">
        <v>166</v>
      </c>
      <c r="AD37" s="5" t="str">
        <f t="shared" si="8"/>
        <v/>
      </c>
      <c r="AE37" s="5" t="s">
        <v>166</v>
      </c>
      <c r="AF37" s="5" t="s">
        <v>166</v>
      </c>
      <c r="AG37" s="5" t="str">
        <f t="shared" si="9"/>
        <v/>
      </c>
      <c r="AH37" s="5" t="s">
        <v>166</v>
      </c>
      <c r="AI37" s="5" t="s">
        <v>166</v>
      </c>
      <c r="AJ37" s="5" t="str">
        <f t="shared" si="10"/>
        <v/>
      </c>
      <c r="AK37" s="5" t="str">
        <f t="shared" si="11"/>
        <v/>
      </c>
      <c r="AL37" s="7">
        <f>IF(Tableau182985[[#This Row],[Age]]&lt;&gt;"",IF(Tableau182985[[#This Row],[Age]]=0,$AT$10*$B$10+SUMIF($AS$21:$AS$29,Tableau182985[[#This Row],[Age]],$AU$21:$AU$29)*$B$10+$AT$11*$B$10,SUMIF($AS$21:$AS$29,Tableau182985[[#This Row],[Age]],$AU$21:$AU$29)*$B$10+$AT$11*$B$10),"")</f>
        <v>9</v>
      </c>
      <c r="AM37" s="7">
        <f>IF(Tableau182985[[#This Row],[Age]]&lt;&gt;"",IF(Tableau182985[[#This Row],[Age]]=$B$11,$AT$10*$B$10,0)+Tableau182985[[#This Row],[VBO]]*$AX$21*$B$10+Tableau182985[[#This Row],[VBI]]*$AX$22*$B$10+Tableau182985[[#This Row],[VBE]]*$AX$23*$B$10,"")</f>
        <v>0</v>
      </c>
      <c r="AN37" s="7">
        <v>1.9282899767336414</v>
      </c>
      <c r="AO37" s="7">
        <v>0</v>
      </c>
      <c r="AP37" s="7">
        <f>IF(Tableau182985[[#This Row],[Age]]&lt;&gt;"",Tableau182985[[#This Row],[RA]]-Tableau182985[[#This Row],[DA]],"")</f>
        <v>-1.9282899767336414</v>
      </c>
    </row>
    <row r="38" spans="1:42" ht="15" customHeight="1" x14ac:dyDescent="0.2">
      <c r="K38" s="3">
        <v>36</v>
      </c>
      <c r="L38" s="4">
        <v>90.493970766509278</v>
      </c>
      <c r="M38" s="4">
        <v>0</v>
      </c>
      <c r="N38" s="4">
        <v>90.493970766509278</v>
      </c>
      <c r="O38" s="5">
        <f t="shared" si="0"/>
        <v>91.760886357240409</v>
      </c>
      <c r="P38" s="5">
        <f t="shared" si="1"/>
        <v>24.989428276460984</v>
      </c>
      <c r="Q38" s="5">
        <f t="shared" si="2"/>
        <v>56.68520497482757</v>
      </c>
      <c r="R38" s="5">
        <v>12</v>
      </c>
      <c r="S38" s="5">
        <v>227.59294144736552</v>
      </c>
      <c r="T38" s="5">
        <f t="shared" si="3"/>
        <v>0</v>
      </c>
      <c r="U38" s="5">
        <f t="shared" si="4"/>
        <v>0</v>
      </c>
      <c r="V38" s="5" t="str">
        <f>IF($E$4="Embrousaillement",Tableau182985[[#This Row],[SOL]],"")</f>
        <v/>
      </c>
      <c r="W38" s="5" t="str">
        <f>IF($E$4="Embrousaillement",Tableau182985[[#This Row],[L]],"")</f>
        <v/>
      </c>
      <c r="X38" s="5">
        <v>9.1666666666666661</v>
      </c>
      <c r="Y38" s="5">
        <f t="shared" si="5"/>
        <v>0</v>
      </c>
      <c r="Z38" s="5">
        <f t="shared" si="6"/>
        <v>0</v>
      </c>
      <c r="AA38" s="5">
        <f t="shared" si="7"/>
        <v>0</v>
      </c>
      <c r="AB38" s="5" t="s">
        <v>166</v>
      </c>
      <c r="AC38" s="5" t="s">
        <v>166</v>
      </c>
      <c r="AD38" s="5" t="str">
        <f t="shared" si="8"/>
        <v/>
      </c>
      <c r="AE38" s="5" t="s">
        <v>166</v>
      </c>
      <c r="AF38" s="5" t="s">
        <v>166</v>
      </c>
      <c r="AG38" s="5" t="str">
        <f t="shared" si="9"/>
        <v/>
      </c>
      <c r="AH38" s="5" t="s">
        <v>166</v>
      </c>
      <c r="AI38" s="5" t="s">
        <v>166</v>
      </c>
      <c r="AJ38" s="5" t="str">
        <f t="shared" si="10"/>
        <v/>
      </c>
      <c r="AK38" s="5" t="str">
        <f t="shared" si="11"/>
        <v/>
      </c>
      <c r="AL38" s="7">
        <f>IF(Tableau182985[[#This Row],[Age]]&lt;&gt;"",IF(Tableau182985[[#This Row],[Age]]=0,$AT$10*$B$10+SUMIF($AS$21:$AS$29,Tableau182985[[#This Row],[Age]],$AU$21:$AU$29)*$B$10+$AT$11*$B$10,SUMIF($AS$21:$AS$29,Tableau182985[[#This Row],[Age]],$AU$21:$AU$29)*$B$10+$AT$11*$B$10),"")</f>
        <v>9</v>
      </c>
      <c r="AM38" s="7">
        <f>IF(Tableau182985[[#This Row],[Age]]&lt;&gt;"",IF(Tableau182985[[#This Row],[Age]]=$B$11,$AT$10*$B$10,0)+Tableau182985[[#This Row],[VBO]]*$AX$21*$B$10+Tableau182985[[#This Row],[VBI]]*$AX$22*$B$10+Tableau182985[[#This Row],[VBE]]*$AX$23*$B$10,"")</f>
        <v>0</v>
      </c>
      <c r="AN38" s="7">
        <v>1.8452535662522886</v>
      </c>
      <c r="AO38" s="7">
        <v>0</v>
      </c>
      <c r="AP38" s="7">
        <f>IF(Tableau182985[[#This Row],[Age]]&lt;&gt;"",Tableau182985[[#This Row],[RA]]-Tableau182985[[#This Row],[DA]],"")</f>
        <v>-1.8452535662522886</v>
      </c>
    </row>
    <row r="39" spans="1:42" ht="15" customHeight="1" x14ac:dyDescent="0.2">
      <c r="K39" s="3">
        <v>37</v>
      </c>
      <c r="L39" s="4">
        <v>96.964719804408631</v>
      </c>
      <c r="M39" s="4">
        <v>0</v>
      </c>
      <c r="N39" s="4">
        <v>96.964719804408631</v>
      </c>
      <c r="O39" s="5">
        <f t="shared" si="0"/>
        <v>98.322225881670363</v>
      </c>
      <c r="P39" s="5">
        <f t="shared" si="1"/>
        <v>26.561898242612511</v>
      </c>
      <c r="Q39" s="5">
        <f t="shared" si="2"/>
        <v>56.916186901092118</v>
      </c>
      <c r="R39" s="5">
        <v>12.333333333333332</v>
      </c>
      <c r="S39" s="5">
        <v>235.7107118546763</v>
      </c>
      <c r="T39" s="5">
        <f t="shared" si="3"/>
        <v>0</v>
      </c>
      <c r="U39" s="5">
        <f t="shared" si="4"/>
        <v>0</v>
      </c>
      <c r="V39" s="5" t="str">
        <f>IF($E$4="Embrousaillement",Tableau182985[[#This Row],[SOL]],"")</f>
        <v/>
      </c>
      <c r="W39" s="5" t="str">
        <f>IF($E$4="Embrousaillement",Tableau182985[[#This Row],[L]],"")</f>
        <v/>
      </c>
      <c r="X39" s="5">
        <v>9.1666666666666661</v>
      </c>
      <c r="Y39" s="5">
        <f t="shared" si="5"/>
        <v>0</v>
      </c>
      <c r="Z39" s="5">
        <f t="shared" si="6"/>
        <v>0</v>
      </c>
      <c r="AA39" s="5">
        <f t="shared" si="7"/>
        <v>0</v>
      </c>
      <c r="AB39" s="5" t="s">
        <v>166</v>
      </c>
      <c r="AC39" s="5" t="s">
        <v>166</v>
      </c>
      <c r="AD39" s="5" t="str">
        <f t="shared" si="8"/>
        <v/>
      </c>
      <c r="AE39" s="5" t="s">
        <v>166</v>
      </c>
      <c r="AF39" s="5" t="s">
        <v>166</v>
      </c>
      <c r="AG39" s="5" t="str">
        <f t="shared" si="9"/>
        <v/>
      </c>
      <c r="AH39" s="5" t="s">
        <v>166</v>
      </c>
      <c r="AI39" s="5" t="s">
        <v>166</v>
      </c>
      <c r="AJ39" s="5" t="str">
        <f t="shared" si="10"/>
        <v/>
      </c>
      <c r="AK39" s="5" t="str">
        <f t="shared" si="11"/>
        <v/>
      </c>
      <c r="AL39" s="7">
        <f>IF(Tableau182985[[#This Row],[Age]]&lt;&gt;"",IF(Tableau182985[[#This Row],[Age]]=0,$AT$10*$B$10+SUMIF($AS$21:$AS$29,Tableau182985[[#This Row],[Age]],$AU$21:$AU$29)*$B$10+$AT$11*$B$10,SUMIF($AS$21:$AS$29,Tableau182985[[#This Row],[Age]],$AU$21:$AU$29)*$B$10+$AT$11*$B$10),"")</f>
        <v>9</v>
      </c>
      <c r="AM39" s="7">
        <f>IF(Tableau182985[[#This Row],[Age]]&lt;&gt;"",IF(Tableau182985[[#This Row],[Age]]=$B$11,$AT$10*$B$10,0)+Tableau182985[[#This Row],[VBO]]*$AX$21*$B$10+Tableau182985[[#This Row],[VBI]]*$AX$22*$B$10+Tableau182985[[#This Row],[VBE]]*$AX$23*$B$10,"")</f>
        <v>0</v>
      </c>
      <c r="AN39" s="7">
        <v>1.7657928863658265</v>
      </c>
      <c r="AO39" s="7">
        <v>0</v>
      </c>
      <c r="AP39" s="7">
        <f>IF(Tableau182985[[#This Row],[Age]]&lt;&gt;"",Tableau182985[[#This Row],[RA]]-Tableau182985[[#This Row],[DA]],"")</f>
        <v>-1.7657928863658265</v>
      </c>
    </row>
    <row r="40" spans="1:42" ht="15" customHeight="1" x14ac:dyDescent="0.2">
      <c r="K40" s="3">
        <v>38</v>
      </c>
      <c r="L40" s="4">
        <v>103.67918148003031</v>
      </c>
      <c r="M40" s="4">
        <v>0</v>
      </c>
      <c r="N40" s="4">
        <v>103.67918148003031</v>
      </c>
      <c r="O40" s="5">
        <f t="shared" si="0"/>
        <v>105.13069002075073</v>
      </c>
      <c r="P40" s="5">
        <f t="shared" si="1"/>
        <v>28.180731638460397</v>
      </c>
      <c r="Q40" s="5">
        <f t="shared" si="2"/>
        <v>57.143161807334202</v>
      </c>
      <c r="R40" s="5">
        <v>12.666666666666666</v>
      </c>
      <c r="S40" s="5">
        <v>244.07671523056462</v>
      </c>
      <c r="T40" s="5">
        <f t="shared" si="3"/>
        <v>0</v>
      </c>
      <c r="U40" s="5">
        <f t="shared" si="4"/>
        <v>0</v>
      </c>
      <c r="V40" s="5" t="str">
        <f>IF($E$4="Embrousaillement",Tableau182985[[#This Row],[SOL]],"")</f>
        <v/>
      </c>
      <c r="W40" s="5" t="str">
        <f>IF($E$4="Embrousaillement",Tableau182985[[#This Row],[L]],"")</f>
        <v/>
      </c>
      <c r="X40" s="5">
        <v>9.1666666666666661</v>
      </c>
      <c r="Y40" s="5">
        <f t="shared" si="5"/>
        <v>0</v>
      </c>
      <c r="Z40" s="5">
        <f t="shared" si="6"/>
        <v>0</v>
      </c>
      <c r="AA40" s="5">
        <f t="shared" si="7"/>
        <v>0</v>
      </c>
      <c r="AB40" s="5" t="s">
        <v>166</v>
      </c>
      <c r="AC40" s="5" t="s">
        <v>166</v>
      </c>
      <c r="AD40" s="5" t="str">
        <f t="shared" si="8"/>
        <v/>
      </c>
      <c r="AE40" s="5" t="s">
        <v>166</v>
      </c>
      <c r="AF40" s="5" t="s">
        <v>166</v>
      </c>
      <c r="AG40" s="5" t="str">
        <f t="shared" si="9"/>
        <v/>
      </c>
      <c r="AH40" s="5" t="s">
        <v>166</v>
      </c>
      <c r="AI40" s="5" t="s">
        <v>166</v>
      </c>
      <c r="AJ40" s="5" t="str">
        <f t="shared" si="10"/>
        <v/>
      </c>
      <c r="AK40" s="5" t="str">
        <f t="shared" si="11"/>
        <v/>
      </c>
      <c r="AL40" s="7">
        <f>IF(Tableau182985[[#This Row],[Age]]&lt;&gt;"",IF(Tableau182985[[#This Row],[Age]]=0,$AT$10*$B$10+SUMIF($AS$21:$AS$29,Tableau182985[[#This Row],[Age]],$AU$21:$AU$29)*$B$10+$AT$11*$B$10,SUMIF($AS$21:$AS$29,Tableau182985[[#This Row],[Age]],$AU$21:$AU$29)*$B$10+$AT$11*$B$10),"")</f>
        <v>9</v>
      </c>
      <c r="AM40" s="7">
        <f>IF(Tableau182985[[#This Row],[Age]]&lt;&gt;"",IF(Tableau182985[[#This Row],[Age]]=$B$11,$AT$10*$B$10,0)+Tableau182985[[#This Row],[VBO]]*$AX$21*$B$10+Tableau182985[[#This Row],[VBI]]*$AX$22*$B$10+Tableau182985[[#This Row],[VBE]]*$AX$23*$B$10,"")</f>
        <v>0</v>
      </c>
      <c r="AN40" s="7">
        <v>1.6897539582448105</v>
      </c>
      <c r="AO40" s="7">
        <v>0</v>
      </c>
      <c r="AP40" s="7">
        <f>IF(Tableau182985[[#This Row],[Age]]&lt;&gt;"",Tableau182985[[#This Row],[RA]]-Tableau182985[[#This Row],[DA]],"")</f>
        <v>-1.6897539582448105</v>
      </c>
    </row>
    <row r="41" spans="1:42" ht="15" customHeight="1" x14ac:dyDescent="0.2">
      <c r="K41" s="3">
        <v>39</v>
      </c>
      <c r="L41" s="4">
        <v>110.63751533993748</v>
      </c>
      <c r="M41" s="4">
        <v>0</v>
      </c>
      <c r="N41" s="4">
        <v>110.63751533993748</v>
      </c>
      <c r="O41" s="5">
        <f t="shared" si="0"/>
        <v>112.1864405546966</v>
      </c>
      <c r="P41" s="5">
        <f t="shared" si="1"/>
        <v>29.845535452947896</v>
      </c>
      <c r="Q41" s="5">
        <f t="shared" si="2"/>
        <v>57.366199206392857</v>
      </c>
      <c r="R41" s="5">
        <v>13</v>
      </c>
      <c r="S41" s="5">
        <v>252.69087765171062</v>
      </c>
      <c r="T41" s="5">
        <f t="shared" si="3"/>
        <v>0</v>
      </c>
      <c r="U41" s="5">
        <f t="shared" si="4"/>
        <v>0</v>
      </c>
      <c r="V41" s="5" t="str">
        <f>IF($E$4="Embrousaillement",Tableau182985[[#This Row],[SOL]],"")</f>
        <v/>
      </c>
      <c r="W41" s="5" t="str">
        <f>IF($E$4="Embrousaillement",Tableau182985[[#This Row],[L]],"")</f>
        <v/>
      </c>
      <c r="X41" s="5">
        <v>9.1666666666666661</v>
      </c>
      <c r="Y41" s="5">
        <f t="shared" si="5"/>
        <v>0</v>
      </c>
      <c r="Z41" s="5">
        <f t="shared" si="6"/>
        <v>0</v>
      </c>
      <c r="AA41" s="5">
        <f t="shared" si="7"/>
        <v>0</v>
      </c>
      <c r="AB41" s="5" t="s">
        <v>166</v>
      </c>
      <c r="AC41" s="5" t="s">
        <v>166</v>
      </c>
      <c r="AD41" s="5" t="str">
        <f t="shared" si="8"/>
        <v/>
      </c>
      <c r="AE41" s="5" t="s">
        <v>166</v>
      </c>
      <c r="AF41" s="5" t="s">
        <v>166</v>
      </c>
      <c r="AG41" s="5" t="str">
        <f t="shared" si="9"/>
        <v/>
      </c>
      <c r="AH41" s="5" t="s">
        <v>166</v>
      </c>
      <c r="AI41" s="5" t="s">
        <v>166</v>
      </c>
      <c r="AJ41" s="5" t="str">
        <f t="shared" si="10"/>
        <v/>
      </c>
      <c r="AK41" s="5" t="str">
        <f t="shared" si="11"/>
        <v/>
      </c>
      <c r="AL41" s="7">
        <f>IF(Tableau182985[[#This Row],[Age]]&lt;&gt;"",IF(Tableau182985[[#This Row],[Age]]=0,$AT$10*$B$10+SUMIF($AS$21:$AS$29,Tableau182985[[#This Row],[Age]],$AU$21:$AU$29)*$B$10+$AT$11*$B$10,SUMIF($AS$21:$AS$29,Tableau182985[[#This Row],[Age]],$AU$21:$AU$29)*$B$10+$AT$11*$B$10),"")</f>
        <v>9</v>
      </c>
      <c r="AM41" s="7">
        <f>IF(Tableau182985[[#This Row],[Age]]&lt;&gt;"",IF(Tableau182985[[#This Row],[Age]]=$B$11,$AT$10*$B$10,0)+Tableau182985[[#This Row],[VBO]]*$AX$21*$B$10+Tableau182985[[#This Row],[VBI]]*$AX$22*$B$10+Tableau182985[[#This Row],[VBE]]*$AX$23*$B$10,"")</f>
        <v>0</v>
      </c>
      <c r="AN41" s="7">
        <v>1.6169894337270914</v>
      </c>
      <c r="AO41" s="7">
        <v>0</v>
      </c>
      <c r="AP41" s="7">
        <f>IF(Tableau182985[[#This Row],[Age]]&lt;&gt;"",Tableau182985[[#This Row],[RA]]-Tableau182985[[#This Row],[DA]],"")</f>
        <v>-1.6169894337270914</v>
      </c>
    </row>
    <row r="42" spans="1:42" ht="15" customHeight="1" x14ac:dyDescent="0.2">
      <c r="K42" s="3">
        <v>40</v>
      </c>
      <c r="L42" s="4">
        <v>117.83976787792659</v>
      </c>
      <c r="M42" s="4">
        <v>23.567953575585321</v>
      </c>
      <c r="N42" s="4">
        <v>94.271814302341269</v>
      </c>
      <c r="O42" s="5">
        <f t="shared" si="0"/>
        <v>95.59161970257405</v>
      </c>
      <c r="P42" s="5">
        <f t="shared" si="1"/>
        <v>25.909021901565588</v>
      </c>
      <c r="Q42" s="5">
        <f t="shared" si="2"/>
        <v>57.585367405214768</v>
      </c>
      <c r="R42" s="5">
        <v>13.333333333333332</v>
      </c>
      <c r="S42" s="5">
        <v>235.82442675094313</v>
      </c>
      <c r="T42" s="5">
        <f t="shared" si="3"/>
        <v>0</v>
      </c>
      <c r="U42" s="5">
        <f t="shared" si="4"/>
        <v>0</v>
      </c>
      <c r="V42" s="5" t="str">
        <f>IF($E$4="Embrousaillement",Tableau182985[[#This Row],[SOL]],"")</f>
        <v/>
      </c>
      <c r="W42" s="5" t="str">
        <f>IF($E$4="Embrousaillement",Tableau182985[[#This Row],[L]],"")</f>
        <v/>
      </c>
      <c r="X42" s="5">
        <v>9.1666666666666661</v>
      </c>
      <c r="Y42" s="5">
        <f t="shared" si="5"/>
        <v>7.0703860726755963</v>
      </c>
      <c r="Z42" s="5">
        <f t="shared" si="6"/>
        <v>0</v>
      </c>
      <c r="AA42" s="5">
        <f t="shared" si="7"/>
        <v>16.497567502909725</v>
      </c>
      <c r="AB42" s="5" t="s">
        <v>166</v>
      </c>
      <c r="AC42" s="5" t="s">
        <v>166</v>
      </c>
      <c r="AD42" s="5" t="str">
        <f t="shared" si="8"/>
        <v/>
      </c>
      <c r="AE42" s="5" t="s">
        <v>166</v>
      </c>
      <c r="AF42" s="5" t="s">
        <v>166</v>
      </c>
      <c r="AG42" s="5" t="str">
        <f t="shared" si="9"/>
        <v/>
      </c>
      <c r="AH42" s="5" t="s">
        <v>166</v>
      </c>
      <c r="AI42" s="5" t="s">
        <v>166</v>
      </c>
      <c r="AJ42" s="5" t="str">
        <f t="shared" si="10"/>
        <v/>
      </c>
      <c r="AK42" s="5" t="str">
        <f t="shared" si="11"/>
        <v/>
      </c>
      <c r="AL42" s="7">
        <f>IF(Tableau182985[[#This Row],[Age]]&lt;&gt;"",IF(Tableau182985[[#This Row],[Age]]=0,$AT$10*$B$10+SUMIF($AS$21:$AS$29,Tableau182985[[#This Row],[Age]],$AU$21:$AU$29)*$B$10+$AT$11*$B$10,SUMIF($AS$21:$AS$29,Tableau182985[[#This Row],[Age]],$AU$21:$AU$29)*$B$10+$AT$11*$B$10),"")</f>
        <v>9</v>
      </c>
      <c r="AM42" s="7">
        <f>IF(Tableau182985[[#This Row],[Age]]&lt;&gt;"",IF(Tableau182985[[#This Row],[Age]]=$B$11,$AT$10*$B$10,0)+Tableau182985[[#This Row],[VBO]]*$AX$21*$B$10+Tableau182985[[#This Row],[VBI]]*$AX$22*$B$10+Tableau182985[[#This Row],[VBE]]*$AX$23*$B$10,"")</f>
        <v>218.00357057416423</v>
      </c>
      <c r="AN42" s="7">
        <v>1.5473583097866908</v>
      </c>
      <c r="AO42" s="7">
        <v>37.481070721233586</v>
      </c>
      <c r="AP42" s="7">
        <f>IF(Tableau182985[[#This Row],[Age]]&lt;&gt;"",Tableau182985[[#This Row],[RA]]-Tableau182985[[#This Row],[DA]],"")</f>
        <v>35.933712411446898</v>
      </c>
    </row>
    <row r="43" spans="1:42" ht="15" customHeight="1" x14ac:dyDescent="0.2">
      <c r="K43" s="3">
        <v>41</v>
      </c>
      <c r="L43" s="4">
        <v>100.22870523875967</v>
      </c>
      <c r="M43" s="4">
        <v>0</v>
      </c>
      <c r="N43" s="4">
        <v>100.22870523875967</v>
      </c>
      <c r="O43" s="5">
        <f t="shared" si="0"/>
        <v>101.63190711210231</v>
      </c>
      <c r="P43" s="5">
        <f t="shared" si="1"/>
        <v>27.350409886651761</v>
      </c>
      <c r="Q43" s="5">
        <f t="shared" si="2"/>
        <v>57.800733525773801</v>
      </c>
      <c r="R43" s="5">
        <v>13.666666666666666</v>
      </c>
      <c r="S43" s="5">
        <v>243.34566807255584</v>
      </c>
      <c r="T43" s="5">
        <f t="shared" si="3"/>
        <v>0</v>
      </c>
      <c r="U43" s="5">
        <f t="shared" si="4"/>
        <v>0</v>
      </c>
      <c r="V43" s="5" t="str">
        <f>IF($E$4="Embrousaillement",Tableau182985[[#This Row],[SOL]],"")</f>
        <v/>
      </c>
      <c r="W43" s="5" t="str">
        <f>IF($E$4="Embrousaillement",Tableau182985[[#This Row],[L]],"")</f>
        <v/>
      </c>
      <c r="X43" s="5">
        <v>9.1666666666666661</v>
      </c>
      <c r="Y43" s="5">
        <f t="shared" si="5"/>
        <v>0</v>
      </c>
      <c r="Z43" s="5">
        <f t="shared" si="6"/>
        <v>0</v>
      </c>
      <c r="AA43" s="5">
        <f t="shared" si="7"/>
        <v>0</v>
      </c>
      <c r="AB43" s="5" t="s">
        <v>166</v>
      </c>
      <c r="AC43" s="5" t="s">
        <v>166</v>
      </c>
      <c r="AD43" s="5" t="str">
        <f t="shared" si="8"/>
        <v/>
      </c>
      <c r="AE43" s="5" t="s">
        <v>166</v>
      </c>
      <c r="AF43" s="5" t="s">
        <v>166</v>
      </c>
      <c r="AG43" s="5" t="str">
        <f t="shared" si="9"/>
        <v/>
      </c>
      <c r="AH43" s="5" t="s">
        <v>166</v>
      </c>
      <c r="AI43" s="5" t="s">
        <v>166</v>
      </c>
      <c r="AJ43" s="5" t="str">
        <f t="shared" si="10"/>
        <v/>
      </c>
      <c r="AK43" s="5" t="str">
        <f t="shared" si="11"/>
        <v/>
      </c>
      <c r="AL43" s="7">
        <f>IF(Tableau182985[[#This Row],[Age]]&lt;&gt;"",IF(Tableau182985[[#This Row],[Age]]=0,$AT$10*$B$10+SUMIF($AS$21:$AS$29,Tableau182985[[#This Row],[Age]],$AU$21:$AU$29)*$B$10+$AT$11*$B$10,SUMIF($AS$21:$AS$29,Tableau182985[[#This Row],[Age]],$AU$21:$AU$29)*$B$10+$AT$11*$B$10),"")</f>
        <v>9</v>
      </c>
      <c r="AM43" s="7">
        <f>IF(Tableau182985[[#This Row],[Age]]&lt;&gt;"",IF(Tableau182985[[#This Row],[Age]]=$B$11,$AT$10*$B$10,0)+Tableau182985[[#This Row],[VBO]]*$AX$21*$B$10+Tableau182985[[#This Row],[VBI]]*$AX$22*$B$10+Tableau182985[[#This Row],[VBE]]*$AX$23*$B$10,"")</f>
        <v>0</v>
      </c>
      <c r="AN43" s="7">
        <v>1.4807256552982688</v>
      </c>
      <c r="AO43" s="7">
        <v>0</v>
      </c>
      <c r="AP43" s="7">
        <f>IF(Tableau182985[[#This Row],[Age]]&lt;&gt;"",Tableau182985[[#This Row],[RA]]-Tableau182985[[#This Row],[DA]],"")</f>
        <v>-1.4807256552982688</v>
      </c>
    </row>
    <row r="44" spans="1:42" ht="15" customHeight="1" x14ac:dyDescent="0.2">
      <c r="K44" s="3">
        <v>42</v>
      </c>
      <c r="L44" s="4">
        <v>106.38056260522958</v>
      </c>
      <c r="M44" s="4">
        <v>0</v>
      </c>
      <c r="N44" s="4">
        <v>106.38056260522958</v>
      </c>
      <c r="O44" s="5">
        <f t="shared" si="0"/>
        <v>107.86989048170281</v>
      </c>
      <c r="P44" s="5">
        <f t="shared" si="1"/>
        <v>28.828544418767894</v>
      </c>
      <c r="Q44" s="5">
        <f t="shared" si="2"/>
        <v>58.012363525627649</v>
      </c>
      <c r="R44" s="5">
        <v>14</v>
      </c>
      <c r="S44" s="5">
        <v>251.06422018947723</v>
      </c>
      <c r="T44" s="5">
        <f t="shared" si="3"/>
        <v>0</v>
      </c>
      <c r="U44" s="5">
        <f t="shared" si="4"/>
        <v>0</v>
      </c>
      <c r="V44" s="5" t="str">
        <f>IF($E$4="Embrousaillement",Tableau182985[[#This Row],[SOL]],"")</f>
        <v/>
      </c>
      <c r="W44" s="5" t="str">
        <f>IF($E$4="Embrousaillement",Tableau182985[[#This Row],[L]],"")</f>
        <v/>
      </c>
      <c r="X44" s="5">
        <v>9.1666666666666661</v>
      </c>
      <c r="Y44" s="5">
        <f t="shared" si="5"/>
        <v>0</v>
      </c>
      <c r="Z44" s="5">
        <f t="shared" si="6"/>
        <v>0</v>
      </c>
      <c r="AA44" s="5">
        <f t="shared" si="7"/>
        <v>0</v>
      </c>
      <c r="AB44" s="5" t="s">
        <v>166</v>
      </c>
      <c r="AC44" s="5" t="s">
        <v>166</v>
      </c>
      <c r="AD44" s="5" t="str">
        <f t="shared" si="8"/>
        <v/>
      </c>
      <c r="AE44" s="5" t="s">
        <v>166</v>
      </c>
      <c r="AF44" s="5" t="s">
        <v>166</v>
      </c>
      <c r="AG44" s="5" t="str">
        <f t="shared" si="9"/>
        <v/>
      </c>
      <c r="AH44" s="5" t="s">
        <v>166</v>
      </c>
      <c r="AI44" s="5" t="s">
        <v>166</v>
      </c>
      <c r="AJ44" s="5" t="str">
        <f t="shared" si="10"/>
        <v/>
      </c>
      <c r="AK44" s="5" t="str">
        <f t="shared" si="11"/>
        <v/>
      </c>
      <c r="AL44" s="7">
        <f>IF(Tableau182985[[#This Row],[Age]]&lt;&gt;"",IF(Tableau182985[[#This Row],[Age]]=0,$AT$10*$B$10+SUMIF($AS$21:$AS$29,Tableau182985[[#This Row],[Age]],$AU$21:$AU$29)*$B$10+$AT$11*$B$10,SUMIF($AS$21:$AS$29,Tableau182985[[#This Row],[Age]],$AU$21:$AU$29)*$B$10+$AT$11*$B$10),"")</f>
        <v>9</v>
      </c>
      <c r="AM44" s="7">
        <f>IF(Tableau182985[[#This Row],[Age]]&lt;&gt;"",IF(Tableau182985[[#This Row],[Age]]=$B$11,$AT$10*$B$10,0)+Tableau182985[[#This Row],[VBO]]*$AX$21*$B$10+Tableau182985[[#This Row],[VBI]]*$AX$22*$B$10+Tableau182985[[#This Row],[VBE]]*$AX$23*$B$10,"")</f>
        <v>0</v>
      </c>
      <c r="AN44" s="7">
        <v>1.4169623495677215</v>
      </c>
      <c r="AO44" s="7">
        <v>0</v>
      </c>
      <c r="AP44" s="7">
        <f>IF(Tableau182985[[#This Row],[Age]]&lt;&gt;"",Tableau182985[[#This Row],[RA]]-Tableau182985[[#This Row],[DA]],"")</f>
        <v>-1.4169623495677215</v>
      </c>
    </row>
    <row r="45" spans="1:42" ht="15" customHeight="1" x14ac:dyDescent="0.2">
      <c r="K45" s="3">
        <v>43</v>
      </c>
      <c r="L45" s="4">
        <v>112.72719388040028</v>
      </c>
      <c r="M45" s="4">
        <v>0</v>
      </c>
      <c r="N45" s="4">
        <v>112.72719388040028</v>
      </c>
      <c r="O45" s="5">
        <f t="shared" si="0"/>
        <v>114.30537459472589</v>
      </c>
      <c r="P45" s="5">
        <f t="shared" si="1"/>
        <v>30.343086692168217</v>
      </c>
      <c r="Q45" s="5">
        <f t="shared" si="2"/>
        <v>58.220322218117829</v>
      </c>
      <c r="R45" s="5">
        <v>14.333333333333332</v>
      </c>
      <c r="S45" s="5">
        <v>258.97973688166405</v>
      </c>
      <c r="T45" s="5">
        <f t="shared" si="3"/>
        <v>0</v>
      </c>
      <c r="U45" s="5">
        <f t="shared" si="4"/>
        <v>0</v>
      </c>
      <c r="V45" s="5" t="str">
        <f>IF($E$4="Embrousaillement",Tableau182985[[#This Row],[SOL]],"")</f>
        <v/>
      </c>
      <c r="W45" s="5" t="str">
        <f>IF($E$4="Embrousaillement",Tableau182985[[#This Row],[L]],"")</f>
        <v/>
      </c>
      <c r="X45" s="5">
        <v>9.1666666666666661</v>
      </c>
      <c r="Y45" s="5">
        <f t="shared" si="5"/>
        <v>0</v>
      </c>
      <c r="Z45" s="5">
        <f t="shared" si="6"/>
        <v>0</v>
      </c>
      <c r="AA45" s="5">
        <f t="shared" si="7"/>
        <v>0</v>
      </c>
      <c r="AB45" s="5" t="s">
        <v>166</v>
      </c>
      <c r="AC45" s="5" t="s">
        <v>166</v>
      </c>
      <c r="AD45" s="5" t="str">
        <f t="shared" si="8"/>
        <v/>
      </c>
      <c r="AE45" s="5" t="s">
        <v>166</v>
      </c>
      <c r="AF45" s="5" t="s">
        <v>166</v>
      </c>
      <c r="AG45" s="5" t="str">
        <f t="shared" si="9"/>
        <v/>
      </c>
      <c r="AH45" s="5" t="s">
        <v>166</v>
      </c>
      <c r="AI45" s="5" t="s">
        <v>166</v>
      </c>
      <c r="AJ45" s="5" t="str">
        <f t="shared" si="10"/>
        <v/>
      </c>
      <c r="AK45" s="5" t="str">
        <f t="shared" si="11"/>
        <v/>
      </c>
      <c r="AL45" s="7">
        <f>IF(Tableau182985[[#This Row],[Age]]&lt;&gt;"",IF(Tableau182985[[#This Row],[Age]]=0,$AT$10*$B$10+SUMIF($AS$21:$AS$29,Tableau182985[[#This Row],[Age]],$AU$21:$AU$29)*$B$10+$AT$11*$B$10,SUMIF($AS$21:$AS$29,Tableau182985[[#This Row],[Age]],$AU$21:$AU$29)*$B$10+$AT$11*$B$10),"")</f>
        <v>9</v>
      </c>
      <c r="AM45" s="7">
        <f>IF(Tableau182985[[#This Row],[Age]]&lt;&gt;"",IF(Tableau182985[[#This Row],[Age]]=$B$11,$AT$10*$B$10,0)+Tableau182985[[#This Row],[VBO]]*$AX$21*$B$10+Tableau182985[[#This Row],[VBI]]*$AX$22*$B$10+Tableau182985[[#This Row],[VBE]]*$AX$23*$B$10,"")</f>
        <v>0</v>
      </c>
      <c r="AN45" s="7">
        <v>1.3559448321222216</v>
      </c>
      <c r="AO45" s="7">
        <v>0</v>
      </c>
      <c r="AP45" s="7">
        <f>IF(Tableau182985[[#This Row],[Age]]&lt;&gt;"",Tableau182985[[#This Row],[RA]]-Tableau182985[[#This Row],[DA]],"")</f>
        <v>-1.3559448321222216</v>
      </c>
    </row>
    <row r="46" spans="1:42" ht="15" customHeight="1" x14ac:dyDescent="0.2">
      <c r="K46" s="3">
        <v>44</v>
      </c>
      <c r="L46" s="4">
        <v>119.26834251398834</v>
      </c>
      <c r="M46" s="4">
        <v>0</v>
      </c>
      <c r="N46" s="4">
        <v>119.26834251398834</v>
      </c>
      <c r="O46" s="5">
        <f t="shared" si="0"/>
        <v>120.9380993091842</v>
      </c>
      <c r="P46" s="5">
        <f t="shared" si="1"/>
        <v>31.893696293537179</v>
      </c>
      <c r="Q46" s="5">
        <f t="shared" si="2"/>
        <v>58.424673292219296</v>
      </c>
      <c r="R46" s="5">
        <v>14.666666666666666</v>
      </c>
      <c r="S46" s="5">
        <v>267.09181192866072</v>
      </c>
      <c r="T46" s="5">
        <f t="shared" si="3"/>
        <v>0</v>
      </c>
      <c r="U46" s="5">
        <f t="shared" si="4"/>
        <v>0</v>
      </c>
      <c r="V46" s="5" t="str">
        <f>IF($E$4="Embrousaillement",Tableau182985[[#This Row],[SOL]],"")</f>
        <v/>
      </c>
      <c r="W46" s="5" t="str">
        <f>IF($E$4="Embrousaillement",Tableau182985[[#This Row],[L]],"")</f>
        <v/>
      </c>
      <c r="X46" s="5">
        <v>9.1666666666666661</v>
      </c>
      <c r="Y46" s="5">
        <f t="shared" si="5"/>
        <v>0</v>
      </c>
      <c r="Z46" s="5">
        <f t="shared" si="6"/>
        <v>0</v>
      </c>
      <c r="AA46" s="5">
        <f t="shared" si="7"/>
        <v>0</v>
      </c>
      <c r="AB46" s="5" t="s">
        <v>166</v>
      </c>
      <c r="AC46" s="5" t="s">
        <v>166</v>
      </c>
      <c r="AD46" s="5" t="str">
        <f t="shared" si="8"/>
        <v/>
      </c>
      <c r="AE46" s="5" t="s">
        <v>166</v>
      </c>
      <c r="AF46" s="5" t="s">
        <v>166</v>
      </c>
      <c r="AG46" s="5" t="str">
        <f t="shared" si="9"/>
        <v/>
      </c>
      <c r="AH46" s="5" t="s">
        <v>166</v>
      </c>
      <c r="AI46" s="5" t="s">
        <v>166</v>
      </c>
      <c r="AJ46" s="5" t="str">
        <f t="shared" si="10"/>
        <v/>
      </c>
      <c r="AK46" s="5" t="str">
        <f t="shared" si="11"/>
        <v/>
      </c>
      <c r="AL46" s="7">
        <f>IF(Tableau182985[[#This Row],[Age]]&lt;&gt;"",IF(Tableau182985[[#This Row],[Age]]=0,$AT$10*$B$10+SUMIF($AS$21:$AS$29,Tableau182985[[#This Row],[Age]],$AU$21:$AU$29)*$B$10+$AT$11*$B$10,SUMIF($AS$21:$AS$29,Tableau182985[[#This Row],[Age]],$AU$21:$AU$29)*$B$10+$AT$11*$B$10),"")</f>
        <v>9</v>
      </c>
      <c r="AM46" s="7">
        <f>IF(Tableau182985[[#This Row],[Age]]&lt;&gt;"",IF(Tableau182985[[#This Row],[Age]]=$B$11,$AT$10*$B$10,0)+Tableau182985[[#This Row],[VBO]]*$AX$21*$B$10+Tableau182985[[#This Row],[VBI]]*$AX$22*$B$10+Tableau182985[[#This Row],[VBE]]*$AX$23*$B$10,"")</f>
        <v>0</v>
      </c>
      <c r="AN46" s="7">
        <v>1.2975548632748533</v>
      </c>
      <c r="AO46" s="7">
        <v>0</v>
      </c>
      <c r="AP46" s="7">
        <f>IF(Tableau182985[[#This Row],[Age]]&lt;&gt;"",Tableau182985[[#This Row],[RA]]-Tableau182985[[#This Row],[DA]],"")</f>
        <v>-1.2975548632748533</v>
      </c>
    </row>
    <row r="47" spans="1:42" ht="15" customHeight="1" x14ac:dyDescent="0.2">
      <c r="K47" s="3">
        <v>45</v>
      </c>
      <c r="L47" s="4">
        <v>126.0036935846299</v>
      </c>
      <c r="M47" s="4">
        <v>0</v>
      </c>
      <c r="N47" s="4">
        <v>126.0036935846299</v>
      </c>
      <c r="O47" s="5">
        <f t="shared" si="0"/>
        <v>127.76774529481473</v>
      </c>
      <c r="P47" s="5">
        <f t="shared" si="1"/>
        <v>33.480032006353056</v>
      </c>
      <c r="Q47" s="5">
        <f t="shared" si="2"/>
        <v>58.625479332045664</v>
      </c>
      <c r="R47" s="5">
        <v>15</v>
      </c>
      <c r="S47" s="5">
        <v>275.3999848418506</v>
      </c>
      <c r="T47" s="5">
        <f t="shared" si="3"/>
        <v>0</v>
      </c>
      <c r="U47" s="5">
        <f t="shared" si="4"/>
        <v>0</v>
      </c>
      <c r="V47" s="5" t="str">
        <f>IF($E$4="Embrousaillement",Tableau182985[[#This Row],[SOL]],"")</f>
        <v/>
      </c>
      <c r="W47" s="5" t="str">
        <f>IF($E$4="Embrousaillement",Tableau182985[[#This Row],[L]],"")</f>
        <v/>
      </c>
      <c r="X47" s="5">
        <v>9.1666666666666661</v>
      </c>
      <c r="Y47" s="5">
        <f t="shared" si="5"/>
        <v>0</v>
      </c>
      <c r="Z47" s="5">
        <f t="shared" si="6"/>
        <v>0</v>
      </c>
      <c r="AA47" s="5">
        <f t="shared" si="7"/>
        <v>0</v>
      </c>
      <c r="AB47" s="5" t="s">
        <v>166</v>
      </c>
      <c r="AC47" s="5" t="s">
        <v>166</v>
      </c>
      <c r="AD47" s="5" t="str">
        <f t="shared" si="8"/>
        <v/>
      </c>
      <c r="AE47" s="5" t="s">
        <v>166</v>
      </c>
      <c r="AF47" s="5" t="s">
        <v>166</v>
      </c>
      <c r="AG47" s="5" t="str">
        <f t="shared" si="9"/>
        <v/>
      </c>
      <c r="AH47" s="5" t="s">
        <v>166</v>
      </c>
      <c r="AI47" s="5" t="s">
        <v>166</v>
      </c>
      <c r="AJ47" s="5" t="str">
        <f t="shared" si="10"/>
        <v/>
      </c>
      <c r="AK47" s="5" t="str">
        <f t="shared" si="11"/>
        <v/>
      </c>
      <c r="AL47" s="7">
        <f>IF(Tableau182985[[#This Row],[Age]]&lt;&gt;"",IF(Tableau182985[[#This Row],[Age]]=0,$AT$10*$B$10+SUMIF($AS$21:$AS$29,Tableau182985[[#This Row],[Age]],$AU$21:$AU$29)*$B$10+$AT$11*$B$10,SUMIF($AS$21:$AS$29,Tableau182985[[#This Row],[Age]],$AU$21:$AU$29)*$B$10+$AT$11*$B$10),"")</f>
        <v>9</v>
      </c>
      <c r="AM47" s="7">
        <f>IF(Tableau182985[[#This Row],[Age]]&lt;&gt;"",IF(Tableau182985[[#This Row],[Age]]=$B$11,$AT$10*$B$10,0)+Tableau182985[[#This Row],[VBO]]*$AX$21*$B$10+Tableau182985[[#This Row],[VBI]]*$AX$22*$B$10+Tableau182985[[#This Row],[VBE]]*$AX$23*$B$10,"")</f>
        <v>0</v>
      </c>
      <c r="AN47" s="7">
        <v>1.2416792949998596</v>
      </c>
      <c r="AO47" s="7">
        <v>0</v>
      </c>
      <c r="AP47" s="7">
        <f>IF(Tableau182985[[#This Row],[Age]]&lt;&gt;"",Tableau182985[[#This Row],[RA]]-Tableau182985[[#This Row],[DA]],"")</f>
        <v>-1.2416792949998596</v>
      </c>
    </row>
    <row r="48" spans="1:42" ht="15" customHeight="1" x14ac:dyDescent="0.2">
      <c r="K48" s="3">
        <v>46</v>
      </c>
      <c r="L48" s="4">
        <v>132.93287911738656</v>
      </c>
      <c r="M48" s="4">
        <v>0</v>
      </c>
      <c r="N48" s="4">
        <v>132.93287911738656</v>
      </c>
      <c r="O48" s="5">
        <f t="shared" si="0"/>
        <v>134.79393942502998</v>
      </c>
      <c r="P48" s="5">
        <f t="shared" si="1"/>
        <v>35.101752543611497</v>
      </c>
      <c r="Q48" s="5">
        <f t="shared" si="2"/>
        <v>58.82280183601609</v>
      </c>
      <c r="R48" s="5">
        <v>15.333333333333332</v>
      </c>
      <c r="S48" s="5">
        <v>283.90374623316586</v>
      </c>
      <c r="T48" s="5">
        <f t="shared" si="3"/>
        <v>0</v>
      </c>
      <c r="U48" s="5">
        <f t="shared" si="4"/>
        <v>0</v>
      </c>
      <c r="V48" s="5" t="str">
        <f>IF($E$4="Embrousaillement",Tableau182985[[#This Row],[SOL]],"")</f>
        <v/>
      </c>
      <c r="W48" s="5" t="str">
        <f>IF($E$4="Embrousaillement",Tableau182985[[#This Row],[L]],"")</f>
        <v/>
      </c>
      <c r="X48" s="5">
        <v>9.1666666666666661</v>
      </c>
      <c r="Y48" s="5">
        <f t="shared" si="5"/>
        <v>0</v>
      </c>
      <c r="Z48" s="5">
        <f t="shared" si="6"/>
        <v>0</v>
      </c>
      <c r="AA48" s="5">
        <f t="shared" si="7"/>
        <v>0</v>
      </c>
      <c r="AB48" s="5" t="s">
        <v>166</v>
      </c>
      <c r="AC48" s="5" t="s">
        <v>166</v>
      </c>
      <c r="AD48" s="5" t="str">
        <f t="shared" si="8"/>
        <v/>
      </c>
      <c r="AE48" s="5" t="s">
        <v>166</v>
      </c>
      <c r="AF48" s="5" t="s">
        <v>166</v>
      </c>
      <c r="AG48" s="5" t="str">
        <f t="shared" si="9"/>
        <v/>
      </c>
      <c r="AH48" s="5" t="s">
        <v>166</v>
      </c>
      <c r="AI48" s="5" t="s">
        <v>166</v>
      </c>
      <c r="AJ48" s="5" t="str">
        <f t="shared" si="10"/>
        <v/>
      </c>
      <c r="AK48" s="5" t="str">
        <f t="shared" si="11"/>
        <v/>
      </c>
      <c r="AL48" s="7">
        <f>IF(Tableau182985[[#This Row],[Age]]&lt;&gt;"",IF(Tableau182985[[#This Row],[Age]]=0,$AT$10*$B$10+SUMIF($AS$21:$AS$29,Tableau182985[[#This Row],[Age]],$AU$21:$AU$29)*$B$10+$AT$11*$B$10,SUMIF($AS$21:$AS$29,Tableau182985[[#This Row],[Age]],$AU$21:$AU$29)*$B$10+$AT$11*$B$10),"")</f>
        <v>9</v>
      </c>
      <c r="AM48" s="7">
        <f>IF(Tableau182985[[#This Row],[Age]]&lt;&gt;"",IF(Tableau182985[[#This Row],[Age]]=$B$11,$AT$10*$B$10,0)+Tableau182985[[#This Row],[VBO]]*$AX$21*$B$10+Tableau182985[[#This Row],[VBI]]*$AX$22*$B$10+Tableau182985[[#This Row],[VBE]]*$AX$23*$B$10,"")</f>
        <v>0</v>
      </c>
      <c r="AN48" s="7">
        <v>1.188209851674507</v>
      </c>
      <c r="AO48" s="7">
        <v>0</v>
      </c>
      <c r="AP48" s="7">
        <f>IF(Tableau182985[[#This Row],[Age]]&lt;&gt;"",Tableau182985[[#This Row],[RA]]-Tableau182985[[#This Row],[DA]],"")</f>
        <v>-1.188209851674507</v>
      </c>
    </row>
    <row r="49" spans="11:42" ht="15" customHeight="1" x14ac:dyDescent="0.2">
      <c r="K49" s="3">
        <v>47</v>
      </c>
      <c r="L49" s="4">
        <v>140.05548307830207</v>
      </c>
      <c r="M49" s="4">
        <v>0</v>
      </c>
      <c r="N49" s="4">
        <v>140.05548307830207</v>
      </c>
      <c r="O49" s="5">
        <f t="shared" si="0"/>
        <v>142.01625984139829</v>
      </c>
      <c r="P49" s="5">
        <f t="shared" si="1"/>
        <v>36.758517214302799</v>
      </c>
      <c r="Q49" s="5">
        <f t="shared" si="2"/>
        <v>59.016701235689659</v>
      </c>
      <c r="R49" s="5">
        <v>15.666666666666666</v>
      </c>
      <c r="S49" s="5">
        <v>292.60254284032624</v>
      </c>
      <c r="T49" s="5">
        <f t="shared" si="3"/>
        <v>0</v>
      </c>
      <c r="U49" s="5">
        <f t="shared" si="4"/>
        <v>0</v>
      </c>
      <c r="V49" s="5" t="str">
        <f>IF($E$4="Embrousaillement",Tableau182985[[#This Row],[SOL]],"")</f>
        <v/>
      </c>
      <c r="W49" s="5" t="str">
        <f>IF($E$4="Embrousaillement",Tableau182985[[#This Row],[L]],"")</f>
        <v/>
      </c>
      <c r="X49" s="5">
        <v>9.1666666666666661</v>
      </c>
      <c r="Y49" s="5">
        <f t="shared" si="5"/>
        <v>0</v>
      </c>
      <c r="Z49" s="5">
        <f t="shared" si="6"/>
        <v>0</v>
      </c>
      <c r="AA49" s="5">
        <f t="shared" si="7"/>
        <v>0</v>
      </c>
      <c r="AB49" s="5" t="s">
        <v>166</v>
      </c>
      <c r="AC49" s="5" t="s">
        <v>166</v>
      </c>
      <c r="AD49" s="5" t="str">
        <f t="shared" si="8"/>
        <v/>
      </c>
      <c r="AE49" s="5" t="s">
        <v>166</v>
      </c>
      <c r="AF49" s="5" t="s">
        <v>166</v>
      </c>
      <c r="AG49" s="5" t="str">
        <f t="shared" si="9"/>
        <v/>
      </c>
      <c r="AH49" s="5" t="s">
        <v>166</v>
      </c>
      <c r="AI49" s="5" t="s">
        <v>166</v>
      </c>
      <c r="AJ49" s="5" t="str">
        <f t="shared" si="10"/>
        <v/>
      </c>
      <c r="AK49" s="5" t="str">
        <f t="shared" si="11"/>
        <v/>
      </c>
      <c r="AL49" s="7">
        <f>IF(Tableau182985[[#This Row],[Age]]&lt;&gt;"",IF(Tableau182985[[#This Row],[Age]]=0,$AT$10*$B$10+SUMIF($AS$21:$AS$29,Tableau182985[[#This Row],[Age]],$AU$21:$AU$29)*$B$10+$AT$11*$B$10,SUMIF($AS$21:$AS$29,Tableau182985[[#This Row],[Age]],$AU$21:$AU$29)*$B$10+$AT$11*$B$10),"")</f>
        <v>9</v>
      </c>
      <c r="AM49" s="7">
        <f>IF(Tableau182985[[#This Row],[Age]]&lt;&gt;"",IF(Tableau182985[[#This Row],[Age]]=$B$11,$AT$10*$B$10,0)+Tableau182985[[#This Row],[VBO]]*$AX$21*$B$10+Tableau182985[[#This Row],[VBI]]*$AX$22*$B$10+Tableau182985[[#This Row],[VBE]]*$AX$23*$B$10,"")</f>
        <v>0</v>
      </c>
      <c r="AN49" s="7">
        <v>1.1370429202626862</v>
      </c>
      <c r="AO49" s="7">
        <v>0</v>
      </c>
      <c r="AP49" s="7">
        <f>IF(Tableau182985[[#This Row],[Age]]&lt;&gt;"",Tableau182985[[#This Row],[RA]]-Tableau182985[[#This Row],[DA]],"")</f>
        <v>-1.1370429202626862</v>
      </c>
    </row>
    <row r="50" spans="11:42" ht="15" customHeight="1" x14ac:dyDescent="0.2">
      <c r="K50" s="3">
        <v>48</v>
      </c>
      <c r="L50" s="4">
        <v>147.37104606259626</v>
      </c>
      <c r="M50" s="4">
        <v>0</v>
      </c>
      <c r="N50" s="4">
        <v>147.37104606259626</v>
      </c>
      <c r="O50" s="5">
        <f t="shared" si="0"/>
        <v>149.43424070747261</v>
      </c>
      <c r="P50" s="5">
        <f t="shared" si="1"/>
        <v>38.449986528608811</v>
      </c>
      <c r="Q50" s="5">
        <f t="shared" si="2"/>
        <v>59.207236914273011</v>
      </c>
      <c r="R50" s="5">
        <v>16</v>
      </c>
      <c r="S50" s="5">
        <v>301.49578222758805</v>
      </c>
      <c r="T50" s="5">
        <f t="shared" si="3"/>
        <v>0</v>
      </c>
      <c r="U50" s="5">
        <f t="shared" si="4"/>
        <v>0</v>
      </c>
      <c r="V50" s="5" t="str">
        <f>IF($E$4="Embrousaillement",Tableau182985[[#This Row],[SOL]],"")</f>
        <v/>
      </c>
      <c r="W50" s="5" t="str">
        <f>IF($E$4="Embrousaillement",Tableau182985[[#This Row],[L]],"")</f>
        <v/>
      </c>
      <c r="X50" s="5">
        <v>9.1666666666666661</v>
      </c>
      <c r="Y50" s="5">
        <f t="shared" si="5"/>
        <v>0</v>
      </c>
      <c r="Z50" s="5">
        <f t="shared" si="6"/>
        <v>0</v>
      </c>
      <c r="AA50" s="5">
        <f t="shared" si="7"/>
        <v>0</v>
      </c>
      <c r="AB50" s="5" t="s">
        <v>166</v>
      </c>
      <c r="AC50" s="5" t="s">
        <v>166</v>
      </c>
      <c r="AD50" s="5" t="str">
        <f t="shared" si="8"/>
        <v/>
      </c>
      <c r="AE50" s="5" t="s">
        <v>166</v>
      </c>
      <c r="AF50" s="5" t="s">
        <v>166</v>
      </c>
      <c r="AG50" s="5" t="str">
        <f t="shared" si="9"/>
        <v/>
      </c>
      <c r="AH50" s="5" t="s">
        <v>166</v>
      </c>
      <c r="AI50" s="5" t="s">
        <v>166</v>
      </c>
      <c r="AJ50" s="5" t="str">
        <f t="shared" si="10"/>
        <v/>
      </c>
      <c r="AK50" s="5" t="str">
        <f t="shared" si="11"/>
        <v/>
      </c>
      <c r="AL50" s="7">
        <f>IF(Tableau182985[[#This Row],[Age]]&lt;&gt;"",IF(Tableau182985[[#This Row],[Age]]=0,$AT$10*$B$10+SUMIF($AS$21:$AS$29,Tableau182985[[#This Row],[Age]],$AU$21:$AU$29)*$B$10+$AT$11*$B$10,SUMIF($AS$21:$AS$29,Tableau182985[[#This Row],[Age]],$AU$21:$AU$29)*$B$10+$AT$11*$B$10),"")</f>
        <v>9</v>
      </c>
      <c r="AM50" s="7">
        <f>IF(Tableau182985[[#This Row],[Age]]&lt;&gt;"",IF(Tableau182985[[#This Row],[Age]]=$B$11,$AT$10*$B$10,0)+Tableau182985[[#This Row],[VBO]]*$AX$21*$B$10+Tableau182985[[#This Row],[VBI]]*$AX$22*$B$10+Tableau182985[[#This Row],[VBE]]*$AX$23*$B$10,"")</f>
        <v>0</v>
      </c>
      <c r="AN50" s="7">
        <v>1.0880793495336714</v>
      </c>
      <c r="AO50" s="7">
        <v>0</v>
      </c>
      <c r="AP50" s="7">
        <f>IF(Tableau182985[[#This Row],[Age]]&lt;&gt;"",Tableau182985[[#This Row],[RA]]-Tableau182985[[#This Row],[DA]],"")</f>
        <v>-1.0880793495336714</v>
      </c>
    </row>
    <row r="51" spans="11:42" ht="15" customHeight="1" x14ac:dyDescent="0.2">
      <c r="K51" s="3">
        <v>49</v>
      </c>
      <c r="L51" s="4">
        <v>154.87906969230804</v>
      </c>
      <c r="M51" s="4">
        <v>0</v>
      </c>
      <c r="N51" s="4">
        <v>154.87906969230804</v>
      </c>
      <c r="O51" s="5">
        <f t="shared" si="0"/>
        <v>157.04737666800037</v>
      </c>
      <c r="P51" s="5">
        <f t="shared" si="1"/>
        <v>40.175822746397344</v>
      </c>
      <c r="Q51" s="5">
        <f t="shared" si="2"/>
        <v>59.394467224806895</v>
      </c>
      <c r="R51" s="5">
        <v>16.333333333333332</v>
      </c>
      <c r="S51" s="5">
        <v>310.58283717996176</v>
      </c>
      <c r="T51" s="5">
        <f t="shared" si="3"/>
        <v>0</v>
      </c>
      <c r="U51" s="5">
        <f t="shared" si="4"/>
        <v>0</v>
      </c>
      <c r="V51" s="5" t="str">
        <f>IF($E$4="Embrousaillement",Tableau182985[[#This Row],[SOL]],"")</f>
        <v/>
      </c>
      <c r="W51" s="5" t="str">
        <f>IF($E$4="Embrousaillement",Tableau182985[[#This Row],[L]],"")</f>
        <v/>
      </c>
      <c r="X51" s="5">
        <v>9.1666666666666661</v>
      </c>
      <c r="Y51" s="5">
        <f t="shared" si="5"/>
        <v>0</v>
      </c>
      <c r="Z51" s="5">
        <f t="shared" si="6"/>
        <v>0</v>
      </c>
      <c r="AA51" s="5">
        <f t="shared" si="7"/>
        <v>0</v>
      </c>
      <c r="AB51" s="5" t="s">
        <v>166</v>
      </c>
      <c r="AC51" s="5" t="s">
        <v>166</v>
      </c>
      <c r="AD51" s="5" t="str">
        <f t="shared" si="8"/>
        <v/>
      </c>
      <c r="AE51" s="5" t="s">
        <v>166</v>
      </c>
      <c r="AF51" s="5" t="s">
        <v>166</v>
      </c>
      <c r="AG51" s="5" t="str">
        <f t="shared" si="9"/>
        <v/>
      </c>
      <c r="AH51" s="5" t="s">
        <v>166</v>
      </c>
      <c r="AI51" s="5" t="s">
        <v>166</v>
      </c>
      <c r="AJ51" s="5" t="str">
        <f t="shared" si="10"/>
        <v/>
      </c>
      <c r="AK51" s="5" t="str">
        <f t="shared" si="11"/>
        <v/>
      </c>
      <c r="AL51" s="7">
        <f>IF(Tableau182985[[#This Row],[Age]]&lt;&gt;"",IF(Tableau182985[[#This Row],[Age]]=0,$AT$10*$B$10+SUMIF($AS$21:$AS$29,Tableau182985[[#This Row],[Age]],$AU$21:$AU$29)*$B$10+$AT$11*$B$10,SUMIF($AS$21:$AS$29,Tableau182985[[#This Row],[Age]],$AU$21:$AU$29)*$B$10+$AT$11*$B$10),"")</f>
        <v>9</v>
      </c>
      <c r="AM51" s="7">
        <f>IF(Tableau182985[[#This Row],[Age]]&lt;&gt;"",IF(Tableau182985[[#This Row],[Age]]=$B$11,$AT$10*$B$10,0)+Tableau182985[[#This Row],[VBO]]*$AX$21*$B$10+Tableau182985[[#This Row],[VBI]]*$AX$22*$B$10+Tableau182985[[#This Row],[VBE]]*$AX$23*$B$10,"")</f>
        <v>0</v>
      </c>
      <c r="AN51" s="7">
        <v>1.0412242579269582</v>
      </c>
      <c r="AO51" s="7">
        <v>0</v>
      </c>
      <c r="AP51" s="7">
        <f>IF(Tableau182985[[#This Row],[Age]]&lt;&gt;"",Tableau182985[[#This Row],[RA]]-Tableau182985[[#This Row],[DA]],"")</f>
        <v>-1.0412242579269582</v>
      </c>
    </row>
    <row r="52" spans="11:42" ht="15" customHeight="1" x14ac:dyDescent="0.2">
      <c r="K52" s="3">
        <v>50</v>
      </c>
      <c r="L52" s="4">
        <v>162.57902073845858</v>
      </c>
      <c r="M52" s="4">
        <v>0</v>
      </c>
      <c r="N52" s="4">
        <v>162.57902073845858</v>
      </c>
      <c r="O52" s="5">
        <f t="shared" si="0"/>
        <v>164.85512702879703</v>
      </c>
      <c r="P52" s="5">
        <f t="shared" si="1"/>
        <v>41.935690373239325</v>
      </c>
      <c r="Q52" s="5">
        <f t="shared" si="2"/>
        <v>59.578449508037295</v>
      </c>
      <c r="R52" s="5">
        <v>16.666666666666664</v>
      </c>
      <c r="S52" s="5">
        <v>319.8630498078972</v>
      </c>
      <c r="T52" s="5">
        <f t="shared" si="3"/>
        <v>0</v>
      </c>
      <c r="U52" s="5">
        <f t="shared" si="4"/>
        <v>0</v>
      </c>
      <c r="V52" s="5" t="str">
        <f>IF($E$4="Embrousaillement",Tableau182985[[#This Row],[SOL]],"")</f>
        <v/>
      </c>
      <c r="W52" s="5" t="str">
        <f>IF($E$4="Embrousaillement",Tableau182985[[#This Row],[L]],"")</f>
        <v/>
      </c>
      <c r="X52" s="5">
        <v>9.1666666666666661</v>
      </c>
      <c r="Y52" s="5">
        <f t="shared" si="5"/>
        <v>0</v>
      </c>
      <c r="Z52" s="5">
        <f t="shared" si="6"/>
        <v>0</v>
      </c>
      <c r="AA52" s="5">
        <f t="shared" si="7"/>
        <v>0</v>
      </c>
      <c r="AB52" s="5" t="s">
        <v>166</v>
      </c>
      <c r="AC52" s="5" t="s">
        <v>166</v>
      </c>
      <c r="AD52" s="5" t="str">
        <f t="shared" si="8"/>
        <v/>
      </c>
      <c r="AE52" s="5" t="s">
        <v>166</v>
      </c>
      <c r="AF52" s="5" t="s">
        <v>166</v>
      </c>
      <c r="AG52" s="5" t="str">
        <f t="shared" si="9"/>
        <v/>
      </c>
      <c r="AH52" s="5" t="s">
        <v>166</v>
      </c>
      <c r="AI52" s="5" t="s">
        <v>166</v>
      </c>
      <c r="AJ52" s="5" t="str">
        <f t="shared" si="10"/>
        <v/>
      </c>
      <c r="AK52" s="5" t="str">
        <f t="shared" si="11"/>
        <v/>
      </c>
      <c r="AL52" s="7">
        <f>IF(Tableau182985[[#This Row],[Age]]&lt;&gt;"",IF(Tableau182985[[#This Row],[Age]]=0,$AT$10*$B$10+SUMIF($AS$21:$AS$29,Tableau182985[[#This Row],[Age]],$AU$21:$AU$29)*$B$10+$AT$11*$B$10,SUMIF($AS$21:$AS$29,Tableau182985[[#This Row],[Age]],$AU$21:$AU$29)*$B$10+$AT$11*$B$10),"")</f>
        <v>9</v>
      </c>
      <c r="AM52" s="7">
        <f>IF(Tableau182985[[#This Row],[Age]]&lt;&gt;"",IF(Tableau182985[[#This Row],[Age]]=$B$11,$AT$10*$B$10,0)+Tableau182985[[#This Row],[VBO]]*$AX$21*$B$10+Tableau182985[[#This Row],[VBI]]*$AX$22*$B$10+Tableau182985[[#This Row],[VBE]]*$AX$23*$B$10,"")</f>
        <v>0</v>
      </c>
      <c r="AN52" s="7">
        <v>0.99638684969086933</v>
      </c>
      <c r="AO52" s="7">
        <v>0</v>
      </c>
      <c r="AP52" s="7">
        <f>IF(Tableau182985[[#This Row],[Age]]&lt;&gt;"",Tableau182985[[#This Row],[RA]]-Tableau182985[[#This Row],[DA]],"")</f>
        <v>-0.99638684969086933</v>
      </c>
    </row>
    <row r="53" spans="11:42" ht="15" customHeight="1" x14ac:dyDescent="0.2">
      <c r="K53" s="3">
        <v>51</v>
      </c>
      <c r="L53" s="4">
        <v>170.4703349820989</v>
      </c>
      <c r="M53" s="4">
        <v>0</v>
      </c>
      <c r="N53" s="4">
        <v>170.4703349820989</v>
      </c>
      <c r="O53" s="5">
        <f t="shared" si="0"/>
        <v>172.85691967184832</v>
      </c>
      <c r="P53" s="5">
        <f t="shared" si="1"/>
        <v>43.729256607853742</v>
      </c>
      <c r="Q53" s="5">
        <f t="shared" si="2"/>
        <v>59.759240109976403</v>
      </c>
      <c r="R53" s="5">
        <v>17</v>
      </c>
      <c r="S53" s="5">
        <v>329.33573537853061</v>
      </c>
      <c r="T53" s="5">
        <f t="shared" si="3"/>
        <v>0</v>
      </c>
      <c r="U53" s="5">
        <f t="shared" si="4"/>
        <v>0</v>
      </c>
      <c r="V53" s="5" t="str">
        <f>IF($E$4="Embrousaillement",Tableau182985[[#This Row],[SOL]],"")</f>
        <v/>
      </c>
      <c r="W53" s="5" t="str">
        <f>IF($E$4="Embrousaillement",Tableau182985[[#This Row],[L]],"")</f>
        <v/>
      </c>
      <c r="X53" s="5">
        <v>9.1666666666666661</v>
      </c>
      <c r="Y53" s="5">
        <f t="shared" si="5"/>
        <v>0</v>
      </c>
      <c r="Z53" s="5">
        <f t="shared" si="6"/>
        <v>0</v>
      </c>
      <c r="AA53" s="5">
        <f t="shared" si="7"/>
        <v>0</v>
      </c>
      <c r="AB53" s="5" t="s">
        <v>166</v>
      </c>
      <c r="AC53" s="5" t="s">
        <v>166</v>
      </c>
      <c r="AD53" s="5" t="str">
        <f t="shared" si="8"/>
        <v/>
      </c>
      <c r="AE53" s="5" t="s">
        <v>166</v>
      </c>
      <c r="AF53" s="5" t="s">
        <v>166</v>
      </c>
      <c r="AG53" s="5" t="str">
        <f t="shared" si="9"/>
        <v/>
      </c>
      <c r="AH53" s="5" t="s">
        <v>166</v>
      </c>
      <c r="AI53" s="5" t="s">
        <v>166</v>
      </c>
      <c r="AJ53" s="5" t="str">
        <f t="shared" si="10"/>
        <v/>
      </c>
      <c r="AK53" s="5" t="str">
        <f t="shared" si="11"/>
        <v/>
      </c>
      <c r="AL53" s="7">
        <f>IF(Tableau182985[[#This Row],[Age]]&lt;&gt;"",IF(Tableau182985[[#This Row],[Age]]=0,$AT$10*$B$10+SUMIF($AS$21:$AS$29,Tableau182985[[#This Row],[Age]],$AU$21:$AU$29)*$B$10+$AT$11*$B$10,SUMIF($AS$21:$AS$29,Tableau182985[[#This Row],[Age]],$AU$21:$AU$29)*$B$10+$AT$11*$B$10),"")</f>
        <v>9</v>
      </c>
      <c r="AM53" s="7">
        <f>IF(Tableau182985[[#This Row],[Age]]&lt;&gt;"",IF(Tableau182985[[#This Row],[Age]]=$B$11,$AT$10*$B$10,0)+Tableau182985[[#This Row],[VBO]]*$AX$21*$B$10+Tableau182985[[#This Row],[VBI]]*$AX$22*$B$10+Tableau182985[[#This Row],[VBE]]*$AX$23*$B$10,"")</f>
        <v>0</v>
      </c>
      <c r="AN53" s="7">
        <v>0.95348023893863099</v>
      </c>
      <c r="AO53" s="7">
        <v>0</v>
      </c>
      <c r="AP53" s="7">
        <f>IF(Tableau182985[[#This Row],[Age]]&lt;&gt;"",Tableau182985[[#This Row],[RA]]-Tableau182985[[#This Row],[DA]],"")</f>
        <v>-0.95348023893863099</v>
      </c>
    </row>
    <row r="54" spans="11:42" ht="15" customHeight="1" x14ac:dyDescent="0.2">
      <c r="K54" s="3">
        <v>52</v>
      </c>
      <c r="L54" s="4">
        <v>178.55242082792665</v>
      </c>
      <c r="M54" s="4">
        <v>0</v>
      </c>
      <c r="N54" s="4">
        <v>178.55242082792665</v>
      </c>
      <c r="O54" s="5">
        <f t="shared" si="0"/>
        <v>181.05215471951766</v>
      </c>
      <c r="P54" s="5">
        <f t="shared" si="1"/>
        <v>45.556191744590429</v>
      </c>
      <c r="Q54" s="5">
        <f t="shared" si="2"/>
        <v>59.936894399159101</v>
      </c>
      <c r="R54" s="5">
        <v>17.333333333333332</v>
      </c>
      <c r="S54" s="5">
        <v>339.00018588873024</v>
      </c>
      <c r="T54" s="5">
        <f t="shared" si="3"/>
        <v>0</v>
      </c>
      <c r="U54" s="5">
        <f t="shared" si="4"/>
        <v>0</v>
      </c>
      <c r="V54" s="5" t="str">
        <f>IF($E$4="Embrousaillement",Tableau182985[[#This Row],[SOL]],"")</f>
        <v/>
      </c>
      <c r="W54" s="5" t="str">
        <f>IF($E$4="Embrousaillement",Tableau182985[[#This Row],[L]],"")</f>
        <v/>
      </c>
      <c r="X54" s="5">
        <v>9.1666666666666661</v>
      </c>
      <c r="Y54" s="5">
        <f t="shared" si="5"/>
        <v>0</v>
      </c>
      <c r="Z54" s="5">
        <f t="shared" si="6"/>
        <v>0</v>
      </c>
      <c r="AA54" s="5">
        <f t="shared" si="7"/>
        <v>0</v>
      </c>
      <c r="AB54" s="5" t="s">
        <v>166</v>
      </c>
      <c r="AC54" s="5" t="s">
        <v>166</v>
      </c>
      <c r="AD54" s="5" t="str">
        <f t="shared" si="8"/>
        <v/>
      </c>
      <c r="AE54" s="5" t="s">
        <v>166</v>
      </c>
      <c r="AF54" s="5" t="s">
        <v>166</v>
      </c>
      <c r="AG54" s="5" t="str">
        <f t="shared" si="9"/>
        <v/>
      </c>
      <c r="AH54" s="5" t="s">
        <v>166</v>
      </c>
      <c r="AI54" s="5" t="s">
        <v>166</v>
      </c>
      <c r="AJ54" s="5" t="str">
        <f t="shared" si="10"/>
        <v/>
      </c>
      <c r="AK54" s="5" t="str">
        <f t="shared" si="11"/>
        <v/>
      </c>
      <c r="AL54" s="7">
        <f>IF(Tableau182985[[#This Row],[Age]]&lt;&gt;"",IF(Tableau182985[[#This Row],[Age]]=0,$AT$10*$B$10+SUMIF($AS$21:$AS$29,Tableau182985[[#This Row],[Age]],$AU$21:$AU$29)*$B$10+$AT$11*$B$10,SUMIF($AS$21:$AS$29,Tableau182985[[#This Row],[Age]],$AU$21:$AU$29)*$B$10+$AT$11*$B$10),"")</f>
        <v>9</v>
      </c>
      <c r="AM54" s="7">
        <f>IF(Tableau182985[[#This Row],[Age]]&lt;&gt;"",IF(Tableau182985[[#This Row],[Age]]=$B$11,$AT$10*$B$10,0)+Tableau182985[[#This Row],[VBO]]*$AX$21*$B$10+Tableau182985[[#This Row],[VBI]]*$AX$22*$B$10+Tableau182985[[#This Row],[VBE]]*$AX$23*$B$10,"")</f>
        <v>0</v>
      </c>
      <c r="AN54" s="7">
        <v>0.91242128128098676</v>
      </c>
      <c r="AO54" s="7">
        <v>0</v>
      </c>
      <c r="AP54" s="7">
        <f>IF(Tableau182985[[#This Row],[Age]]&lt;&gt;"",Tableau182985[[#This Row],[RA]]-Tableau182985[[#This Row],[DA]],"")</f>
        <v>-0.91242128128098676</v>
      </c>
    </row>
    <row r="55" spans="11:42" ht="15" customHeight="1" x14ac:dyDescent="0.2">
      <c r="K55" s="3">
        <v>53</v>
      </c>
      <c r="L55" s="4">
        <v>186.82466268351314</v>
      </c>
      <c r="M55" s="4">
        <v>0</v>
      </c>
      <c r="N55" s="4">
        <v>186.82466268351314</v>
      </c>
      <c r="O55" s="5">
        <f t="shared" si="0"/>
        <v>189.44020796108234</v>
      </c>
      <c r="P55" s="5">
        <f t="shared" si="1"/>
        <v>47.416169534295236</v>
      </c>
      <c r="Q55" s="5">
        <f t="shared" si="2"/>
        <v>60.111466783599973</v>
      </c>
      <c r="R55" s="5">
        <v>17.666666666666664</v>
      </c>
      <c r="S55" s="5">
        <v>348.85567339438006</v>
      </c>
      <c r="T55" s="5">
        <f t="shared" si="3"/>
        <v>0</v>
      </c>
      <c r="U55" s="5">
        <f t="shared" si="4"/>
        <v>0</v>
      </c>
      <c r="V55" s="5" t="str">
        <f>IF($E$4="Embrousaillement",Tableau182985[[#This Row],[SOL]],"")</f>
        <v/>
      </c>
      <c r="W55" s="5" t="str">
        <f>IF($E$4="Embrousaillement",Tableau182985[[#This Row],[L]],"")</f>
        <v/>
      </c>
      <c r="X55" s="5">
        <v>9.1666666666666661</v>
      </c>
      <c r="Y55" s="5">
        <f t="shared" si="5"/>
        <v>0</v>
      </c>
      <c r="Z55" s="5">
        <f t="shared" si="6"/>
        <v>0</v>
      </c>
      <c r="AA55" s="5">
        <f t="shared" si="7"/>
        <v>0</v>
      </c>
      <c r="AB55" s="5" t="s">
        <v>166</v>
      </c>
      <c r="AC55" s="5" t="s">
        <v>166</v>
      </c>
      <c r="AD55" s="5" t="str">
        <f t="shared" si="8"/>
        <v/>
      </c>
      <c r="AE55" s="5" t="s">
        <v>166</v>
      </c>
      <c r="AF55" s="5" t="s">
        <v>166</v>
      </c>
      <c r="AG55" s="5" t="str">
        <f t="shared" si="9"/>
        <v/>
      </c>
      <c r="AH55" s="5" t="s">
        <v>166</v>
      </c>
      <c r="AI55" s="5" t="s">
        <v>166</v>
      </c>
      <c r="AJ55" s="5" t="str">
        <f t="shared" si="10"/>
        <v/>
      </c>
      <c r="AK55" s="5" t="str">
        <f t="shared" si="11"/>
        <v/>
      </c>
      <c r="AL55" s="7">
        <f>IF(Tableau182985[[#This Row],[Age]]&lt;&gt;"",IF(Tableau182985[[#This Row],[Age]]=0,$AT$10*$B$10+SUMIF($AS$21:$AS$29,Tableau182985[[#This Row],[Age]],$AU$21:$AU$29)*$B$10+$AT$11*$B$10,SUMIF($AS$21:$AS$29,Tableau182985[[#This Row],[Age]],$AU$21:$AU$29)*$B$10+$AT$11*$B$10),"")</f>
        <v>9</v>
      </c>
      <c r="AM55" s="7">
        <f>IF(Tableau182985[[#This Row],[Age]]&lt;&gt;"",IF(Tableau182985[[#This Row],[Age]]=$B$11,$AT$10*$B$10,0)+Tableau182985[[#This Row],[VBO]]*$AX$21*$B$10+Tableau182985[[#This Row],[VBI]]*$AX$22*$B$10+Tableau182985[[#This Row],[VBE]]*$AX$23*$B$10,"")</f>
        <v>0</v>
      </c>
      <c r="AN55" s="7">
        <v>0.87313041270907821</v>
      </c>
      <c r="AO55" s="7">
        <v>0</v>
      </c>
      <c r="AP55" s="7">
        <f>IF(Tableau182985[[#This Row],[Age]]&lt;&gt;"",Tableau182985[[#This Row],[RA]]-Tableau182985[[#This Row],[DA]],"")</f>
        <v>-0.87313041270907821</v>
      </c>
    </row>
    <row r="56" spans="11:42" ht="15" customHeight="1" x14ac:dyDescent="0.2">
      <c r="K56" s="3">
        <v>54</v>
      </c>
      <c r="L56" s="4">
        <v>195.28642411655969</v>
      </c>
      <c r="M56" s="4">
        <v>0</v>
      </c>
      <c r="N56" s="4">
        <v>195.28642411655969</v>
      </c>
      <c r="O56" s="5">
        <f t="shared" si="0"/>
        <v>198.02043405419155</v>
      </c>
      <c r="P56" s="5">
        <f t="shared" si="1"/>
        <v>49.308867506654281</v>
      </c>
      <c r="Q56" s="5">
        <f t="shared" si="2"/>
        <v>60.283010727456173</v>
      </c>
      <c r="R56" s="5">
        <v>18</v>
      </c>
      <c r="S56" s="5">
        <v>358.90145310957286</v>
      </c>
      <c r="T56" s="5">
        <f t="shared" si="3"/>
        <v>0</v>
      </c>
      <c r="U56" s="5">
        <f t="shared" si="4"/>
        <v>0</v>
      </c>
      <c r="V56" s="5" t="str">
        <f>IF($E$4="Embrousaillement",Tableau182985[[#This Row],[SOL]],"")</f>
        <v/>
      </c>
      <c r="W56" s="5" t="str">
        <f>IF($E$4="Embrousaillement",Tableau182985[[#This Row],[L]],"")</f>
        <v/>
      </c>
      <c r="X56" s="5">
        <v>9.1666666666666661</v>
      </c>
      <c r="Y56" s="5">
        <f t="shared" si="5"/>
        <v>0</v>
      </c>
      <c r="Z56" s="5">
        <f t="shared" si="6"/>
        <v>0</v>
      </c>
      <c r="AA56" s="5">
        <f t="shared" si="7"/>
        <v>0</v>
      </c>
      <c r="AB56" s="5" t="s">
        <v>166</v>
      </c>
      <c r="AC56" s="5" t="s">
        <v>166</v>
      </c>
      <c r="AD56" s="5" t="str">
        <f t="shared" si="8"/>
        <v/>
      </c>
      <c r="AE56" s="5" t="s">
        <v>166</v>
      </c>
      <c r="AF56" s="5" t="s">
        <v>166</v>
      </c>
      <c r="AG56" s="5" t="str">
        <f t="shared" si="9"/>
        <v/>
      </c>
      <c r="AH56" s="5" t="s">
        <v>166</v>
      </c>
      <c r="AI56" s="5" t="s">
        <v>166</v>
      </c>
      <c r="AJ56" s="5" t="str">
        <f t="shared" si="10"/>
        <v/>
      </c>
      <c r="AK56" s="5" t="str">
        <f t="shared" si="11"/>
        <v/>
      </c>
      <c r="AL56" s="7">
        <f>IF(Tableau182985[[#This Row],[Age]]&lt;&gt;"",IF(Tableau182985[[#This Row],[Age]]=0,$AT$10*$B$10+SUMIF($AS$21:$AS$29,Tableau182985[[#This Row],[Age]],$AU$21:$AU$29)*$B$10+$AT$11*$B$10,SUMIF($AS$21:$AS$29,Tableau182985[[#This Row],[Age]],$AU$21:$AU$29)*$B$10+$AT$11*$B$10),"")</f>
        <v>9</v>
      </c>
      <c r="AM56" s="7">
        <f>IF(Tableau182985[[#This Row],[Age]]&lt;&gt;"",IF(Tableau182985[[#This Row],[Age]]=$B$11,$AT$10*$B$10,0)+Tableau182985[[#This Row],[VBO]]*$AX$21*$B$10+Tableau182985[[#This Row],[VBI]]*$AX$22*$B$10+Tableau182985[[#This Row],[VBE]]*$AX$23*$B$10,"")</f>
        <v>0</v>
      </c>
      <c r="AN56" s="7">
        <v>0.83553149541538618</v>
      </c>
      <c r="AO56" s="7">
        <v>0</v>
      </c>
      <c r="AP56" s="7">
        <f>IF(Tableau182985[[#This Row],[Age]]&lt;&gt;"",Tableau182985[[#This Row],[RA]]-Tableau182985[[#This Row],[DA]],"")</f>
        <v>-0.83553149541538618</v>
      </c>
    </row>
    <row r="57" spans="11:42" ht="15" customHeight="1" x14ac:dyDescent="0.2">
      <c r="K57" s="3">
        <v>55</v>
      </c>
      <c r="L57" s="4">
        <v>203.93705080201562</v>
      </c>
      <c r="M57" s="4">
        <v>0</v>
      </c>
      <c r="N57" s="4">
        <v>203.93705080201562</v>
      </c>
      <c r="O57" s="5">
        <f t="shared" si="0"/>
        <v>206.79216951324386</v>
      </c>
      <c r="P57" s="5">
        <f t="shared" si="1"/>
        <v>51.233967256891233</v>
      </c>
      <c r="Q57" s="5">
        <f t="shared" si="2"/>
        <v>60.45157876740128</v>
      </c>
      <c r="R57" s="5">
        <v>18.333333333333332</v>
      </c>
      <c r="S57" s="5">
        <v>369.13676628867273</v>
      </c>
      <c r="T57" s="5">
        <f t="shared" si="3"/>
        <v>0</v>
      </c>
      <c r="U57" s="5">
        <f t="shared" si="4"/>
        <v>0</v>
      </c>
      <c r="V57" s="5" t="str">
        <f>IF($E$4="Embrousaillement",Tableau182985[[#This Row],[SOL]],"")</f>
        <v/>
      </c>
      <c r="W57" s="5" t="str">
        <f>IF($E$4="Embrousaillement",Tableau182985[[#This Row],[L]],"")</f>
        <v/>
      </c>
      <c r="X57" s="5">
        <v>9.1666666666666661</v>
      </c>
      <c r="Y57" s="5">
        <f t="shared" si="5"/>
        <v>0</v>
      </c>
      <c r="Z57" s="5">
        <f t="shared" si="6"/>
        <v>0</v>
      </c>
      <c r="AA57" s="5">
        <f t="shared" si="7"/>
        <v>0</v>
      </c>
      <c r="AB57" s="5" t="s">
        <v>166</v>
      </c>
      <c r="AC57" s="5" t="s">
        <v>166</v>
      </c>
      <c r="AD57" s="5" t="str">
        <f t="shared" si="8"/>
        <v/>
      </c>
      <c r="AE57" s="5" t="s">
        <v>166</v>
      </c>
      <c r="AF57" s="5" t="s">
        <v>166</v>
      </c>
      <c r="AG57" s="5" t="str">
        <f t="shared" si="9"/>
        <v/>
      </c>
      <c r="AH57" s="5" t="s">
        <v>166</v>
      </c>
      <c r="AI57" s="5" t="s">
        <v>166</v>
      </c>
      <c r="AJ57" s="5" t="str">
        <f t="shared" si="10"/>
        <v/>
      </c>
      <c r="AK57" s="5" t="str">
        <f t="shared" si="11"/>
        <v/>
      </c>
      <c r="AL57" s="7">
        <f>IF(Tableau182985[[#This Row],[Age]]&lt;&gt;"",IF(Tableau182985[[#This Row],[Age]]=0,$AT$10*$B$10+SUMIF($AS$21:$AS$29,Tableau182985[[#This Row],[Age]],$AU$21:$AU$29)*$B$10+$AT$11*$B$10,SUMIF($AS$21:$AS$29,Tableau182985[[#This Row],[Age]],$AU$21:$AU$29)*$B$10+$AT$11*$B$10),"")</f>
        <v>9</v>
      </c>
      <c r="AM57" s="7">
        <f>IF(Tableau182985[[#This Row],[Age]]&lt;&gt;"",IF(Tableau182985[[#This Row],[Age]]=$B$11,$AT$10*$B$10,0)+Tableau182985[[#This Row],[VBO]]*$AX$21*$B$10+Tableau182985[[#This Row],[VBI]]*$AX$22*$B$10+Tableau182985[[#This Row],[VBE]]*$AX$23*$B$10,"")</f>
        <v>0</v>
      </c>
      <c r="AN57" s="7">
        <v>0.7995516702539579</v>
      </c>
      <c r="AO57" s="7">
        <v>0</v>
      </c>
      <c r="AP57" s="7">
        <f>IF(Tableau182985[[#This Row],[Age]]&lt;&gt;"",Tableau182985[[#This Row],[RA]]-Tableau182985[[#This Row],[DA]],"")</f>
        <v>-0.7995516702539579</v>
      </c>
    </row>
    <row r="58" spans="11:42" ht="15" customHeight="1" x14ac:dyDescent="0.2">
      <c r="K58" s="3">
        <v>56</v>
      </c>
      <c r="L58" s="4">
        <v>212.77587327032106</v>
      </c>
      <c r="M58" s="4">
        <v>0</v>
      </c>
      <c r="N58" s="4">
        <v>212.77587327032106</v>
      </c>
      <c r="O58" s="5">
        <f t="shared" si="0"/>
        <v>215.75473549610558</v>
      </c>
      <c r="P58" s="5">
        <f t="shared" si="1"/>
        <v>53.191154699482126</v>
      </c>
      <c r="Q58" s="5">
        <f t="shared" si="2"/>
        <v>60.617222528715011</v>
      </c>
      <c r="R58" s="5">
        <v>18.666666666666664</v>
      </c>
      <c r="S58" s="5">
        <v>379.56084290352402</v>
      </c>
      <c r="T58" s="5">
        <f t="shared" si="3"/>
        <v>0</v>
      </c>
      <c r="U58" s="5">
        <f t="shared" si="4"/>
        <v>0</v>
      </c>
      <c r="V58" s="5" t="str">
        <f>IF($E$4="Embrousaillement",Tableau182985[[#This Row],[SOL]],"")</f>
        <v/>
      </c>
      <c r="W58" s="5" t="str">
        <f>IF($E$4="Embrousaillement",Tableau182985[[#This Row],[L]],"")</f>
        <v/>
      </c>
      <c r="X58" s="5">
        <v>9.1666666666666661</v>
      </c>
      <c r="Y58" s="5">
        <f t="shared" si="5"/>
        <v>0</v>
      </c>
      <c r="Z58" s="5">
        <f t="shared" si="6"/>
        <v>0</v>
      </c>
      <c r="AA58" s="5">
        <f t="shared" si="7"/>
        <v>0</v>
      </c>
      <c r="AB58" s="5" t="s">
        <v>166</v>
      </c>
      <c r="AC58" s="5" t="s">
        <v>166</v>
      </c>
      <c r="AD58" s="5" t="str">
        <f t="shared" si="8"/>
        <v/>
      </c>
      <c r="AE58" s="5" t="s">
        <v>166</v>
      </c>
      <c r="AF58" s="5" t="s">
        <v>166</v>
      </c>
      <c r="AG58" s="5" t="str">
        <f t="shared" si="9"/>
        <v/>
      </c>
      <c r="AH58" s="5" t="s">
        <v>166</v>
      </c>
      <c r="AI58" s="5" t="s">
        <v>166</v>
      </c>
      <c r="AJ58" s="5" t="str">
        <f t="shared" si="10"/>
        <v/>
      </c>
      <c r="AK58" s="5" t="str">
        <f t="shared" si="11"/>
        <v/>
      </c>
      <c r="AL58" s="7">
        <f>IF(Tableau182985[[#This Row],[Age]]&lt;&gt;"",IF(Tableau182985[[#This Row],[Age]]=0,$AT$10*$B$10+SUMIF($AS$21:$AS$29,Tableau182985[[#This Row],[Age]],$AU$21:$AU$29)*$B$10+$AT$11*$B$10,SUMIF($AS$21:$AS$29,Tableau182985[[#This Row],[Age]],$AU$21:$AU$29)*$B$10+$AT$11*$B$10),"")</f>
        <v>9</v>
      </c>
      <c r="AM58" s="7">
        <f>IF(Tableau182985[[#This Row],[Age]]&lt;&gt;"",IF(Tableau182985[[#This Row],[Age]]=$B$11,$AT$10*$B$10,0)+Tableau182985[[#This Row],[VBO]]*$AX$21*$B$10+Tableau182985[[#This Row],[VBI]]*$AX$22*$B$10+Tableau182985[[#This Row],[VBE]]*$AX$23*$B$10,"")</f>
        <v>0</v>
      </c>
      <c r="AN58" s="7">
        <v>0.7651212155540269</v>
      </c>
      <c r="AO58" s="7">
        <v>0</v>
      </c>
      <c r="AP58" s="7">
        <f>IF(Tableau182985[[#This Row],[Age]]&lt;&gt;"",Tableau182985[[#This Row],[RA]]-Tableau182985[[#This Row],[DA]],"")</f>
        <v>-0.7651212155540269</v>
      </c>
    </row>
    <row r="59" spans="11:42" ht="15" customHeight="1" x14ac:dyDescent="0.2">
      <c r="K59" s="3">
        <v>57</v>
      </c>
      <c r="L59" s="4">
        <v>221.80220946750211</v>
      </c>
      <c r="M59" s="4">
        <v>0</v>
      </c>
      <c r="N59" s="4">
        <v>221.80220946750211</v>
      </c>
      <c r="O59" s="5">
        <f t="shared" si="0"/>
        <v>224.90744040004716</v>
      </c>
      <c r="P59" s="5">
        <f t="shared" si="1"/>
        <v>55.180120291364169</v>
      </c>
      <c r="Q59" s="5">
        <f t="shared" si="2"/>
        <v>60.77999274109392</v>
      </c>
      <c r="R59" s="5">
        <v>19</v>
      </c>
      <c r="S59" s="5">
        <v>390.17290412744285</v>
      </c>
      <c r="T59" s="5">
        <f t="shared" si="3"/>
        <v>0</v>
      </c>
      <c r="U59" s="5">
        <f t="shared" si="4"/>
        <v>0</v>
      </c>
      <c r="V59" s="5" t="str">
        <f>IF($E$4="Embrousaillement",Tableau182985[[#This Row],[SOL]],"")</f>
        <v/>
      </c>
      <c r="W59" s="5" t="str">
        <f>IF($E$4="Embrousaillement",Tableau182985[[#This Row],[L]],"")</f>
        <v/>
      </c>
      <c r="X59" s="5">
        <v>9.1666666666666661</v>
      </c>
      <c r="Y59" s="5">
        <f t="shared" si="5"/>
        <v>0</v>
      </c>
      <c r="Z59" s="5">
        <f t="shared" si="6"/>
        <v>0</v>
      </c>
      <c r="AA59" s="5">
        <f t="shared" si="7"/>
        <v>0</v>
      </c>
      <c r="AB59" s="5" t="s">
        <v>166</v>
      </c>
      <c r="AC59" s="5" t="s">
        <v>166</v>
      </c>
      <c r="AD59" s="5" t="str">
        <f t="shared" si="8"/>
        <v/>
      </c>
      <c r="AE59" s="5" t="s">
        <v>166</v>
      </c>
      <c r="AF59" s="5" t="s">
        <v>166</v>
      </c>
      <c r="AG59" s="5" t="str">
        <f t="shared" si="9"/>
        <v/>
      </c>
      <c r="AH59" s="5" t="s">
        <v>166</v>
      </c>
      <c r="AI59" s="5" t="s">
        <v>166</v>
      </c>
      <c r="AJ59" s="5" t="str">
        <f t="shared" si="10"/>
        <v/>
      </c>
      <c r="AK59" s="5" t="str">
        <f t="shared" si="11"/>
        <v/>
      </c>
      <c r="AL59" s="7">
        <f>IF(Tableau182985[[#This Row],[Age]]&lt;&gt;"",IF(Tableau182985[[#This Row],[Age]]=0,$AT$10*$B$10+SUMIF($AS$21:$AS$29,Tableau182985[[#This Row],[Age]],$AU$21:$AU$29)*$B$10+$AT$11*$B$10,SUMIF($AS$21:$AS$29,Tableau182985[[#This Row],[Age]],$AU$21:$AU$29)*$B$10+$AT$11*$B$10),"")</f>
        <v>9</v>
      </c>
      <c r="AM59" s="7">
        <f>IF(Tableau182985[[#This Row],[Age]]&lt;&gt;"",IF(Tableau182985[[#This Row],[Age]]=$B$11,$AT$10*$B$10,0)+Tableau182985[[#This Row],[VBO]]*$AX$21*$B$10+Tableau182985[[#This Row],[VBI]]*$AX$22*$B$10+Tableau182985[[#This Row],[VBE]]*$AX$23*$B$10,"")</f>
        <v>0</v>
      </c>
      <c r="AN59" s="7">
        <v>0.73217341201342301</v>
      </c>
      <c r="AO59" s="7">
        <v>0</v>
      </c>
      <c r="AP59" s="7">
        <f>IF(Tableau182985[[#This Row],[Age]]&lt;&gt;"",Tableau182985[[#This Row],[RA]]-Tableau182985[[#This Row],[DA]],"")</f>
        <v>-0.73217341201342301</v>
      </c>
    </row>
    <row r="60" spans="11:42" ht="15" customHeight="1" x14ac:dyDescent="0.2">
      <c r="K60" s="3">
        <v>58</v>
      </c>
      <c r="L60" s="4">
        <v>231.01536713732776</v>
      </c>
      <c r="M60" s="4">
        <v>0</v>
      </c>
      <c r="N60" s="4">
        <v>231.01536713732776</v>
      </c>
      <c r="O60" s="5">
        <f t="shared" si="0"/>
        <v>234.24958227725037</v>
      </c>
      <c r="P60" s="5">
        <f t="shared" si="1"/>
        <v>57.200559226937308</v>
      </c>
      <c r="Q60" s="5">
        <f t="shared" si="2"/>
        <v>60.939939254187742</v>
      </c>
      <c r="R60" s="5">
        <v>19.333333333333332</v>
      </c>
      <c r="S60" s="5">
        <v>400.97216463701875</v>
      </c>
      <c r="T60" s="5">
        <f t="shared" si="3"/>
        <v>0</v>
      </c>
      <c r="U60" s="5">
        <f t="shared" si="4"/>
        <v>0</v>
      </c>
      <c r="V60" s="5" t="str">
        <f>IF($E$4="Embrousaillement",Tableau182985[[#This Row],[SOL]],"")</f>
        <v/>
      </c>
      <c r="W60" s="5" t="str">
        <f>IF($E$4="Embrousaillement",Tableau182985[[#This Row],[L]],"")</f>
        <v/>
      </c>
      <c r="X60" s="5">
        <v>9.1666666666666661</v>
      </c>
      <c r="Y60" s="5">
        <f t="shared" si="5"/>
        <v>0</v>
      </c>
      <c r="Z60" s="5">
        <f t="shared" si="6"/>
        <v>0</v>
      </c>
      <c r="AA60" s="5">
        <f t="shared" si="7"/>
        <v>0</v>
      </c>
      <c r="AB60" s="5" t="s">
        <v>166</v>
      </c>
      <c r="AC60" s="5" t="s">
        <v>166</v>
      </c>
      <c r="AD60" s="5" t="str">
        <f t="shared" si="8"/>
        <v/>
      </c>
      <c r="AE60" s="5" t="s">
        <v>166</v>
      </c>
      <c r="AF60" s="5" t="s">
        <v>166</v>
      </c>
      <c r="AG60" s="5" t="str">
        <f t="shared" si="9"/>
        <v/>
      </c>
      <c r="AH60" s="5" t="s">
        <v>166</v>
      </c>
      <c r="AI60" s="5" t="s">
        <v>166</v>
      </c>
      <c r="AJ60" s="5" t="str">
        <f t="shared" si="10"/>
        <v/>
      </c>
      <c r="AK60" s="5" t="str">
        <f t="shared" si="11"/>
        <v/>
      </c>
      <c r="AL60" s="7">
        <f>IF(Tableau182985[[#This Row],[Age]]&lt;&gt;"",IF(Tableau182985[[#This Row],[Age]]=0,$AT$10*$B$10+SUMIF($AS$21:$AS$29,Tableau182985[[#This Row],[Age]],$AU$21:$AU$29)*$B$10+$AT$11*$B$10,SUMIF($AS$21:$AS$29,Tableau182985[[#This Row],[Age]],$AU$21:$AU$29)*$B$10+$AT$11*$B$10),"")</f>
        <v>9</v>
      </c>
      <c r="AM60" s="7">
        <f>IF(Tableau182985[[#This Row],[Age]]&lt;&gt;"",IF(Tableau182985[[#This Row],[Age]]=$B$11,$AT$10*$B$10,0)+Tableau182985[[#This Row],[VBO]]*$AX$21*$B$10+Tableau182985[[#This Row],[VBI]]*$AX$22*$B$10+Tableau182985[[#This Row],[VBE]]*$AX$23*$B$10,"")</f>
        <v>0</v>
      </c>
      <c r="AN60" s="7">
        <v>0.7006444134099743</v>
      </c>
      <c r="AO60" s="7">
        <v>0</v>
      </c>
      <c r="AP60" s="7">
        <f>IF(Tableau182985[[#This Row],[Age]]&lt;&gt;"",Tableau182985[[#This Row],[RA]]-Tableau182985[[#This Row],[DA]],"")</f>
        <v>-0.7006444134099743</v>
      </c>
    </row>
    <row r="61" spans="11:42" ht="15" customHeight="1" x14ac:dyDescent="0.2">
      <c r="K61" s="3">
        <v>59</v>
      </c>
      <c r="L61" s="4">
        <v>240.41464603524634</v>
      </c>
      <c r="M61" s="4">
        <v>0</v>
      </c>
      <c r="N61" s="4">
        <v>240.41464603524634</v>
      </c>
      <c r="O61" s="5">
        <f t="shared" si="0"/>
        <v>243.78045107973981</v>
      </c>
      <c r="P61" s="5">
        <f t="shared" si="1"/>
        <v>59.252171606996775</v>
      </c>
      <c r="Q61" s="5">
        <f t="shared" si="2"/>
        <v>61.097111052866211</v>
      </c>
      <c r="R61" s="5">
        <v>19.666666666666664</v>
      </c>
      <c r="S61" s="5">
        <v>411.95783474217666</v>
      </c>
      <c r="T61" s="5">
        <f t="shared" si="3"/>
        <v>0</v>
      </c>
      <c r="U61" s="5">
        <f t="shared" si="4"/>
        <v>0</v>
      </c>
      <c r="V61" s="5" t="str">
        <f>IF($E$4="Embrousaillement",Tableau182985[[#This Row],[SOL]],"")</f>
        <v/>
      </c>
      <c r="W61" s="5" t="str">
        <f>IF($E$4="Embrousaillement",Tableau182985[[#This Row],[L]],"")</f>
        <v/>
      </c>
      <c r="X61" s="5">
        <v>9.1666666666666661</v>
      </c>
      <c r="Y61" s="5">
        <f t="shared" si="5"/>
        <v>0</v>
      </c>
      <c r="Z61" s="5">
        <f t="shared" si="6"/>
        <v>0</v>
      </c>
      <c r="AA61" s="5">
        <f t="shared" si="7"/>
        <v>0</v>
      </c>
      <c r="AB61" s="5" t="s">
        <v>166</v>
      </c>
      <c r="AC61" s="5" t="s">
        <v>166</v>
      </c>
      <c r="AD61" s="5" t="str">
        <f t="shared" si="8"/>
        <v/>
      </c>
      <c r="AE61" s="5" t="s">
        <v>166</v>
      </c>
      <c r="AF61" s="5" t="s">
        <v>166</v>
      </c>
      <c r="AG61" s="5" t="str">
        <f t="shared" si="9"/>
        <v/>
      </c>
      <c r="AH61" s="5" t="s">
        <v>166</v>
      </c>
      <c r="AI61" s="5" t="s">
        <v>166</v>
      </c>
      <c r="AJ61" s="5" t="str">
        <f t="shared" si="10"/>
        <v/>
      </c>
      <c r="AK61" s="5" t="str">
        <f t="shared" si="11"/>
        <v/>
      </c>
      <c r="AL61" s="7">
        <f>IF(Tableau182985[[#This Row],[Age]]&lt;&gt;"",IF(Tableau182985[[#This Row],[Age]]=0,$AT$10*$B$10+SUMIF($AS$21:$AS$29,Tableau182985[[#This Row],[Age]],$AU$21:$AU$29)*$B$10+$AT$11*$B$10,SUMIF($AS$21:$AS$29,Tableau182985[[#This Row],[Age]],$AU$21:$AU$29)*$B$10+$AT$11*$B$10),"")</f>
        <v>9</v>
      </c>
      <c r="AM61" s="7">
        <f>IF(Tableau182985[[#This Row],[Age]]&lt;&gt;"",IF(Tableau182985[[#This Row],[Age]]=$B$11,$AT$10*$B$10,0)+Tableau182985[[#This Row],[VBO]]*$AX$21*$B$10+Tableau182985[[#This Row],[VBI]]*$AX$22*$B$10+Tableau182985[[#This Row],[VBE]]*$AX$23*$B$10,"")</f>
        <v>0</v>
      </c>
      <c r="AN61" s="7">
        <v>0.67047312288035821</v>
      </c>
      <c r="AO61" s="7">
        <v>0</v>
      </c>
      <c r="AP61" s="7">
        <f>IF(Tableau182985[[#This Row],[Age]]&lt;&gt;"",Tableau182985[[#This Row],[RA]]-Tableau182985[[#This Row],[DA]],"")</f>
        <v>-0.67047312288035821</v>
      </c>
    </row>
    <row r="62" spans="11:42" ht="15" customHeight="1" x14ac:dyDescent="0.2">
      <c r="K62" s="3">
        <v>60</v>
      </c>
      <c r="L62" s="4">
        <v>249.99933998335095</v>
      </c>
      <c r="M62" s="4">
        <v>249.99933998335095</v>
      </c>
      <c r="N62" s="4">
        <v>0</v>
      </c>
      <c r="O62" s="5">
        <f t="shared" si="0"/>
        <v>0</v>
      </c>
      <c r="P62" s="5">
        <f t="shared" si="1"/>
        <v>0</v>
      </c>
      <c r="Q62" s="5">
        <f t="shared" si="2"/>
        <v>61.251556272221123</v>
      </c>
      <c r="R62" s="5">
        <v>20</v>
      </c>
      <c r="S62" s="5">
        <v>148.96118649907206</v>
      </c>
      <c r="T62" s="5">
        <f t="shared" si="3"/>
        <v>0</v>
      </c>
      <c r="U62" s="5">
        <f t="shared" si="4"/>
        <v>0</v>
      </c>
      <c r="V62" s="5" t="str">
        <f>IF($E$4="Embrousaillement",Tableau182985[[#This Row],[SOL]],"")</f>
        <v/>
      </c>
      <c r="W62" s="5" t="str">
        <f>IF($E$4="Embrousaillement",Tableau182985[[#This Row],[L]],"")</f>
        <v/>
      </c>
      <c r="X62" s="5">
        <v>9.1666666666666661</v>
      </c>
      <c r="Y62" s="5">
        <f t="shared" si="5"/>
        <v>149.99960399001057</v>
      </c>
      <c r="Z62" s="5">
        <f t="shared" si="6"/>
        <v>0</v>
      </c>
      <c r="AA62" s="5">
        <f t="shared" si="7"/>
        <v>99.99973599334038</v>
      </c>
      <c r="AB62" s="5" t="s">
        <v>166</v>
      </c>
      <c r="AC62" s="5" t="s">
        <v>166</v>
      </c>
      <c r="AD62" s="5" t="str">
        <f t="shared" si="8"/>
        <v/>
      </c>
      <c r="AE62" s="5" t="s">
        <v>166</v>
      </c>
      <c r="AF62" s="5" t="s">
        <v>166</v>
      </c>
      <c r="AG62" s="5" t="str">
        <f t="shared" si="9"/>
        <v/>
      </c>
      <c r="AH62" s="5" t="s">
        <v>166</v>
      </c>
      <c r="AI62" s="5" t="s">
        <v>166</v>
      </c>
      <c r="AJ62" s="5" t="str">
        <f t="shared" si="10"/>
        <v/>
      </c>
      <c r="AK62" s="5" t="str">
        <f t="shared" si="11"/>
        <v/>
      </c>
      <c r="AL62" s="7">
        <f>IF(Tableau182985[[#This Row],[Age]]&lt;&gt;"",IF(Tableau182985[[#This Row],[Age]]=0,$AT$10*$B$10+SUMIF($AS$21:$AS$29,Tableau182985[[#This Row],[Age]],$AU$21:$AU$29)*$B$10+$AT$11*$B$10,SUMIF($AS$21:$AS$29,Tableau182985[[#This Row],[Age]],$AU$21:$AU$29)*$B$10+$AT$11*$B$10),"")</f>
        <v>9</v>
      </c>
      <c r="AM62" s="7">
        <f>IF(Tableau182985[[#This Row],[Age]]&lt;&gt;"",IF(Tableau182985[[#This Row],[Age]]=$B$11,$AT$10*$B$10,0)+Tableau182985[[#This Row],[VBO]]*$AX$21*$B$10+Tableau182985[[#This Row],[VBI]]*$AX$22*$B$10+Tableau182985[[#This Row],[VBE]]*$AX$23*$B$10,"")</f>
        <v>3999.9894397336152</v>
      </c>
      <c r="AN62" s="7">
        <v>0.64160107452665871</v>
      </c>
      <c r="AO62" s="7">
        <v>285.15528029204165</v>
      </c>
      <c r="AP62" s="7">
        <f>IF(Tableau182985[[#This Row],[Age]]&lt;&gt;"",Tableau182985[[#This Row],[RA]]-Tableau182985[[#This Row],[DA]],"")</f>
        <v>284.513679217515</v>
      </c>
    </row>
    <row r="63" spans="11:42" ht="15" customHeight="1" x14ac:dyDescent="0.2">
      <c r="L63" s="4"/>
      <c r="M63" s="4"/>
      <c r="N63" s="4"/>
      <c r="O63" s="5" t="str">
        <f t="shared" si="0"/>
        <v/>
      </c>
      <c r="P63" s="5" t="str">
        <f t="shared" si="1"/>
        <v/>
      </c>
      <c r="Q63" s="5" t="str">
        <f t="shared" si="2"/>
        <v/>
      </c>
      <c r="R63" s="5" t="s">
        <v>166</v>
      </c>
      <c r="S63" s="5" t="s">
        <v>166</v>
      </c>
      <c r="T63" s="5" t="str">
        <f t="shared" si="3"/>
        <v/>
      </c>
      <c r="U63" s="5" t="str">
        <f t="shared" si="4"/>
        <v/>
      </c>
      <c r="V63" s="5" t="str">
        <f>IF($E$4="Embrousaillement",Tableau182985[[#This Row],[SOL]],"")</f>
        <v/>
      </c>
      <c r="W63" s="5" t="str">
        <f>IF($E$4="Embrousaillement",Tableau182985[[#This Row],[L]],"")</f>
        <v/>
      </c>
      <c r="X63" s="5" t="s">
        <v>166</v>
      </c>
      <c r="Y63" s="5" t="str">
        <f t="shared" si="5"/>
        <v/>
      </c>
      <c r="Z63" s="5" t="str">
        <f t="shared" si="6"/>
        <v/>
      </c>
      <c r="AA63" s="5" t="str">
        <f t="shared" si="7"/>
        <v/>
      </c>
      <c r="AB63" s="5" t="s">
        <v>166</v>
      </c>
      <c r="AC63" s="5" t="s">
        <v>166</v>
      </c>
      <c r="AD63" s="5" t="str">
        <f t="shared" si="8"/>
        <v/>
      </c>
      <c r="AE63" s="5" t="s">
        <v>166</v>
      </c>
      <c r="AF63" s="5" t="s">
        <v>166</v>
      </c>
      <c r="AG63" s="5" t="str">
        <f t="shared" si="9"/>
        <v/>
      </c>
      <c r="AH63" s="5" t="s">
        <v>166</v>
      </c>
      <c r="AI63" s="5" t="s">
        <v>166</v>
      </c>
      <c r="AJ63" s="5" t="str">
        <f t="shared" si="10"/>
        <v/>
      </c>
      <c r="AK63" s="5" t="str">
        <f t="shared" si="11"/>
        <v/>
      </c>
      <c r="AL63" s="7" t="str">
        <f>IF(Tableau182985[[#This Row],[Age]]&lt;&gt;"",IF(Tableau182985[[#This Row],[Age]]=0,$AT$10*$B$10+SUMIF($AS$21:$AS$29,Tableau182985[[#This Row],[Age]],$AU$21:$AU$29)*$B$10+$AT$11*$B$10,SUMIF($AS$21:$AS$29,Tableau182985[[#This Row],[Age]],$AU$21:$AU$29)*$B$10+$AT$11*$B$10),"")</f>
        <v/>
      </c>
      <c r="AM63" s="7" t="str">
        <f>IF(Tableau182985[[#This Row],[Age]]&lt;&gt;"",IF(Tableau182985[[#This Row],[Age]]=$B$11,$AT$10*$B$10,0)+Tableau182985[[#This Row],[VBO]]*$AX$21*$B$10+Tableau182985[[#This Row],[VBI]]*$AX$22*$B$10+Tableau182985[[#This Row],[VBE]]*$AX$23*$B$10,"")</f>
        <v/>
      </c>
      <c r="AN63" s="7" t="s">
        <v>166</v>
      </c>
      <c r="AO63" s="7" t="s">
        <v>166</v>
      </c>
      <c r="AP63" s="7" t="str">
        <f>IF(Tableau182985[[#This Row],[Age]]&lt;&gt;"",Tableau182985[[#This Row],[RA]]-Tableau182985[[#This Row],[DA]],"")</f>
        <v/>
      </c>
    </row>
    <row r="64" spans="11:42" ht="15" customHeight="1" x14ac:dyDescent="0.2">
      <c r="L64" s="4"/>
      <c r="M64" s="4"/>
      <c r="N64" s="4"/>
      <c r="O64" s="5" t="str">
        <f t="shared" si="0"/>
        <v/>
      </c>
      <c r="P64" s="5" t="str">
        <f t="shared" si="1"/>
        <v/>
      </c>
      <c r="Q64" s="5" t="str">
        <f t="shared" si="2"/>
        <v/>
      </c>
      <c r="R64" s="5" t="s">
        <v>166</v>
      </c>
      <c r="S64" s="5" t="s">
        <v>166</v>
      </c>
      <c r="T64" s="5" t="str">
        <f t="shared" si="3"/>
        <v/>
      </c>
      <c r="U64" s="5" t="str">
        <f t="shared" si="4"/>
        <v/>
      </c>
      <c r="V64" s="5" t="str">
        <f>IF($E$4="Embrousaillement",Tableau182985[[#This Row],[SOL]],"")</f>
        <v/>
      </c>
      <c r="W64" s="5" t="str">
        <f>IF($E$4="Embrousaillement",Tableau182985[[#This Row],[L]],"")</f>
        <v/>
      </c>
      <c r="X64" s="5" t="s">
        <v>166</v>
      </c>
      <c r="Y64" s="5" t="str">
        <f t="shared" si="5"/>
        <v/>
      </c>
      <c r="Z64" s="5" t="str">
        <f t="shared" si="6"/>
        <v/>
      </c>
      <c r="AA64" s="5" t="str">
        <f t="shared" si="7"/>
        <v/>
      </c>
      <c r="AB64" s="5" t="s">
        <v>166</v>
      </c>
      <c r="AC64" s="5" t="s">
        <v>166</v>
      </c>
      <c r="AD64" s="5" t="str">
        <f t="shared" si="8"/>
        <v/>
      </c>
      <c r="AE64" s="5" t="s">
        <v>166</v>
      </c>
      <c r="AF64" s="5" t="s">
        <v>166</v>
      </c>
      <c r="AG64" s="5" t="str">
        <f t="shared" si="9"/>
        <v/>
      </c>
      <c r="AH64" s="5" t="s">
        <v>166</v>
      </c>
      <c r="AI64" s="5" t="s">
        <v>166</v>
      </c>
      <c r="AJ64" s="5" t="str">
        <f t="shared" si="10"/>
        <v/>
      </c>
      <c r="AK64" s="5" t="str">
        <f t="shared" si="11"/>
        <v/>
      </c>
      <c r="AL64" s="7" t="str">
        <f>IF(Tableau182985[[#This Row],[Age]]&lt;&gt;"",IF(Tableau182985[[#This Row],[Age]]=0,$AT$10*$B$10+SUMIF($AS$21:$AS$29,Tableau182985[[#This Row],[Age]],$AU$21:$AU$29)*$B$10+$AT$11*$B$10,SUMIF($AS$21:$AS$29,Tableau182985[[#This Row],[Age]],$AU$21:$AU$29)*$B$10+$AT$11*$B$10),"")</f>
        <v/>
      </c>
      <c r="AM64" s="7" t="str">
        <f>IF(Tableau182985[[#This Row],[Age]]&lt;&gt;"",IF(Tableau182985[[#This Row],[Age]]=$B$11,$AT$10*$B$10,0)+Tableau182985[[#This Row],[VBO]]*$AX$21*$B$10+Tableau182985[[#This Row],[VBI]]*$AX$22*$B$10+Tableau182985[[#This Row],[VBE]]*$AX$23*$B$10,"")</f>
        <v/>
      </c>
      <c r="AN64" s="7" t="s">
        <v>166</v>
      </c>
      <c r="AO64" s="7" t="s">
        <v>166</v>
      </c>
      <c r="AP64" s="7" t="str">
        <f>IF(Tableau182985[[#This Row],[Age]]&lt;&gt;"",Tableau182985[[#This Row],[RA]]-Tableau182985[[#This Row],[DA]],"")</f>
        <v/>
      </c>
    </row>
    <row r="65" spans="1:42" ht="15" customHeight="1" x14ac:dyDescent="0.2">
      <c r="A65" s="30" t="s">
        <v>108</v>
      </c>
      <c r="B65" s="30" t="s">
        <v>109</v>
      </c>
      <c r="C65" s="30" t="s">
        <v>110</v>
      </c>
      <c r="L65" s="4"/>
      <c r="M65" s="4"/>
      <c r="N65" s="4"/>
      <c r="O65" s="5" t="str">
        <f t="shared" si="0"/>
        <v/>
      </c>
      <c r="P65" s="5" t="str">
        <f t="shared" si="1"/>
        <v/>
      </c>
      <c r="Q65" s="5" t="str">
        <f t="shared" si="2"/>
        <v/>
      </c>
      <c r="R65" s="5" t="s">
        <v>166</v>
      </c>
      <c r="S65" s="5" t="s">
        <v>166</v>
      </c>
      <c r="T65" s="5" t="str">
        <f t="shared" si="3"/>
        <v/>
      </c>
      <c r="U65" s="5" t="str">
        <f t="shared" si="4"/>
        <v/>
      </c>
      <c r="V65" s="5" t="str">
        <f>IF($E$4="Embrousaillement",Tableau182985[[#This Row],[SOL]],"")</f>
        <v/>
      </c>
      <c r="W65" s="5" t="str">
        <f>IF($E$4="Embrousaillement",Tableau182985[[#This Row],[L]],"")</f>
        <v/>
      </c>
      <c r="X65" s="5" t="s">
        <v>166</v>
      </c>
      <c r="Y65" s="5" t="str">
        <f t="shared" si="5"/>
        <v/>
      </c>
      <c r="Z65" s="5" t="str">
        <f t="shared" si="6"/>
        <v/>
      </c>
      <c r="AA65" s="5" t="str">
        <f t="shared" si="7"/>
        <v/>
      </c>
      <c r="AB65" s="5" t="s">
        <v>166</v>
      </c>
      <c r="AC65" s="5" t="s">
        <v>166</v>
      </c>
      <c r="AD65" s="5" t="str">
        <f t="shared" si="8"/>
        <v/>
      </c>
      <c r="AE65" s="5" t="s">
        <v>166</v>
      </c>
      <c r="AF65" s="5" t="s">
        <v>166</v>
      </c>
      <c r="AG65" s="5" t="str">
        <f t="shared" si="9"/>
        <v/>
      </c>
      <c r="AH65" s="5" t="s">
        <v>166</v>
      </c>
      <c r="AI65" s="5" t="s">
        <v>166</v>
      </c>
      <c r="AJ65" s="5" t="str">
        <f t="shared" si="10"/>
        <v/>
      </c>
      <c r="AK65" s="5" t="str">
        <f t="shared" si="11"/>
        <v/>
      </c>
      <c r="AL65" s="7" t="str">
        <f>IF(Tableau182985[[#This Row],[Age]]&lt;&gt;"",IF(Tableau182985[[#This Row],[Age]]=0,$AT$10*$B$10+SUMIF($AS$21:$AS$29,Tableau182985[[#This Row],[Age]],$AU$21:$AU$29)*$B$10+$AT$11*$B$10,SUMIF($AS$21:$AS$29,Tableau182985[[#This Row],[Age]],$AU$21:$AU$29)*$B$10+$AT$11*$B$10),"")</f>
        <v/>
      </c>
      <c r="AM65" s="7" t="str">
        <f>IF(Tableau182985[[#This Row],[Age]]&lt;&gt;"",IF(Tableau182985[[#This Row],[Age]]=$B$11,$AT$10*$B$10,0)+Tableau182985[[#This Row],[VBO]]*$AX$21*$B$10+Tableau182985[[#This Row],[VBI]]*$AX$22*$B$10+Tableau182985[[#This Row],[VBE]]*$AX$23*$B$10,"")</f>
        <v/>
      </c>
      <c r="AN65" s="7" t="s">
        <v>166</v>
      </c>
      <c r="AO65" s="7" t="s">
        <v>166</v>
      </c>
      <c r="AP65" s="7" t="str">
        <f>IF(Tableau182985[[#This Row],[Age]]&lt;&gt;"",Tableau182985[[#This Row],[RA]]-Tableau182985[[#This Row],[DA]],"")</f>
        <v/>
      </c>
    </row>
    <row r="66" spans="1:42" ht="15" customHeight="1" x14ac:dyDescent="0.2">
      <c r="A66" s="3" t="s">
        <v>1</v>
      </c>
      <c r="B66" s="3" t="s">
        <v>111</v>
      </c>
      <c r="C66" s="3" t="s">
        <v>112</v>
      </c>
      <c r="L66" s="4"/>
      <c r="M66" s="4"/>
      <c r="N66" s="4"/>
      <c r="O66" s="5" t="str">
        <f t="shared" ref="O66:O102" si="12">IF(K66&lt;&gt;"",N66*$B$7*$B$8,"")</f>
        <v/>
      </c>
      <c r="P66" s="5" t="str">
        <f t="shared" ref="P66:P102" si="13">IF(K66&lt;&gt;"",IF(O66&gt;0,EXP(-1.0587+0.8836*LN(O66)+0.284),0),"")</f>
        <v/>
      </c>
      <c r="Q66" s="5" t="str">
        <f t="shared" ref="Q66:Q102" si="14">IF(K66&lt;&gt;"",45+25*(1-EXP(-0.0175*K66)),"")</f>
        <v/>
      </c>
      <c r="R66" s="5" t="s">
        <v>166</v>
      </c>
      <c r="S66" s="5" t="s">
        <v>166</v>
      </c>
      <c r="T66" s="5" t="str">
        <f t="shared" ref="T66:T102" si="15">IF(AND(K66&lt;=$E$11,K66&lt;&gt;"",K66&gt;0),IF($E$4="Embrousaillement",1*K66*$E$7*$E$8,0),"")</f>
        <v/>
      </c>
      <c r="U66" s="5" t="str">
        <f t="shared" ref="U66:U102" si="16">IF(AND(K66&lt;=$E$11,K66&lt;&gt;"",K66&gt;0),IF($E$4="Embrousaillement",EXP(-1.0587+0.8836*LN(T66)+0.284),0),"")</f>
        <v/>
      </c>
      <c r="V66" s="5" t="str">
        <f>IF($E$4="Embrousaillement",Tableau182985[[#This Row],[SOL]],"")</f>
        <v/>
      </c>
      <c r="W66" s="5" t="str">
        <f>IF($E$4="Embrousaillement",Tableau182985[[#This Row],[L]],"")</f>
        <v/>
      </c>
      <c r="X66" s="5" t="s">
        <v>166</v>
      </c>
      <c r="Y66" s="5" t="str">
        <f t="shared" ref="Y66:Y102" si="17">IF(K66&lt;&gt;"",IF(M66&gt;0,IF($K66&gt;=$AT$7,$AU$7,IF(AND($K66&gt;=$AT$6,$K66&lt;$AT$7),$AU$6,IF(AND($K66&gt;=$AT$5,$K66&lt;$AT$6),$AU$5,IF(AND($K66&gt;=$AT$4,$K66&lt;$AT$5),$AU$4,$AU$4))))*M66,0),"")</f>
        <v/>
      </c>
      <c r="Z66" s="5" t="str">
        <f t="shared" ref="Z66:Z102" si="18">IF(K66&lt;&gt;"",IF(M66&gt;0,IF($K66&gt;=$AT$7,$AV$7,IF(AND($K66&gt;=$AT$6,$K66&lt;$AT$7),$AV$6,IF(AND($K66&gt;=$AT$5,$K66&lt;$AT$6),$AV$5,IF(AND($K66&gt;=$AT$4,$K66&lt;$AT$5),$AV$4,$AV$4))))*M66,0),"")</f>
        <v/>
      </c>
      <c r="AA66" s="5" t="str">
        <f t="shared" ref="AA66:AA102" si="19">IF(K66&lt;&gt;"",IF(M66&gt;0,IF($K66&gt;=$AT$7,$AW$7,IF(AND($K66&gt;=$AT$6,$K66&lt;$AT$7),$AW$6,IF(AND($K66&gt;=$AT$5,$K66&lt;$AT$6),$AW$5,IF(AND($K66&gt;=$AT$4,$K66&lt;$AT$5),$AW$4,$AW$4))))*M66,0),"")</f>
        <v/>
      </c>
      <c r="AB66" s="5" t="s">
        <v>166</v>
      </c>
      <c r="AC66" s="5" t="s">
        <v>166</v>
      </c>
      <c r="AD66" s="5" t="str">
        <f t="shared" ref="AD66:AD102" si="20">IF(AND(K66&lt;=30,K66&lt;&gt;"",K66&gt;0),EXP(-AC66)*IF(K66=1,0,AD65)+(((1-EXP(-AC66))/AC66)*AB66),"")</f>
        <v/>
      </c>
      <c r="AE66" s="5" t="s">
        <v>166</v>
      </c>
      <c r="AF66" s="5" t="s">
        <v>166</v>
      </c>
      <c r="AG66" s="5" t="str">
        <f t="shared" ref="AG66:AG102" si="21">IF(AND(K66&lt;=30,K66&lt;&gt;"",K66&gt;0),EXP(-AF66)*IF(K66=1,0,AG65)+(((1-EXP(-AF66))/AF66)*AE66),"")</f>
        <v/>
      </c>
      <c r="AH66" s="5" t="s">
        <v>166</v>
      </c>
      <c r="AI66" s="5" t="s">
        <v>166</v>
      </c>
      <c r="AJ66" s="5" t="str">
        <f t="shared" ref="AJ66:AJ102" si="22">IF(AND(K66&lt;=30,K66&lt;&gt;"",K66&gt;0),EXP(-AI66)*IF(K66=1,0,AJ65)+(((1-EXP(-AI66))/AI66)*AH66),"")</f>
        <v/>
      </c>
      <c r="AK66" s="5" t="str">
        <f t="shared" ref="AK66:AK102" si="23">IF(AND(K66&lt;=30,K66&lt;&gt;""),SUM(Y66:AA66)*$B$10,"")</f>
        <v/>
      </c>
      <c r="AL66" s="7" t="str">
        <f>IF(Tableau182985[[#This Row],[Age]]&lt;&gt;"",IF(Tableau182985[[#This Row],[Age]]=0,$AT$10*$B$10+SUMIF($AS$21:$AS$29,Tableau182985[[#This Row],[Age]],$AU$21:$AU$29)*$B$10+$AT$11*$B$10,SUMIF($AS$21:$AS$29,Tableau182985[[#This Row],[Age]],$AU$21:$AU$29)*$B$10+$AT$11*$B$10),"")</f>
        <v/>
      </c>
      <c r="AM66" s="7" t="str">
        <f>IF(Tableau182985[[#This Row],[Age]]&lt;&gt;"",IF(Tableau182985[[#This Row],[Age]]=$B$11,$AT$10*$B$10,0)+Tableau182985[[#This Row],[VBO]]*$AX$21*$B$10+Tableau182985[[#This Row],[VBI]]*$AX$22*$B$10+Tableau182985[[#This Row],[VBE]]*$AX$23*$B$10,"")</f>
        <v/>
      </c>
      <c r="AN66" s="7" t="s">
        <v>166</v>
      </c>
      <c r="AO66" s="7" t="s">
        <v>166</v>
      </c>
      <c r="AP66" s="7" t="str">
        <f>IF(Tableau182985[[#This Row],[Age]]&lt;&gt;"",Tableau182985[[#This Row],[RA]]-Tableau182985[[#This Row],[DA]],"")</f>
        <v/>
      </c>
    </row>
    <row r="67" spans="1:42" ht="15" customHeight="1" x14ac:dyDescent="0.2">
      <c r="A67" s="3" t="s">
        <v>2</v>
      </c>
      <c r="B67" s="3" t="s">
        <v>113</v>
      </c>
      <c r="C67" s="3" t="s">
        <v>114</v>
      </c>
      <c r="L67" s="4"/>
      <c r="M67" s="4"/>
      <c r="N67" s="4"/>
      <c r="O67" s="5" t="str">
        <f t="shared" si="12"/>
        <v/>
      </c>
      <c r="P67" s="5" t="str">
        <f t="shared" si="13"/>
        <v/>
      </c>
      <c r="Q67" s="5" t="str">
        <f t="shared" si="14"/>
        <v/>
      </c>
      <c r="R67" s="5" t="s">
        <v>166</v>
      </c>
      <c r="S67" s="5" t="s">
        <v>166</v>
      </c>
      <c r="T67" s="5" t="str">
        <f t="shared" si="15"/>
        <v/>
      </c>
      <c r="U67" s="5" t="str">
        <f t="shared" si="16"/>
        <v/>
      </c>
      <c r="V67" s="5" t="str">
        <f>IF($E$4="Embrousaillement",Tableau182985[[#This Row],[SOL]],"")</f>
        <v/>
      </c>
      <c r="W67" s="5" t="str">
        <f>IF($E$4="Embrousaillement",Tableau182985[[#This Row],[L]],"")</f>
        <v/>
      </c>
      <c r="X67" s="5" t="s">
        <v>166</v>
      </c>
      <c r="Y67" s="5" t="str">
        <f t="shared" si="17"/>
        <v/>
      </c>
      <c r="Z67" s="5" t="str">
        <f t="shared" si="18"/>
        <v/>
      </c>
      <c r="AA67" s="5" t="str">
        <f t="shared" si="19"/>
        <v/>
      </c>
      <c r="AB67" s="5" t="s">
        <v>166</v>
      </c>
      <c r="AC67" s="5" t="s">
        <v>166</v>
      </c>
      <c r="AD67" s="5" t="str">
        <f t="shared" si="20"/>
        <v/>
      </c>
      <c r="AE67" s="5" t="s">
        <v>166</v>
      </c>
      <c r="AF67" s="5" t="s">
        <v>166</v>
      </c>
      <c r="AG67" s="5" t="str">
        <f t="shared" si="21"/>
        <v/>
      </c>
      <c r="AH67" s="5" t="s">
        <v>166</v>
      </c>
      <c r="AI67" s="5" t="s">
        <v>166</v>
      </c>
      <c r="AJ67" s="5" t="str">
        <f t="shared" si="22"/>
        <v/>
      </c>
      <c r="AK67" s="5" t="str">
        <f t="shared" si="23"/>
        <v/>
      </c>
      <c r="AL67" s="7" t="str">
        <f>IF(Tableau182985[[#This Row],[Age]]&lt;&gt;"",IF(Tableau182985[[#This Row],[Age]]=0,$AT$10*$B$10+SUMIF($AS$21:$AS$29,Tableau182985[[#This Row],[Age]],$AU$21:$AU$29)*$B$10+$AT$11*$B$10,SUMIF($AS$21:$AS$29,Tableau182985[[#This Row],[Age]],$AU$21:$AU$29)*$B$10+$AT$11*$B$10),"")</f>
        <v/>
      </c>
      <c r="AM67" s="7" t="str">
        <f>IF(Tableau182985[[#This Row],[Age]]&lt;&gt;"",IF(Tableau182985[[#This Row],[Age]]=$B$11,$AT$10*$B$10,0)+Tableau182985[[#This Row],[VBO]]*$AX$21*$B$10+Tableau182985[[#This Row],[VBI]]*$AX$22*$B$10+Tableau182985[[#This Row],[VBE]]*$AX$23*$B$10,"")</f>
        <v/>
      </c>
      <c r="AN67" s="7" t="s">
        <v>166</v>
      </c>
      <c r="AO67" s="7" t="s">
        <v>166</v>
      </c>
      <c r="AP67" s="7" t="str">
        <f>IF(Tableau182985[[#This Row],[Age]]&lt;&gt;"",Tableau182985[[#This Row],[RA]]-Tableau182985[[#This Row],[DA]],"")</f>
        <v/>
      </c>
    </row>
    <row r="68" spans="1:42" ht="15" customHeight="1" x14ac:dyDescent="0.2">
      <c r="A68" s="3" t="s">
        <v>3</v>
      </c>
      <c r="B68" s="3" t="s">
        <v>113</v>
      </c>
      <c r="C68" s="3" t="s">
        <v>115</v>
      </c>
      <c r="L68" s="4"/>
      <c r="M68" s="4"/>
      <c r="N68" s="4"/>
      <c r="O68" s="5" t="str">
        <f t="shared" si="12"/>
        <v/>
      </c>
      <c r="P68" s="5" t="str">
        <f t="shared" si="13"/>
        <v/>
      </c>
      <c r="Q68" s="5" t="str">
        <f t="shared" si="14"/>
        <v/>
      </c>
      <c r="R68" s="5" t="s">
        <v>166</v>
      </c>
      <c r="S68" s="5" t="s">
        <v>166</v>
      </c>
      <c r="T68" s="5" t="str">
        <f t="shared" si="15"/>
        <v/>
      </c>
      <c r="U68" s="5" t="str">
        <f t="shared" si="16"/>
        <v/>
      </c>
      <c r="V68" s="5" t="str">
        <f>IF($E$4="Embrousaillement",Tableau182985[[#This Row],[SOL]],"")</f>
        <v/>
      </c>
      <c r="W68" s="5" t="str">
        <f>IF($E$4="Embrousaillement",Tableau182985[[#This Row],[L]],"")</f>
        <v/>
      </c>
      <c r="X68" s="5" t="s">
        <v>166</v>
      </c>
      <c r="Y68" s="5" t="str">
        <f t="shared" si="17"/>
        <v/>
      </c>
      <c r="Z68" s="5" t="str">
        <f t="shared" si="18"/>
        <v/>
      </c>
      <c r="AA68" s="5" t="str">
        <f t="shared" si="19"/>
        <v/>
      </c>
      <c r="AB68" s="5" t="s">
        <v>166</v>
      </c>
      <c r="AC68" s="5" t="s">
        <v>166</v>
      </c>
      <c r="AD68" s="5" t="str">
        <f t="shared" si="20"/>
        <v/>
      </c>
      <c r="AE68" s="5" t="s">
        <v>166</v>
      </c>
      <c r="AF68" s="5" t="s">
        <v>166</v>
      </c>
      <c r="AG68" s="5" t="str">
        <f t="shared" si="21"/>
        <v/>
      </c>
      <c r="AH68" s="5" t="s">
        <v>166</v>
      </c>
      <c r="AI68" s="5" t="s">
        <v>166</v>
      </c>
      <c r="AJ68" s="5" t="str">
        <f t="shared" si="22"/>
        <v/>
      </c>
      <c r="AK68" s="5" t="str">
        <f t="shared" si="23"/>
        <v/>
      </c>
      <c r="AL68" s="7" t="str">
        <f>IF(Tableau182985[[#This Row],[Age]]&lt;&gt;"",IF(Tableau182985[[#This Row],[Age]]=0,$AT$10*$B$10+SUMIF($AS$21:$AS$29,Tableau182985[[#This Row],[Age]],$AU$21:$AU$29)*$B$10+$AT$11*$B$10,SUMIF($AS$21:$AS$29,Tableau182985[[#This Row],[Age]],$AU$21:$AU$29)*$B$10+$AT$11*$B$10),"")</f>
        <v/>
      </c>
      <c r="AM68" s="7" t="str">
        <f>IF(Tableau182985[[#This Row],[Age]]&lt;&gt;"",IF(Tableau182985[[#This Row],[Age]]=$B$11,$AT$10*$B$10,0)+Tableau182985[[#This Row],[VBO]]*$AX$21*$B$10+Tableau182985[[#This Row],[VBI]]*$AX$22*$B$10+Tableau182985[[#This Row],[VBE]]*$AX$23*$B$10,"")</f>
        <v/>
      </c>
      <c r="AN68" s="7" t="s">
        <v>166</v>
      </c>
      <c r="AO68" s="7" t="s">
        <v>166</v>
      </c>
      <c r="AP68" s="7" t="str">
        <f>IF(Tableau182985[[#This Row],[Age]]&lt;&gt;"",Tableau182985[[#This Row],[RA]]-Tableau182985[[#This Row],[DA]],"")</f>
        <v/>
      </c>
    </row>
    <row r="69" spans="1:42" ht="15" customHeight="1" x14ac:dyDescent="0.2">
      <c r="A69" s="3" t="s">
        <v>4</v>
      </c>
      <c r="B69" s="3" t="s">
        <v>113</v>
      </c>
      <c r="C69" s="3" t="s">
        <v>116</v>
      </c>
      <c r="L69" s="4"/>
      <c r="M69" s="4"/>
      <c r="N69" s="4"/>
      <c r="O69" s="5" t="str">
        <f t="shared" si="12"/>
        <v/>
      </c>
      <c r="P69" s="5" t="str">
        <f t="shared" si="13"/>
        <v/>
      </c>
      <c r="Q69" s="5" t="str">
        <f t="shared" si="14"/>
        <v/>
      </c>
      <c r="R69" s="5" t="s">
        <v>166</v>
      </c>
      <c r="S69" s="5" t="s">
        <v>166</v>
      </c>
      <c r="T69" s="5" t="str">
        <f t="shared" si="15"/>
        <v/>
      </c>
      <c r="U69" s="5" t="str">
        <f t="shared" si="16"/>
        <v/>
      </c>
      <c r="V69" s="5" t="str">
        <f>IF($E$4="Embrousaillement",Tableau182985[[#This Row],[SOL]],"")</f>
        <v/>
      </c>
      <c r="W69" s="5" t="str">
        <f>IF($E$4="Embrousaillement",Tableau182985[[#This Row],[L]],"")</f>
        <v/>
      </c>
      <c r="X69" s="5" t="s">
        <v>166</v>
      </c>
      <c r="Y69" s="5" t="str">
        <f t="shared" si="17"/>
        <v/>
      </c>
      <c r="Z69" s="5" t="str">
        <f t="shared" si="18"/>
        <v/>
      </c>
      <c r="AA69" s="5" t="str">
        <f t="shared" si="19"/>
        <v/>
      </c>
      <c r="AB69" s="5" t="s">
        <v>166</v>
      </c>
      <c r="AC69" s="5" t="s">
        <v>166</v>
      </c>
      <c r="AD69" s="5" t="str">
        <f t="shared" si="20"/>
        <v/>
      </c>
      <c r="AE69" s="5" t="s">
        <v>166</v>
      </c>
      <c r="AF69" s="5" t="s">
        <v>166</v>
      </c>
      <c r="AG69" s="5" t="str">
        <f t="shared" si="21"/>
        <v/>
      </c>
      <c r="AH69" s="5" t="s">
        <v>166</v>
      </c>
      <c r="AI69" s="5" t="s">
        <v>166</v>
      </c>
      <c r="AJ69" s="5" t="str">
        <f t="shared" si="22"/>
        <v/>
      </c>
      <c r="AK69" s="5" t="str">
        <f t="shared" si="23"/>
        <v/>
      </c>
      <c r="AL69" s="7" t="str">
        <f>IF(Tableau182985[[#This Row],[Age]]&lt;&gt;"",IF(Tableau182985[[#This Row],[Age]]=0,$AT$10*$B$10+SUMIF($AS$21:$AS$29,Tableau182985[[#This Row],[Age]],$AU$21:$AU$29)*$B$10+$AT$11*$B$10,SUMIF($AS$21:$AS$29,Tableau182985[[#This Row],[Age]],$AU$21:$AU$29)*$B$10+$AT$11*$B$10),"")</f>
        <v/>
      </c>
      <c r="AM69" s="7" t="str">
        <f>IF(Tableau182985[[#This Row],[Age]]&lt;&gt;"",IF(Tableau182985[[#This Row],[Age]]=$B$11,$AT$10*$B$10,0)+Tableau182985[[#This Row],[VBO]]*$AX$21*$B$10+Tableau182985[[#This Row],[VBI]]*$AX$22*$B$10+Tableau182985[[#This Row],[VBE]]*$AX$23*$B$10,"")</f>
        <v/>
      </c>
      <c r="AN69" s="7" t="s">
        <v>166</v>
      </c>
      <c r="AO69" s="7" t="s">
        <v>166</v>
      </c>
      <c r="AP69" s="7" t="str">
        <f>IF(Tableau182985[[#This Row],[Age]]&lt;&gt;"",Tableau182985[[#This Row],[RA]]-Tableau182985[[#This Row],[DA]],"")</f>
        <v/>
      </c>
    </row>
    <row r="70" spans="1:42" ht="15" customHeight="1" x14ac:dyDescent="0.2">
      <c r="A70" s="3" t="s">
        <v>5</v>
      </c>
      <c r="B70" s="3" t="s">
        <v>117</v>
      </c>
      <c r="C70" s="3" t="s">
        <v>118</v>
      </c>
      <c r="L70" s="4"/>
      <c r="M70" s="4"/>
      <c r="N70" s="4"/>
      <c r="O70" s="5" t="str">
        <f t="shared" si="12"/>
        <v/>
      </c>
      <c r="P70" s="5" t="str">
        <f t="shared" si="13"/>
        <v/>
      </c>
      <c r="Q70" s="5" t="str">
        <f t="shared" si="14"/>
        <v/>
      </c>
      <c r="R70" s="5" t="s">
        <v>166</v>
      </c>
      <c r="S70" s="5" t="s">
        <v>166</v>
      </c>
      <c r="T70" s="5" t="str">
        <f t="shared" si="15"/>
        <v/>
      </c>
      <c r="U70" s="5" t="str">
        <f t="shared" si="16"/>
        <v/>
      </c>
      <c r="V70" s="5" t="str">
        <f>IF($E$4="Embrousaillement",Tableau182985[[#This Row],[SOL]],"")</f>
        <v/>
      </c>
      <c r="W70" s="5" t="str">
        <f>IF($E$4="Embrousaillement",Tableau182985[[#This Row],[L]],"")</f>
        <v/>
      </c>
      <c r="X70" s="5" t="s">
        <v>166</v>
      </c>
      <c r="Y70" s="5" t="str">
        <f t="shared" si="17"/>
        <v/>
      </c>
      <c r="Z70" s="5" t="str">
        <f t="shared" si="18"/>
        <v/>
      </c>
      <c r="AA70" s="5" t="str">
        <f t="shared" si="19"/>
        <v/>
      </c>
      <c r="AB70" s="5" t="s">
        <v>166</v>
      </c>
      <c r="AC70" s="5" t="s">
        <v>166</v>
      </c>
      <c r="AD70" s="5" t="str">
        <f t="shared" si="20"/>
        <v/>
      </c>
      <c r="AE70" s="5" t="s">
        <v>166</v>
      </c>
      <c r="AF70" s="5" t="s">
        <v>166</v>
      </c>
      <c r="AG70" s="5" t="str">
        <f t="shared" si="21"/>
        <v/>
      </c>
      <c r="AH70" s="5" t="s">
        <v>166</v>
      </c>
      <c r="AI70" s="5" t="s">
        <v>166</v>
      </c>
      <c r="AJ70" s="5" t="str">
        <f t="shared" si="22"/>
        <v/>
      </c>
      <c r="AK70" s="5" t="str">
        <f t="shared" si="23"/>
        <v/>
      </c>
      <c r="AL70" s="7" t="str">
        <f>IF(Tableau182985[[#This Row],[Age]]&lt;&gt;"",IF(Tableau182985[[#This Row],[Age]]=0,$AT$10*$B$10+SUMIF($AS$21:$AS$29,Tableau182985[[#This Row],[Age]],$AU$21:$AU$29)*$B$10+$AT$11*$B$10,SUMIF($AS$21:$AS$29,Tableau182985[[#This Row],[Age]],$AU$21:$AU$29)*$B$10+$AT$11*$B$10),"")</f>
        <v/>
      </c>
      <c r="AM70" s="7" t="str">
        <f>IF(Tableau182985[[#This Row],[Age]]&lt;&gt;"",IF(Tableau182985[[#This Row],[Age]]=$B$11,$AT$10*$B$10,0)+Tableau182985[[#This Row],[VBO]]*$AX$21*$B$10+Tableau182985[[#This Row],[VBI]]*$AX$22*$B$10+Tableau182985[[#This Row],[VBE]]*$AX$23*$B$10,"")</f>
        <v/>
      </c>
      <c r="AN70" s="7" t="s">
        <v>166</v>
      </c>
      <c r="AO70" s="7" t="s">
        <v>166</v>
      </c>
      <c r="AP70" s="7" t="str">
        <f>IF(Tableau182985[[#This Row],[Age]]&lt;&gt;"",Tableau182985[[#This Row],[RA]]-Tableau182985[[#This Row],[DA]],"")</f>
        <v/>
      </c>
    </row>
    <row r="71" spans="1:42" ht="15" customHeight="1" x14ac:dyDescent="0.2">
      <c r="A71" s="3" t="s">
        <v>6</v>
      </c>
      <c r="B71" s="3" t="s">
        <v>117</v>
      </c>
      <c r="C71" s="3" t="s">
        <v>119</v>
      </c>
      <c r="L71" s="4"/>
      <c r="M71" s="4"/>
      <c r="N71" s="4"/>
      <c r="O71" s="5" t="str">
        <f t="shared" si="12"/>
        <v/>
      </c>
      <c r="P71" s="5" t="str">
        <f t="shared" si="13"/>
        <v/>
      </c>
      <c r="Q71" s="5" t="str">
        <f t="shared" si="14"/>
        <v/>
      </c>
      <c r="R71" s="5" t="s">
        <v>166</v>
      </c>
      <c r="S71" s="5" t="s">
        <v>166</v>
      </c>
      <c r="T71" s="5" t="str">
        <f t="shared" si="15"/>
        <v/>
      </c>
      <c r="U71" s="5" t="str">
        <f t="shared" si="16"/>
        <v/>
      </c>
      <c r="V71" s="5" t="str">
        <f>IF($E$4="Embrousaillement",Tableau182985[[#This Row],[SOL]],"")</f>
        <v/>
      </c>
      <c r="W71" s="5" t="str">
        <f>IF($E$4="Embrousaillement",Tableau182985[[#This Row],[L]],"")</f>
        <v/>
      </c>
      <c r="X71" s="5" t="s">
        <v>166</v>
      </c>
      <c r="Y71" s="5" t="str">
        <f t="shared" si="17"/>
        <v/>
      </c>
      <c r="Z71" s="5" t="str">
        <f t="shared" si="18"/>
        <v/>
      </c>
      <c r="AA71" s="5" t="str">
        <f t="shared" si="19"/>
        <v/>
      </c>
      <c r="AB71" s="5" t="s">
        <v>166</v>
      </c>
      <c r="AC71" s="5" t="s">
        <v>166</v>
      </c>
      <c r="AD71" s="5" t="str">
        <f t="shared" si="20"/>
        <v/>
      </c>
      <c r="AE71" s="5" t="s">
        <v>166</v>
      </c>
      <c r="AF71" s="5" t="s">
        <v>166</v>
      </c>
      <c r="AG71" s="5" t="str">
        <f t="shared" si="21"/>
        <v/>
      </c>
      <c r="AH71" s="5" t="s">
        <v>166</v>
      </c>
      <c r="AI71" s="5" t="s">
        <v>166</v>
      </c>
      <c r="AJ71" s="5" t="str">
        <f t="shared" si="22"/>
        <v/>
      </c>
      <c r="AK71" s="5" t="str">
        <f t="shared" si="23"/>
        <v/>
      </c>
      <c r="AL71" s="7" t="str">
        <f>IF(Tableau182985[[#This Row],[Age]]&lt;&gt;"",IF(Tableau182985[[#This Row],[Age]]=0,$AT$10*$B$10+SUMIF($AS$21:$AS$29,Tableau182985[[#This Row],[Age]],$AU$21:$AU$29)*$B$10+$AT$11*$B$10,SUMIF($AS$21:$AS$29,Tableau182985[[#This Row],[Age]],$AU$21:$AU$29)*$B$10+$AT$11*$B$10),"")</f>
        <v/>
      </c>
      <c r="AM71" s="7" t="str">
        <f>IF(Tableau182985[[#This Row],[Age]]&lt;&gt;"",IF(Tableau182985[[#This Row],[Age]]=$B$11,$AT$10*$B$10,0)+Tableau182985[[#This Row],[VBO]]*$AX$21*$B$10+Tableau182985[[#This Row],[VBI]]*$AX$22*$B$10+Tableau182985[[#This Row],[VBE]]*$AX$23*$B$10,"")</f>
        <v/>
      </c>
      <c r="AN71" s="7" t="s">
        <v>166</v>
      </c>
      <c r="AO71" s="7" t="s">
        <v>166</v>
      </c>
      <c r="AP71" s="7" t="str">
        <f>IF(Tableau182985[[#This Row],[Age]]&lt;&gt;"",Tableau182985[[#This Row],[RA]]-Tableau182985[[#This Row],[DA]],"")</f>
        <v/>
      </c>
    </row>
    <row r="72" spans="1:42" ht="15" customHeight="1" x14ac:dyDescent="0.2">
      <c r="A72" s="3" t="s">
        <v>7</v>
      </c>
      <c r="B72" s="3" t="s">
        <v>120</v>
      </c>
      <c r="C72" s="3" t="s">
        <v>121</v>
      </c>
      <c r="L72" s="4"/>
      <c r="M72" s="4"/>
      <c r="N72" s="4"/>
      <c r="O72" s="5" t="str">
        <f t="shared" si="12"/>
        <v/>
      </c>
      <c r="P72" s="5" t="str">
        <f t="shared" si="13"/>
        <v/>
      </c>
      <c r="Q72" s="5" t="str">
        <f t="shared" si="14"/>
        <v/>
      </c>
      <c r="R72" s="5" t="s">
        <v>166</v>
      </c>
      <c r="S72" s="5" t="s">
        <v>166</v>
      </c>
      <c r="T72" s="5" t="str">
        <f t="shared" si="15"/>
        <v/>
      </c>
      <c r="U72" s="5" t="str">
        <f t="shared" si="16"/>
        <v/>
      </c>
      <c r="V72" s="5" t="str">
        <f>IF($E$4="Embrousaillement",Tableau182985[[#This Row],[SOL]],"")</f>
        <v/>
      </c>
      <c r="W72" s="5" t="str">
        <f>IF($E$4="Embrousaillement",Tableau182985[[#This Row],[L]],"")</f>
        <v/>
      </c>
      <c r="X72" s="5" t="s">
        <v>166</v>
      </c>
      <c r="Y72" s="5" t="str">
        <f t="shared" si="17"/>
        <v/>
      </c>
      <c r="Z72" s="5" t="str">
        <f t="shared" si="18"/>
        <v/>
      </c>
      <c r="AA72" s="5" t="str">
        <f t="shared" si="19"/>
        <v/>
      </c>
      <c r="AB72" s="5" t="s">
        <v>166</v>
      </c>
      <c r="AC72" s="5" t="s">
        <v>166</v>
      </c>
      <c r="AD72" s="5" t="str">
        <f t="shared" si="20"/>
        <v/>
      </c>
      <c r="AE72" s="5" t="s">
        <v>166</v>
      </c>
      <c r="AF72" s="5" t="s">
        <v>166</v>
      </c>
      <c r="AG72" s="5" t="str">
        <f t="shared" si="21"/>
        <v/>
      </c>
      <c r="AH72" s="5" t="s">
        <v>166</v>
      </c>
      <c r="AI72" s="5" t="s">
        <v>166</v>
      </c>
      <c r="AJ72" s="5" t="str">
        <f t="shared" si="22"/>
        <v/>
      </c>
      <c r="AK72" s="5" t="str">
        <f t="shared" si="23"/>
        <v/>
      </c>
      <c r="AL72" s="7" t="str">
        <f>IF(Tableau182985[[#This Row],[Age]]&lt;&gt;"",IF(Tableau182985[[#This Row],[Age]]=0,$AT$10*$B$10+SUMIF($AS$21:$AS$29,Tableau182985[[#This Row],[Age]],$AU$21:$AU$29)*$B$10+$AT$11*$B$10,SUMIF($AS$21:$AS$29,Tableau182985[[#This Row],[Age]],$AU$21:$AU$29)*$B$10+$AT$11*$B$10),"")</f>
        <v/>
      </c>
      <c r="AM72" s="7" t="str">
        <f>IF(Tableau182985[[#This Row],[Age]]&lt;&gt;"",IF(Tableau182985[[#This Row],[Age]]=$B$11,$AT$10*$B$10,0)+Tableau182985[[#This Row],[VBO]]*$AX$21*$B$10+Tableau182985[[#This Row],[VBI]]*$AX$22*$B$10+Tableau182985[[#This Row],[VBE]]*$AX$23*$B$10,"")</f>
        <v/>
      </c>
      <c r="AN72" s="7" t="s">
        <v>166</v>
      </c>
      <c r="AO72" s="7" t="s">
        <v>166</v>
      </c>
      <c r="AP72" s="7" t="str">
        <f>IF(Tableau182985[[#This Row],[Age]]&lt;&gt;"",Tableau182985[[#This Row],[RA]]-Tableau182985[[#This Row],[DA]],"")</f>
        <v/>
      </c>
    </row>
    <row r="73" spans="1:42" ht="15" customHeight="1" x14ac:dyDescent="0.2">
      <c r="A73" s="3" t="s">
        <v>8</v>
      </c>
      <c r="B73" s="3" t="s">
        <v>120</v>
      </c>
      <c r="C73" s="3" t="s">
        <v>122</v>
      </c>
      <c r="L73" s="4"/>
      <c r="M73" s="4"/>
      <c r="N73" s="4"/>
      <c r="O73" s="5" t="str">
        <f t="shared" si="12"/>
        <v/>
      </c>
      <c r="P73" s="5" t="str">
        <f t="shared" si="13"/>
        <v/>
      </c>
      <c r="Q73" s="5" t="str">
        <f t="shared" si="14"/>
        <v/>
      </c>
      <c r="R73" s="5" t="s">
        <v>166</v>
      </c>
      <c r="S73" s="5" t="s">
        <v>166</v>
      </c>
      <c r="T73" s="5" t="str">
        <f t="shared" si="15"/>
        <v/>
      </c>
      <c r="U73" s="5" t="str">
        <f t="shared" si="16"/>
        <v/>
      </c>
      <c r="V73" s="5" t="str">
        <f>IF($E$4="Embrousaillement",Tableau182985[[#This Row],[SOL]],"")</f>
        <v/>
      </c>
      <c r="W73" s="5" t="str">
        <f>IF($E$4="Embrousaillement",Tableau182985[[#This Row],[L]],"")</f>
        <v/>
      </c>
      <c r="X73" s="5" t="s">
        <v>166</v>
      </c>
      <c r="Y73" s="5" t="str">
        <f t="shared" si="17"/>
        <v/>
      </c>
      <c r="Z73" s="5" t="str">
        <f t="shared" si="18"/>
        <v/>
      </c>
      <c r="AA73" s="5" t="str">
        <f t="shared" si="19"/>
        <v/>
      </c>
      <c r="AB73" s="5" t="s">
        <v>166</v>
      </c>
      <c r="AC73" s="5" t="s">
        <v>166</v>
      </c>
      <c r="AD73" s="5" t="str">
        <f t="shared" si="20"/>
        <v/>
      </c>
      <c r="AE73" s="5" t="s">
        <v>166</v>
      </c>
      <c r="AF73" s="5" t="s">
        <v>166</v>
      </c>
      <c r="AG73" s="5" t="str">
        <f t="shared" si="21"/>
        <v/>
      </c>
      <c r="AH73" s="5" t="s">
        <v>166</v>
      </c>
      <c r="AI73" s="5" t="s">
        <v>166</v>
      </c>
      <c r="AJ73" s="5" t="str">
        <f t="shared" si="22"/>
        <v/>
      </c>
      <c r="AK73" s="5" t="str">
        <f t="shared" si="23"/>
        <v/>
      </c>
      <c r="AL73" s="7" t="str">
        <f>IF(Tableau182985[[#This Row],[Age]]&lt;&gt;"",IF(Tableau182985[[#This Row],[Age]]=0,$AT$10*$B$10+SUMIF($AS$21:$AS$29,Tableau182985[[#This Row],[Age]],$AU$21:$AU$29)*$B$10+$AT$11*$B$10,SUMIF($AS$21:$AS$29,Tableau182985[[#This Row],[Age]],$AU$21:$AU$29)*$B$10+$AT$11*$B$10),"")</f>
        <v/>
      </c>
      <c r="AM73" s="7" t="str">
        <f>IF(Tableau182985[[#This Row],[Age]]&lt;&gt;"",IF(Tableau182985[[#This Row],[Age]]=$B$11,$AT$10*$B$10,0)+Tableau182985[[#This Row],[VBO]]*$AX$21*$B$10+Tableau182985[[#This Row],[VBI]]*$AX$22*$B$10+Tableau182985[[#This Row],[VBE]]*$AX$23*$B$10,"")</f>
        <v/>
      </c>
      <c r="AN73" s="7" t="s">
        <v>166</v>
      </c>
      <c r="AO73" s="7" t="s">
        <v>166</v>
      </c>
      <c r="AP73" s="7" t="str">
        <f>IF(Tableau182985[[#This Row],[Age]]&lt;&gt;"",Tableau182985[[#This Row],[RA]]-Tableau182985[[#This Row],[DA]],"")</f>
        <v/>
      </c>
    </row>
    <row r="74" spans="1:42" ht="15" customHeight="1" x14ac:dyDescent="0.2">
      <c r="A74" s="3" t="s">
        <v>9</v>
      </c>
      <c r="B74" s="3" t="s">
        <v>123</v>
      </c>
      <c r="C74" s="3" t="s">
        <v>124</v>
      </c>
      <c r="L74" s="4"/>
      <c r="M74" s="4"/>
      <c r="N74" s="4"/>
      <c r="O74" s="5" t="str">
        <f t="shared" si="12"/>
        <v/>
      </c>
      <c r="P74" s="5" t="str">
        <f t="shared" si="13"/>
        <v/>
      </c>
      <c r="Q74" s="5" t="str">
        <f t="shared" si="14"/>
        <v/>
      </c>
      <c r="R74" s="5" t="s">
        <v>166</v>
      </c>
      <c r="S74" s="5" t="s">
        <v>166</v>
      </c>
      <c r="T74" s="5" t="str">
        <f t="shared" si="15"/>
        <v/>
      </c>
      <c r="U74" s="5" t="str">
        <f t="shared" si="16"/>
        <v/>
      </c>
      <c r="V74" s="5" t="str">
        <f>IF($E$4="Embrousaillement",Tableau182985[[#This Row],[SOL]],"")</f>
        <v/>
      </c>
      <c r="W74" s="5" t="str">
        <f>IF($E$4="Embrousaillement",Tableau182985[[#This Row],[L]],"")</f>
        <v/>
      </c>
      <c r="X74" s="5" t="s">
        <v>166</v>
      </c>
      <c r="Y74" s="5" t="str">
        <f t="shared" si="17"/>
        <v/>
      </c>
      <c r="Z74" s="5" t="str">
        <f t="shared" si="18"/>
        <v/>
      </c>
      <c r="AA74" s="5" t="str">
        <f t="shared" si="19"/>
        <v/>
      </c>
      <c r="AB74" s="5" t="s">
        <v>166</v>
      </c>
      <c r="AC74" s="5" t="s">
        <v>166</v>
      </c>
      <c r="AD74" s="5" t="str">
        <f t="shared" si="20"/>
        <v/>
      </c>
      <c r="AE74" s="5" t="s">
        <v>166</v>
      </c>
      <c r="AF74" s="5" t="s">
        <v>166</v>
      </c>
      <c r="AG74" s="5" t="str">
        <f t="shared" si="21"/>
        <v/>
      </c>
      <c r="AH74" s="5" t="s">
        <v>166</v>
      </c>
      <c r="AI74" s="5" t="s">
        <v>166</v>
      </c>
      <c r="AJ74" s="5" t="str">
        <f t="shared" si="22"/>
        <v/>
      </c>
      <c r="AK74" s="5" t="str">
        <f t="shared" si="23"/>
        <v/>
      </c>
      <c r="AL74" s="7" t="str">
        <f>IF(Tableau182985[[#This Row],[Age]]&lt;&gt;"",IF(Tableau182985[[#This Row],[Age]]=0,$AT$10*$B$10+SUMIF($AS$21:$AS$29,Tableau182985[[#This Row],[Age]],$AU$21:$AU$29)*$B$10+$AT$11*$B$10,SUMIF($AS$21:$AS$29,Tableau182985[[#This Row],[Age]],$AU$21:$AU$29)*$B$10+$AT$11*$B$10),"")</f>
        <v/>
      </c>
      <c r="AM74" s="7" t="str">
        <f>IF(Tableau182985[[#This Row],[Age]]&lt;&gt;"",IF(Tableau182985[[#This Row],[Age]]=$B$11,$AT$10*$B$10,0)+Tableau182985[[#This Row],[VBO]]*$AX$21*$B$10+Tableau182985[[#This Row],[VBI]]*$AX$22*$B$10+Tableau182985[[#This Row],[VBE]]*$AX$23*$B$10,"")</f>
        <v/>
      </c>
      <c r="AN74" s="7" t="s">
        <v>166</v>
      </c>
      <c r="AO74" s="7" t="s">
        <v>166</v>
      </c>
      <c r="AP74" s="7" t="str">
        <f>IF(Tableau182985[[#This Row],[Age]]&lt;&gt;"",Tableau182985[[#This Row],[RA]]-Tableau182985[[#This Row],[DA]],"")</f>
        <v/>
      </c>
    </row>
    <row r="75" spans="1:42" ht="15" customHeight="1" x14ac:dyDescent="0.2">
      <c r="A75" s="3" t="s">
        <v>10</v>
      </c>
      <c r="B75" s="3" t="s">
        <v>117</v>
      </c>
      <c r="C75" s="3" t="s">
        <v>125</v>
      </c>
      <c r="L75" s="4"/>
      <c r="M75" s="4"/>
      <c r="N75" s="4"/>
      <c r="O75" s="5" t="str">
        <f t="shared" si="12"/>
        <v/>
      </c>
      <c r="P75" s="5" t="str">
        <f t="shared" si="13"/>
        <v/>
      </c>
      <c r="Q75" s="5" t="str">
        <f t="shared" si="14"/>
        <v/>
      </c>
      <c r="R75" s="5" t="s">
        <v>166</v>
      </c>
      <c r="S75" s="5" t="s">
        <v>166</v>
      </c>
      <c r="T75" s="5" t="str">
        <f t="shared" si="15"/>
        <v/>
      </c>
      <c r="U75" s="5" t="str">
        <f t="shared" si="16"/>
        <v/>
      </c>
      <c r="V75" s="5" t="str">
        <f>IF($E$4="Embrousaillement",Tableau182985[[#This Row],[SOL]],"")</f>
        <v/>
      </c>
      <c r="W75" s="5" t="str">
        <f>IF($E$4="Embrousaillement",Tableau182985[[#This Row],[L]],"")</f>
        <v/>
      </c>
      <c r="X75" s="5" t="s">
        <v>166</v>
      </c>
      <c r="Y75" s="5" t="str">
        <f t="shared" si="17"/>
        <v/>
      </c>
      <c r="Z75" s="5" t="str">
        <f t="shared" si="18"/>
        <v/>
      </c>
      <c r="AA75" s="5" t="str">
        <f t="shared" si="19"/>
        <v/>
      </c>
      <c r="AB75" s="5" t="s">
        <v>166</v>
      </c>
      <c r="AC75" s="5" t="s">
        <v>166</v>
      </c>
      <c r="AD75" s="5" t="str">
        <f t="shared" si="20"/>
        <v/>
      </c>
      <c r="AE75" s="5" t="s">
        <v>166</v>
      </c>
      <c r="AF75" s="5" t="s">
        <v>166</v>
      </c>
      <c r="AG75" s="5" t="str">
        <f t="shared" si="21"/>
        <v/>
      </c>
      <c r="AH75" s="5" t="s">
        <v>166</v>
      </c>
      <c r="AI75" s="5" t="s">
        <v>166</v>
      </c>
      <c r="AJ75" s="5" t="str">
        <f t="shared" si="22"/>
        <v/>
      </c>
      <c r="AK75" s="5" t="str">
        <f t="shared" si="23"/>
        <v/>
      </c>
      <c r="AL75" s="7" t="str">
        <f>IF(Tableau182985[[#This Row],[Age]]&lt;&gt;"",IF(Tableau182985[[#This Row],[Age]]=0,$AT$10*$B$10+SUMIF($AS$21:$AS$29,Tableau182985[[#This Row],[Age]],$AU$21:$AU$29)*$B$10+$AT$11*$B$10,SUMIF($AS$21:$AS$29,Tableau182985[[#This Row],[Age]],$AU$21:$AU$29)*$B$10+$AT$11*$B$10),"")</f>
        <v/>
      </c>
      <c r="AM75" s="7" t="str">
        <f>IF(Tableau182985[[#This Row],[Age]]&lt;&gt;"",IF(Tableau182985[[#This Row],[Age]]=$B$11,$AT$10*$B$10,0)+Tableau182985[[#This Row],[VBO]]*$AX$21*$B$10+Tableau182985[[#This Row],[VBI]]*$AX$22*$B$10+Tableau182985[[#This Row],[VBE]]*$AX$23*$B$10,"")</f>
        <v/>
      </c>
      <c r="AN75" s="7" t="s">
        <v>166</v>
      </c>
      <c r="AO75" s="7" t="s">
        <v>166</v>
      </c>
      <c r="AP75" s="7" t="str">
        <f>IF(Tableau182985[[#This Row],[Age]]&lt;&gt;"",Tableau182985[[#This Row],[RA]]-Tableau182985[[#This Row],[DA]],"")</f>
        <v/>
      </c>
    </row>
    <row r="76" spans="1:42" ht="15" customHeight="1" x14ac:dyDescent="0.2">
      <c r="A76" s="3" t="s">
        <v>11</v>
      </c>
      <c r="B76" s="3" t="s">
        <v>117</v>
      </c>
      <c r="C76" s="3" t="s">
        <v>126</v>
      </c>
      <c r="L76" s="4"/>
      <c r="M76" s="4"/>
      <c r="N76" s="4"/>
      <c r="O76" s="5" t="str">
        <f t="shared" si="12"/>
        <v/>
      </c>
      <c r="P76" s="5" t="str">
        <f t="shared" si="13"/>
        <v/>
      </c>
      <c r="Q76" s="5" t="str">
        <f t="shared" si="14"/>
        <v/>
      </c>
      <c r="R76" s="5" t="s">
        <v>166</v>
      </c>
      <c r="S76" s="5" t="s">
        <v>166</v>
      </c>
      <c r="T76" s="5" t="str">
        <f t="shared" si="15"/>
        <v/>
      </c>
      <c r="U76" s="5" t="str">
        <f t="shared" si="16"/>
        <v/>
      </c>
      <c r="V76" s="5" t="str">
        <f>IF($E$4="Embrousaillement",Tableau182985[[#This Row],[SOL]],"")</f>
        <v/>
      </c>
      <c r="W76" s="5" t="str">
        <f>IF($E$4="Embrousaillement",Tableau182985[[#This Row],[L]],"")</f>
        <v/>
      </c>
      <c r="X76" s="5" t="s">
        <v>166</v>
      </c>
      <c r="Y76" s="5" t="str">
        <f t="shared" si="17"/>
        <v/>
      </c>
      <c r="Z76" s="5" t="str">
        <f t="shared" si="18"/>
        <v/>
      </c>
      <c r="AA76" s="5" t="str">
        <f t="shared" si="19"/>
        <v/>
      </c>
      <c r="AB76" s="5" t="s">
        <v>166</v>
      </c>
      <c r="AC76" s="5" t="s">
        <v>166</v>
      </c>
      <c r="AD76" s="5" t="str">
        <f t="shared" si="20"/>
        <v/>
      </c>
      <c r="AE76" s="5" t="s">
        <v>166</v>
      </c>
      <c r="AF76" s="5" t="s">
        <v>166</v>
      </c>
      <c r="AG76" s="5" t="str">
        <f t="shared" si="21"/>
        <v/>
      </c>
      <c r="AH76" s="5" t="s">
        <v>166</v>
      </c>
      <c r="AI76" s="5" t="s">
        <v>166</v>
      </c>
      <c r="AJ76" s="5" t="str">
        <f t="shared" si="22"/>
        <v/>
      </c>
      <c r="AK76" s="5" t="str">
        <f t="shared" si="23"/>
        <v/>
      </c>
      <c r="AL76" s="7" t="str">
        <f>IF(Tableau182985[[#This Row],[Age]]&lt;&gt;"",IF(Tableau182985[[#This Row],[Age]]=0,$AT$10*$B$10+SUMIF($AS$21:$AS$29,Tableau182985[[#This Row],[Age]],$AU$21:$AU$29)*$B$10+$AT$11*$B$10,SUMIF($AS$21:$AS$29,Tableau182985[[#This Row],[Age]],$AU$21:$AU$29)*$B$10+$AT$11*$B$10),"")</f>
        <v/>
      </c>
      <c r="AM76" s="7" t="str">
        <f>IF(Tableau182985[[#This Row],[Age]]&lt;&gt;"",IF(Tableau182985[[#This Row],[Age]]=$B$11,$AT$10*$B$10,0)+Tableau182985[[#This Row],[VBO]]*$AX$21*$B$10+Tableau182985[[#This Row],[VBI]]*$AX$22*$B$10+Tableau182985[[#This Row],[VBE]]*$AX$23*$B$10,"")</f>
        <v/>
      </c>
      <c r="AN76" s="7" t="s">
        <v>166</v>
      </c>
      <c r="AO76" s="7" t="s">
        <v>166</v>
      </c>
      <c r="AP76" s="7" t="str">
        <f>IF(Tableau182985[[#This Row],[Age]]&lt;&gt;"",Tableau182985[[#This Row],[RA]]-Tableau182985[[#This Row],[DA]],"")</f>
        <v/>
      </c>
    </row>
    <row r="77" spans="1:42" ht="15" customHeight="1" x14ac:dyDescent="0.2">
      <c r="A77" s="3" t="s">
        <v>12</v>
      </c>
      <c r="B77" s="3" t="s">
        <v>120</v>
      </c>
      <c r="C77" s="3" t="s">
        <v>127</v>
      </c>
      <c r="L77" s="4"/>
      <c r="M77" s="4"/>
      <c r="N77" s="4"/>
      <c r="O77" s="5" t="str">
        <f t="shared" si="12"/>
        <v/>
      </c>
      <c r="P77" s="5" t="str">
        <f t="shared" si="13"/>
        <v/>
      </c>
      <c r="Q77" s="5" t="str">
        <f t="shared" si="14"/>
        <v/>
      </c>
      <c r="R77" s="5" t="s">
        <v>166</v>
      </c>
      <c r="S77" s="5" t="s">
        <v>166</v>
      </c>
      <c r="T77" s="5" t="str">
        <f t="shared" si="15"/>
        <v/>
      </c>
      <c r="U77" s="5" t="str">
        <f t="shared" si="16"/>
        <v/>
      </c>
      <c r="V77" s="5" t="str">
        <f>IF($E$4="Embrousaillement",Tableau182985[[#This Row],[SOL]],"")</f>
        <v/>
      </c>
      <c r="W77" s="5" t="str">
        <f>IF($E$4="Embrousaillement",Tableau182985[[#This Row],[L]],"")</f>
        <v/>
      </c>
      <c r="X77" s="5" t="s">
        <v>166</v>
      </c>
      <c r="Y77" s="5" t="str">
        <f t="shared" si="17"/>
        <v/>
      </c>
      <c r="Z77" s="5" t="str">
        <f t="shared" si="18"/>
        <v/>
      </c>
      <c r="AA77" s="5" t="str">
        <f t="shared" si="19"/>
        <v/>
      </c>
      <c r="AB77" s="5" t="s">
        <v>166</v>
      </c>
      <c r="AC77" s="5" t="s">
        <v>166</v>
      </c>
      <c r="AD77" s="5" t="str">
        <f t="shared" si="20"/>
        <v/>
      </c>
      <c r="AE77" s="5" t="s">
        <v>166</v>
      </c>
      <c r="AF77" s="5" t="s">
        <v>166</v>
      </c>
      <c r="AG77" s="5" t="str">
        <f t="shared" si="21"/>
        <v/>
      </c>
      <c r="AH77" s="5" t="s">
        <v>166</v>
      </c>
      <c r="AI77" s="5" t="s">
        <v>166</v>
      </c>
      <c r="AJ77" s="5" t="str">
        <f t="shared" si="22"/>
        <v/>
      </c>
      <c r="AK77" s="5" t="str">
        <f t="shared" si="23"/>
        <v/>
      </c>
      <c r="AL77" s="7" t="str">
        <f>IF(Tableau182985[[#This Row],[Age]]&lt;&gt;"",IF(Tableau182985[[#This Row],[Age]]=0,$AT$10*$B$10+SUMIF($AS$21:$AS$29,Tableau182985[[#This Row],[Age]],$AU$21:$AU$29)*$B$10+$AT$11*$B$10,SUMIF($AS$21:$AS$29,Tableau182985[[#This Row],[Age]],$AU$21:$AU$29)*$B$10+$AT$11*$B$10),"")</f>
        <v/>
      </c>
      <c r="AM77" s="7" t="str">
        <f>IF(Tableau182985[[#This Row],[Age]]&lt;&gt;"",IF(Tableau182985[[#This Row],[Age]]=$B$11,$AT$10*$B$10,0)+Tableau182985[[#This Row],[VBO]]*$AX$21*$B$10+Tableau182985[[#This Row],[VBI]]*$AX$22*$B$10+Tableau182985[[#This Row],[VBE]]*$AX$23*$B$10,"")</f>
        <v/>
      </c>
      <c r="AN77" s="7" t="s">
        <v>166</v>
      </c>
      <c r="AO77" s="7" t="s">
        <v>166</v>
      </c>
      <c r="AP77" s="7" t="str">
        <f>IF(Tableau182985[[#This Row],[Age]]&lt;&gt;"",Tableau182985[[#This Row],[RA]]-Tableau182985[[#This Row],[DA]],"")</f>
        <v/>
      </c>
    </row>
    <row r="78" spans="1:42" ht="15" customHeight="1" x14ac:dyDescent="0.2">
      <c r="A78" s="3" t="s">
        <v>13</v>
      </c>
      <c r="B78" s="3" t="s">
        <v>120</v>
      </c>
      <c r="C78" s="3" t="s">
        <v>128</v>
      </c>
      <c r="L78" s="4"/>
      <c r="M78" s="4"/>
      <c r="N78" s="4"/>
      <c r="O78" s="5" t="str">
        <f t="shared" si="12"/>
        <v/>
      </c>
      <c r="P78" s="5" t="str">
        <f t="shared" si="13"/>
        <v/>
      </c>
      <c r="Q78" s="5" t="str">
        <f t="shared" si="14"/>
        <v/>
      </c>
      <c r="R78" s="5" t="s">
        <v>166</v>
      </c>
      <c r="S78" s="5" t="s">
        <v>166</v>
      </c>
      <c r="T78" s="5" t="str">
        <f t="shared" si="15"/>
        <v/>
      </c>
      <c r="U78" s="5" t="str">
        <f t="shared" si="16"/>
        <v/>
      </c>
      <c r="V78" s="5" t="str">
        <f>IF($E$4="Embrousaillement",Tableau182985[[#This Row],[SOL]],"")</f>
        <v/>
      </c>
      <c r="W78" s="5" t="str">
        <f>IF($E$4="Embrousaillement",Tableau182985[[#This Row],[L]],"")</f>
        <v/>
      </c>
      <c r="X78" s="5" t="s">
        <v>166</v>
      </c>
      <c r="Y78" s="5" t="str">
        <f t="shared" si="17"/>
        <v/>
      </c>
      <c r="Z78" s="5" t="str">
        <f t="shared" si="18"/>
        <v/>
      </c>
      <c r="AA78" s="5" t="str">
        <f t="shared" si="19"/>
        <v/>
      </c>
      <c r="AB78" s="5" t="s">
        <v>166</v>
      </c>
      <c r="AC78" s="5" t="s">
        <v>166</v>
      </c>
      <c r="AD78" s="5" t="str">
        <f t="shared" si="20"/>
        <v/>
      </c>
      <c r="AE78" s="5" t="s">
        <v>166</v>
      </c>
      <c r="AF78" s="5" t="s">
        <v>166</v>
      </c>
      <c r="AG78" s="5" t="str">
        <f t="shared" si="21"/>
        <v/>
      </c>
      <c r="AH78" s="5" t="s">
        <v>166</v>
      </c>
      <c r="AI78" s="5" t="s">
        <v>166</v>
      </c>
      <c r="AJ78" s="5" t="str">
        <f t="shared" si="22"/>
        <v/>
      </c>
      <c r="AK78" s="5" t="str">
        <f t="shared" si="23"/>
        <v/>
      </c>
      <c r="AL78" s="7" t="str">
        <f>IF(Tableau182985[[#This Row],[Age]]&lt;&gt;"",IF(Tableau182985[[#This Row],[Age]]=0,$AT$10*$B$10+SUMIF($AS$21:$AS$29,Tableau182985[[#This Row],[Age]],$AU$21:$AU$29)*$B$10+$AT$11*$B$10,SUMIF($AS$21:$AS$29,Tableau182985[[#This Row],[Age]],$AU$21:$AU$29)*$B$10+$AT$11*$B$10),"")</f>
        <v/>
      </c>
      <c r="AM78" s="7" t="str">
        <f>IF(Tableau182985[[#This Row],[Age]]&lt;&gt;"",IF(Tableau182985[[#This Row],[Age]]=$B$11,$AT$10*$B$10,0)+Tableau182985[[#This Row],[VBO]]*$AX$21*$B$10+Tableau182985[[#This Row],[VBI]]*$AX$22*$B$10+Tableau182985[[#This Row],[VBE]]*$AX$23*$B$10,"")</f>
        <v/>
      </c>
      <c r="AN78" s="7" t="s">
        <v>166</v>
      </c>
      <c r="AO78" s="7" t="s">
        <v>166</v>
      </c>
      <c r="AP78" s="7" t="str">
        <f>IF(Tableau182985[[#This Row],[Age]]&lt;&gt;"",Tableau182985[[#This Row],[RA]]-Tableau182985[[#This Row],[DA]],"")</f>
        <v/>
      </c>
    </row>
    <row r="79" spans="1:42" ht="15" customHeight="1" x14ac:dyDescent="0.2">
      <c r="A79" s="3" t="s">
        <v>14</v>
      </c>
      <c r="B79" s="3" t="s">
        <v>123</v>
      </c>
      <c r="C79" s="3" t="s">
        <v>129</v>
      </c>
      <c r="L79" s="4"/>
      <c r="M79" s="4"/>
      <c r="N79" s="4"/>
      <c r="O79" s="5" t="str">
        <f t="shared" si="12"/>
        <v/>
      </c>
      <c r="P79" s="5" t="str">
        <f t="shared" si="13"/>
        <v/>
      </c>
      <c r="Q79" s="5" t="str">
        <f t="shared" si="14"/>
        <v/>
      </c>
      <c r="R79" s="5" t="s">
        <v>166</v>
      </c>
      <c r="S79" s="5" t="s">
        <v>166</v>
      </c>
      <c r="T79" s="5" t="str">
        <f t="shared" si="15"/>
        <v/>
      </c>
      <c r="U79" s="5" t="str">
        <f t="shared" si="16"/>
        <v/>
      </c>
      <c r="V79" s="5" t="str">
        <f>IF($E$4="Embrousaillement",Tableau182985[[#This Row],[SOL]],"")</f>
        <v/>
      </c>
      <c r="W79" s="5" t="str">
        <f>IF($E$4="Embrousaillement",Tableau182985[[#This Row],[L]],"")</f>
        <v/>
      </c>
      <c r="X79" s="5" t="s">
        <v>166</v>
      </c>
      <c r="Y79" s="5" t="str">
        <f t="shared" si="17"/>
        <v/>
      </c>
      <c r="Z79" s="5" t="str">
        <f t="shared" si="18"/>
        <v/>
      </c>
      <c r="AA79" s="5" t="str">
        <f t="shared" si="19"/>
        <v/>
      </c>
      <c r="AB79" s="5" t="s">
        <v>166</v>
      </c>
      <c r="AC79" s="5" t="s">
        <v>166</v>
      </c>
      <c r="AD79" s="5" t="str">
        <f t="shared" si="20"/>
        <v/>
      </c>
      <c r="AE79" s="5" t="s">
        <v>166</v>
      </c>
      <c r="AF79" s="5" t="s">
        <v>166</v>
      </c>
      <c r="AG79" s="5" t="str">
        <f t="shared" si="21"/>
        <v/>
      </c>
      <c r="AH79" s="5" t="s">
        <v>166</v>
      </c>
      <c r="AI79" s="5" t="s">
        <v>166</v>
      </c>
      <c r="AJ79" s="5" t="str">
        <f t="shared" si="22"/>
        <v/>
      </c>
      <c r="AK79" s="5" t="str">
        <f t="shared" si="23"/>
        <v/>
      </c>
      <c r="AL79" s="7" t="str">
        <f>IF(Tableau182985[[#This Row],[Age]]&lt;&gt;"",IF(Tableau182985[[#This Row],[Age]]=0,$AT$10*$B$10+SUMIF($AS$21:$AS$29,Tableau182985[[#This Row],[Age]],$AU$21:$AU$29)*$B$10+$AT$11*$B$10,SUMIF($AS$21:$AS$29,Tableau182985[[#This Row],[Age]],$AU$21:$AU$29)*$B$10+$AT$11*$B$10),"")</f>
        <v/>
      </c>
      <c r="AM79" s="7" t="str">
        <f>IF(Tableau182985[[#This Row],[Age]]&lt;&gt;"",IF(Tableau182985[[#This Row],[Age]]=$B$11,$AT$10*$B$10,0)+Tableau182985[[#This Row],[VBO]]*$AX$21*$B$10+Tableau182985[[#This Row],[VBI]]*$AX$22*$B$10+Tableau182985[[#This Row],[VBE]]*$AX$23*$B$10,"")</f>
        <v/>
      </c>
      <c r="AN79" s="7" t="s">
        <v>166</v>
      </c>
      <c r="AO79" s="7" t="s">
        <v>166</v>
      </c>
      <c r="AP79" s="7" t="str">
        <f>IF(Tableau182985[[#This Row],[Age]]&lt;&gt;"",Tableau182985[[#This Row],[RA]]-Tableau182985[[#This Row],[DA]],"")</f>
        <v/>
      </c>
    </row>
    <row r="80" spans="1:42" ht="15" customHeight="1" x14ac:dyDescent="0.2">
      <c r="A80" s="3" t="s">
        <v>15</v>
      </c>
      <c r="B80" s="3" t="s">
        <v>113</v>
      </c>
      <c r="C80" s="3" t="s">
        <v>130</v>
      </c>
      <c r="L80" s="4"/>
      <c r="M80" s="4"/>
      <c r="N80" s="4"/>
      <c r="O80" s="5" t="str">
        <f t="shared" si="12"/>
        <v/>
      </c>
      <c r="P80" s="5" t="str">
        <f t="shared" si="13"/>
        <v/>
      </c>
      <c r="Q80" s="5" t="str">
        <f t="shared" si="14"/>
        <v/>
      </c>
      <c r="R80" s="5" t="s">
        <v>166</v>
      </c>
      <c r="S80" s="5" t="s">
        <v>166</v>
      </c>
      <c r="T80" s="5" t="str">
        <f t="shared" si="15"/>
        <v/>
      </c>
      <c r="U80" s="5" t="str">
        <f t="shared" si="16"/>
        <v/>
      </c>
      <c r="V80" s="5" t="str">
        <f>IF($E$4="Embrousaillement",Tableau182985[[#This Row],[SOL]],"")</f>
        <v/>
      </c>
      <c r="W80" s="5" t="str">
        <f>IF($E$4="Embrousaillement",Tableau182985[[#This Row],[L]],"")</f>
        <v/>
      </c>
      <c r="X80" s="5" t="s">
        <v>166</v>
      </c>
      <c r="Y80" s="5" t="str">
        <f t="shared" si="17"/>
        <v/>
      </c>
      <c r="Z80" s="5" t="str">
        <f t="shared" si="18"/>
        <v/>
      </c>
      <c r="AA80" s="5" t="str">
        <f t="shared" si="19"/>
        <v/>
      </c>
      <c r="AB80" s="5" t="s">
        <v>166</v>
      </c>
      <c r="AC80" s="5" t="s">
        <v>166</v>
      </c>
      <c r="AD80" s="5" t="str">
        <f t="shared" si="20"/>
        <v/>
      </c>
      <c r="AE80" s="5" t="s">
        <v>166</v>
      </c>
      <c r="AF80" s="5" t="s">
        <v>166</v>
      </c>
      <c r="AG80" s="5" t="str">
        <f t="shared" si="21"/>
        <v/>
      </c>
      <c r="AH80" s="5" t="s">
        <v>166</v>
      </c>
      <c r="AI80" s="5" t="s">
        <v>166</v>
      </c>
      <c r="AJ80" s="5" t="str">
        <f t="shared" si="22"/>
        <v/>
      </c>
      <c r="AK80" s="5" t="str">
        <f t="shared" si="23"/>
        <v/>
      </c>
      <c r="AL80" s="7" t="str">
        <f>IF(Tableau182985[[#This Row],[Age]]&lt;&gt;"",IF(Tableau182985[[#This Row],[Age]]=0,$AT$10*$B$10+SUMIF($AS$21:$AS$29,Tableau182985[[#This Row],[Age]],$AU$21:$AU$29)*$B$10+$AT$11*$B$10,SUMIF($AS$21:$AS$29,Tableau182985[[#This Row],[Age]],$AU$21:$AU$29)*$B$10+$AT$11*$B$10),"")</f>
        <v/>
      </c>
      <c r="AM80" s="7" t="str">
        <f>IF(Tableau182985[[#This Row],[Age]]&lt;&gt;"",IF(Tableau182985[[#This Row],[Age]]=$B$11,$AT$10*$B$10,0)+Tableau182985[[#This Row],[VBO]]*$AX$21*$B$10+Tableau182985[[#This Row],[VBI]]*$AX$22*$B$10+Tableau182985[[#This Row],[VBE]]*$AX$23*$B$10,"")</f>
        <v/>
      </c>
      <c r="AN80" s="7" t="s">
        <v>166</v>
      </c>
      <c r="AO80" s="7" t="s">
        <v>166</v>
      </c>
      <c r="AP80" s="7" t="str">
        <f>IF(Tableau182985[[#This Row],[Age]]&lt;&gt;"",Tableau182985[[#This Row],[RA]]-Tableau182985[[#This Row],[DA]],"")</f>
        <v/>
      </c>
    </row>
    <row r="81" spans="1:42" ht="15" customHeight="1" x14ac:dyDescent="0.2">
      <c r="A81" s="3" t="s">
        <v>16</v>
      </c>
      <c r="B81" s="3" t="s">
        <v>113</v>
      </c>
      <c r="C81" s="3" t="s">
        <v>131</v>
      </c>
      <c r="L81" s="4"/>
      <c r="M81" s="4"/>
      <c r="N81" s="4"/>
      <c r="O81" s="5" t="str">
        <f t="shared" si="12"/>
        <v/>
      </c>
      <c r="P81" s="5" t="str">
        <f t="shared" si="13"/>
        <v/>
      </c>
      <c r="Q81" s="5" t="str">
        <f t="shared" si="14"/>
        <v/>
      </c>
      <c r="R81" s="5" t="s">
        <v>166</v>
      </c>
      <c r="S81" s="5" t="s">
        <v>166</v>
      </c>
      <c r="T81" s="5" t="str">
        <f t="shared" si="15"/>
        <v/>
      </c>
      <c r="U81" s="5" t="str">
        <f t="shared" si="16"/>
        <v/>
      </c>
      <c r="V81" s="5" t="str">
        <f>IF($E$4="Embrousaillement",Tableau182985[[#This Row],[SOL]],"")</f>
        <v/>
      </c>
      <c r="W81" s="5" t="str">
        <f>IF($E$4="Embrousaillement",Tableau182985[[#This Row],[L]],"")</f>
        <v/>
      </c>
      <c r="X81" s="5" t="s">
        <v>166</v>
      </c>
      <c r="Y81" s="5" t="str">
        <f t="shared" si="17"/>
        <v/>
      </c>
      <c r="Z81" s="5" t="str">
        <f t="shared" si="18"/>
        <v/>
      </c>
      <c r="AA81" s="5" t="str">
        <f t="shared" si="19"/>
        <v/>
      </c>
      <c r="AB81" s="5" t="s">
        <v>166</v>
      </c>
      <c r="AC81" s="5" t="s">
        <v>166</v>
      </c>
      <c r="AD81" s="5" t="str">
        <f t="shared" si="20"/>
        <v/>
      </c>
      <c r="AE81" s="5" t="s">
        <v>166</v>
      </c>
      <c r="AF81" s="5" t="s">
        <v>166</v>
      </c>
      <c r="AG81" s="5" t="str">
        <f t="shared" si="21"/>
        <v/>
      </c>
      <c r="AH81" s="5" t="s">
        <v>166</v>
      </c>
      <c r="AI81" s="5" t="s">
        <v>166</v>
      </c>
      <c r="AJ81" s="5" t="str">
        <f t="shared" si="22"/>
        <v/>
      </c>
      <c r="AK81" s="5" t="str">
        <f t="shared" si="23"/>
        <v/>
      </c>
      <c r="AL81" s="7" t="str">
        <f>IF(Tableau182985[[#This Row],[Age]]&lt;&gt;"",IF(Tableau182985[[#This Row],[Age]]=0,$AT$10*$B$10+SUMIF($AS$21:$AS$29,Tableau182985[[#This Row],[Age]],$AU$21:$AU$29)*$B$10+$AT$11*$B$10,SUMIF($AS$21:$AS$29,Tableau182985[[#This Row],[Age]],$AU$21:$AU$29)*$B$10+$AT$11*$B$10),"")</f>
        <v/>
      </c>
      <c r="AM81" s="7" t="str">
        <f>IF(Tableau182985[[#This Row],[Age]]&lt;&gt;"",IF(Tableau182985[[#This Row],[Age]]=$B$11,$AT$10*$B$10,0)+Tableau182985[[#This Row],[VBO]]*$AX$21*$B$10+Tableau182985[[#This Row],[VBI]]*$AX$22*$B$10+Tableau182985[[#This Row],[VBE]]*$AX$23*$B$10,"")</f>
        <v/>
      </c>
      <c r="AN81" s="7" t="s">
        <v>166</v>
      </c>
      <c r="AO81" s="7" t="s">
        <v>166</v>
      </c>
      <c r="AP81" s="7" t="str">
        <f>IF(Tableau182985[[#This Row],[Age]]&lt;&gt;"",Tableau182985[[#This Row],[RA]]-Tableau182985[[#This Row],[DA]],"")</f>
        <v/>
      </c>
    </row>
    <row r="82" spans="1:42" ht="15" customHeight="1" x14ac:dyDescent="0.2">
      <c r="A82" s="3" t="s">
        <v>17</v>
      </c>
      <c r="B82" s="3" t="s">
        <v>113</v>
      </c>
      <c r="C82" s="3" t="s">
        <v>132</v>
      </c>
      <c r="L82" s="4"/>
      <c r="M82" s="4"/>
      <c r="N82" s="4"/>
      <c r="O82" s="5" t="str">
        <f t="shared" si="12"/>
        <v/>
      </c>
      <c r="P82" s="5" t="str">
        <f t="shared" si="13"/>
        <v/>
      </c>
      <c r="Q82" s="5" t="str">
        <f t="shared" si="14"/>
        <v/>
      </c>
      <c r="R82" s="5" t="s">
        <v>166</v>
      </c>
      <c r="S82" s="5" t="s">
        <v>166</v>
      </c>
      <c r="T82" s="5" t="str">
        <f t="shared" si="15"/>
        <v/>
      </c>
      <c r="U82" s="5" t="str">
        <f t="shared" si="16"/>
        <v/>
      </c>
      <c r="V82" s="5" t="str">
        <f>IF($E$4="Embrousaillement",Tableau182985[[#This Row],[SOL]],"")</f>
        <v/>
      </c>
      <c r="W82" s="5" t="str">
        <f>IF($E$4="Embrousaillement",Tableau182985[[#This Row],[L]],"")</f>
        <v/>
      </c>
      <c r="X82" s="5" t="s">
        <v>166</v>
      </c>
      <c r="Y82" s="5" t="str">
        <f t="shared" si="17"/>
        <v/>
      </c>
      <c r="Z82" s="5" t="str">
        <f t="shared" si="18"/>
        <v/>
      </c>
      <c r="AA82" s="5" t="str">
        <f t="shared" si="19"/>
        <v/>
      </c>
      <c r="AB82" s="5" t="s">
        <v>166</v>
      </c>
      <c r="AC82" s="5" t="s">
        <v>166</v>
      </c>
      <c r="AD82" s="5" t="str">
        <f t="shared" si="20"/>
        <v/>
      </c>
      <c r="AE82" s="5" t="s">
        <v>166</v>
      </c>
      <c r="AF82" s="5" t="s">
        <v>166</v>
      </c>
      <c r="AG82" s="5" t="str">
        <f t="shared" si="21"/>
        <v/>
      </c>
      <c r="AH82" s="5" t="s">
        <v>166</v>
      </c>
      <c r="AI82" s="5" t="s">
        <v>166</v>
      </c>
      <c r="AJ82" s="5" t="str">
        <f t="shared" si="22"/>
        <v/>
      </c>
      <c r="AK82" s="5" t="str">
        <f t="shared" si="23"/>
        <v/>
      </c>
      <c r="AL82" s="7" t="str">
        <f>IF(Tableau182985[[#This Row],[Age]]&lt;&gt;"",IF(Tableau182985[[#This Row],[Age]]=0,$AT$10*$B$10+SUMIF($AS$21:$AS$29,Tableau182985[[#This Row],[Age]],$AU$21:$AU$29)*$B$10+$AT$11*$B$10,SUMIF($AS$21:$AS$29,Tableau182985[[#This Row],[Age]],$AU$21:$AU$29)*$B$10+$AT$11*$B$10),"")</f>
        <v/>
      </c>
      <c r="AM82" s="7" t="str">
        <f>IF(Tableau182985[[#This Row],[Age]]&lt;&gt;"",IF(Tableau182985[[#This Row],[Age]]=$B$11,$AT$10*$B$10,0)+Tableau182985[[#This Row],[VBO]]*$AX$21*$B$10+Tableau182985[[#This Row],[VBI]]*$AX$22*$B$10+Tableau182985[[#This Row],[VBE]]*$AX$23*$B$10,"")</f>
        <v/>
      </c>
      <c r="AN82" s="7" t="s">
        <v>166</v>
      </c>
      <c r="AO82" s="7" t="s">
        <v>166</v>
      </c>
      <c r="AP82" s="7" t="str">
        <f>IF(Tableau182985[[#This Row],[Age]]&lt;&gt;"",Tableau182985[[#This Row],[RA]]-Tableau182985[[#This Row],[DA]],"")</f>
        <v/>
      </c>
    </row>
    <row r="83" spans="1:42" ht="15" customHeight="1" x14ac:dyDescent="0.2">
      <c r="A83" s="3" t="s">
        <v>18</v>
      </c>
      <c r="B83" s="3" t="s">
        <v>123</v>
      </c>
      <c r="C83" s="3" t="s">
        <v>133</v>
      </c>
      <c r="L83" s="4"/>
      <c r="M83" s="4"/>
      <c r="N83" s="4"/>
      <c r="O83" s="5" t="str">
        <f t="shared" si="12"/>
        <v/>
      </c>
      <c r="P83" s="5" t="str">
        <f t="shared" si="13"/>
        <v/>
      </c>
      <c r="Q83" s="5" t="str">
        <f t="shared" si="14"/>
        <v/>
      </c>
      <c r="R83" s="5" t="s">
        <v>166</v>
      </c>
      <c r="S83" s="5" t="s">
        <v>166</v>
      </c>
      <c r="T83" s="5" t="str">
        <f t="shared" si="15"/>
        <v/>
      </c>
      <c r="U83" s="5" t="str">
        <f t="shared" si="16"/>
        <v/>
      </c>
      <c r="V83" s="5" t="str">
        <f>IF($E$4="Embrousaillement",Tableau182985[[#This Row],[SOL]],"")</f>
        <v/>
      </c>
      <c r="W83" s="5" t="str">
        <f>IF($E$4="Embrousaillement",Tableau182985[[#This Row],[L]],"")</f>
        <v/>
      </c>
      <c r="X83" s="5" t="s">
        <v>166</v>
      </c>
      <c r="Y83" s="5" t="str">
        <f t="shared" si="17"/>
        <v/>
      </c>
      <c r="Z83" s="5" t="str">
        <f t="shared" si="18"/>
        <v/>
      </c>
      <c r="AA83" s="5" t="str">
        <f t="shared" si="19"/>
        <v/>
      </c>
      <c r="AB83" s="5" t="s">
        <v>166</v>
      </c>
      <c r="AC83" s="5" t="s">
        <v>166</v>
      </c>
      <c r="AD83" s="5" t="str">
        <f t="shared" si="20"/>
        <v/>
      </c>
      <c r="AE83" s="5" t="s">
        <v>166</v>
      </c>
      <c r="AF83" s="5" t="s">
        <v>166</v>
      </c>
      <c r="AG83" s="5" t="str">
        <f t="shared" si="21"/>
        <v/>
      </c>
      <c r="AH83" s="5" t="s">
        <v>166</v>
      </c>
      <c r="AI83" s="5" t="s">
        <v>166</v>
      </c>
      <c r="AJ83" s="5" t="str">
        <f t="shared" si="22"/>
        <v/>
      </c>
      <c r="AK83" s="5" t="str">
        <f t="shared" si="23"/>
        <v/>
      </c>
      <c r="AL83" s="7" t="str">
        <f>IF(Tableau182985[[#This Row],[Age]]&lt;&gt;"",IF(Tableau182985[[#This Row],[Age]]=0,$AT$10*$B$10+SUMIF($AS$21:$AS$29,Tableau182985[[#This Row],[Age]],$AU$21:$AU$29)*$B$10+$AT$11*$B$10,SUMIF($AS$21:$AS$29,Tableau182985[[#This Row],[Age]],$AU$21:$AU$29)*$B$10+$AT$11*$B$10),"")</f>
        <v/>
      </c>
      <c r="AM83" s="7" t="str">
        <f>IF(Tableau182985[[#This Row],[Age]]&lt;&gt;"",IF(Tableau182985[[#This Row],[Age]]=$B$11,$AT$10*$B$10,0)+Tableau182985[[#This Row],[VBO]]*$AX$21*$B$10+Tableau182985[[#This Row],[VBI]]*$AX$22*$B$10+Tableau182985[[#This Row],[VBE]]*$AX$23*$B$10,"")</f>
        <v/>
      </c>
      <c r="AN83" s="7" t="s">
        <v>166</v>
      </c>
      <c r="AO83" s="7" t="s">
        <v>166</v>
      </c>
      <c r="AP83" s="7" t="str">
        <f>IF(Tableau182985[[#This Row],[Age]]&lt;&gt;"",Tableau182985[[#This Row],[RA]]-Tableau182985[[#This Row],[DA]],"")</f>
        <v/>
      </c>
    </row>
    <row r="84" spans="1:42" ht="15" customHeight="1" x14ac:dyDescent="0.2">
      <c r="A84" s="3" t="s">
        <v>19</v>
      </c>
      <c r="B84" s="3" t="s">
        <v>134</v>
      </c>
      <c r="C84" s="3" t="s">
        <v>135</v>
      </c>
      <c r="L84" s="4"/>
      <c r="M84" s="4"/>
      <c r="N84" s="4"/>
      <c r="O84" s="5" t="str">
        <f t="shared" si="12"/>
        <v/>
      </c>
      <c r="P84" s="5" t="str">
        <f t="shared" si="13"/>
        <v/>
      </c>
      <c r="Q84" s="5" t="str">
        <f t="shared" si="14"/>
        <v/>
      </c>
      <c r="R84" s="5" t="s">
        <v>166</v>
      </c>
      <c r="S84" s="5" t="s">
        <v>166</v>
      </c>
      <c r="T84" s="5" t="str">
        <f t="shared" si="15"/>
        <v/>
      </c>
      <c r="U84" s="5" t="str">
        <f t="shared" si="16"/>
        <v/>
      </c>
      <c r="V84" s="5" t="str">
        <f>IF($E$4="Embrousaillement",Tableau182985[[#This Row],[SOL]],"")</f>
        <v/>
      </c>
      <c r="W84" s="5" t="str">
        <f>IF($E$4="Embrousaillement",Tableau182985[[#This Row],[L]],"")</f>
        <v/>
      </c>
      <c r="X84" s="5" t="s">
        <v>166</v>
      </c>
      <c r="Y84" s="5" t="str">
        <f t="shared" si="17"/>
        <v/>
      </c>
      <c r="Z84" s="5" t="str">
        <f t="shared" si="18"/>
        <v/>
      </c>
      <c r="AA84" s="5" t="str">
        <f t="shared" si="19"/>
        <v/>
      </c>
      <c r="AB84" s="5" t="s">
        <v>166</v>
      </c>
      <c r="AC84" s="5" t="s">
        <v>166</v>
      </c>
      <c r="AD84" s="5" t="str">
        <f t="shared" si="20"/>
        <v/>
      </c>
      <c r="AE84" s="5" t="s">
        <v>166</v>
      </c>
      <c r="AF84" s="5" t="s">
        <v>166</v>
      </c>
      <c r="AG84" s="5" t="str">
        <f t="shared" si="21"/>
        <v/>
      </c>
      <c r="AH84" s="5" t="s">
        <v>166</v>
      </c>
      <c r="AI84" s="5" t="s">
        <v>166</v>
      </c>
      <c r="AJ84" s="5" t="str">
        <f t="shared" si="22"/>
        <v/>
      </c>
      <c r="AK84" s="5" t="str">
        <f t="shared" si="23"/>
        <v/>
      </c>
      <c r="AL84" s="7" t="str">
        <f>IF(Tableau182985[[#This Row],[Age]]&lt;&gt;"",IF(Tableau182985[[#This Row],[Age]]=0,$AT$10*$B$10+SUMIF($AS$21:$AS$29,Tableau182985[[#This Row],[Age]],$AU$21:$AU$29)*$B$10+$AT$11*$B$10,SUMIF($AS$21:$AS$29,Tableau182985[[#This Row],[Age]],$AU$21:$AU$29)*$B$10+$AT$11*$B$10),"")</f>
        <v/>
      </c>
      <c r="AM84" s="7" t="str">
        <f>IF(Tableau182985[[#This Row],[Age]]&lt;&gt;"",IF(Tableau182985[[#This Row],[Age]]=$B$11,$AT$10*$B$10,0)+Tableau182985[[#This Row],[VBO]]*$AX$21*$B$10+Tableau182985[[#This Row],[VBI]]*$AX$22*$B$10+Tableau182985[[#This Row],[VBE]]*$AX$23*$B$10,"")</f>
        <v/>
      </c>
      <c r="AN84" s="7" t="s">
        <v>166</v>
      </c>
      <c r="AO84" s="7" t="s">
        <v>166</v>
      </c>
      <c r="AP84" s="7" t="str">
        <f>IF(Tableau182985[[#This Row],[Age]]&lt;&gt;"",Tableau182985[[#This Row],[RA]]-Tableau182985[[#This Row],[DA]],"")</f>
        <v/>
      </c>
    </row>
    <row r="85" spans="1:42" ht="15" customHeight="1" x14ac:dyDescent="0.2">
      <c r="A85" s="3" t="s">
        <v>20</v>
      </c>
      <c r="B85" s="3" t="s">
        <v>123</v>
      </c>
      <c r="C85" s="3" t="s">
        <v>136</v>
      </c>
      <c r="L85" s="4"/>
      <c r="M85" s="4"/>
      <c r="N85" s="4"/>
      <c r="O85" s="5" t="str">
        <f t="shared" si="12"/>
        <v/>
      </c>
      <c r="P85" s="5" t="str">
        <f t="shared" si="13"/>
        <v/>
      </c>
      <c r="Q85" s="5" t="str">
        <f t="shared" si="14"/>
        <v/>
      </c>
      <c r="R85" s="5" t="s">
        <v>166</v>
      </c>
      <c r="S85" s="5" t="s">
        <v>166</v>
      </c>
      <c r="T85" s="5" t="str">
        <f t="shared" si="15"/>
        <v/>
      </c>
      <c r="U85" s="5" t="str">
        <f t="shared" si="16"/>
        <v/>
      </c>
      <c r="V85" s="5" t="str">
        <f>IF($E$4="Embrousaillement",Tableau182985[[#This Row],[SOL]],"")</f>
        <v/>
      </c>
      <c r="W85" s="5" t="str">
        <f>IF($E$4="Embrousaillement",Tableau182985[[#This Row],[L]],"")</f>
        <v/>
      </c>
      <c r="X85" s="5" t="s">
        <v>166</v>
      </c>
      <c r="Y85" s="5" t="str">
        <f t="shared" si="17"/>
        <v/>
      </c>
      <c r="Z85" s="5" t="str">
        <f t="shared" si="18"/>
        <v/>
      </c>
      <c r="AA85" s="5" t="str">
        <f t="shared" si="19"/>
        <v/>
      </c>
      <c r="AB85" s="5" t="s">
        <v>166</v>
      </c>
      <c r="AC85" s="5" t="s">
        <v>166</v>
      </c>
      <c r="AD85" s="5" t="str">
        <f t="shared" si="20"/>
        <v/>
      </c>
      <c r="AE85" s="5" t="s">
        <v>166</v>
      </c>
      <c r="AF85" s="5" t="s">
        <v>166</v>
      </c>
      <c r="AG85" s="5" t="str">
        <f t="shared" si="21"/>
        <v/>
      </c>
      <c r="AH85" s="5" t="s">
        <v>166</v>
      </c>
      <c r="AI85" s="5" t="s">
        <v>166</v>
      </c>
      <c r="AJ85" s="5" t="str">
        <f t="shared" si="22"/>
        <v/>
      </c>
      <c r="AK85" s="5" t="str">
        <f t="shared" si="23"/>
        <v/>
      </c>
      <c r="AL85" s="7" t="str">
        <f>IF(Tableau182985[[#This Row],[Age]]&lt;&gt;"",IF(Tableau182985[[#This Row],[Age]]=0,$AT$10*$B$10+SUMIF($AS$21:$AS$29,Tableau182985[[#This Row],[Age]],$AU$21:$AU$29)*$B$10+$AT$11*$B$10,SUMIF($AS$21:$AS$29,Tableau182985[[#This Row],[Age]],$AU$21:$AU$29)*$B$10+$AT$11*$B$10),"")</f>
        <v/>
      </c>
      <c r="AM85" s="7" t="str">
        <f>IF(Tableau182985[[#This Row],[Age]]&lt;&gt;"",IF(Tableau182985[[#This Row],[Age]]=$B$11,$AT$10*$B$10,0)+Tableau182985[[#This Row],[VBO]]*$AX$21*$B$10+Tableau182985[[#This Row],[VBI]]*$AX$22*$B$10+Tableau182985[[#This Row],[VBE]]*$AX$23*$B$10,"")</f>
        <v/>
      </c>
      <c r="AN85" s="7" t="s">
        <v>166</v>
      </c>
      <c r="AO85" s="7" t="s">
        <v>166</v>
      </c>
      <c r="AP85" s="7" t="str">
        <f>IF(Tableau182985[[#This Row],[Age]]&lt;&gt;"",Tableau182985[[#This Row],[RA]]-Tableau182985[[#This Row],[DA]],"")</f>
        <v/>
      </c>
    </row>
    <row r="86" spans="1:42" ht="15" customHeight="1" x14ac:dyDescent="0.2">
      <c r="A86" s="3" t="s">
        <v>21</v>
      </c>
      <c r="B86" s="3" t="s">
        <v>123</v>
      </c>
      <c r="C86" s="3" t="s">
        <v>137</v>
      </c>
      <c r="L86" s="4"/>
      <c r="M86" s="4"/>
      <c r="N86" s="4"/>
      <c r="O86" s="5" t="str">
        <f t="shared" si="12"/>
        <v/>
      </c>
      <c r="P86" s="5" t="str">
        <f t="shared" si="13"/>
        <v/>
      </c>
      <c r="Q86" s="5" t="str">
        <f t="shared" si="14"/>
        <v/>
      </c>
      <c r="R86" s="5" t="s">
        <v>166</v>
      </c>
      <c r="S86" s="5" t="s">
        <v>166</v>
      </c>
      <c r="T86" s="5" t="str">
        <f t="shared" si="15"/>
        <v/>
      </c>
      <c r="U86" s="5" t="str">
        <f t="shared" si="16"/>
        <v/>
      </c>
      <c r="V86" s="5" t="str">
        <f>IF($E$4="Embrousaillement",Tableau182985[[#This Row],[SOL]],"")</f>
        <v/>
      </c>
      <c r="W86" s="5" t="str">
        <f>IF($E$4="Embrousaillement",Tableau182985[[#This Row],[L]],"")</f>
        <v/>
      </c>
      <c r="X86" s="5" t="s">
        <v>166</v>
      </c>
      <c r="Y86" s="5" t="str">
        <f t="shared" si="17"/>
        <v/>
      </c>
      <c r="Z86" s="5" t="str">
        <f t="shared" si="18"/>
        <v/>
      </c>
      <c r="AA86" s="5" t="str">
        <f t="shared" si="19"/>
        <v/>
      </c>
      <c r="AB86" s="5" t="s">
        <v>166</v>
      </c>
      <c r="AC86" s="5" t="s">
        <v>166</v>
      </c>
      <c r="AD86" s="5" t="str">
        <f t="shared" si="20"/>
        <v/>
      </c>
      <c r="AE86" s="5" t="s">
        <v>166</v>
      </c>
      <c r="AF86" s="5" t="s">
        <v>166</v>
      </c>
      <c r="AG86" s="5" t="str">
        <f t="shared" si="21"/>
        <v/>
      </c>
      <c r="AH86" s="5" t="s">
        <v>166</v>
      </c>
      <c r="AI86" s="5" t="s">
        <v>166</v>
      </c>
      <c r="AJ86" s="5" t="str">
        <f t="shared" si="22"/>
        <v/>
      </c>
      <c r="AK86" s="5" t="str">
        <f t="shared" si="23"/>
        <v/>
      </c>
      <c r="AL86" s="7" t="str">
        <f>IF(Tableau182985[[#This Row],[Age]]&lt;&gt;"",IF(Tableau182985[[#This Row],[Age]]=0,$AT$10*$B$10+SUMIF($AS$21:$AS$29,Tableau182985[[#This Row],[Age]],$AU$21:$AU$29)*$B$10+$AT$11*$B$10,SUMIF($AS$21:$AS$29,Tableau182985[[#This Row],[Age]],$AU$21:$AU$29)*$B$10+$AT$11*$B$10),"")</f>
        <v/>
      </c>
      <c r="AM86" s="7" t="str">
        <f>IF(Tableau182985[[#This Row],[Age]]&lt;&gt;"",IF(Tableau182985[[#This Row],[Age]]=$B$11,$AT$10*$B$10,0)+Tableau182985[[#This Row],[VBO]]*$AX$21*$B$10+Tableau182985[[#This Row],[VBI]]*$AX$22*$B$10+Tableau182985[[#This Row],[VBE]]*$AX$23*$B$10,"")</f>
        <v/>
      </c>
      <c r="AN86" s="7" t="s">
        <v>166</v>
      </c>
      <c r="AO86" s="7" t="s">
        <v>166</v>
      </c>
      <c r="AP86" s="7" t="str">
        <f>IF(Tableau182985[[#This Row],[Age]]&lt;&gt;"",Tableau182985[[#This Row],[RA]]-Tableau182985[[#This Row],[DA]],"")</f>
        <v/>
      </c>
    </row>
    <row r="87" spans="1:42" ht="15" customHeight="1" x14ac:dyDescent="0.2">
      <c r="A87" s="3" t="s">
        <v>22</v>
      </c>
      <c r="B87" s="3" t="s">
        <v>134</v>
      </c>
      <c r="C87" s="3" t="s">
        <v>138</v>
      </c>
      <c r="L87" s="4"/>
      <c r="M87" s="4"/>
      <c r="N87" s="4"/>
      <c r="O87" s="5" t="str">
        <f t="shared" si="12"/>
        <v/>
      </c>
      <c r="P87" s="5" t="str">
        <f t="shared" si="13"/>
        <v/>
      </c>
      <c r="Q87" s="5" t="str">
        <f t="shared" si="14"/>
        <v/>
      </c>
      <c r="R87" s="5" t="s">
        <v>166</v>
      </c>
      <c r="S87" s="5" t="s">
        <v>166</v>
      </c>
      <c r="T87" s="5" t="str">
        <f t="shared" si="15"/>
        <v/>
      </c>
      <c r="U87" s="5" t="str">
        <f t="shared" si="16"/>
        <v/>
      </c>
      <c r="V87" s="5" t="str">
        <f>IF($E$4="Embrousaillement",Tableau182985[[#This Row],[SOL]],"")</f>
        <v/>
      </c>
      <c r="W87" s="5" t="str">
        <f>IF($E$4="Embrousaillement",Tableau182985[[#This Row],[L]],"")</f>
        <v/>
      </c>
      <c r="X87" s="5" t="s">
        <v>166</v>
      </c>
      <c r="Y87" s="5" t="str">
        <f t="shared" si="17"/>
        <v/>
      </c>
      <c r="Z87" s="5" t="str">
        <f t="shared" si="18"/>
        <v/>
      </c>
      <c r="AA87" s="5" t="str">
        <f t="shared" si="19"/>
        <v/>
      </c>
      <c r="AB87" s="5" t="s">
        <v>166</v>
      </c>
      <c r="AC87" s="5" t="s">
        <v>166</v>
      </c>
      <c r="AD87" s="5" t="str">
        <f t="shared" si="20"/>
        <v/>
      </c>
      <c r="AE87" s="5" t="s">
        <v>166</v>
      </c>
      <c r="AF87" s="5" t="s">
        <v>166</v>
      </c>
      <c r="AG87" s="5" t="str">
        <f t="shared" si="21"/>
        <v/>
      </c>
      <c r="AH87" s="5" t="s">
        <v>166</v>
      </c>
      <c r="AI87" s="5" t="s">
        <v>166</v>
      </c>
      <c r="AJ87" s="5" t="str">
        <f t="shared" si="22"/>
        <v/>
      </c>
      <c r="AK87" s="5" t="str">
        <f t="shared" si="23"/>
        <v/>
      </c>
      <c r="AL87" s="7" t="str">
        <f>IF(Tableau182985[[#This Row],[Age]]&lt;&gt;"",IF(Tableau182985[[#This Row],[Age]]=0,$AT$10*$B$10+SUMIF($AS$21:$AS$29,Tableau182985[[#This Row],[Age]],$AU$21:$AU$29)*$B$10+$AT$11*$B$10,SUMIF($AS$21:$AS$29,Tableau182985[[#This Row],[Age]],$AU$21:$AU$29)*$B$10+$AT$11*$B$10),"")</f>
        <v/>
      </c>
      <c r="AM87" s="7" t="str">
        <f>IF(Tableau182985[[#This Row],[Age]]&lt;&gt;"",IF(Tableau182985[[#This Row],[Age]]=$B$11,$AT$10*$B$10,0)+Tableau182985[[#This Row],[VBO]]*$AX$21*$B$10+Tableau182985[[#This Row],[VBI]]*$AX$22*$B$10+Tableau182985[[#This Row],[VBE]]*$AX$23*$B$10,"")</f>
        <v/>
      </c>
      <c r="AN87" s="7" t="s">
        <v>166</v>
      </c>
      <c r="AO87" s="7" t="s">
        <v>166</v>
      </c>
      <c r="AP87" s="7" t="str">
        <f>IF(Tableau182985[[#This Row],[Age]]&lt;&gt;"",Tableau182985[[#This Row],[RA]]-Tableau182985[[#This Row],[DA]],"")</f>
        <v/>
      </c>
    </row>
    <row r="88" spans="1:42" ht="15" customHeight="1" x14ac:dyDescent="0.2">
      <c r="A88" s="3" t="s">
        <v>23</v>
      </c>
      <c r="B88" s="3" t="s">
        <v>123</v>
      </c>
      <c r="C88" s="3" t="s">
        <v>139</v>
      </c>
      <c r="L88" s="4"/>
      <c r="M88" s="4"/>
      <c r="N88" s="4"/>
      <c r="O88" s="5" t="str">
        <f t="shared" si="12"/>
        <v/>
      </c>
      <c r="P88" s="5" t="str">
        <f t="shared" si="13"/>
        <v/>
      </c>
      <c r="Q88" s="5" t="str">
        <f t="shared" si="14"/>
        <v/>
      </c>
      <c r="R88" s="5" t="s">
        <v>166</v>
      </c>
      <c r="S88" s="5" t="s">
        <v>166</v>
      </c>
      <c r="T88" s="5" t="str">
        <f t="shared" si="15"/>
        <v/>
      </c>
      <c r="U88" s="5" t="str">
        <f t="shared" si="16"/>
        <v/>
      </c>
      <c r="V88" s="5" t="str">
        <f>IF($E$4="Embrousaillement",Tableau182985[[#This Row],[SOL]],"")</f>
        <v/>
      </c>
      <c r="W88" s="5" t="str">
        <f>IF($E$4="Embrousaillement",Tableau182985[[#This Row],[L]],"")</f>
        <v/>
      </c>
      <c r="X88" s="5" t="s">
        <v>166</v>
      </c>
      <c r="Y88" s="5" t="str">
        <f t="shared" si="17"/>
        <v/>
      </c>
      <c r="Z88" s="5" t="str">
        <f t="shared" si="18"/>
        <v/>
      </c>
      <c r="AA88" s="5" t="str">
        <f t="shared" si="19"/>
        <v/>
      </c>
      <c r="AB88" s="5" t="s">
        <v>166</v>
      </c>
      <c r="AC88" s="5" t="s">
        <v>166</v>
      </c>
      <c r="AD88" s="5" t="str">
        <f t="shared" si="20"/>
        <v/>
      </c>
      <c r="AE88" s="5" t="s">
        <v>166</v>
      </c>
      <c r="AF88" s="5" t="s">
        <v>166</v>
      </c>
      <c r="AG88" s="5" t="str">
        <f t="shared" si="21"/>
        <v/>
      </c>
      <c r="AH88" s="5" t="s">
        <v>166</v>
      </c>
      <c r="AI88" s="5" t="s">
        <v>166</v>
      </c>
      <c r="AJ88" s="5" t="str">
        <f t="shared" si="22"/>
        <v/>
      </c>
      <c r="AK88" s="5" t="str">
        <f t="shared" si="23"/>
        <v/>
      </c>
      <c r="AL88" s="7" t="str">
        <f>IF(Tableau182985[[#This Row],[Age]]&lt;&gt;"",IF(Tableau182985[[#This Row],[Age]]=0,$AT$10*$B$10+SUMIF($AS$21:$AS$29,Tableau182985[[#This Row],[Age]],$AU$21:$AU$29)*$B$10+$AT$11*$B$10,SUMIF($AS$21:$AS$29,Tableau182985[[#This Row],[Age]],$AU$21:$AU$29)*$B$10+$AT$11*$B$10),"")</f>
        <v/>
      </c>
      <c r="AM88" s="7" t="str">
        <f>IF(Tableau182985[[#This Row],[Age]]&lt;&gt;"",IF(Tableau182985[[#This Row],[Age]]=$B$11,$AT$10*$B$10,0)+Tableau182985[[#This Row],[VBO]]*$AX$21*$B$10+Tableau182985[[#This Row],[VBI]]*$AX$22*$B$10+Tableau182985[[#This Row],[VBE]]*$AX$23*$B$10,"")</f>
        <v/>
      </c>
      <c r="AN88" s="7" t="s">
        <v>166</v>
      </c>
      <c r="AO88" s="7" t="s">
        <v>166</v>
      </c>
      <c r="AP88" s="7" t="str">
        <f>IF(Tableau182985[[#This Row],[Age]]&lt;&gt;"",Tableau182985[[#This Row],[RA]]-Tableau182985[[#This Row],[DA]],"")</f>
        <v/>
      </c>
    </row>
    <row r="89" spans="1:42" ht="15" customHeight="1" x14ac:dyDescent="0.2">
      <c r="A89" s="3" t="s">
        <v>24</v>
      </c>
      <c r="B89" s="3" t="s">
        <v>123</v>
      </c>
      <c r="C89" s="3" t="s">
        <v>140</v>
      </c>
      <c r="L89" s="4"/>
      <c r="M89" s="4"/>
      <c r="N89" s="4"/>
      <c r="O89" s="5" t="str">
        <f t="shared" si="12"/>
        <v/>
      </c>
      <c r="P89" s="5" t="str">
        <f t="shared" si="13"/>
        <v/>
      </c>
      <c r="Q89" s="5" t="str">
        <f t="shared" si="14"/>
        <v/>
      </c>
      <c r="R89" s="5" t="s">
        <v>166</v>
      </c>
      <c r="S89" s="5" t="s">
        <v>166</v>
      </c>
      <c r="T89" s="5" t="str">
        <f t="shared" si="15"/>
        <v/>
      </c>
      <c r="U89" s="5" t="str">
        <f t="shared" si="16"/>
        <v/>
      </c>
      <c r="V89" s="5" t="str">
        <f>IF($E$4="Embrousaillement",Tableau182985[[#This Row],[SOL]],"")</f>
        <v/>
      </c>
      <c r="W89" s="5" t="str">
        <f>IF($E$4="Embrousaillement",Tableau182985[[#This Row],[L]],"")</f>
        <v/>
      </c>
      <c r="X89" s="5" t="s">
        <v>166</v>
      </c>
      <c r="Y89" s="5" t="str">
        <f t="shared" si="17"/>
        <v/>
      </c>
      <c r="Z89" s="5" t="str">
        <f t="shared" si="18"/>
        <v/>
      </c>
      <c r="AA89" s="5" t="str">
        <f t="shared" si="19"/>
        <v/>
      </c>
      <c r="AB89" s="5" t="s">
        <v>166</v>
      </c>
      <c r="AC89" s="5" t="s">
        <v>166</v>
      </c>
      <c r="AD89" s="5" t="str">
        <f t="shared" si="20"/>
        <v/>
      </c>
      <c r="AE89" s="5" t="s">
        <v>166</v>
      </c>
      <c r="AF89" s="5" t="s">
        <v>166</v>
      </c>
      <c r="AG89" s="5" t="str">
        <f t="shared" si="21"/>
        <v/>
      </c>
      <c r="AH89" s="5" t="s">
        <v>166</v>
      </c>
      <c r="AI89" s="5" t="s">
        <v>166</v>
      </c>
      <c r="AJ89" s="5" t="str">
        <f t="shared" si="22"/>
        <v/>
      </c>
      <c r="AK89" s="5" t="str">
        <f t="shared" si="23"/>
        <v/>
      </c>
      <c r="AL89" s="7" t="str">
        <f>IF(Tableau182985[[#This Row],[Age]]&lt;&gt;"",IF(Tableau182985[[#This Row],[Age]]=0,$AT$10*$B$10+SUMIF($AS$21:$AS$29,Tableau182985[[#This Row],[Age]],$AU$21:$AU$29)*$B$10+$AT$11*$B$10,SUMIF($AS$21:$AS$29,Tableau182985[[#This Row],[Age]],$AU$21:$AU$29)*$B$10+$AT$11*$B$10),"")</f>
        <v/>
      </c>
      <c r="AM89" s="7" t="str">
        <f>IF(Tableau182985[[#This Row],[Age]]&lt;&gt;"",IF(Tableau182985[[#This Row],[Age]]=$B$11,$AT$10*$B$10,0)+Tableau182985[[#This Row],[VBO]]*$AX$21*$B$10+Tableau182985[[#This Row],[VBI]]*$AX$22*$B$10+Tableau182985[[#This Row],[VBE]]*$AX$23*$B$10,"")</f>
        <v/>
      </c>
      <c r="AN89" s="7" t="s">
        <v>166</v>
      </c>
      <c r="AO89" s="7" t="s">
        <v>166</v>
      </c>
      <c r="AP89" s="7" t="str">
        <f>IF(Tableau182985[[#This Row],[Age]]&lt;&gt;"",Tableau182985[[#This Row],[RA]]-Tableau182985[[#This Row],[DA]],"")</f>
        <v/>
      </c>
    </row>
    <row r="90" spans="1:42" ht="15" customHeight="1" x14ac:dyDescent="0.2">
      <c r="A90" s="3" t="s">
        <v>25</v>
      </c>
      <c r="B90" s="3" t="s">
        <v>134</v>
      </c>
      <c r="C90" s="3" t="s">
        <v>141</v>
      </c>
      <c r="L90" s="4"/>
      <c r="M90" s="4"/>
      <c r="N90" s="4"/>
      <c r="O90" s="5" t="str">
        <f t="shared" si="12"/>
        <v/>
      </c>
      <c r="P90" s="5" t="str">
        <f t="shared" si="13"/>
        <v/>
      </c>
      <c r="Q90" s="5" t="str">
        <f t="shared" si="14"/>
        <v/>
      </c>
      <c r="R90" s="5" t="s">
        <v>166</v>
      </c>
      <c r="S90" s="5" t="s">
        <v>166</v>
      </c>
      <c r="T90" s="5" t="str">
        <f t="shared" si="15"/>
        <v/>
      </c>
      <c r="U90" s="5" t="str">
        <f t="shared" si="16"/>
        <v/>
      </c>
      <c r="V90" s="5" t="str">
        <f>IF($E$4="Embrousaillement",Tableau182985[[#This Row],[SOL]],"")</f>
        <v/>
      </c>
      <c r="W90" s="5" t="str">
        <f>IF($E$4="Embrousaillement",Tableau182985[[#This Row],[L]],"")</f>
        <v/>
      </c>
      <c r="X90" s="5" t="s">
        <v>166</v>
      </c>
      <c r="Y90" s="5" t="str">
        <f t="shared" si="17"/>
        <v/>
      </c>
      <c r="Z90" s="5" t="str">
        <f t="shared" si="18"/>
        <v/>
      </c>
      <c r="AA90" s="5" t="str">
        <f t="shared" si="19"/>
        <v/>
      </c>
      <c r="AB90" s="5" t="s">
        <v>166</v>
      </c>
      <c r="AC90" s="5" t="s">
        <v>166</v>
      </c>
      <c r="AD90" s="5" t="str">
        <f t="shared" si="20"/>
        <v/>
      </c>
      <c r="AE90" s="5" t="s">
        <v>166</v>
      </c>
      <c r="AF90" s="5" t="s">
        <v>166</v>
      </c>
      <c r="AG90" s="5" t="str">
        <f t="shared" si="21"/>
        <v/>
      </c>
      <c r="AH90" s="5" t="s">
        <v>166</v>
      </c>
      <c r="AI90" s="5" t="s">
        <v>166</v>
      </c>
      <c r="AJ90" s="5" t="str">
        <f t="shared" si="22"/>
        <v/>
      </c>
      <c r="AK90" s="5" t="str">
        <f t="shared" si="23"/>
        <v/>
      </c>
      <c r="AL90" s="7" t="str">
        <f>IF(Tableau182985[[#This Row],[Age]]&lt;&gt;"",IF(Tableau182985[[#This Row],[Age]]=0,$AT$10*$B$10+SUMIF($AS$21:$AS$29,Tableau182985[[#This Row],[Age]],$AU$21:$AU$29)*$B$10+$AT$11*$B$10,SUMIF($AS$21:$AS$29,Tableau182985[[#This Row],[Age]],$AU$21:$AU$29)*$B$10+$AT$11*$B$10),"")</f>
        <v/>
      </c>
      <c r="AM90" s="7" t="str">
        <f>IF(Tableau182985[[#This Row],[Age]]&lt;&gt;"",IF(Tableau182985[[#This Row],[Age]]=$B$11,$AT$10*$B$10,0)+Tableau182985[[#This Row],[VBO]]*$AX$21*$B$10+Tableau182985[[#This Row],[VBI]]*$AX$22*$B$10+Tableau182985[[#This Row],[VBE]]*$AX$23*$B$10,"")</f>
        <v/>
      </c>
      <c r="AN90" s="7" t="s">
        <v>166</v>
      </c>
      <c r="AO90" s="7" t="s">
        <v>166</v>
      </c>
      <c r="AP90" s="7" t="str">
        <f>IF(Tableau182985[[#This Row],[Age]]&lt;&gt;"",Tableau182985[[#This Row],[RA]]-Tableau182985[[#This Row],[DA]],"")</f>
        <v/>
      </c>
    </row>
    <row r="91" spans="1:42" ht="15" customHeight="1" x14ac:dyDescent="0.2">
      <c r="A91" s="3" t="s">
        <v>26</v>
      </c>
      <c r="B91" s="3" t="s">
        <v>123</v>
      </c>
      <c r="C91" s="3" t="s">
        <v>142</v>
      </c>
      <c r="L91" s="4"/>
      <c r="M91" s="4"/>
      <c r="N91" s="4"/>
      <c r="O91" s="5" t="str">
        <f t="shared" si="12"/>
        <v/>
      </c>
      <c r="P91" s="5" t="str">
        <f t="shared" si="13"/>
        <v/>
      </c>
      <c r="Q91" s="5" t="str">
        <f t="shared" si="14"/>
        <v/>
      </c>
      <c r="R91" s="5" t="s">
        <v>166</v>
      </c>
      <c r="S91" s="5" t="s">
        <v>166</v>
      </c>
      <c r="T91" s="5" t="str">
        <f t="shared" si="15"/>
        <v/>
      </c>
      <c r="U91" s="5" t="str">
        <f t="shared" si="16"/>
        <v/>
      </c>
      <c r="V91" s="5" t="str">
        <f>IF($E$4="Embrousaillement",Tableau182985[[#This Row],[SOL]],"")</f>
        <v/>
      </c>
      <c r="W91" s="5" t="str">
        <f>IF($E$4="Embrousaillement",Tableau182985[[#This Row],[L]],"")</f>
        <v/>
      </c>
      <c r="X91" s="5" t="s">
        <v>166</v>
      </c>
      <c r="Y91" s="5" t="str">
        <f t="shared" si="17"/>
        <v/>
      </c>
      <c r="Z91" s="5" t="str">
        <f t="shared" si="18"/>
        <v/>
      </c>
      <c r="AA91" s="5" t="str">
        <f t="shared" si="19"/>
        <v/>
      </c>
      <c r="AB91" s="5" t="s">
        <v>166</v>
      </c>
      <c r="AC91" s="5" t="s">
        <v>166</v>
      </c>
      <c r="AD91" s="5" t="str">
        <f t="shared" si="20"/>
        <v/>
      </c>
      <c r="AE91" s="5" t="s">
        <v>166</v>
      </c>
      <c r="AF91" s="5" t="s">
        <v>166</v>
      </c>
      <c r="AG91" s="5" t="str">
        <f t="shared" si="21"/>
        <v/>
      </c>
      <c r="AH91" s="5" t="s">
        <v>166</v>
      </c>
      <c r="AI91" s="5" t="s">
        <v>166</v>
      </c>
      <c r="AJ91" s="5" t="str">
        <f t="shared" si="22"/>
        <v/>
      </c>
      <c r="AK91" s="5" t="str">
        <f t="shared" si="23"/>
        <v/>
      </c>
      <c r="AL91" s="7" t="str">
        <f>IF(Tableau182985[[#This Row],[Age]]&lt;&gt;"",IF(Tableau182985[[#This Row],[Age]]=0,$AT$10*$B$10+SUMIF($AS$21:$AS$29,Tableau182985[[#This Row],[Age]],$AU$21:$AU$29)*$B$10+$AT$11*$B$10,SUMIF($AS$21:$AS$29,Tableau182985[[#This Row],[Age]],$AU$21:$AU$29)*$B$10+$AT$11*$B$10),"")</f>
        <v/>
      </c>
      <c r="AM91" s="7" t="str">
        <f>IF(Tableau182985[[#This Row],[Age]]&lt;&gt;"",IF(Tableau182985[[#This Row],[Age]]=$B$11,$AT$10*$B$10,0)+Tableau182985[[#This Row],[VBO]]*$AX$21*$B$10+Tableau182985[[#This Row],[VBI]]*$AX$22*$B$10+Tableau182985[[#This Row],[VBE]]*$AX$23*$B$10,"")</f>
        <v/>
      </c>
      <c r="AN91" s="7" t="s">
        <v>166</v>
      </c>
      <c r="AO91" s="7" t="s">
        <v>166</v>
      </c>
      <c r="AP91" s="7" t="str">
        <f>IF(Tableau182985[[#This Row],[Age]]&lt;&gt;"",Tableau182985[[#This Row],[RA]]-Tableau182985[[#This Row],[DA]],"")</f>
        <v/>
      </c>
    </row>
    <row r="92" spans="1:42" ht="15" customHeight="1" x14ac:dyDescent="0.2">
      <c r="A92" s="3" t="s">
        <v>91</v>
      </c>
      <c r="B92" s="3" t="s">
        <v>143</v>
      </c>
      <c r="C92" s="3" t="s">
        <v>144</v>
      </c>
      <c r="L92" s="4"/>
      <c r="M92" s="4"/>
      <c r="N92" s="4"/>
      <c r="O92" s="5" t="str">
        <f t="shared" si="12"/>
        <v/>
      </c>
      <c r="P92" s="5" t="str">
        <f t="shared" si="13"/>
        <v/>
      </c>
      <c r="Q92" s="5" t="str">
        <f t="shared" si="14"/>
        <v/>
      </c>
      <c r="R92" s="5" t="s">
        <v>166</v>
      </c>
      <c r="S92" s="5" t="s">
        <v>166</v>
      </c>
      <c r="T92" s="5" t="str">
        <f t="shared" si="15"/>
        <v/>
      </c>
      <c r="U92" s="5" t="str">
        <f t="shared" si="16"/>
        <v/>
      </c>
      <c r="V92" s="5" t="str">
        <f>IF($E$4="Embrousaillement",Tableau182985[[#This Row],[SOL]],"")</f>
        <v/>
      </c>
      <c r="W92" s="5" t="str">
        <f>IF($E$4="Embrousaillement",Tableau182985[[#This Row],[L]],"")</f>
        <v/>
      </c>
      <c r="X92" s="5" t="s">
        <v>166</v>
      </c>
      <c r="Y92" s="5" t="str">
        <f t="shared" si="17"/>
        <v/>
      </c>
      <c r="Z92" s="5" t="str">
        <f t="shared" si="18"/>
        <v/>
      </c>
      <c r="AA92" s="5" t="str">
        <f t="shared" si="19"/>
        <v/>
      </c>
      <c r="AB92" s="5" t="s">
        <v>166</v>
      </c>
      <c r="AC92" s="5" t="s">
        <v>166</v>
      </c>
      <c r="AD92" s="5" t="str">
        <f t="shared" si="20"/>
        <v/>
      </c>
      <c r="AE92" s="5" t="s">
        <v>166</v>
      </c>
      <c r="AF92" s="5" t="s">
        <v>166</v>
      </c>
      <c r="AG92" s="5" t="str">
        <f t="shared" si="21"/>
        <v/>
      </c>
      <c r="AH92" s="5" t="s">
        <v>166</v>
      </c>
      <c r="AI92" s="5" t="s">
        <v>166</v>
      </c>
      <c r="AJ92" s="5" t="str">
        <f t="shared" si="22"/>
        <v/>
      </c>
      <c r="AK92" s="5" t="str">
        <f t="shared" si="23"/>
        <v/>
      </c>
      <c r="AL92" s="7" t="str">
        <f>IF(Tableau182985[[#This Row],[Age]]&lt;&gt;"",IF(Tableau182985[[#This Row],[Age]]=0,$AT$10*$B$10+SUMIF($AS$21:$AS$29,Tableau182985[[#This Row],[Age]],$AU$21:$AU$29)*$B$10+$AT$11*$B$10,SUMIF($AS$21:$AS$29,Tableau182985[[#This Row],[Age]],$AU$21:$AU$29)*$B$10+$AT$11*$B$10),"")</f>
        <v/>
      </c>
      <c r="AM92" s="7" t="str">
        <f>IF(Tableau182985[[#This Row],[Age]]&lt;&gt;"",IF(Tableau182985[[#This Row],[Age]]=$B$11,$AT$10*$B$10,0)+Tableau182985[[#This Row],[VBO]]*$AX$21*$B$10+Tableau182985[[#This Row],[VBI]]*$AX$22*$B$10+Tableau182985[[#This Row],[VBE]]*$AX$23*$B$10,"")</f>
        <v/>
      </c>
      <c r="AN92" s="7" t="s">
        <v>166</v>
      </c>
      <c r="AO92" s="7" t="s">
        <v>166</v>
      </c>
      <c r="AP92" s="7" t="str">
        <f>IF(Tableau182985[[#This Row],[Age]]&lt;&gt;"",Tableau182985[[#This Row],[RA]]-Tableau182985[[#This Row],[DA]],"")</f>
        <v/>
      </c>
    </row>
    <row r="93" spans="1:42" ht="15" customHeight="1" x14ac:dyDescent="0.2">
      <c r="A93" s="3" t="s">
        <v>28</v>
      </c>
      <c r="B93" s="3" t="s">
        <v>145</v>
      </c>
      <c r="C93" s="3" t="s">
        <v>146</v>
      </c>
      <c r="L93" s="4"/>
      <c r="M93" s="4"/>
      <c r="N93" s="4"/>
      <c r="O93" s="5" t="str">
        <f t="shared" si="12"/>
        <v/>
      </c>
      <c r="P93" s="5" t="str">
        <f t="shared" si="13"/>
        <v/>
      </c>
      <c r="Q93" s="5" t="str">
        <f t="shared" si="14"/>
        <v/>
      </c>
      <c r="R93" s="5" t="s">
        <v>166</v>
      </c>
      <c r="S93" s="5" t="s">
        <v>166</v>
      </c>
      <c r="T93" s="5" t="str">
        <f t="shared" si="15"/>
        <v/>
      </c>
      <c r="U93" s="5" t="str">
        <f t="shared" si="16"/>
        <v/>
      </c>
      <c r="V93" s="5" t="str">
        <f>IF($E$4="Embrousaillement",Tableau182985[[#This Row],[SOL]],"")</f>
        <v/>
      </c>
      <c r="W93" s="5" t="str">
        <f>IF($E$4="Embrousaillement",Tableau182985[[#This Row],[L]],"")</f>
        <v/>
      </c>
      <c r="X93" s="5" t="s">
        <v>166</v>
      </c>
      <c r="Y93" s="5" t="str">
        <f t="shared" si="17"/>
        <v/>
      </c>
      <c r="Z93" s="5" t="str">
        <f t="shared" si="18"/>
        <v/>
      </c>
      <c r="AA93" s="5" t="str">
        <f t="shared" si="19"/>
        <v/>
      </c>
      <c r="AB93" s="5" t="s">
        <v>166</v>
      </c>
      <c r="AC93" s="5" t="s">
        <v>166</v>
      </c>
      <c r="AD93" s="5" t="str">
        <f t="shared" si="20"/>
        <v/>
      </c>
      <c r="AE93" s="5" t="s">
        <v>166</v>
      </c>
      <c r="AF93" s="5" t="s">
        <v>166</v>
      </c>
      <c r="AG93" s="5" t="str">
        <f t="shared" si="21"/>
        <v/>
      </c>
      <c r="AH93" s="5" t="s">
        <v>166</v>
      </c>
      <c r="AI93" s="5" t="s">
        <v>166</v>
      </c>
      <c r="AJ93" s="5" t="str">
        <f t="shared" si="22"/>
        <v/>
      </c>
      <c r="AK93" s="5" t="str">
        <f t="shared" si="23"/>
        <v/>
      </c>
      <c r="AL93" s="7" t="str">
        <f>IF(Tableau182985[[#This Row],[Age]]&lt;&gt;"",IF(Tableau182985[[#This Row],[Age]]=0,$AT$10*$B$10+SUMIF($AS$21:$AS$29,Tableau182985[[#This Row],[Age]],$AU$21:$AU$29)*$B$10+$AT$11*$B$10,SUMIF($AS$21:$AS$29,Tableau182985[[#This Row],[Age]],$AU$21:$AU$29)*$B$10+$AT$11*$B$10),"")</f>
        <v/>
      </c>
      <c r="AM93" s="7" t="str">
        <f>IF(Tableau182985[[#This Row],[Age]]&lt;&gt;"",IF(Tableau182985[[#This Row],[Age]]=$B$11,$AT$10*$B$10,0)+Tableau182985[[#This Row],[VBO]]*$AX$21*$B$10+Tableau182985[[#This Row],[VBI]]*$AX$22*$B$10+Tableau182985[[#This Row],[VBE]]*$AX$23*$B$10,"")</f>
        <v/>
      </c>
      <c r="AN93" s="7" t="s">
        <v>166</v>
      </c>
      <c r="AO93" s="7" t="s">
        <v>166</v>
      </c>
      <c r="AP93" s="7" t="str">
        <f>IF(Tableau182985[[#This Row],[Age]]&lt;&gt;"",Tableau182985[[#This Row],[RA]]-Tableau182985[[#This Row],[DA]],"")</f>
        <v/>
      </c>
    </row>
    <row r="94" spans="1:42" ht="15" customHeight="1" x14ac:dyDescent="0.2">
      <c r="A94" s="3" t="s">
        <v>29</v>
      </c>
      <c r="B94" s="3" t="s">
        <v>145</v>
      </c>
      <c r="C94" s="3" t="s">
        <v>147</v>
      </c>
      <c r="L94" s="4"/>
      <c r="M94" s="4"/>
      <c r="N94" s="4"/>
      <c r="O94" s="5" t="str">
        <f t="shared" si="12"/>
        <v/>
      </c>
      <c r="P94" s="5" t="str">
        <f t="shared" si="13"/>
        <v/>
      </c>
      <c r="Q94" s="5" t="str">
        <f t="shared" si="14"/>
        <v/>
      </c>
      <c r="R94" s="5" t="s">
        <v>166</v>
      </c>
      <c r="S94" s="5" t="s">
        <v>166</v>
      </c>
      <c r="T94" s="5" t="str">
        <f t="shared" si="15"/>
        <v/>
      </c>
      <c r="U94" s="5" t="str">
        <f t="shared" si="16"/>
        <v/>
      </c>
      <c r="V94" s="5" t="str">
        <f>IF($E$4="Embrousaillement",Tableau182985[[#This Row],[SOL]],"")</f>
        <v/>
      </c>
      <c r="W94" s="5" t="str">
        <f>IF($E$4="Embrousaillement",Tableau182985[[#This Row],[L]],"")</f>
        <v/>
      </c>
      <c r="X94" s="5" t="s">
        <v>166</v>
      </c>
      <c r="Y94" s="5" t="str">
        <f t="shared" si="17"/>
        <v/>
      </c>
      <c r="Z94" s="5" t="str">
        <f t="shared" si="18"/>
        <v/>
      </c>
      <c r="AA94" s="5" t="str">
        <f t="shared" si="19"/>
        <v/>
      </c>
      <c r="AB94" s="5" t="s">
        <v>166</v>
      </c>
      <c r="AC94" s="5" t="s">
        <v>166</v>
      </c>
      <c r="AD94" s="5" t="str">
        <f t="shared" si="20"/>
        <v/>
      </c>
      <c r="AE94" s="5" t="s">
        <v>166</v>
      </c>
      <c r="AF94" s="5" t="s">
        <v>166</v>
      </c>
      <c r="AG94" s="5" t="str">
        <f t="shared" si="21"/>
        <v/>
      </c>
      <c r="AH94" s="5" t="s">
        <v>166</v>
      </c>
      <c r="AI94" s="5" t="s">
        <v>166</v>
      </c>
      <c r="AJ94" s="5" t="str">
        <f t="shared" si="22"/>
        <v/>
      </c>
      <c r="AK94" s="5" t="str">
        <f t="shared" si="23"/>
        <v/>
      </c>
      <c r="AL94" s="7" t="str">
        <f>IF(Tableau182985[[#This Row],[Age]]&lt;&gt;"",IF(Tableau182985[[#This Row],[Age]]=0,$AT$10*$B$10+SUMIF($AS$21:$AS$29,Tableau182985[[#This Row],[Age]],$AU$21:$AU$29)*$B$10+$AT$11*$B$10,SUMIF($AS$21:$AS$29,Tableau182985[[#This Row],[Age]],$AU$21:$AU$29)*$B$10+$AT$11*$B$10),"")</f>
        <v/>
      </c>
      <c r="AM94" s="7" t="str">
        <f>IF(Tableau182985[[#This Row],[Age]]&lt;&gt;"",IF(Tableau182985[[#This Row],[Age]]=$B$11,$AT$10*$B$10,0)+Tableau182985[[#This Row],[VBO]]*$AX$21*$B$10+Tableau182985[[#This Row],[VBI]]*$AX$22*$B$10+Tableau182985[[#This Row],[VBE]]*$AX$23*$B$10,"")</f>
        <v/>
      </c>
      <c r="AN94" s="7" t="s">
        <v>166</v>
      </c>
      <c r="AO94" s="7" t="s">
        <v>166</v>
      </c>
      <c r="AP94" s="7" t="str">
        <f>IF(Tableau182985[[#This Row],[Age]]&lt;&gt;"",Tableau182985[[#This Row],[RA]]-Tableau182985[[#This Row],[DA]],"")</f>
        <v/>
      </c>
    </row>
    <row r="95" spans="1:42" ht="15" customHeight="1" x14ac:dyDescent="0.2">
      <c r="A95" s="3" t="s">
        <v>30</v>
      </c>
      <c r="B95" s="3" t="s">
        <v>145</v>
      </c>
      <c r="C95" s="3" t="s">
        <v>148</v>
      </c>
      <c r="L95" s="4"/>
      <c r="M95" s="4"/>
      <c r="N95" s="4"/>
      <c r="O95" s="5" t="str">
        <f t="shared" si="12"/>
        <v/>
      </c>
      <c r="P95" s="5" t="str">
        <f t="shared" si="13"/>
        <v/>
      </c>
      <c r="Q95" s="5" t="str">
        <f t="shared" si="14"/>
        <v/>
      </c>
      <c r="R95" s="5" t="s">
        <v>166</v>
      </c>
      <c r="S95" s="5" t="s">
        <v>166</v>
      </c>
      <c r="T95" s="5" t="str">
        <f t="shared" si="15"/>
        <v/>
      </c>
      <c r="U95" s="5" t="str">
        <f t="shared" si="16"/>
        <v/>
      </c>
      <c r="V95" s="5" t="str">
        <f>IF($E$4="Embrousaillement",Tableau182985[[#This Row],[SOL]],"")</f>
        <v/>
      </c>
      <c r="W95" s="5" t="str">
        <f>IF($E$4="Embrousaillement",Tableau182985[[#This Row],[L]],"")</f>
        <v/>
      </c>
      <c r="X95" s="5" t="s">
        <v>166</v>
      </c>
      <c r="Y95" s="5" t="str">
        <f t="shared" si="17"/>
        <v/>
      </c>
      <c r="Z95" s="5" t="str">
        <f t="shared" si="18"/>
        <v/>
      </c>
      <c r="AA95" s="5" t="str">
        <f t="shared" si="19"/>
        <v/>
      </c>
      <c r="AB95" s="5" t="s">
        <v>166</v>
      </c>
      <c r="AC95" s="5" t="s">
        <v>166</v>
      </c>
      <c r="AD95" s="5" t="str">
        <f t="shared" si="20"/>
        <v/>
      </c>
      <c r="AE95" s="5" t="s">
        <v>166</v>
      </c>
      <c r="AF95" s="5" t="s">
        <v>166</v>
      </c>
      <c r="AG95" s="5" t="str">
        <f t="shared" si="21"/>
        <v/>
      </c>
      <c r="AH95" s="5" t="s">
        <v>166</v>
      </c>
      <c r="AI95" s="5" t="s">
        <v>166</v>
      </c>
      <c r="AJ95" s="5" t="str">
        <f t="shared" si="22"/>
        <v/>
      </c>
      <c r="AK95" s="5" t="str">
        <f t="shared" si="23"/>
        <v/>
      </c>
      <c r="AL95" s="7" t="str">
        <f>IF(Tableau182985[[#This Row],[Age]]&lt;&gt;"",IF(Tableau182985[[#This Row],[Age]]=0,$AT$10*$B$10+SUMIF($AS$21:$AS$29,Tableau182985[[#This Row],[Age]],$AU$21:$AU$29)*$B$10+$AT$11*$B$10,SUMIF($AS$21:$AS$29,Tableau182985[[#This Row],[Age]],$AU$21:$AU$29)*$B$10+$AT$11*$B$10),"")</f>
        <v/>
      </c>
      <c r="AM95" s="7" t="str">
        <f>IF(Tableau182985[[#This Row],[Age]]&lt;&gt;"",IF(Tableau182985[[#This Row],[Age]]=$B$11,$AT$10*$B$10,0)+Tableau182985[[#This Row],[VBO]]*$AX$21*$B$10+Tableau182985[[#This Row],[VBI]]*$AX$22*$B$10+Tableau182985[[#This Row],[VBE]]*$AX$23*$B$10,"")</f>
        <v/>
      </c>
      <c r="AN95" s="7" t="s">
        <v>166</v>
      </c>
      <c r="AO95" s="7" t="s">
        <v>166</v>
      </c>
      <c r="AP95" s="7" t="str">
        <f>IF(Tableau182985[[#This Row],[Age]]&lt;&gt;"",Tableau182985[[#This Row],[RA]]-Tableau182985[[#This Row],[DA]],"")</f>
        <v/>
      </c>
    </row>
    <row r="96" spans="1:42" ht="15" customHeight="1" x14ac:dyDescent="0.2">
      <c r="A96" s="3" t="s">
        <v>31</v>
      </c>
      <c r="B96" s="3" t="s">
        <v>145</v>
      </c>
      <c r="C96" s="3" t="s">
        <v>149</v>
      </c>
      <c r="L96" s="4"/>
      <c r="M96" s="4"/>
      <c r="N96" s="4"/>
      <c r="O96" s="5" t="str">
        <f t="shared" si="12"/>
        <v/>
      </c>
      <c r="P96" s="5" t="str">
        <f t="shared" si="13"/>
        <v/>
      </c>
      <c r="Q96" s="5" t="str">
        <f t="shared" si="14"/>
        <v/>
      </c>
      <c r="R96" s="5" t="s">
        <v>166</v>
      </c>
      <c r="S96" s="5" t="s">
        <v>166</v>
      </c>
      <c r="T96" s="5" t="str">
        <f t="shared" si="15"/>
        <v/>
      </c>
      <c r="U96" s="5" t="str">
        <f t="shared" si="16"/>
        <v/>
      </c>
      <c r="V96" s="5" t="str">
        <f>IF($E$4="Embrousaillement",Tableau182985[[#This Row],[SOL]],"")</f>
        <v/>
      </c>
      <c r="W96" s="5" t="str">
        <f>IF($E$4="Embrousaillement",Tableau182985[[#This Row],[L]],"")</f>
        <v/>
      </c>
      <c r="X96" s="5" t="s">
        <v>166</v>
      </c>
      <c r="Y96" s="5" t="str">
        <f t="shared" si="17"/>
        <v/>
      </c>
      <c r="Z96" s="5" t="str">
        <f t="shared" si="18"/>
        <v/>
      </c>
      <c r="AA96" s="5" t="str">
        <f t="shared" si="19"/>
        <v/>
      </c>
      <c r="AB96" s="5" t="s">
        <v>166</v>
      </c>
      <c r="AC96" s="5" t="s">
        <v>166</v>
      </c>
      <c r="AD96" s="5" t="str">
        <f t="shared" si="20"/>
        <v/>
      </c>
      <c r="AE96" s="5" t="s">
        <v>166</v>
      </c>
      <c r="AF96" s="5" t="s">
        <v>166</v>
      </c>
      <c r="AG96" s="5" t="str">
        <f t="shared" si="21"/>
        <v/>
      </c>
      <c r="AH96" s="5" t="s">
        <v>166</v>
      </c>
      <c r="AI96" s="5" t="s">
        <v>166</v>
      </c>
      <c r="AJ96" s="5" t="str">
        <f t="shared" si="22"/>
        <v/>
      </c>
      <c r="AK96" s="5" t="str">
        <f t="shared" si="23"/>
        <v/>
      </c>
      <c r="AL96" s="7" t="str">
        <f>IF(Tableau182985[[#This Row],[Age]]&lt;&gt;"",IF(Tableau182985[[#This Row],[Age]]=0,$AT$10*$B$10+SUMIF($AS$21:$AS$29,Tableau182985[[#This Row],[Age]],$AU$21:$AU$29)*$B$10+$AT$11*$B$10,SUMIF($AS$21:$AS$29,Tableau182985[[#This Row],[Age]],$AU$21:$AU$29)*$B$10+$AT$11*$B$10),"")</f>
        <v/>
      </c>
      <c r="AM96" s="7" t="str">
        <f>IF(Tableau182985[[#This Row],[Age]]&lt;&gt;"",IF(Tableau182985[[#This Row],[Age]]=$B$11,$AT$10*$B$10,0)+Tableau182985[[#This Row],[VBO]]*$AX$21*$B$10+Tableau182985[[#This Row],[VBI]]*$AX$22*$B$10+Tableau182985[[#This Row],[VBE]]*$AX$23*$B$10,"")</f>
        <v/>
      </c>
      <c r="AN96" s="7" t="s">
        <v>166</v>
      </c>
      <c r="AO96" s="7" t="s">
        <v>166</v>
      </c>
      <c r="AP96" s="7" t="str">
        <f>IF(Tableau182985[[#This Row],[Age]]&lt;&gt;"",Tableau182985[[#This Row],[RA]]-Tableau182985[[#This Row],[DA]],"")</f>
        <v/>
      </c>
    </row>
    <row r="97" spans="1:42" ht="15" customHeight="1" x14ac:dyDescent="0.2">
      <c r="A97" s="3" t="s">
        <v>32</v>
      </c>
      <c r="B97" s="3" t="s">
        <v>145</v>
      </c>
      <c r="C97" s="3" t="s">
        <v>150</v>
      </c>
      <c r="L97" s="4"/>
      <c r="M97" s="4"/>
      <c r="N97" s="4"/>
      <c r="O97" s="5" t="str">
        <f t="shared" si="12"/>
        <v/>
      </c>
      <c r="P97" s="5" t="str">
        <f t="shared" si="13"/>
        <v/>
      </c>
      <c r="Q97" s="5" t="str">
        <f t="shared" si="14"/>
        <v/>
      </c>
      <c r="R97" s="5" t="s">
        <v>166</v>
      </c>
      <c r="S97" s="5" t="s">
        <v>166</v>
      </c>
      <c r="T97" s="5" t="str">
        <f t="shared" si="15"/>
        <v/>
      </c>
      <c r="U97" s="5" t="str">
        <f t="shared" si="16"/>
        <v/>
      </c>
      <c r="V97" s="5" t="str">
        <f>IF($E$4="Embrousaillement",Tableau182985[[#This Row],[SOL]],"")</f>
        <v/>
      </c>
      <c r="W97" s="5" t="str">
        <f>IF($E$4="Embrousaillement",Tableau182985[[#This Row],[L]],"")</f>
        <v/>
      </c>
      <c r="X97" s="5" t="s">
        <v>166</v>
      </c>
      <c r="Y97" s="5" t="str">
        <f t="shared" si="17"/>
        <v/>
      </c>
      <c r="Z97" s="5" t="str">
        <f t="shared" si="18"/>
        <v/>
      </c>
      <c r="AA97" s="5" t="str">
        <f t="shared" si="19"/>
        <v/>
      </c>
      <c r="AB97" s="5" t="s">
        <v>166</v>
      </c>
      <c r="AC97" s="5" t="s">
        <v>166</v>
      </c>
      <c r="AD97" s="5" t="str">
        <f t="shared" si="20"/>
        <v/>
      </c>
      <c r="AE97" s="5" t="s">
        <v>166</v>
      </c>
      <c r="AF97" s="5" t="s">
        <v>166</v>
      </c>
      <c r="AG97" s="5" t="str">
        <f t="shared" si="21"/>
        <v/>
      </c>
      <c r="AH97" s="5" t="s">
        <v>166</v>
      </c>
      <c r="AI97" s="5" t="s">
        <v>166</v>
      </c>
      <c r="AJ97" s="5" t="str">
        <f t="shared" si="22"/>
        <v/>
      </c>
      <c r="AK97" s="5" t="str">
        <f t="shared" si="23"/>
        <v/>
      </c>
      <c r="AL97" s="7" t="str">
        <f>IF(Tableau182985[[#This Row],[Age]]&lt;&gt;"",IF(Tableau182985[[#This Row],[Age]]=0,$AT$10*$B$10+SUMIF($AS$21:$AS$29,Tableau182985[[#This Row],[Age]],$AU$21:$AU$29)*$B$10+$AT$11*$B$10,SUMIF($AS$21:$AS$29,Tableau182985[[#This Row],[Age]],$AU$21:$AU$29)*$B$10+$AT$11*$B$10),"")</f>
        <v/>
      </c>
      <c r="AM97" s="7" t="str">
        <f>IF(Tableau182985[[#This Row],[Age]]&lt;&gt;"",IF(Tableau182985[[#This Row],[Age]]=$B$11,$AT$10*$B$10,0)+Tableau182985[[#This Row],[VBO]]*$AX$21*$B$10+Tableau182985[[#This Row],[VBI]]*$AX$22*$B$10+Tableau182985[[#This Row],[VBE]]*$AX$23*$B$10,"")</f>
        <v/>
      </c>
      <c r="AN97" s="7" t="s">
        <v>166</v>
      </c>
      <c r="AO97" s="7" t="s">
        <v>166</v>
      </c>
      <c r="AP97" s="7" t="str">
        <f>IF(Tableau182985[[#This Row],[Age]]&lt;&gt;"",Tableau182985[[#This Row],[RA]]-Tableau182985[[#This Row],[DA]],"")</f>
        <v/>
      </c>
    </row>
    <row r="98" spans="1:42" ht="15" customHeight="1" x14ac:dyDescent="0.2">
      <c r="A98" s="3" t="s">
        <v>151</v>
      </c>
      <c r="B98" s="3" t="s">
        <v>145</v>
      </c>
      <c r="C98" s="3" t="s">
        <v>152</v>
      </c>
      <c r="L98" s="4"/>
      <c r="M98" s="4"/>
      <c r="N98" s="4"/>
      <c r="O98" s="5" t="str">
        <f t="shared" si="12"/>
        <v/>
      </c>
      <c r="P98" s="5" t="str">
        <f t="shared" si="13"/>
        <v/>
      </c>
      <c r="Q98" s="5" t="str">
        <f t="shared" si="14"/>
        <v/>
      </c>
      <c r="R98" s="5" t="s">
        <v>166</v>
      </c>
      <c r="S98" s="5" t="s">
        <v>166</v>
      </c>
      <c r="T98" s="5" t="str">
        <f t="shared" si="15"/>
        <v/>
      </c>
      <c r="U98" s="5" t="str">
        <f t="shared" si="16"/>
        <v/>
      </c>
      <c r="V98" s="5" t="str">
        <f>IF($E$4="Embrousaillement",Tableau182985[[#This Row],[SOL]],"")</f>
        <v/>
      </c>
      <c r="W98" s="5" t="str">
        <f>IF($E$4="Embrousaillement",Tableau182985[[#This Row],[L]],"")</f>
        <v/>
      </c>
      <c r="X98" s="5" t="s">
        <v>166</v>
      </c>
      <c r="Y98" s="5" t="str">
        <f t="shared" si="17"/>
        <v/>
      </c>
      <c r="Z98" s="5" t="str">
        <f t="shared" si="18"/>
        <v/>
      </c>
      <c r="AA98" s="5" t="str">
        <f t="shared" si="19"/>
        <v/>
      </c>
      <c r="AB98" s="5" t="s">
        <v>166</v>
      </c>
      <c r="AC98" s="5" t="s">
        <v>166</v>
      </c>
      <c r="AD98" s="5" t="str">
        <f t="shared" si="20"/>
        <v/>
      </c>
      <c r="AE98" s="5" t="s">
        <v>166</v>
      </c>
      <c r="AF98" s="5" t="s">
        <v>166</v>
      </c>
      <c r="AG98" s="5" t="str">
        <f t="shared" si="21"/>
        <v/>
      </c>
      <c r="AH98" s="5" t="s">
        <v>166</v>
      </c>
      <c r="AI98" s="5" t="s">
        <v>166</v>
      </c>
      <c r="AJ98" s="5" t="str">
        <f t="shared" si="22"/>
        <v/>
      </c>
      <c r="AK98" s="5" t="str">
        <f t="shared" si="23"/>
        <v/>
      </c>
      <c r="AL98" s="7" t="str">
        <f>IF(Tableau182985[[#This Row],[Age]]&lt;&gt;"",IF(Tableau182985[[#This Row],[Age]]=0,$AT$10*$B$10+SUMIF($AS$21:$AS$29,Tableau182985[[#This Row],[Age]],$AU$21:$AU$29)*$B$10+$AT$11*$B$10,SUMIF($AS$21:$AS$29,Tableau182985[[#This Row],[Age]],$AU$21:$AU$29)*$B$10+$AT$11*$B$10),"")</f>
        <v/>
      </c>
      <c r="AM98" s="7" t="str">
        <f>IF(Tableau182985[[#This Row],[Age]]&lt;&gt;"",IF(Tableau182985[[#This Row],[Age]]=$B$11,$AT$10*$B$10,0)+Tableau182985[[#This Row],[VBO]]*$AX$21*$B$10+Tableau182985[[#This Row],[VBI]]*$AX$22*$B$10+Tableau182985[[#This Row],[VBE]]*$AX$23*$B$10,"")</f>
        <v/>
      </c>
      <c r="AN98" s="7" t="s">
        <v>166</v>
      </c>
      <c r="AO98" s="7" t="s">
        <v>166</v>
      </c>
      <c r="AP98" s="7" t="str">
        <f>IF(Tableau182985[[#This Row],[Age]]&lt;&gt;"",Tableau182985[[#This Row],[RA]]-Tableau182985[[#This Row],[DA]],"")</f>
        <v/>
      </c>
    </row>
    <row r="99" spans="1:42" ht="15" customHeight="1" x14ac:dyDescent="0.2">
      <c r="A99" s="3" t="s">
        <v>153</v>
      </c>
      <c r="B99" s="3" t="s">
        <v>145</v>
      </c>
      <c r="C99" s="3" t="s">
        <v>154</v>
      </c>
      <c r="L99" s="4"/>
      <c r="M99" s="4"/>
      <c r="N99" s="4"/>
      <c r="O99" s="5" t="str">
        <f t="shared" si="12"/>
        <v/>
      </c>
      <c r="P99" s="5" t="str">
        <f t="shared" si="13"/>
        <v/>
      </c>
      <c r="Q99" s="5" t="str">
        <f t="shared" si="14"/>
        <v/>
      </c>
      <c r="R99" s="5" t="s">
        <v>166</v>
      </c>
      <c r="S99" s="5" t="s">
        <v>166</v>
      </c>
      <c r="T99" s="5" t="str">
        <f t="shared" si="15"/>
        <v/>
      </c>
      <c r="U99" s="5" t="str">
        <f t="shared" si="16"/>
        <v/>
      </c>
      <c r="V99" s="5" t="str">
        <f>IF($E$4="Embrousaillement",Tableau182985[[#This Row],[SOL]],"")</f>
        <v/>
      </c>
      <c r="W99" s="5" t="str">
        <f>IF($E$4="Embrousaillement",Tableau182985[[#This Row],[L]],"")</f>
        <v/>
      </c>
      <c r="X99" s="5" t="s">
        <v>166</v>
      </c>
      <c r="Y99" s="5" t="str">
        <f t="shared" si="17"/>
        <v/>
      </c>
      <c r="Z99" s="5" t="str">
        <f t="shared" si="18"/>
        <v/>
      </c>
      <c r="AA99" s="5" t="str">
        <f t="shared" si="19"/>
        <v/>
      </c>
      <c r="AB99" s="5" t="s">
        <v>166</v>
      </c>
      <c r="AC99" s="5" t="s">
        <v>166</v>
      </c>
      <c r="AD99" s="5" t="str">
        <f t="shared" si="20"/>
        <v/>
      </c>
      <c r="AE99" s="5" t="s">
        <v>166</v>
      </c>
      <c r="AF99" s="5" t="s">
        <v>166</v>
      </c>
      <c r="AG99" s="5" t="str">
        <f t="shared" si="21"/>
        <v/>
      </c>
      <c r="AH99" s="5" t="s">
        <v>166</v>
      </c>
      <c r="AI99" s="5" t="s">
        <v>166</v>
      </c>
      <c r="AJ99" s="5" t="str">
        <f t="shared" si="22"/>
        <v/>
      </c>
      <c r="AK99" s="5" t="str">
        <f t="shared" si="23"/>
        <v/>
      </c>
      <c r="AL99" s="7" t="str">
        <f>IF(Tableau182985[[#This Row],[Age]]&lt;&gt;"",IF(Tableau182985[[#This Row],[Age]]=0,$AT$10*$B$10+SUMIF($AS$21:$AS$29,Tableau182985[[#This Row],[Age]],$AU$21:$AU$29)*$B$10+$AT$11*$B$10,SUMIF($AS$21:$AS$29,Tableau182985[[#This Row],[Age]],$AU$21:$AU$29)*$B$10+$AT$11*$B$10),"")</f>
        <v/>
      </c>
      <c r="AM99" s="7" t="str">
        <f>IF(Tableau182985[[#This Row],[Age]]&lt;&gt;"",IF(Tableau182985[[#This Row],[Age]]=$B$11,$AT$10*$B$10,0)+Tableau182985[[#This Row],[VBO]]*$AX$21*$B$10+Tableau182985[[#This Row],[VBI]]*$AX$22*$B$10+Tableau182985[[#This Row],[VBE]]*$AX$23*$B$10,"")</f>
        <v/>
      </c>
      <c r="AN99" s="7" t="s">
        <v>166</v>
      </c>
      <c r="AO99" s="7" t="s">
        <v>166</v>
      </c>
      <c r="AP99" s="7" t="str">
        <f>IF(Tableau182985[[#This Row],[Age]]&lt;&gt;"",Tableau182985[[#This Row],[RA]]-Tableau182985[[#This Row],[DA]],"")</f>
        <v/>
      </c>
    </row>
    <row r="100" spans="1:42" ht="15" customHeight="1" x14ac:dyDescent="0.2">
      <c r="A100" s="3" t="s">
        <v>155</v>
      </c>
      <c r="B100" s="3" t="s">
        <v>145</v>
      </c>
      <c r="C100" s="3" t="s">
        <v>156</v>
      </c>
      <c r="L100" s="4"/>
      <c r="M100" s="4"/>
      <c r="N100" s="4"/>
      <c r="O100" s="5" t="str">
        <f t="shared" si="12"/>
        <v/>
      </c>
      <c r="P100" s="5" t="str">
        <f t="shared" si="13"/>
        <v/>
      </c>
      <c r="Q100" s="5" t="str">
        <f t="shared" si="14"/>
        <v/>
      </c>
      <c r="R100" s="5" t="s">
        <v>166</v>
      </c>
      <c r="S100" s="5" t="s">
        <v>166</v>
      </c>
      <c r="T100" s="5" t="str">
        <f t="shared" si="15"/>
        <v/>
      </c>
      <c r="U100" s="5" t="str">
        <f t="shared" si="16"/>
        <v/>
      </c>
      <c r="V100" s="5" t="str">
        <f>IF($E$4="Embrousaillement",Tableau182985[[#This Row],[SOL]],"")</f>
        <v/>
      </c>
      <c r="W100" s="5" t="str">
        <f>IF($E$4="Embrousaillement",Tableau182985[[#This Row],[L]],"")</f>
        <v/>
      </c>
      <c r="X100" s="5" t="s">
        <v>166</v>
      </c>
      <c r="Y100" s="5" t="str">
        <f t="shared" si="17"/>
        <v/>
      </c>
      <c r="Z100" s="5" t="str">
        <f t="shared" si="18"/>
        <v/>
      </c>
      <c r="AA100" s="5" t="str">
        <f t="shared" si="19"/>
        <v/>
      </c>
      <c r="AB100" s="5" t="s">
        <v>166</v>
      </c>
      <c r="AC100" s="5" t="s">
        <v>166</v>
      </c>
      <c r="AD100" s="5" t="str">
        <f t="shared" si="20"/>
        <v/>
      </c>
      <c r="AE100" s="5" t="s">
        <v>166</v>
      </c>
      <c r="AF100" s="5" t="s">
        <v>166</v>
      </c>
      <c r="AG100" s="5" t="str">
        <f t="shared" si="21"/>
        <v/>
      </c>
      <c r="AH100" s="5" t="s">
        <v>166</v>
      </c>
      <c r="AI100" s="5" t="s">
        <v>166</v>
      </c>
      <c r="AJ100" s="5" t="str">
        <f t="shared" si="22"/>
        <v/>
      </c>
      <c r="AK100" s="5" t="str">
        <f t="shared" si="23"/>
        <v/>
      </c>
      <c r="AL100" s="7" t="str">
        <f>IF(Tableau182985[[#This Row],[Age]]&lt;&gt;"",IF(Tableau182985[[#This Row],[Age]]=0,$AT$10*$B$10+SUMIF($AS$21:$AS$29,Tableau182985[[#This Row],[Age]],$AU$21:$AU$29)*$B$10+$AT$11*$B$10,SUMIF($AS$21:$AS$29,Tableau182985[[#This Row],[Age]],$AU$21:$AU$29)*$B$10+$AT$11*$B$10),"")</f>
        <v/>
      </c>
      <c r="AM100" s="7" t="str">
        <f>IF(Tableau182985[[#This Row],[Age]]&lt;&gt;"",IF(Tableau182985[[#This Row],[Age]]=$B$11,$AT$10*$B$10,0)+Tableau182985[[#This Row],[VBO]]*$AX$21*$B$10+Tableau182985[[#This Row],[VBI]]*$AX$22*$B$10+Tableau182985[[#This Row],[VBE]]*$AX$23*$B$10,"")</f>
        <v/>
      </c>
      <c r="AN100" s="7" t="s">
        <v>166</v>
      </c>
      <c r="AO100" s="7" t="s">
        <v>166</v>
      </c>
      <c r="AP100" s="7" t="str">
        <f>IF(Tableau182985[[#This Row],[Age]]&lt;&gt;"",Tableau182985[[#This Row],[RA]]-Tableau182985[[#This Row],[DA]],"")</f>
        <v/>
      </c>
    </row>
    <row r="101" spans="1:42" ht="15" customHeight="1" x14ac:dyDescent="0.2">
      <c r="A101" s="3" t="s">
        <v>157</v>
      </c>
      <c r="B101" s="3" t="s">
        <v>145</v>
      </c>
      <c r="C101" s="3" t="s">
        <v>158</v>
      </c>
      <c r="L101" s="4"/>
      <c r="M101" s="4"/>
      <c r="N101" s="4"/>
      <c r="O101" s="5" t="str">
        <f t="shared" si="12"/>
        <v/>
      </c>
      <c r="P101" s="5" t="str">
        <f t="shared" si="13"/>
        <v/>
      </c>
      <c r="Q101" s="5" t="str">
        <f t="shared" si="14"/>
        <v/>
      </c>
      <c r="R101" s="5" t="s">
        <v>166</v>
      </c>
      <c r="S101" s="5" t="s">
        <v>166</v>
      </c>
      <c r="T101" s="5" t="str">
        <f t="shared" si="15"/>
        <v/>
      </c>
      <c r="U101" s="5" t="str">
        <f t="shared" si="16"/>
        <v/>
      </c>
      <c r="V101" s="5" t="str">
        <f>IF($E$4="Embrousaillement",Tableau182985[[#This Row],[SOL]],"")</f>
        <v/>
      </c>
      <c r="W101" s="5" t="str">
        <f>IF($E$4="Embrousaillement",Tableau182985[[#This Row],[L]],"")</f>
        <v/>
      </c>
      <c r="X101" s="5" t="s">
        <v>166</v>
      </c>
      <c r="Y101" s="5" t="str">
        <f t="shared" si="17"/>
        <v/>
      </c>
      <c r="Z101" s="5" t="str">
        <f t="shared" si="18"/>
        <v/>
      </c>
      <c r="AA101" s="5" t="str">
        <f t="shared" si="19"/>
        <v/>
      </c>
      <c r="AB101" s="5" t="s">
        <v>166</v>
      </c>
      <c r="AC101" s="5" t="s">
        <v>166</v>
      </c>
      <c r="AD101" s="5" t="str">
        <f t="shared" si="20"/>
        <v/>
      </c>
      <c r="AE101" s="5" t="s">
        <v>166</v>
      </c>
      <c r="AF101" s="5" t="s">
        <v>166</v>
      </c>
      <c r="AG101" s="5" t="str">
        <f t="shared" si="21"/>
        <v/>
      </c>
      <c r="AH101" s="5" t="s">
        <v>166</v>
      </c>
      <c r="AI101" s="5" t="s">
        <v>166</v>
      </c>
      <c r="AJ101" s="5" t="str">
        <f t="shared" si="22"/>
        <v/>
      </c>
      <c r="AK101" s="5" t="str">
        <f t="shared" si="23"/>
        <v/>
      </c>
      <c r="AL101" s="7" t="str">
        <f>IF(Tableau182985[[#This Row],[Age]]&lt;&gt;"",IF(Tableau182985[[#This Row],[Age]]=0,$AT$10*$B$10+SUMIF($AS$21:$AS$29,Tableau182985[[#This Row],[Age]],$AU$21:$AU$29)*$B$10+$AT$11*$B$10,SUMIF($AS$21:$AS$29,Tableau182985[[#This Row],[Age]],$AU$21:$AU$29)*$B$10+$AT$11*$B$10),"")</f>
        <v/>
      </c>
      <c r="AM101" s="7" t="str">
        <f>IF(Tableau182985[[#This Row],[Age]]&lt;&gt;"",IF(Tableau182985[[#This Row],[Age]]=$B$11,$AT$10*$B$10,0)+Tableau182985[[#This Row],[VBO]]*$AX$21*$B$10+Tableau182985[[#This Row],[VBI]]*$AX$22*$B$10+Tableau182985[[#This Row],[VBE]]*$AX$23*$B$10,"")</f>
        <v/>
      </c>
      <c r="AN101" s="7" t="s">
        <v>166</v>
      </c>
      <c r="AO101" s="7" t="s">
        <v>166</v>
      </c>
      <c r="AP101" s="7" t="str">
        <f>IF(Tableau182985[[#This Row],[Age]]&lt;&gt;"",Tableau182985[[#This Row],[RA]]-Tableau182985[[#This Row],[DA]],"")</f>
        <v/>
      </c>
    </row>
    <row r="102" spans="1:42" ht="15" customHeight="1" x14ac:dyDescent="0.2">
      <c r="A102" s="3" t="s">
        <v>159</v>
      </c>
      <c r="B102" s="3" t="s">
        <v>145</v>
      </c>
      <c r="C102" s="3" t="s">
        <v>160</v>
      </c>
      <c r="L102" s="4"/>
      <c r="M102" s="4"/>
      <c r="N102" s="4"/>
      <c r="O102" s="5" t="str">
        <f t="shared" si="12"/>
        <v/>
      </c>
      <c r="P102" s="5" t="str">
        <f t="shared" si="13"/>
        <v/>
      </c>
      <c r="Q102" s="5" t="str">
        <f t="shared" si="14"/>
        <v/>
      </c>
      <c r="R102" s="5" t="s">
        <v>166</v>
      </c>
      <c r="S102" s="5" t="s">
        <v>166</v>
      </c>
      <c r="T102" s="5" t="str">
        <f t="shared" si="15"/>
        <v/>
      </c>
      <c r="U102" s="5" t="str">
        <f t="shared" si="16"/>
        <v/>
      </c>
      <c r="V102" s="5" t="str">
        <f>IF($E$4="Embrousaillement",Tableau182985[[#This Row],[SOL]],"")</f>
        <v/>
      </c>
      <c r="W102" s="5" t="str">
        <f>IF($E$4="Embrousaillement",Tableau182985[[#This Row],[L]],"")</f>
        <v/>
      </c>
      <c r="X102" s="5" t="s">
        <v>166</v>
      </c>
      <c r="Y102" s="5" t="str">
        <f t="shared" si="17"/>
        <v/>
      </c>
      <c r="Z102" s="5" t="str">
        <f t="shared" si="18"/>
        <v/>
      </c>
      <c r="AA102" s="5" t="str">
        <f t="shared" si="19"/>
        <v/>
      </c>
      <c r="AB102" s="5" t="s">
        <v>166</v>
      </c>
      <c r="AC102" s="5" t="s">
        <v>166</v>
      </c>
      <c r="AD102" s="5" t="str">
        <f t="shared" si="20"/>
        <v/>
      </c>
      <c r="AE102" s="5" t="s">
        <v>166</v>
      </c>
      <c r="AF102" s="5" t="s">
        <v>166</v>
      </c>
      <c r="AG102" s="5" t="str">
        <f t="shared" si="21"/>
        <v/>
      </c>
      <c r="AH102" s="5" t="s">
        <v>166</v>
      </c>
      <c r="AI102" s="5" t="s">
        <v>166</v>
      </c>
      <c r="AJ102" s="5" t="str">
        <f t="shared" si="22"/>
        <v/>
      </c>
      <c r="AK102" s="5" t="str">
        <f t="shared" si="23"/>
        <v/>
      </c>
      <c r="AL102" s="7" t="str">
        <f>IF(Tableau182985[[#This Row],[Age]]&lt;&gt;"",IF(Tableau182985[[#This Row],[Age]]=0,$AT$10*$B$10+SUMIF($AS$21:$AS$29,Tableau182985[[#This Row],[Age]],$AU$21:$AU$29)*$B$10+$AT$11*$B$10,SUMIF($AS$21:$AS$29,Tableau182985[[#This Row],[Age]],$AU$21:$AU$29)*$B$10+$AT$11*$B$10),"")</f>
        <v/>
      </c>
      <c r="AM102" s="7" t="str">
        <f>IF(Tableau182985[[#This Row],[Age]]&lt;&gt;"",IF(Tableau182985[[#This Row],[Age]]=$B$11,$AT$10*$B$10,0)+Tableau182985[[#This Row],[VBO]]*$AX$21*$B$10+Tableau182985[[#This Row],[VBI]]*$AX$22*$B$10+Tableau182985[[#This Row],[VBE]]*$AX$23*$B$10,"")</f>
        <v/>
      </c>
      <c r="AN102" s="7" t="s">
        <v>166</v>
      </c>
      <c r="AO102" s="7" t="s">
        <v>166</v>
      </c>
      <c r="AP102" s="7" t="str">
        <f>IF(Tableau182985[[#This Row],[Age]]&lt;&gt;"",Tableau182985[[#This Row],[RA]]-Tableau182985[[#This Row],[DA]],"")</f>
        <v/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0D1F5D-6908-4DE2-B691-4D82A5459FB3}">
  <dimension ref="A1:AX107"/>
  <sheetViews>
    <sheetView workbookViewId="0">
      <selection activeCell="B1" sqref="B1"/>
    </sheetView>
  </sheetViews>
  <sheetFormatPr baseColWidth="10" defaultColWidth="14" defaultRowHeight="15" x14ac:dyDescent="0.2"/>
  <cols>
    <col min="1" max="1" width="15.28515625" style="3" customWidth="1"/>
    <col min="2" max="2" width="14" style="3"/>
    <col min="3" max="3" width="7.140625" style="3" customWidth="1"/>
    <col min="4" max="5" width="14" style="3"/>
    <col min="6" max="6" width="7.140625" style="3" customWidth="1"/>
    <col min="7" max="8" width="14" style="3"/>
    <col min="9" max="9" width="7.140625" style="3" customWidth="1"/>
    <col min="10" max="10" width="11.7109375" style="3" customWidth="1"/>
    <col min="11" max="21" width="10.7109375" style="3" customWidth="1"/>
    <col min="22" max="23" width="14" style="3"/>
    <col min="24" max="24" width="10.7109375" style="3" customWidth="1"/>
    <col min="25" max="27" width="14" style="3"/>
    <col min="28" max="28" width="10.7109375" style="3" customWidth="1"/>
    <col min="29" max="29" width="14" style="3"/>
    <col min="30" max="31" width="10.7109375" style="3" customWidth="1"/>
    <col min="32" max="32" width="14" style="3"/>
    <col min="33" max="34" width="10.7109375" style="3" customWidth="1"/>
    <col min="35" max="35" width="14" style="3"/>
    <col min="36" max="42" width="10.7109375" style="3" customWidth="1"/>
    <col min="43" max="43" width="7.140625" style="3" customWidth="1"/>
    <col min="44" max="16384" width="14" style="3"/>
  </cols>
  <sheetData>
    <row r="1" spans="1:49" ht="15" customHeight="1" x14ac:dyDescent="0.25">
      <c r="A1" s="1" t="s">
        <v>0</v>
      </c>
      <c r="B1" s="2">
        <v>5</v>
      </c>
      <c r="K1" s="3" t="s">
        <v>1</v>
      </c>
      <c r="L1" s="3" t="s">
        <v>2</v>
      </c>
      <c r="M1" s="3" t="s">
        <v>3</v>
      </c>
      <c r="N1" s="3" t="s">
        <v>4</v>
      </c>
      <c r="O1" s="3" t="s">
        <v>5</v>
      </c>
      <c r="P1" s="3" t="s">
        <v>6</v>
      </c>
      <c r="Q1" s="3" t="s">
        <v>7</v>
      </c>
      <c r="R1" s="3" t="s">
        <v>8</v>
      </c>
      <c r="S1" s="3" t="s">
        <v>9</v>
      </c>
      <c r="T1" s="3" t="s">
        <v>10</v>
      </c>
      <c r="U1" s="3" t="s">
        <v>11</v>
      </c>
      <c r="V1" s="3" t="s">
        <v>12</v>
      </c>
      <c r="W1" s="3" t="s">
        <v>13</v>
      </c>
      <c r="X1" s="3" t="s">
        <v>14</v>
      </c>
      <c r="Y1" s="3" t="s">
        <v>15</v>
      </c>
      <c r="Z1" s="3" t="s">
        <v>16</v>
      </c>
      <c r="AA1" s="3" t="s">
        <v>17</v>
      </c>
      <c r="AB1" s="3" t="s">
        <v>18</v>
      </c>
      <c r="AC1" s="3" t="s">
        <v>19</v>
      </c>
      <c r="AD1" s="3" t="s">
        <v>20</v>
      </c>
      <c r="AE1" s="3" t="s">
        <v>21</v>
      </c>
      <c r="AF1" s="3" t="s">
        <v>22</v>
      </c>
      <c r="AG1" s="3" t="s">
        <v>23</v>
      </c>
      <c r="AH1" s="3" t="s">
        <v>24</v>
      </c>
      <c r="AI1" s="3" t="s">
        <v>25</v>
      </c>
      <c r="AJ1" s="3" t="s">
        <v>26</v>
      </c>
      <c r="AK1" s="3" t="s">
        <v>27</v>
      </c>
      <c r="AL1" s="3" t="s">
        <v>28</v>
      </c>
      <c r="AM1" s="3" t="s">
        <v>29</v>
      </c>
      <c r="AN1" s="3" t="s">
        <v>30</v>
      </c>
      <c r="AO1" s="3" t="s">
        <v>31</v>
      </c>
      <c r="AP1" s="3" t="s">
        <v>32</v>
      </c>
    </row>
    <row r="2" spans="1:49" ht="15" customHeight="1" x14ac:dyDescent="0.25">
      <c r="K2" s="3">
        <v>0</v>
      </c>
      <c r="L2" s="4">
        <v>0</v>
      </c>
      <c r="M2" s="4">
        <v>0</v>
      </c>
      <c r="N2" s="4">
        <v>0</v>
      </c>
      <c r="O2" s="5">
        <f t="shared" ref="O2:O65" si="0">IF(K2&lt;&gt;"",N2*$B$7*$B$8,"")</f>
        <v>0</v>
      </c>
      <c r="P2" s="5">
        <f t="shared" ref="P2:P65" si="1">IF(K2&lt;&gt;"",IF(O2&gt;0,EXP(-1.0587+0.8836*LN(O2)+0.284),0),"")</f>
        <v>0</v>
      </c>
      <c r="Q2" s="5">
        <f t="shared" ref="Q2:Q65" si="2">IF(K2&lt;&gt;"",45+25*(1-EXP(-0.0175*K2)),"")</f>
        <v>45</v>
      </c>
      <c r="R2" s="5">
        <v>0</v>
      </c>
      <c r="S2" s="5">
        <v>82.5</v>
      </c>
      <c r="T2" s="5" t="str">
        <f t="shared" ref="T2:T65" si="3">IF(AND(K2&lt;=$E$11,K2&lt;&gt;"",K2&gt;0),IF($E$4="Embrousaillement",1*K2*$E$7*$E$8,0),"")</f>
        <v/>
      </c>
      <c r="U2" s="5" t="str">
        <f t="shared" ref="U2:U65" si="4">IF(AND(K2&lt;=$E$11,K2&lt;&gt;"",K2&gt;0),IF($E$4="Embrousaillement",EXP(-1.0587+0.8836*LN(T2)+0.284),0),"")</f>
        <v/>
      </c>
      <c r="V2" s="5" t="str">
        <f>IF($E$4="Embrousaillement",Tableau182986[[#This Row],[SOL]],"")</f>
        <v/>
      </c>
      <c r="W2" s="5" t="str">
        <f>IF($E$4="Embrousaillement",Tableau182986[[#This Row],[L]],"")</f>
        <v/>
      </c>
      <c r="X2" s="5" t="s">
        <v>166</v>
      </c>
      <c r="Y2" s="5">
        <f t="shared" ref="Y2:Y65" si="5">IF(K2&lt;&gt;"",IF(M2&gt;0,IF($K2&gt;=$AT$7,$AU$7,IF(AND($K2&gt;=$AT$6,$K2&lt;$AT$7),$AU$6,IF(AND($K2&gt;=$AT$5,$K2&lt;$AT$6),$AU$5,IF(AND($K2&gt;=$AT$4,$K2&lt;$AT$5),$AU$4,$AU$4))))*M2,0),"")</f>
        <v>0</v>
      </c>
      <c r="Z2" s="5">
        <f t="shared" ref="Z2:Z65" si="6">IF(K2&lt;&gt;"",IF(M2&gt;0,IF($K2&gt;=$AT$7,$AV$7,IF(AND($K2&gt;=$AT$6,$K2&lt;$AT$7),$AV$6,IF(AND($K2&gt;=$AT$5,$K2&lt;$AT$6),$AV$5,IF(AND($K2&gt;=$AT$4,$K2&lt;$AT$5),$AV$4,$AV$4))))*M2,0),"")</f>
        <v>0</v>
      </c>
      <c r="AA2" s="5">
        <f t="shared" ref="AA2:AA65" si="7">IF(K2&lt;&gt;"",IF(M2&gt;0,IF($K2&gt;=$AT$7,$AW$7,IF(AND($K2&gt;=$AT$6,$K2&lt;$AT$7),$AW$6,IF(AND($K2&gt;=$AT$5,$K2&lt;$AT$6),$AW$5,IF(AND($K2&gt;=$AT$4,$K2&lt;$AT$5),$AW$4,$AW$4))))*M2,0),"")</f>
        <v>0</v>
      </c>
      <c r="AB2" s="5">
        <v>0</v>
      </c>
      <c r="AC2" s="5">
        <v>1.980420515885558E-2</v>
      </c>
      <c r="AD2" s="5" t="str">
        <f t="shared" ref="AD2:AD65" si="8">IF(AND(K2&lt;=30,K2&lt;&gt;"",K2&gt;0),EXP(-AC2)*IF(K2=1,0,AD1)+(((1-EXP(-AC2))/AC2)*AB2),"")</f>
        <v/>
      </c>
      <c r="AE2" s="5">
        <v>0</v>
      </c>
      <c r="AF2" s="5">
        <v>2.7725887222397813E-2</v>
      </c>
      <c r="AG2" s="5" t="str">
        <f t="shared" ref="AG2:AG65" si="9">IF(AND(K2&lt;=30,K2&lt;&gt;"",K2&gt;0),EXP(-AF2)*IF(K2=1,0,AG1)+(((1-EXP(-AF2))/AF2)*AE2),"")</f>
        <v/>
      </c>
      <c r="AH2" s="5">
        <v>0</v>
      </c>
      <c r="AI2" s="5">
        <v>0.34657359027997264</v>
      </c>
      <c r="AJ2" s="5" t="str">
        <f t="shared" ref="AJ2:AJ65" si="10">IF(AND(K2&lt;=30,K2&lt;&gt;"",K2&gt;0),EXP(-AI2)*IF(K2=1,0,AJ1)+(((1-EXP(-AI2))/AI2)*AH2),"")</f>
        <v/>
      </c>
      <c r="AK2" s="5">
        <f t="shared" ref="AK2:AK65" si="11">IF(AND(K2&lt;=30,K2&lt;&gt;""),SUM(Y2:AA2)*$B$10,"")</f>
        <v>0</v>
      </c>
      <c r="AL2" s="6">
        <f>IF(Tableau182986[[#This Row],[Age]]&lt;&gt;"",IF(Tableau182986[[#This Row],[Age]]=0,$AT$10*$B$10+SUMIF($AS$21:$AS$29,Tableau182986[[#This Row],[Age]],$AU$21:$AU$29)*$B$10+$AT$11*$B$10,SUMIF($AS$21:$AS$29,Tableau182986[[#This Row],[Age]],$AU$21:$AU$29)*$B$10+$AT$11*$B$10),"")</f>
        <v>384</v>
      </c>
      <c r="AM2" s="7">
        <f>IF(Tableau182986[[#This Row],[Age]]&lt;&gt;"",IF(Tableau182986[[#This Row],[Age]]=$B$11,$AT$10*$B$10,0)+Tableau182986[[#This Row],[VBO]]*$AX$21*$B$10+Tableau182986[[#This Row],[VBI]]*$AX$22*$B$10+Tableau182986[[#This Row],[VBE]]*$AX$23*$B$10,"")</f>
        <v>0</v>
      </c>
      <c r="AN2" s="7">
        <v>384</v>
      </c>
      <c r="AO2" s="7">
        <v>0</v>
      </c>
      <c r="AP2" s="7">
        <f>IF(Tableau182986[[#This Row],[Age]]&lt;&gt;"",Tableau182986[[#This Row],[RA]]-Tableau182986[[#This Row],[DA]],"")</f>
        <v>-384</v>
      </c>
      <c r="AS2" s="1" t="s">
        <v>33</v>
      </c>
    </row>
    <row r="3" spans="1:49" ht="15" customHeight="1" x14ac:dyDescent="0.25">
      <c r="A3" s="1" t="s">
        <v>34</v>
      </c>
      <c r="D3" s="1" t="s">
        <v>35</v>
      </c>
      <c r="K3" s="3">
        <v>1</v>
      </c>
      <c r="L3" s="4">
        <v>2.9333333333333331</v>
      </c>
      <c r="M3" s="4">
        <v>0</v>
      </c>
      <c r="N3" s="4">
        <v>2.9333333333333331</v>
      </c>
      <c r="O3" s="5">
        <f t="shared" si="0"/>
        <v>1.3727999999999998</v>
      </c>
      <c r="P3" s="5">
        <f t="shared" si="1"/>
        <v>0.60973601645054265</v>
      </c>
      <c r="Q3" s="5">
        <f t="shared" si="2"/>
        <v>45.433694108373167</v>
      </c>
      <c r="R3" s="5">
        <v>0.33333333333333331</v>
      </c>
      <c r="S3" s="5">
        <v>85.632675424120933</v>
      </c>
      <c r="T3" s="5">
        <f t="shared" si="3"/>
        <v>0</v>
      </c>
      <c r="U3" s="5">
        <f t="shared" si="4"/>
        <v>0</v>
      </c>
      <c r="V3" s="5" t="str">
        <f>IF($E$4="Embrousaillement",Tableau182986[[#This Row],[SOL]],"")</f>
        <v/>
      </c>
      <c r="W3" s="5" t="str">
        <f>IF($E$4="Embrousaillement",Tableau182986[[#This Row],[L]],"")</f>
        <v/>
      </c>
      <c r="X3" s="5">
        <v>9.1666666666666661</v>
      </c>
      <c r="Y3" s="5">
        <f t="shared" si="5"/>
        <v>0</v>
      </c>
      <c r="Z3" s="5">
        <f t="shared" si="6"/>
        <v>0</v>
      </c>
      <c r="AA3" s="5">
        <f t="shared" si="7"/>
        <v>0</v>
      </c>
      <c r="AB3" s="5">
        <v>0</v>
      </c>
      <c r="AC3" s="5">
        <v>1.980420515885558E-2</v>
      </c>
      <c r="AD3" s="5">
        <f t="shared" si="8"/>
        <v>0</v>
      </c>
      <c r="AE3" s="5">
        <v>0</v>
      </c>
      <c r="AF3" s="5">
        <v>2.7725887222397813E-2</v>
      </c>
      <c r="AG3" s="5">
        <f t="shared" si="9"/>
        <v>0</v>
      </c>
      <c r="AH3" s="5">
        <v>0</v>
      </c>
      <c r="AI3" s="5">
        <v>0.34657359027997264</v>
      </c>
      <c r="AJ3" s="5">
        <f t="shared" si="10"/>
        <v>0</v>
      </c>
      <c r="AK3" s="5">
        <f t="shared" si="11"/>
        <v>0</v>
      </c>
      <c r="AL3" s="6">
        <f>IF(Tableau182986[[#This Row],[Age]]&lt;&gt;"",IF(Tableau182986[[#This Row],[Age]]=0,$AT$10*$B$10+SUMIF($AS$21:$AS$29,Tableau182986[[#This Row],[Age]],$AU$21:$AU$29)*$B$10+$AT$11*$B$10,SUMIF($AS$21:$AS$29,Tableau182986[[#This Row],[Age]],$AU$21:$AU$29)*$B$10+$AT$11*$B$10),"")</f>
        <v>2513</v>
      </c>
      <c r="AM3" s="7">
        <f>IF(Tableau182986[[#This Row],[Age]]&lt;&gt;"",IF(Tableau182986[[#This Row],[Age]]=$B$11,$AT$10*$B$10,0)+Tableau182986[[#This Row],[VBO]]*$AX$21*$B$10+Tableau182986[[#This Row],[VBI]]*$AX$22*$B$10+Tableau182986[[#This Row],[VBE]]*$AX$23*$B$10,"")</f>
        <v>0</v>
      </c>
      <c r="AN3" s="7">
        <v>2404.7846889952157</v>
      </c>
      <c r="AO3" s="7">
        <v>0</v>
      </c>
      <c r="AP3" s="7">
        <f>IF(Tableau182986[[#This Row],[Age]]&lt;&gt;"",Tableau182986[[#This Row],[RA]]-Tableau182986[[#This Row],[DA]],"")</f>
        <v>-2404.7846889952157</v>
      </c>
      <c r="AS3" s="8" t="s">
        <v>36</v>
      </c>
      <c r="AT3" s="8" t="s">
        <v>1</v>
      </c>
      <c r="AU3" s="8" t="s">
        <v>37</v>
      </c>
      <c r="AV3" s="8" t="s">
        <v>38</v>
      </c>
      <c r="AW3" s="8" t="s">
        <v>39</v>
      </c>
    </row>
    <row r="4" spans="1:49" ht="15" customHeight="1" x14ac:dyDescent="0.2">
      <c r="A4" s="3" t="s">
        <v>40</v>
      </c>
      <c r="B4" s="9" t="s">
        <v>164</v>
      </c>
      <c r="D4" s="3" t="s">
        <v>42</v>
      </c>
      <c r="E4" s="9" t="s">
        <v>43</v>
      </c>
      <c r="K4" s="3">
        <v>2</v>
      </c>
      <c r="L4" s="4">
        <v>5.8666666666666663</v>
      </c>
      <c r="M4" s="4">
        <v>0</v>
      </c>
      <c r="N4" s="4">
        <v>5.8666666666666663</v>
      </c>
      <c r="O4" s="5">
        <f t="shared" si="0"/>
        <v>2.7455999999999996</v>
      </c>
      <c r="P4" s="5">
        <f t="shared" si="1"/>
        <v>1.1249467186594948</v>
      </c>
      <c r="Q4" s="5">
        <f t="shared" si="2"/>
        <v>45.859864593560836</v>
      </c>
      <c r="R4" s="5">
        <v>0.66666666666666663</v>
      </c>
      <c r="S4" s="5">
        <v>88.669241744583047</v>
      </c>
      <c r="T4" s="5">
        <f t="shared" si="3"/>
        <v>0</v>
      </c>
      <c r="U4" s="5">
        <f t="shared" si="4"/>
        <v>0</v>
      </c>
      <c r="V4" s="5" t="str">
        <f>IF($E$4="Embrousaillement",Tableau182986[[#This Row],[SOL]],"")</f>
        <v/>
      </c>
      <c r="W4" s="5" t="str">
        <f>IF($E$4="Embrousaillement",Tableau182986[[#This Row],[L]],"")</f>
        <v/>
      </c>
      <c r="X4" s="5">
        <v>9.1666666666666661</v>
      </c>
      <c r="Y4" s="5">
        <f t="shared" si="5"/>
        <v>0</v>
      </c>
      <c r="Z4" s="5">
        <f t="shared" si="6"/>
        <v>0</v>
      </c>
      <c r="AA4" s="5">
        <f t="shared" si="7"/>
        <v>0</v>
      </c>
      <c r="AB4" s="5">
        <v>0</v>
      </c>
      <c r="AC4" s="5">
        <v>1.980420515885558E-2</v>
      </c>
      <c r="AD4" s="5">
        <f t="shared" si="8"/>
        <v>0</v>
      </c>
      <c r="AE4" s="5">
        <v>0</v>
      </c>
      <c r="AF4" s="5">
        <v>2.7725887222397813E-2</v>
      </c>
      <c r="AG4" s="5">
        <f t="shared" si="9"/>
        <v>0</v>
      </c>
      <c r="AH4" s="5">
        <v>0</v>
      </c>
      <c r="AI4" s="5">
        <v>0.34657359027997264</v>
      </c>
      <c r="AJ4" s="5">
        <f t="shared" si="10"/>
        <v>0</v>
      </c>
      <c r="AK4" s="5">
        <f t="shared" si="11"/>
        <v>0</v>
      </c>
      <c r="AL4" s="6">
        <f>IF(Tableau182986[[#This Row],[Age]]&lt;&gt;"",IF(Tableau182986[[#This Row],[Age]]=0,$AT$10*$B$10+SUMIF($AS$21:$AS$29,Tableau182986[[#This Row],[Age]],$AU$21:$AU$29)*$B$10+$AT$11*$B$10,SUMIF($AS$21:$AS$29,Tableau182986[[#This Row],[Age]],$AU$21:$AU$29)*$B$10+$AT$11*$B$10),"")</f>
        <v>134</v>
      </c>
      <c r="AM4" s="7">
        <f>IF(Tableau182986[[#This Row],[Age]]&lt;&gt;"",IF(Tableau182986[[#This Row],[Age]]=$B$11,$AT$10*$B$10,0)+Tableau182986[[#This Row],[VBO]]*$AX$21*$B$10+Tableau182986[[#This Row],[VBI]]*$AX$22*$B$10+Tableau182986[[#This Row],[VBE]]*$AX$23*$B$10,"")</f>
        <v>0</v>
      </c>
      <c r="AN4" s="7">
        <v>122.70781346580895</v>
      </c>
      <c r="AO4" s="7">
        <v>0</v>
      </c>
      <c r="AP4" s="7">
        <f>IF(Tableau182986[[#This Row],[Age]]&lt;&gt;"",Tableau182986[[#This Row],[RA]]-Tableau182986[[#This Row],[DA]],"")</f>
        <v>-122.70781346580895</v>
      </c>
      <c r="AS4" s="8" t="s">
        <v>44</v>
      </c>
      <c r="AT4" s="8">
        <v>20</v>
      </c>
      <c r="AU4" s="10">
        <v>0</v>
      </c>
      <c r="AV4" s="10">
        <v>1</v>
      </c>
      <c r="AW4" s="10">
        <v>0</v>
      </c>
    </row>
    <row r="5" spans="1:49" ht="15" customHeight="1" x14ac:dyDescent="0.2">
      <c r="A5" s="3" t="s">
        <v>45</v>
      </c>
      <c r="B5" s="9" t="s">
        <v>46</v>
      </c>
      <c r="D5" s="3" t="s">
        <v>40</v>
      </c>
      <c r="E5" s="9"/>
      <c r="G5" s="3" t="s">
        <v>47</v>
      </c>
      <c r="H5" s="9">
        <v>0</v>
      </c>
      <c r="K5" s="3">
        <v>3</v>
      </c>
      <c r="L5" s="4">
        <v>8.7999999999999989</v>
      </c>
      <c r="M5" s="4">
        <v>0</v>
      </c>
      <c r="N5" s="4">
        <v>8.7999999999999989</v>
      </c>
      <c r="O5" s="5">
        <f t="shared" si="0"/>
        <v>4.1183999999999994</v>
      </c>
      <c r="P5" s="5">
        <f t="shared" si="1"/>
        <v>1.6096304892423678</v>
      </c>
      <c r="Q5" s="5">
        <f t="shared" si="2"/>
        <v>46.278641973604969</v>
      </c>
      <c r="R5" s="5">
        <v>1</v>
      </c>
      <c r="S5" s="5">
        <v>91.665670169324329</v>
      </c>
      <c r="T5" s="5">
        <f t="shared" si="3"/>
        <v>0</v>
      </c>
      <c r="U5" s="5">
        <f t="shared" si="4"/>
        <v>0</v>
      </c>
      <c r="V5" s="5" t="str">
        <f>IF($E$4="Embrousaillement",Tableau182986[[#This Row],[SOL]],"")</f>
        <v/>
      </c>
      <c r="W5" s="5" t="str">
        <f>IF($E$4="Embrousaillement",Tableau182986[[#This Row],[L]],"")</f>
        <v/>
      </c>
      <c r="X5" s="5">
        <v>9.1666666666666661</v>
      </c>
      <c r="Y5" s="5">
        <f t="shared" si="5"/>
        <v>0</v>
      </c>
      <c r="Z5" s="5">
        <f t="shared" si="6"/>
        <v>0</v>
      </c>
      <c r="AA5" s="5">
        <f t="shared" si="7"/>
        <v>0</v>
      </c>
      <c r="AB5" s="5">
        <v>0</v>
      </c>
      <c r="AC5" s="5">
        <v>1.980420515885558E-2</v>
      </c>
      <c r="AD5" s="5">
        <f t="shared" si="8"/>
        <v>0</v>
      </c>
      <c r="AE5" s="5">
        <v>0</v>
      </c>
      <c r="AF5" s="5">
        <v>2.7725887222397813E-2</v>
      </c>
      <c r="AG5" s="5">
        <f t="shared" si="9"/>
        <v>0</v>
      </c>
      <c r="AH5" s="5">
        <v>0</v>
      </c>
      <c r="AI5" s="5">
        <v>0.34657359027997264</v>
      </c>
      <c r="AJ5" s="5">
        <f t="shared" si="10"/>
        <v>0</v>
      </c>
      <c r="AK5" s="5">
        <f t="shared" si="11"/>
        <v>0</v>
      </c>
      <c r="AL5" s="6">
        <f>IF(Tableau182986[[#This Row],[Age]]&lt;&gt;"",IF(Tableau182986[[#This Row],[Age]]=0,$AT$10*$B$10+SUMIF($AS$21:$AS$29,Tableau182986[[#This Row],[Age]],$AU$21:$AU$29)*$B$10+$AT$11*$B$10,SUMIF($AS$21:$AS$29,Tableau182986[[#This Row],[Age]],$AU$21:$AU$29)*$B$10+$AT$11*$B$10),"")</f>
        <v>184</v>
      </c>
      <c r="AM5" s="7">
        <f>IF(Tableau182986[[#This Row],[Age]]&lt;&gt;"",IF(Tableau182986[[#This Row],[Age]]=$B$11,$AT$10*$B$10,0)+Tableau182986[[#This Row],[VBO]]*$AX$21*$B$10+Tableau182986[[#This Row],[VBI]]*$AX$22*$B$10+Tableau182986[[#This Row],[VBE]]*$AX$23*$B$10,"")</f>
        <v>0</v>
      </c>
      <c r="AN5" s="7">
        <v>161.23857514610333</v>
      </c>
      <c r="AO5" s="7">
        <v>0</v>
      </c>
      <c r="AP5" s="7">
        <f>IF(Tableau182986[[#This Row],[Age]]&lt;&gt;"",Tableau182986[[#This Row],[RA]]-Tableau182986[[#This Row],[DA]],"")</f>
        <v>-161.23857514610333</v>
      </c>
      <c r="AS5" s="8" t="s">
        <v>48</v>
      </c>
      <c r="AT5" s="8">
        <v>40</v>
      </c>
      <c r="AU5" s="10">
        <v>0.5</v>
      </c>
      <c r="AV5" s="10">
        <v>0.5</v>
      </c>
      <c r="AW5" s="10">
        <v>0</v>
      </c>
    </row>
    <row r="6" spans="1:49" ht="15" customHeight="1" x14ac:dyDescent="0.2">
      <c r="A6" s="3" t="s">
        <v>49</v>
      </c>
      <c r="B6" s="3" t="s">
        <v>170</v>
      </c>
      <c r="D6" s="3" t="s">
        <v>49</v>
      </c>
      <c r="K6" s="3">
        <v>4</v>
      </c>
      <c r="L6" s="4">
        <v>11.733333333333333</v>
      </c>
      <c r="M6" s="4">
        <v>0</v>
      </c>
      <c r="N6" s="4">
        <v>11.733333333333333</v>
      </c>
      <c r="O6" s="5">
        <f t="shared" si="0"/>
        <v>5.4911999999999992</v>
      </c>
      <c r="P6" s="5">
        <f t="shared" si="1"/>
        <v>2.0754967488875793</v>
      </c>
      <c r="Q6" s="5">
        <f t="shared" si="2"/>
        <v>46.690154502351291</v>
      </c>
      <c r="R6" s="5">
        <v>1.3333333333333333</v>
      </c>
      <c r="S6" s="5">
        <v>94.632392784244743</v>
      </c>
      <c r="T6" s="5">
        <f t="shared" si="3"/>
        <v>0</v>
      </c>
      <c r="U6" s="5">
        <f t="shared" si="4"/>
        <v>0</v>
      </c>
      <c r="V6" s="5" t="str">
        <f>IF($E$4="Embrousaillement",Tableau182986[[#This Row],[SOL]],"")</f>
        <v/>
      </c>
      <c r="W6" s="5" t="str">
        <f>IF($E$4="Embrousaillement",Tableau182986[[#This Row],[L]],"")</f>
        <v/>
      </c>
      <c r="X6" s="5">
        <v>9.1666666666666661</v>
      </c>
      <c r="Y6" s="5">
        <f t="shared" si="5"/>
        <v>0</v>
      </c>
      <c r="Z6" s="5">
        <f t="shared" si="6"/>
        <v>0</v>
      </c>
      <c r="AA6" s="5">
        <f t="shared" si="7"/>
        <v>0</v>
      </c>
      <c r="AB6" s="5">
        <v>0</v>
      </c>
      <c r="AC6" s="5">
        <v>1.980420515885558E-2</v>
      </c>
      <c r="AD6" s="5">
        <f t="shared" si="8"/>
        <v>0</v>
      </c>
      <c r="AE6" s="5">
        <v>0</v>
      </c>
      <c r="AF6" s="5">
        <v>2.7725887222397813E-2</v>
      </c>
      <c r="AG6" s="5">
        <f t="shared" si="9"/>
        <v>0</v>
      </c>
      <c r="AH6" s="5">
        <v>0</v>
      </c>
      <c r="AI6" s="5">
        <v>0.34657359027997264</v>
      </c>
      <c r="AJ6" s="5">
        <f t="shared" si="10"/>
        <v>0</v>
      </c>
      <c r="AK6" s="5">
        <f t="shared" si="11"/>
        <v>0</v>
      </c>
      <c r="AL6" s="6">
        <f>IF(Tableau182986[[#This Row],[Age]]&lt;&gt;"",IF(Tableau182986[[#This Row],[Age]]=0,$AT$10*$B$10+SUMIF($AS$21:$AS$29,Tableau182986[[#This Row],[Age]],$AU$21:$AU$29)*$B$10+$AT$11*$B$10,SUMIF($AS$21:$AS$29,Tableau182986[[#This Row],[Age]],$AU$21:$AU$29)*$B$10+$AT$11*$B$10),"")</f>
        <v>134</v>
      </c>
      <c r="AM6" s="7">
        <f>IF(Tableau182986[[#This Row],[Age]]&lt;&gt;"",IF(Tableau182986[[#This Row],[Age]]=$B$11,$AT$10*$B$10,0)+Tableau182986[[#This Row],[VBO]]*$AX$21*$B$10+Tableau182986[[#This Row],[VBI]]*$AX$22*$B$10+Tableau182986[[#This Row],[VBE]]*$AX$23*$B$10,"")</f>
        <v>0</v>
      </c>
      <c r="AN6" s="7">
        <v>112.3672200414908</v>
      </c>
      <c r="AO6" s="7">
        <v>0</v>
      </c>
      <c r="AP6" s="7">
        <f>IF(Tableau182986[[#This Row],[Age]]&lt;&gt;"",Tableau182986[[#This Row],[RA]]-Tableau182986[[#This Row],[DA]],"")</f>
        <v>-112.3672200414908</v>
      </c>
      <c r="AS6" s="8" t="s">
        <v>50</v>
      </c>
      <c r="AT6" s="8">
        <v>50</v>
      </c>
      <c r="AU6" s="10">
        <v>0.7</v>
      </c>
      <c r="AV6" s="10">
        <v>0.3</v>
      </c>
      <c r="AW6" s="10">
        <v>0</v>
      </c>
    </row>
    <row r="7" spans="1:49" ht="15" customHeight="1" x14ac:dyDescent="0.2">
      <c r="A7" s="3" t="s">
        <v>51</v>
      </c>
      <c r="B7" s="3">
        <v>0.36</v>
      </c>
      <c r="D7" s="3" t="s">
        <v>51</v>
      </c>
      <c r="K7" s="3">
        <v>5</v>
      </c>
      <c r="L7" s="4">
        <v>14.666666666666666</v>
      </c>
      <c r="M7" s="4">
        <v>0</v>
      </c>
      <c r="N7" s="4">
        <v>14.666666666666666</v>
      </c>
      <c r="O7" s="5">
        <f t="shared" si="0"/>
        <v>6.863999999999999</v>
      </c>
      <c r="P7" s="5">
        <f t="shared" si="1"/>
        <v>2.5278525909113121</v>
      </c>
      <c r="Q7" s="5">
        <f t="shared" si="2"/>
        <v>47.094528208728065</v>
      </c>
      <c r="R7" s="5">
        <v>1.6666666666666665</v>
      </c>
      <c r="S7" s="5">
        <v>97.57426223614226</v>
      </c>
      <c r="T7" s="5">
        <f t="shared" si="3"/>
        <v>0</v>
      </c>
      <c r="U7" s="5">
        <f t="shared" si="4"/>
        <v>0</v>
      </c>
      <c r="V7" s="5" t="str">
        <f>IF($E$4="Embrousaillement",Tableau182986[[#This Row],[SOL]],"")</f>
        <v/>
      </c>
      <c r="W7" s="5" t="str">
        <f>IF($E$4="Embrousaillement",Tableau182986[[#This Row],[L]],"")</f>
        <v/>
      </c>
      <c r="X7" s="5">
        <v>9.1666666666666661</v>
      </c>
      <c r="Y7" s="5">
        <f t="shared" si="5"/>
        <v>0</v>
      </c>
      <c r="Z7" s="5">
        <f t="shared" si="6"/>
        <v>0</v>
      </c>
      <c r="AA7" s="5">
        <f t="shared" si="7"/>
        <v>0</v>
      </c>
      <c r="AB7" s="5">
        <v>0</v>
      </c>
      <c r="AC7" s="5">
        <v>1.980420515885558E-2</v>
      </c>
      <c r="AD7" s="5">
        <f t="shared" si="8"/>
        <v>0</v>
      </c>
      <c r="AE7" s="5">
        <v>0</v>
      </c>
      <c r="AF7" s="5">
        <v>2.7725887222397813E-2</v>
      </c>
      <c r="AG7" s="5">
        <f t="shared" si="9"/>
        <v>0</v>
      </c>
      <c r="AH7" s="5">
        <v>0</v>
      </c>
      <c r="AI7" s="5">
        <v>0.34657359027997264</v>
      </c>
      <c r="AJ7" s="5">
        <f t="shared" si="10"/>
        <v>0</v>
      </c>
      <c r="AK7" s="5">
        <f t="shared" si="11"/>
        <v>0</v>
      </c>
      <c r="AL7" s="6">
        <f>IF(Tableau182986[[#This Row],[Age]]&lt;&gt;"",IF(Tableau182986[[#This Row],[Age]]=0,$AT$10*$B$10+SUMIF($AS$21:$AS$29,Tableau182986[[#This Row],[Age]],$AU$21:$AU$29)*$B$10+$AT$11*$B$10,SUMIF($AS$21:$AS$29,Tableau182986[[#This Row],[Age]],$AU$21:$AU$29)*$B$10+$AT$11*$B$10),"")</f>
        <v>9</v>
      </c>
      <c r="AM7" s="7">
        <f>IF(Tableau182986[[#This Row],[Age]]&lt;&gt;"",IF(Tableau182986[[#This Row],[Age]]=$B$11,$AT$10*$B$10,0)+Tableau182986[[#This Row],[VBO]]*$AX$21*$B$10+Tableau182986[[#This Row],[VBI]]*$AX$22*$B$10+Tableau182986[[#This Row],[VBE]]*$AX$23*$B$10,"")</f>
        <v>0</v>
      </c>
      <c r="AN7" s="7">
        <v>7.2220594185061566</v>
      </c>
      <c r="AO7" s="7">
        <v>0</v>
      </c>
      <c r="AP7" s="7">
        <f>IF(Tableau182986[[#This Row],[Age]]&lt;&gt;"",Tableau182986[[#This Row],[RA]]-Tableau182986[[#This Row],[DA]],"")</f>
        <v>-7.2220594185061566</v>
      </c>
      <c r="AS7" s="8" t="s">
        <v>52</v>
      </c>
      <c r="AT7" s="8" t="s">
        <v>166</v>
      </c>
      <c r="AU7" s="10" t="s">
        <v>166</v>
      </c>
      <c r="AV7" s="10" t="s">
        <v>166</v>
      </c>
      <c r="AW7" s="10" t="s">
        <v>166</v>
      </c>
    </row>
    <row r="8" spans="1:49" ht="15" customHeight="1" x14ac:dyDescent="0.2">
      <c r="A8" s="3" t="s">
        <v>53</v>
      </c>
      <c r="B8" s="3">
        <v>1.3</v>
      </c>
      <c r="D8" s="3" t="s">
        <v>53</v>
      </c>
      <c r="K8" s="3">
        <v>6</v>
      </c>
      <c r="L8" s="4">
        <v>17.599999999999998</v>
      </c>
      <c r="M8" s="4">
        <v>0</v>
      </c>
      <c r="N8" s="4">
        <v>17.599999999999998</v>
      </c>
      <c r="O8" s="5">
        <f t="shared" si="0"/>
        <v>8.2367999999999988</v>
      </c>
      <c r="P8" s="5">
        <f t="shared" si="1"/>
        <v>2.9697254029184523</v>
      </c>
      <c r="Q8" s="5">
        <f t="shared" si="2"/>
        <v>47.491886935343359</v>
      </c>
      <c r="R8" s="5">
        <v>2</v>
      </c>
      <c r="S8" s="5">
        <v>100.49414191983763</v>
      </c>
      <c r="T8" s="5">
        <f t="shared" si="3"/>
        <v>0</v>
      </c>
      <c r="U8" s="5">
        <f t="shared" si="4"/>
        <v>0</v>
      </c>
      <c r="V8" s="5" t="str">
        <f>IF($E$4="Embrousaillement",Tableau182986[[#This Row],[SOL]],"")</f>
        <v/>
      </c>
      <c r="W8" s="5" t="str">
        <f>IF($E$4="Embrousaillement",Tableau182986[[#This Row],[L]],"")</f>
        <v/>
      </c>
      <c r="X8" s="5">
        <v>9.1666666666666661</v>
      </c>
      <c r="Y8" s="5">
        <f t="shared" si="5"/>
        <v>0</v>
      </c>
      <c r="Z8" s="5">
        <f t="shared" si="6"/>
        <v>0</v>
      </c>
      <c r="AA8" s="5">
        <f t="shared" si="7"/>
        <v>0</v>
      </c>
      <c r="AB8" s="5">
        <v>0</v>
      </c>
      <c r="AC8" s="5">
        <v>1.980420515885558E-2</v>
      </c>
      <c r="AD8" s="5">
        <f t="shared" si="8"/>
        <v>0</v>
      </c>
      <c r="AE8" s="5">
        <v>0</v>
      </c>
      <c r="AF8" s="5">
        <v>2.7725887222397813E-2</v>
      </c>
      <c r="AG8" s="5">
        <f t="shared" si="9"/>
        <v>0</v>
      </c>
      <c r="AH8" s="5">
        <v>0</v>
      </c>
      <c r="AI8" s="5">
        <v>0.34657359027997264</v>
      </c>
      <c r="AJ8" s="5">
        <f t="shared" si="10"/>
        <v>0</v>
      </c>
      <c r="AK8" s="5">
        <f t="shared" si="11"/>
        <v>0</v>
      </c>
      <c r="AL8" s="7">
        <f>IF(Tableau182986[[#This Row],[Age]]&lt;&gt;"",IF(Tableau182986[[#This Row],[Age]]=0,$AT$10*$B$10+SUMIF($AS$21:$AS$29,Tableau182986[[#This Row],[Age]],$AU$21:$AU$29)*$B$10+$AT$11*$B$10,SUMIF($AS$21:$AS$29,Tableau182986[[#This Row],[Age]],$AU$21:$AU$29)*$B$10+$AT$11*$B$10),"")</f>
        <v>9</v>
      </c>
      <c r="AM8" s="7">
        <f>IF(Tableau182986[[#This Row],[Age]]&lt;&gt;"",IF(Tableau182986[[#This Row],[Age]]=$B$11,$AT$10*$B$10,0)+Tableau182986[[#This Row],[VBO]]*$AX$21*$B$10+Tableau182986[[#This Row],[VBI]]*$AX$22*$B$10+Tableau182986[[#This Row],[VBE]]*$AX$23*$B$10,"")</f>
        <v>0</v>
      </c>
      <c r="AN8" s="7">
        <v>6.9110616445035014</v>
      </c>
      <c r="AO8" s="7">
        <v>0</v>
      </c>
      <c r="AP8" s="7">
        <f>IF(Tableau182986[[#This Row],[Age]]&lt;&gt;"",Tableau182986[[#This Row],[RA]]-Tableau182986[[#This Row],[DA]],"")</f>
        <v>-6.9110616445035014</v>
      </c>
    </row>
    <row r="9" spans="1:49" ht="15" customHeight="1" x14ac:dyDescent="0.25">
      <c r="A9" s="11" t="s">
        <v>54</v>
      </c>
      <c r="B9" s="11">
        <v>0.43</v>
      </c>
      <c r="D9" s="3" t="s">
        <v>55</v>
      </c>
      <c r="E9" s="3">
        <f>E11*1</f>
        <v>105</v>
      </c>
      <c r="K9" s="3">
        <v>7</v>
      </c>
      <c r="L9" s="4">
        <v>20.533333333333331</v>
      </c>
      <c r="M9" s="4">
        <v>0</v>
      </c>
      <c r="N9" s="4">
        <v>20.533333333333331</v>
      </c>
      <c r="O9" s="5">
        <f t="shared" si="0"/>
        <v>9.6096000000000004</v>
      </c>
      <c r="P9" s="5">
        <f t="shared" si="1"/>
        <v>3.4030668246422207</v>
      </c>
      <c r="Q9" s="5">
        <f t="shared" si="2"/>
        <v>47.882352376412911</v>
      </c>
      <c r="R9" s="5">
        <v>2.333333333333333</v>
      </c>
      <c r="S9" s="5">
        <v>103.39395449432737</v>
      </c>
      <c r="T9" s="5">
        <f t="shared" si="3"/>
        <v>0</v>
      </c>
      <c r="U9" s="5">
        <f t="shared" si="4"/>
        <v>0</v>
      </c>
      <c r="V9" s="5" t="str">
        <f>IF($E$4="Embrousaillement",Tableau182986[[#This Row],[SOL]],"")</f>
        <v/>
      </c>
      <c r="W9" s="5" t="str">
        <f>IF($E$4="Embrousaillement",Tableau182986[[#This Row],[L]],"")</f>
        <v/>
      </c>
      <c r="X9" s="5">
        <v>9.1666666666666661</v>
      </c>
      <c r="Y9" s="5">
        <f t="shared" si="5"/>
        <v>0</v>
      </c>
      <c r="Z9" s="5">
        <f t="shared" si="6"/>
        <v>0</v>
      </c>
      <c r="AA9" s="5">
        <f t="shared" si="7"/>
        <v>0</v>
      </c>
      <c r="AB9" s="5">
        <v>0</v>
      </c>
      <c r="AC9" s="5">
        <v>1.980420515885558E-2</v>
      </c>
      <c r="AD9" s="5">
        <f t="shared" si="8"/>
        <v>0</v>
      </c>
      <c r="AE9" s="5">
        <v>0</v>
      </c>
      <c r="AF9" s="5">
        <v>2.7725887222397813E-2</v>
      </c>
      <c r="AG9" s="5">
        <f t="shared" si="9"/>
        <v>0</v>
      </c>
      <c r="AH9" s="5">
        <v>0</v>
      </c>
      <c r="AI9" s="5">
        <v>0.34657359027997264</v>
      </c>
      <c r="AJ9" s="5">
        <f t="shared" si="10"/>
        <v>0</v>
      </c>
      <c r="AK9" s="5">
        <f t="shared" si="11"/>
        <v>0</v>
      </c>
      <c r="AL9" s="7">
        <f>IF(Tableau182986[[#This Row],[Age]]&lt;&gt;"",IF(Tableau182986[[#This Row],[Age]]=0,$AT$10*$B$10+SUMIF($AS$21:$AS$29,Tableau182986[[#This Row],[Age]],$AU$21:$AU$29)*$B$10+$AT$11*$B$10,SUMIF($AS$21:$AS$29,Tableau182986[[#This Row],[Age]],$AU$21:$AU$29)*$B$10+$AT$11*$B$10),"")</f>
        <v>9</v>
      </c>
      <c r="AM9" s="7">
        <f>IF(Tableau182986[[#This Row],[Age]]&lt;&gt;"",IF(Tableau182986[[#This Row],[Age]]=$B$11,$AT$10*$B$10,0)+Tableau182986[[#This Row],[VBO]]*$AX$21*$B$10+Tableau182986[[#This Row],[VBI]]*$AX$22*$B$10+Tableau182986[[#This Row],[VBE]]*$AX$23*$B$10,"")</f>
        <v>0</v>
      </c>
      <c r="AN9" s="7">
        <v>6.6134561191421062</v>
      </c>
      <c r="AO9" s="7">
        <v>0</v>
      </c>
      <c r="AP9" s="7">
        <f>IF(Tableau182986[[#This Row],[Age]]&lt;&gt;"",Tableau182986[[#This Row],[RA]]-Tableau182986[[#This Row],[DA]],"")</f>
        <v>-6.6134561191421062</v>
      </c>
      <c r="AS9" s="1" t="s">
        <v>56</v>
      </c>
    </row>
    <row r="10" spans="1:49" ht="15" customHeight="1" x14ac:dyDescent="0.2">
      <c r="A10" s="3" t="s">
        <v>57</v>
      </c>
      <c r="B10" s="9">
        <v>0.5</v>
      </c>
      <c r="D10" s="11" t="s">
        <v>58</v>
      </c>
      <c r="E10" s="9"/>
      <c r="K10" s="3">
        <v>8</v>
      </c>
      <c r="L10" s="4">
        <v>23.466666666666665</v>
      </c>
      <c r="M10" s="4">
        <v>0</v>
      </c>
      <c r="N10" s="4">
        <v>23.466666666666665</v>
      </c>
      <c r="O10" s="5">
        <f t="shared" si="0"/>
        <v>10.982399999999998</v>
      </c>
      <c r="P10" s="5">
        <f t="shared" si="1"/>
        <v>3.8292362502074968</v>
      </c>
      <c r="Q10" s="5">
        <f t="shared" si="2"/>
        <v>48.266044115029857</v>
      </c>
      <c r="R10" s="5">
        <v>2.6666666666666665</v>
      </c>
      <c r="S10" s="5">
        <v>106.27510300099931</v>
      </c>
      <c r="T10" s="5">
        <f t="shared" si="3"/>
        <v>0</v>
      </c>
      <c r="U10" s="5">
        <f t="shared" si="4"/>
        <v>0</v>
      </c>
      <c r="V10" s="5" t="str">
        <f>IF($E$4="Embrousaillement",Tableau182986[[#This Row],[SOL]],"")</f>
        <v/>
      </c>
      <c r="W10" s="5" t="str">
        <f>IF($E$4="Embrousaillement",Tableau182986[[#This Row],[L]],"")</f>
        <v/>
      </c>
      <c r="X10" s="5">
        <v>9.1666666666666661</v>
      </c>
      <c r="Y10" s="5">
        <f t="shared" si="5"/>
        <v>0</v>
      </c>
      <c r="Z10" s="5">
        <f t="shared" si="6"/>
        <v>0</v>
      </c>
      <c r="AA10" s="5">
        <f t="shared" si="7"/>
        <v>0</v>
      </c>
      <c r="AB10" s="5">
        <v>0</v>
      </c>
      <c r="AC10" s="5">
        <v>1.980420515885558E-2</v>
      </c>
      <c r="AD10" s="5">
        <f t="shared" si="8"/>
        <v>0</v>
      </c>
      <c r="AE10" s="5">
        <v>0</v>
      </c>
      <c r="AF10" s="5">
        <v>2.7725887222397813E-2</v>
      </c>
      <c r="AG10" s="5">
        <f t="shared" si="9"/>
        <v>0</v>
      </c>
      <c r="AH10" s="5">
        <v>0</v>
      </c>
      <c r="AI10" s="5">
        <v>0.34657359027997264</v>
      </c>
      <c r="AJ10" s="5">
        <f t="shared" si="10"/>
        <v>0</v>
      </c>
      <c r="AK10" s="5">
        <f t="shared" si="11"/>
        <v>0</v>
      </c>
      <c r="AL10" s="7">
        <f>IF(Tableau182986[[#This Row],[Age]]&lt;&gt;"",IF(Tableau182986[[#This Row],[Age]]=0,$AT$10*$B$10+SUMIF($AS$21:$AS$29,Tableau182986[[#This Row],[Age]],$AU$21:$AU$29)*$B$10+$AT$11*$B$10,SUMIF($AS$21:$AS$29,Tableau182986[[#This Row],[Age]],$AU$21:$AU$29)*$B$10+$AT$11*$B$10),"")</f>
        <v>9</v>
      </c>
      <c r="AM10" s="7">
        <f>IF(Tableau182986[[#This Row],[Age]]&lt;&gt;"",IF(Tableau182986[[#This Row],[Age]]=$B$11,$AT$10*$B$10,0)+Tableau182986[[#This Row],[VBO]]*$AX$21*$B$10+Tableau182986[[#This Row],[VBI]]*$AX$22*$B$10+Tableau182986[[#This Row],[VBE]]*$AX$23*$B$10,"")</f>
        <v>0</v>
      </c>
      <c r="AN10" s="7">
        <v>6.3286661427197206</v>
      </c>
      <c r="AO10" s="7">
        <v>0</v>
      </c>
      <c r="AP10" s="7">
        <f>IF(Tableau182986[[#This Row],[Age]]&lt;&gt;"",Tableau182986[[#This Row],[RA]]-Tableau182986[[#This Row],[DA]],"")</f>
        <v>-6.3286661427197206</v>
      </c>
      <c r="AS10" s="3" t="s">
        <v>59</v>
      </c>
      <c r="AT10" s="9">
        <v>0</v>
      </c>
    </row>
    <row r="11" spans="1:49" ht="15" customHeight="1" x14ac:dyDescent="0.2">
      <c r="A11" s="3" t="s">
        <v>60</v>
      </c>
      <c r="B11" s="3">
        <f>MAX(K:K)</f>
        <v>105</v>
      </c>
      <c r="D11" s="3" t="s">
        <v>61</v>
      </c>
      <c r="E11" s="9">
        <f>B11</f>
        <v>105</v>
      </c>
      <c r="K11" s="3">
        <v>9</v>
      </c>
      <c r="L11" s="4">
        <v>26.4</v>
      </c>
      <c r="M11" s="4">
        <v>0</v>
      </c>
      <c r="N11" s="4">
        <v>26.4</v>
      </c>
      <c r="O11" s="5">
        <f t="shared" si="0"/>
        <v>12.3552</v>
      </c>
      <c r="P11" s="5">
        <f t="shared" si="1"/>
        <v>4.2492328515889488</v>
      </c>
      <c r="Q11" s="5">
        <f t="shared" si="2"/>
        <v>48.643079659788015</v>
      </c>
      <c r="R11" s="5">
        <v>3</v>
      </c>
      <c r="S11" s="5">
        <v>109.13867298453674</v>
      </c>
      <c r="T11" s="5">
        <f t="shared" si="3"/>
        <v>0</v>
      </c>
      <c r="U11" s="5">
        <f t="shared" si="4"/>
        <v>0</v>
      </c>
      <c r="V11" s="5" t="str">
        <f>IF($E$4="Embrousaillement",Tableau182986[[#This Row],[SOL]],"")</f>
        <v/>
      </c>
      <c r="W11" s="5" t="str">
        <f>IF($E$4="Embrousaillement",Tableau182986[[#This Row],[L]],"")</f>
        <v/>
      </c>
      <c r="X11" s="5">
        <v>9.1666666666666661</v>
      </c>
      <c r="Y11" s="5">
        <f t="shared" si="5"/>
        <v>0</v>
      </c>
      <c r="Z11" s="5">
        <f t="shared" si="6"/>
        <v>0</v>
      </c>
      <c r="AA11" s="5">
        <f t="shared" si="7"/>
        <v>0</v>
      </c>
      <c r="AB11" s="5">
        <v>0</v>
      </c>
      <c r="AC11" s="5">
        <v>1.980420515885558E-2</v>
      </c>
      <c r="AD11" s="5">
        <f t="shared" si="8"/>
        <v>0</v>
      </c>
      <c r="AE11" s="5">
        <v>0</v>
      </c>
      <c r="AF11" s="5">
        <v>2.7725887222397813E-2</v>
      </c>
      <c r="AG11" s="5">
        <f t="shared" si="9"/>
        <v>0</v>
      </c>
      <c r="AH11" s="5">
        <v>0</v>
      </c>
      <c r="AI11" s="5">
        <v>0.34657359027997264</v>
      </c>
      <c r="AJ11" s="5">
        <f t="shared" si="10"/>
        <v>0</v>
      </c>
      <c r="AK11" s="5">
        <f t="shared" si="11"/>
        <v>0</v>
      </c>
      <c r="AL11" s="7">
        <f>IF(Tableau182986[[#This Row],[Age]]&lt;&gt;"",IF(Tableau182986[[#This Row],[Age]]=0,$AT$10*$B$10+SUMIF($AS$21:$AS$29,Tableau182986[[#This Row],[Age]],$AU$21:$AU$29)*$B$10+$AT$11*$B$10,SUMIF($AS$21:$AS$29,Tableau182986[[#This Row],[Age]],$AU$21:$AU$29)*$B$10+$AT$11*$B$10),"")</f>
        <v>9</v>
      </c>
      <c r="AM11" s="7">
        <f>IF(Tableau182986[[#This Row],[Age]]&lt;&gt;"",IF(Tableau182986[[#This Row],[Age]]=$B$11,$AT$10*$B$10,0)+Tableau182986[[#This Row],[VBO]]*$AX$21*$B$10+Tableau182986[[#This Row],[VBI]]*$AX$22*$B$10+Tableau182986[[#This Row],[VBE]]*$AX$23*$B$10,"")</f>
        <v>0</v>
      </c>
      <c r="AN11" s="7">
        <v>6.0561398494925562</v>
      </c>
      <c r="AO11" s="7">
        <v>0</v>
      </c>
      <c r="AP11" s="7">
        <f>IF(Tableau182986[[#This Row],[Age]]&lt;&gt;"",Tableau182986[[#This Row],[RA]]-Tableau182986[[#This Row],[DA]],"")</f>
        <v>-6.0561398494925562</v>
      </c>
      <c r="AS11" s="3" t="s">
        <v>62</v>
      </c>
      <c r="AT11" s="9">
        <v>18</v>
      </c>
    </row>
    <row r="12" spans="1:49" ht="15" customHeight="1" x14ac:dyDescent="0.2">
      <c r="K12" s="3">
        <v>10</v>
      </c>
      <c r="L12" s="4">
        <v>29.333333333333332</v>
      </c>
      <c r="M12" s="4">
        <v>0</v>
      </c>
      <c r="N12" s="4">
        <v>29.333333333333332</v>
      </c>
      <c r="O12" s="5">
        <f t="shared" si="0"/>
        <v>13.727999999999998</v>
      </c>
      <c r="P12" s="5">
        <f t="shared" si="1"/>
        <v>4.6638207366437294</v>
      </c>
      <c r="Q12" s="5">
        <f t="shared" si="2"/>
        <v>49.013574480769819</v>
      </c>
      <c r="R12" s="5">
        <v>3.333333333333333</v>
      </c>
      <c r="S12" s="5">
        <v>111.98554155068302</v>
      </c>
      <c r="T12" s="5">
        <f t="shared" si="3"/>
        <v>0</v>
      </c>
      <c r="U12" s="5">
        <f t="shared" si="4"/>
        <v>0</v>
      </c>
      <c r="V12" s="5" t="str">
        <f>IF($E$4="Embrousaillement",Tableau182986[[#This Row],[SOL]],"")</f>
        <v/>
      </c>
      <c r="W12" s="5" t="str">
        <f>IF($E$4="Embrousaillement",Tableau182986[[#This Row],[L]],"")</f>
        <v/>
      </c>
      <c r="X12" s="5">
        <v>9.1666666666666661</v>
      </c>
      <c r="Y12" s="5">
        <f t="shared" si="5"/>
        <v>0</v>
      </c>
      <c r="Z12" s="5">
        <f t="shared" si="6"/>
        <v>0</v>
      </c>
      <c r="AA12" s="5">
        <f t="shared" si="7"/>
        <v>0</v>
      </c>
      <c r="AB12" s="5">
        <v>0</v>
      </c>
      <c r="AC12" s="5">
        <v>1.980420515885558E-2</v>
      </c>
      <c r="AD12" s="5">
        <f t="shared" si="8"/>
        <v>0</v>
      </c>
      <c r="AE12" s="5">
        <v>0</v>
      </c>
      <c r="AF12" s="5">
        <v>2.7725887222397813E-2</v>
      </c>
      <c r="AG12" s="5">
        <f t="shared" si="9"/>
        <v>0</v>
      </c>
      <c r="AH12" s="5">
        <v>0</v>
      </c>
      <c r="AI12" s="5">
        <v>0.34657359027997264</v>
      </c>
      <c r="AJ12" s="5">
        <f t="shared" si="10"/>
        <v>0</v>
      </c>
      <c r="AK12" s="5">
        <f t="shared" si="11"/>
        <v>0</v>
      </c>
      <c r="AL12" s="7">
        <f>IF(Tableau182986[[#This Row],[Age]]&lt;&gt;"",IF(Tableau182986[[#This Row],[Age]]=0,$AT$10*$B$10+SUMIF($AS$21:$AS$29,Tableau182986[[#This Row],[Age]],$AU$21:$AU$29)*$B$10+$AT$11*$B$10,SUMIF($AS$21:$AS$29,Tableau182986[[#This Row],[Age]],$AU$21:$AU$29)*$B$10+$AT$11*$B$10),"")</f>
        <v>9</v>
      </c>
      <c r="AM12" s="7">
        <f>IF(Tableau182986[[#This Row],[Age]]&lt;&gt;"",IF(Tableau182986[[#This Row],[Age]]=$B$11,$AT$10*$B$10,0)+Tableau182986[[#This Row],[VBO]]*$AX$21*$B$10+Tableau182986[[#This Row],[VBI]]*$AX$22*$B$10+Tableau182986[[#This Row],[VBE]]*$AX$23*$B$10,"")</f>
        <v>0</v>
      </c>
      <c r="AN12" s="7">
        <v>5.7953491382703897</v>
      </c>
      <c r="AO12" s="7">
        <v>0</v>
      </c>
      <c r="AP12" s="7">
        <f>IF(Tableau182986[[#This Row],[Age]]&lt;&gt;"",Tableau182986[[#This Row],[RA]]-Tableau182986[[#This Row],[DA]],"")</f>
        <v>-5.7953491382703897</v>
      </c>
    </row>
    <row r="13" spans="1:49" ht="15" customHeight="1" x14ac:dyDescent="0.2">
      <c r="K13" s="3">
        <v>11</v>
      </c>
      <c r="L13" s="4">
        <v>32.266666666666666</v>
      </c>
      <c r="M13" s="4">
        <v>0</v>
      </c>
      <c r="N13" s="4">
        <v>32.266666666666666</v>
      </c>
      <c r="O13" s="5">
        <f t="shared" si="0"/>
        <v>15.1008</v>
      </c>
      <c r="P13" s="5">
        <f t="shared" si="1"/>
        <v>5.0736023482816694</v>
      </c>
      <c r="Q13" s="5">
        <f t="shared" si="2"/>
        <v>49.377642044909919</v>
      </c>
      <c r="R13" s="5">
        <v>3.6666666666666665</v>
      </c>
      <c r="S13" s="5">
        <v>114.81644134951902</v>
      </c>
      <c r="T13" s="5">
        <f t="shared" si="3"/>
        <v>0</v>
      </c>
      <c r="U13" s="5">
        <f t="shared" si="4"/>
        <v>0</v>
      </c>
      <c r="V13" s="5" t="str">
        <f>IF($E$4="Embrousaillement",Tableau182986[[#This Row],[SOL]],"")</f>
        <v/>
      </c>
      <c r="W13" s="5" t="str">
        <f>IF($E$4="Embrousaillement",Tableau182986[[#This Row],[L]],"")</f>
        <v/>
      </c>
      <c r="X13" s="5">
        <v>9.1666666666666661</v>
      </c>
      <c r="Y13" s="5">
        <f t="shared" si="5"/>
        <v>0</v>
      </c>
      <c r="Z13" s="5">
        <f t="shared" si="6"/>
        <v>0</v>
      </c>
      <c r="AA13" s="5">
        <f t="shared" si="7"/>
        <v>0</v>
      </c>
      <c r="AB13" s="5">
        <v>0</v>
      </c>
      <c r="AC13" s="5">
        <v>1.980420515885558E-2</v>
      </c>
      <c r="AD13" s="5">
        <f t="shared" si="8"/>
        <v>0</v>
      </c>
      <c r="AE13" s="5">
        <v>0</v>
      </c>
      <c r="AF13" s="5">
        <v>2.7725887222397813E-2</v>
      </c>
      <c r="AG13" s="5">
        <f t="shared" si="9"/>
        <v>0</v>
      </c>
      <c r="AH13" s="5">
        <v>0</v>
      </c>
      <c r="AI13" s="5">
        <v>0.34657359027997264</v>
      </c>
      <c r="AJ13" s="5">
        <f t="shared" si="10"/>
        <v>0</v>
      </c>
      <c r="AK13" s="5">
        <f t="shared" si="11"/>
        <v>0</v>
      </c>
      <c r="AL13" s="7">
        <f>IF(Tableau182986[[#This Row],[Age]]&lt;&gt;"",IF(Tableau182986[[#This Row],[Age]]=0,$AT$10*$B$10+SUMIF($AS$21:$AS$29,Tableau182986[[#This Row],[Age]],$AU$21:$AU$29)*$B$10+$AT$11*$B$10,SUMIF($AS$21:$AS$29,Tableau182986[[#This Row],[Age]],$AU$21:$AU$29)*$B$10+$AT$11*$B$10),"")</f>
        <v>9</v>
      </c>
      <c r="AM13" s="7">
        <f>IF(Tableau182986[[#This Row],[Age]]&lt;&gt;"",IF(Tableau182986[[#This Row],[Age]]=$B$11,$AT$10*$B$10,0)+Tableau182986[[#This Row],[VBO]]*$AX$21*$B$10+Tableau182986[[#This Row],[VBI]]*$AX$22*$B$10+Tableau182986[[#This Row],[VBE]]*$AX$23*$B$10,"")</f>
        <v>0</v>
      </c>
      <c r="AN13" s="7">
        <v>5.5457886490625734</v>
      </c>
      <c r="AO13" s="7">
        <v>0</v>
      </c>
      <c r="AP13" s="7">
        <f>IF(Tableau182986[[#This Row],[Age]]&lt;&gt;"",Tableau182986[[#This Row],[RA]]-Tableau182986[[#This Row],[DA]],"")</f>
        <v>-5.5457886490625734</v>
      </c>
    </row>
    <row r="14" spans="1:49" ht="15" customHeight="1" x14ac:dyDescent="0.2">
      <c r="K14" s="3">
        <v>12</v>
      </c>
      <c r="L14" s="4">
        <v>35.199999999999996</v>
      </c>
      <c r="M14" s="4">
        <v>0</v>
      </c>
      <c r="N14" s="4">
        <v>35.199999999999996</v>
      </c>
      <c r="O14" s="5">
        <f t="shared" si="0"/>
        <v>16.473599999999998</v>
      </c>
      <c r="P14" s="5">
        <f t="shared" si="1"/>
        <v>5.479064311766531</v>
      </c>
      <c r="Q14" s="5">
        <f t="shared" si="2"/>
        <v>49.735393850745325</v>
      </c>
      <c r="R14" s="5">
        <v>4</v>
      </c>
      <c r="S14" s="5">
        <v>117.63200056452978</v>
      </c>
      <c r="T14" s="5">
        <f t="shared" si="3"/>
        <v>0</v>
      </c>
      <c r="U14" s="5">
        <f t="shared" si="4"/>
        <v>0</v>
      </c>
      <c r="V14" s="5" t="str">
        <f>IF($E$4="Embrousaillement",Tableau182986[[#This Row],[SOL]],"")</f>
        <v/>
      </c>
      <c r="W14" s="5" t="str">
        <f>IF($E$4="Embrousaillement",Tableau182986[[#This Row],[L]],"")</f>
        <v/>
      </c>
      <c r="X14" s="5">
        <v>9.1666666666666661</v>
      </c>
      <c r="Y14" s="5">
        <f t="shared" si="5"/>
        <v>0</v>
      </c>
      <c r="Z14" s="5">
        <f t="shared" si="6"/>
        <v>0</v>
      </c>
      <c r="AA14" s="5">
        <f t="shared" si="7"/>
        <v>0</v>
      </c>
      <c r="AB14" s="5">
        <v>0</v>
      </c>
      <c r="AC14" s="5">
        <v>1.980420515885558E-2</v>
      </c>
      <c r="AD14" s="5">
        <f t="shared" si="8"/>
        <v>0</v>
      </c>
      <c r="AE14" s="5">
        <v>0</v>
      </c>
      <c r="AF14" s="5">
        <v>2.7725887222397813E-2</v>
      </c>
      <c r="AG14" s="5">
        <f t="shared" si="9"/>
        <v>0</v>
      </c>
      <c r="AH14" s="5">
        <v>0</v>
      </c>
      <c r="AI14" s="5">
        <v>0.34657359027997264</v>
      </c>
      <c r="AJ14" s="5">
        <f t="shared" si="10"/>
        <v>0</v>
      </c>
      <c r="AK14" s="5">
        <f t="shared" si="11"/>
        <v>0</v>
      </c>
      <c r="AL14" s="7">
        <f>IF(Tableau182986[[#This Row],[Age]]&lt;&gt;"",IF(Tableau182986[[#This Row],[Age]]=0,$AT$10*$B$10+SUMIF($AS$21:$AS$29,Tableau182986[[#This Row],[Age]],$AU$21:$AU$29)*$B$10+$AT$11*$B$10,SUMIF($AS$21:$AS$29,Tableau182986[[#This Row],[Age]],$AU$21:$AU$29)*$B$10+$AT$11*$B$10),"")</f>
        <v>9</v>
      </c>
      <c r="AM14" s="7">
        <f>IF(Tableau182986[[#This Row],[Age]]&lt;&gt;"",IF(Tableau182986[[#This Row],[Age]]=$B$11,$AT$10*$B$10,0)+Tableau182986[[#This Row],[VBO]]*$AX$21*$B$10+Tableau182986[[#This Row],[VBI]]*$AX$22*$B$10+Tableau182986[[#This Row],[VBE]]*$AX$23*$B$10,"")</f>
        <v>0</v>
      </c>
      <c r="AN14" s="7">
        <v>5.3069747837919374</v>
      </c>
      <c r="AO14" s="7">
        <v>0</v>
      </c>
      <c r="AP14" s="7">
        <f>IF(Tableau182986[[#This Row],[Age]]&lt;&gt;"",Tableau182986[[#This Row],[RA]]-Tableau182986[[#This Row],[DA]],"")</f>
        <v>-5.3069747837919374</v>
      </c>
    </row>
    <row r="15" spans="1:49" ht="15" customHeight="1" x14ac:dyDescent="0.25">
      <c r="A15" s="1" t="s">
        <v>63</v>
      </c>
      <c r="B15" s="1" t="s">
        <v>64</v>
      </c>
      <c r="C15" s="1"/>
      <c r="D15" s="1"/>
      <c r="E15" s="1"/>
      <c r="F15" s="1"/>
      <c r="G15" s="1"/>
      <c r="H15" s="1"/>
      <c r="K15" s="3">
        <v>13</v>
      </c>
      <c r="L15" s="4">
        <v>38.133333333333333</v>
      </c>
      <c r="M15" s="4">
        <v>0</v>
      </c>
      <c r="N15" s="4">
        <v>38.133333333333333</v>
      </c>
      <c r="O15" s="5">
        <f t="shared" si="0"/>
        <v>17.846399999999999</v>
      </c>
      <c r="P15" s="5">
        <f t="shared" si="1"/>
        <v>5.880607523247166</v>
      </c>
      <c r="Q15" s="5">
        <f t="shared" si="2"/>
        <v>50.086939462562704</v>
      </c>
      <c r="R15" s="5">
        <v>4.333333333333333</v>
      </c>
      <c r="S15" s="5">
        <v>120.4327691773038</v>
      </c>
      <c r="T15" s="5">
        <f t="shared" si="3"/>
        <v>0</v>
      </c>
      <c r="U15" s="5">
        <f t="shared" si="4"/>
        <v>0</v>
      </c>
      <c r="V15" s="5" t="str">
        <f>IF($E$4="Embrousaillement",Tableau182986[[#This Row],[SOL]],"")</f>
        <v/>
      </c>
      <c r="W15" s="5" t="str">
        <f>IF($E$4="Embrousaillement",Tableau182986[[#This Row],[L]],"")</f>
        <v/>
      </c>
      <c r="X15" s="5">
        <v>9.1666666666666661</v>
      </c>
      <c r="Y15" s="5">
        <f t="shared" si="5"/>
        <v>0</v>
      </c>
      <c r="Z15" s="5">
        <f t="shared" si="6"/>
        <v>0</v>
      </c>
      <c r="AA15" s="5">
        <f t="shared" si="7"/>
        <v>0</v>
      </c>
      <c r="AB15" s="5">
        <v>0</v>
      </c>
      <c r="AC15" s="5">
        <v>1.980420515885558E-2</v>
      </c>
      <c r="AD15" s="5">
        <f t="shared" si="8"/>
        <v>0</v>
      </c>
      <c r="AE15" s="5">
        <v>0</v>
      </c>
      <c r="AF15" s="5">
        <v>2.7725887222397813E-2</v>
      </c>
      <c r="AG15" s="5">
        <f t="shared" si="9"/>
        <v>0</v>
      </c>
      <c r="AH15" s="5">
        <v>0</v>
      </c>
      <c r="AI15" s="5">
        <v>0.34657359027997264</v>
      </c>
      <c r="AJ15" s="5">
        <f t="shared" si="10"/>
        <v>0</v>
      </c>
      <c r="AK15" s="5">
        <f t="shared" si="11"/>
        <v>0</v>
      </c>
      <c r="AL15" s="7">
        <f>IF(Tableau182986[[#This Row],[Age]]&lt;&gt;"",IF(Tableau182986[[#This Row],[Age]]=0,$AT$10*$B$10+SUMIF($AS$21:$AS$29,Tableau182986[[#This Row],[Age]],$AU$21:$AU$29)*$B$10+$AT$11*$B$10,SUMIF($AS$21:$AS$29,Tableau182986[[#This Row],[Age]],$AU$21:$AU$29)*$B$10+$AT$11*$B$10),"")</f>
        <v>9</v>
      </c>
      <c r="AM15" s="7">
        <f>IF(Tableau182986[[#This Row],[Age]]&lt;&gt;"",IF(Tableau182986[[#This Row],[Age]]=$B$11,$AT$10*$B$10,0)+Tableau182986[[#This Row],[VBO]]*$AX$21*$B$10+Tableau182986[[#This Row],[VBI]]*$AX$22*$B$10+Tableau182986[[#This Row],[VBE]]*$AX$23*$B$10,"")</f>
        <v>0</v>
      </c>
      <c r="AN15" s="7">
        <v>5.078444769178887</v>
      </c>
      <c r="AO15" s="7">
        <v>0</v>
      </c>
      <c r="AP15" s="7">
        <f>IF(Tableau182986[[#This Row],[Age]]&lt;&gt;"",Tableau182986[[#This Row],[RA]]-Tableau182986[[#This Row],[DA]],"")</f>
        <v>-5.078444769178887</v>
      </c>
    </row>
    <row r="16" spans="1:49" ht="15" customHeight="1" x14ac:dyDescent="0.2">
      <c r="A16" s="12"/>
      <c r="B16" s="13"/>
      <c r="C16" s="13"/>
      <c r="D16" s="13"/>
      <c r="E16" s="13"/>
      <c r="F16" s="13"/>
      <c r="G16" s="13"/>
      <c r="H16" s="13"/>
      <c r="I16" s="14"/>
      <c r="K16" s="3">
        <v>14</v>
      </c>
      <c r="L16" s="4">
        <v>41.066666666666663</v>
      </c>
      <c r="M16" s="4">
        <v>0</v>
      </c>
      <c r="N16" s="4">
        <v>41.066666666666663</v>
      </c>
      <c r="O16" s="5">
        <f t="shared" si="0"/>
        <v>19.219200000000001</v>
      </c>
      <c r="P16" s="5">
        <f t="shared" si="1"/>
        <v>6.2785676989293835</v>
      </c>
      <c r="Q16" s="5">
        <f t="shared" si="2"/>
        <v>50.432386543953299</v>
      </c>
      <c r="R16" s="5">
        <v>4.6666666666666661</v>
      </c>
      <c r="S16" s="5">
        <v>123.21923692395427</v>
      </c>
      <c r="T16" s="5">
        <f t="shared" si="3"/>
        <v>0</v>
      </c>
      <c r="U16" s="5">
        <f t="shared" si="4"/>
        <v>0</v>
      </c>
      <c r="V16" s="5" t="str">
        <f>IF($E$4="Embrousaillement",Tableau182986[[#This Row],[SOL]],"")</f>
        <v/>
      </c>
      <c r="W16" s="5" t="str">
        <f>IF($E$4="Embrousaillement",Tableau182986[[#This Row],[L]],"")</f>
        <v/>
      </c>
      <c r="X16" s="5">
        <v>9.1666666666666661</v>
      </c>
      <c r="Y16" s="5">
        <f t="shared" si="5"/>
        <v>0</v>
      </c>
      <c r="Z16" s="5">
        <f t="shared" si="6"/>
        <v>0</v>
      </c>
      <c r="AA16" s="5">
        <f t="shared" si="7"/>
        <v>0</v>
      </c>
      <c r="AB16" s="5">
        <v>0</v>
      </c>
      <c r="AC16" s="5">
        <v>1.980420515885558E-2</v>
      </c>
      <c r="AD16" s="5">
        <f t="shared" si="8"/>
        <v>0</v>
      </c>
      <c r="AE16" s="5">
        <v>0</v>
      </c>
      <c r="AF16" s="5">
        <v>2.7725887222397813E-2</v>
      </c>
      <c r="AG16" s="5">
        <f t="shared" si="9"/>
        <v>0</v>
      </c>
      <c r="AH16" s="5">
        <v>0</v>
      </c>
      <c r="AI16" s="5">
        <v>0.34657359027997264</v>
      </c>
      <c r="AJ16" s="5">
        <f t="shared" si="10"/>
        <v>0</v>
      </c>
      <c r="AK16" s="5">
        <f t="shared" si="11"/>
        <v>0</v>
      </c>
      <c r="AL16" s="7">
        <f>IF(Tableau182986[[#This Row],[Age]]&lt;&gt;"",IF(Tableau182986[[#This Row],[Age]]=0,$AT$10*$B$10+SUMIF($AS$21:$AS$29,Tableau182986[[#This Row],[Age]],$AU$21:$AU$29)*$B$10+$AT$11*$B$10,SUMIF($AS$21:$AS$29,Tableau182986[[#This Row],[Age]],$AU$21:$AU$29)*$B$10+$AT$11*$B$10),"")</f>
        <v>9</v>
      </c>
      <c r="AM16" s="7">
        <f>IF(Tableau182986[[#This Row],[Age]]&lt;&gt;"",IF(Tableau182986[[#This Row],[Age]]=$B$11,$AT$10*$B$10,0)+Tableau182986[[#This Row],[VBO]]*$AX$21*$B$10+Tableau182986[[#This Row],[VBI]]*$AX$22*$B$10+Tableau182986[[#This Row],[VBE]]*$AX$23*$B$10,"")</f>
        <v>0</v>
      </c>
      <c r="AN16" s="7">
        <v>4.859755759979798</v>
      </c>
      <c r="AO16" s="7">
        <v>0</v>
      </c>
      <c r="AP16" s="7">
        <f>IF(Tableau182986[[#This Row],[Age]]&lt;&gt;"",Tableau182986[[#This Row],[RA]]-Tableau182986[[#This Row],[DA]],"")</f>
        <v>-4.859755759979798</v>
      </c>
      <c r="AS16" s="3" t="s">
        <v>65</v>
      </c>
      <c r="AT16" s="9"/>
    </row>
    <row r="17" spans="1:50" ht="15" customHeight="1" x14ac:dyDescent="0.2">
      <c r="A17" s="15" t="s">
        <v>66</v>
      </c>
      <c r="B17" s="16">
        <f>AT16*B10+SUM(AP:AP)</f>
        <v>-2550.6174959374548</v>
      </c>
      <c r="I17" s="17"/>
      <c r="K17" s="3">
        <v>15</v>
      </c>
      <c r="L17" s="4">
        <v>44</v>
      </c>
      <c r="M17" s="4">
        <v>0</v>
      </c>
      <c r="N17" s="4">
        <v>44</v>
      </c>
      <c r="O17" s="5">
        <f t="shared" si="0"/>
        <v>20.591999999999999</v>
      </c>
      <c r="P17" s="5">
        <f t="shared" si="1"/>
        <v>6.6732298779519512</v>
      </c>
      <c r="Q17" s="5">
        <f t="shared" si="2"/>
        <v>50.771840890785739</v>
      </c>
      <c r="R17" s="5">
        <v>5</v>
      </c>
      <c r="S17" s="5">
        <v>125.99184598515701</v>
      </c>
      <c r="T17" s="5">
        <f t="shared" si="3"/>
        <v>0</v>
      </c>
      <c r="U17" s="5">
        <f t="shared" si="4"/>
        <v>0</v>
      </c>
      <c r="V17" s="5" t="str">
        <f>IF($E$4="Embrousaillement",Tableau182986[[#This Row],[SOL]],"")</f>
        <v/>
      </c>
      <c r="W17" s="5" t="str">
        <f>IF($E$4="Embrousaillement",Tableau182986[[#This Row],[L]],"")</f>
        <v/>
      </c>
      <c r="X17" s="5">
        <v>9.1666666666666661</v>
      </c>
      <c r="Y17" s="5">
        <f t="shared" si="5"/>
        <v>0</v>
      </c>
      <c r="Z17" s="5">
        <f t="shared" si="6"/>
        <v>0</v>
      </c>
      <c r="AA17" s="5">
        <f t="shared" si="7"/>
        <v>0</v>
      </c>
      <c r="AB17" s="5">
        <v>0</v>
      </c>
      <c r="AC17" s="5">
        <v>1.980420515885558E-2</v>
      </c>
      <c r="AD17" s="5">
        <f t="shared" si="8"/>
        <v>0</v>
      </c>
      <c r="AE17" s="5">
        <v>0</v>
      </c>
      <c r="AF17" s="5">
        <v>2.7725887222397813E-2</v>
      </c>
      <c r="AG17" s="5">
        <f t="shared" si="9"/>
        <v>0</v>
      </c>
      <c r="AH17" s="5">
        <v>0</v>
      </c>
      <c r="AI17" s="5">
        <v>0.34657359027997264</v>
      </c>
      <c r="AJ17" s="5">
        <f t="shared" si="10"/>
        <v>0</v>
      </c>
      <c r="AK17" s="5">
        <f t="shared" si="11"/>
        <v>0</v>
      </c>
      <c r="AL17" s="7">
        <f>IF(Tableau182986[[#This Row],[Age]]&lt;&gt;"",IF(Tableau182986[[#This Row],[Age]]=0,$AT$10*$B$10+SUMIF($AS$21:$AS$29,Tableau182986[[#This Row],[Age]],$AU$21:$AU$29)*$B$10+$AT$11*$B$10,SUMIF($AS$21:$AS$29,Tableau182986[[#This Row],[Age]],$AU$21:$AU$29)*$B$10+$AT$11*$B$10),"")</f>
        <v>9</v>
      </c>
      <c r="AM17" s="7">
        <f>IF(Tableau182986[[#This Row],[Age]]&lt;&gt;"",IF(Tableau182986[[#This Row],[Age]]=$B$11,$AT$10*$B$10,0)+Tableau182986[[#This Row],[VBO]]*$AX$21*$B$10+Tableau182986[[#This Row],[VBI]]*$AX$22*$B$10+Tableau182986[[#This Row],[VBE]]*$AX$23*$B$10,"")</f>
        <v>0</v>
      </c>
      <c r="AN17" s="7">
        <v>4.6504839808419112</v>
      </c>
      <c r="AO17" s="7">
        <v>0</v>
      </c>
      <c r="AP17" s="7">
        <f>IF(Tableau182986[[#This Row],[Age]]&lt;&gt;"",Tableau182986[[#This Row],[RA]]-Tableau182986[[#This Row],[DA]],"")</f>
        <v>-4.6504839808419112</v>
      </c>
      <c r="AS17" s="3" t="s">
        <v>67</v>
      </c>
    </row>
    <row r="18" spans="1:50" ht="15" customHeight="1" x14ac:dyDescent="0.2">
      <c r="A18" s="15" t="s">
        <v>68</v>
      </c>
      <c r="B18" s="16">
        <v>0</v>
      </c>
      <c r="I18" s="17"/>
      <c r="K18" s="3">
        <v>16</v>
      </c>
      <c r="L18" s="4">
        <v>46.93333333333333</v>
      </c>
      <c r="M18" s="4">
        <v>0</v>
      </c>
      <c r="N18" s="4">
        <v>46.93333333333333</v>
      </c>
      <c r="O18" s="5">
        <f t="shared" si="0"/>
        <v>21.964799999999997</v>
      </c>
      <c r="P18" s="5">
        <f t="shared" si="1"/>
        <v>7.0648389441044621</v>
      </c>
      <c r="Q18" s="5">
        <f t="shared" si="2"/>
        <v>51.105406463606862</v>
      </c>
      <c r="R18" s="5">
        <v>5.333333333333333</v>
      </c>
      <c r="S18" s="5">
        <v>128.75100020821463</v>
      </c>
      <c r="T18" s="5">
        <f t="shared" si="3"/>
        <v>0</v>
      </c>
      <c r="U18" s="5">
        <f t="shared" si="4"/>
        <v>0</v>
      </c>
      <c r="V18" s="5" t="str">
        <f>IF($E$4="Embrousaillement",Tableau182986[[#This Row],[SOL]],"")</f>
        <v/>
      </c>
      <c r="W18" s="5" t="str">
        <f>IF($E$4="Embrousaillement",Tableau182986[[#This Row],[L]],"")</f>
        <v/>
      </c>
      <c r="X18" s="5">
        <v>9.1666666666666661</v>
      </c>
      <c r="Y18" s="5">
        <f t="shared" si="5"/>
        <v>0</v>
      </c>
      <c r="Z18" s="5">
        <f t="shared" si="6"/>
        <v>0</v>
      </c>
      <c r="AA18" s="5">
        <f t="shared" si="7"/>
        <v>0</v>
      </c>
      <c r="AB18" s="5">
        <v>0</v>
      </c>
      <c r="AC18" s="5">
        <v>1.980420515885558E-2</v>
      </c>
      <c r="AD18" s="5">
        <f t="shared" si="8"/>
        <v>0</v>
      </c>
      <c r="AE18" s="5">
        <v>0</v>
      </c>
      <c r="AF18" s="5">
        <v>2.7725887222397813E-2</v>
      </c>
      <c r="AG18" s="5">
        <f t="shared" si="9"/>
        <v>0</v>
      </c>
      <c r="AH18" s="5">
        <v>0</v>
      </c>
      <c r="AI18" s="5">
        <v>0.34657359027997264</v>
      </c>
      <c r="AJ18" s="5">
        <f t="shared" si="10"/>
        <v>0</v>
      </c>
      <c r="AK18" s="5">
        <f t="shared" si="11"/>
        <v>0</v>
      </c>
      <c r="AL18" s="7">
        <f>IF(Tableau182986[[#This Row],[Age]]&lt;&gt;"",IF(Tableau182986[[#This Row],[Age]]=0,$AT$10*$B$10+SUMIF($AS$21:$AS$29,Tableau182986[[#This Row],[Age]],$AU$21:$AU$29)*$B$10+$AT$11*$B$10,SUMIF($AS$21:$AS$29,Tableau182986[[#This Row],[Age]],$AU$21:$AU$29)*$B$10+$AT$11*$B$10),"")</f>
        <v>9</v>
      </c>
      <c r="AM18" s="7">
        <f>IF(Tableau182986[[#This Row],[Age]]&lt;&gt;"",IF(Tableau182986[[#This Row],[Age]]=$B$11,$AT$10*$B$10,0)+Tableau182986[[#This Row],[VBO]]*$AX$21*$B$10+Tableau182986[[#This Row],[VBI]]*$AX$22*$B$10+Tableau182986[[#This Row],[VBE]]*$AX$23*$B$10,"")</f>
        <v>0</v>
      </c>
      <c r="AN18" s="7">
        <v>4.450223905111879</v>
      </c>
      <c r="AO18" s="7">
        <v>0</v>
      </c>
      <c r="AP18" s="7">
        <f>IF(Tableau182986[[#This Row],[Age]]&lt;&gt;"",Tableau182986[[#This Row],[RA]]-Tableau182986[[#This Row],[DA]],"")</f>
        <v>-4.450223905111879</v>
      </c>
    </row>
    <row r="19" spans="1:50" ht="15" customHeight="1" x14ac:dyDescent="0.2">
      <c r="A19" s="15" t="s">
        <v>69</v>
      </c>
      <c r="B19" s="16">
        <f>B17-B18</f>
        <v>-2550.6174959374548</v>
      </c>
      <c r="I19" s="17"/>
      <c r="K19" s="3">
        <v>17</v>
      </c>
      <c r="L19" s="4">
        <v>49.86666666666666</v>
      </c>
      <c r="M19" s="4">
        <v>0</v>
      </c>
      <c r="N19" s="4">
        <v>49.86666666666666</v>
      </c>
      <c r="O19" s="5">
        <f t="shared" si="0"/>
        <v>23.337599999999998</v>
      </c>
      <c r="P19" s="5">
        <f t="shared" si="1"/>
        <v>7.4536074405932586</v>
      </c>
      <c r="Q19" s="5">
        <f t="shared" si="2"/>
        <v>51.433185419480445</v>
      </c>
      <c r="R19" s="5">
        <v>5.6666666666666661</v>
      </c>
      <c r="S19" s="5">
        <v>131.49707197078635</v>
      </c>
      <c r="T19" s="5">
        <f t="shared" si="3"/>
        <v>0</v>
      </c>
      <c r="U19" s="5">
        <f t="shared" si="4"/>
        <v>0</v>
      </c>
      <c r="V19" s="5" t="str">
        <f>IF($E$4="Embrousaillement",Tableau182986[[#This Row],[SOL]],"")</f>
        <v/>
      </c>
      <c r="W19" s="5" t="str">
        <f>IF($E$4="Embrousaillement",Tableau182986[[#This Row],[L]],"")</f>
        <v/>
      </c>
      <c r="X19" s="5">
        <v>9.1666666666666661</v>
      </c>
      <c r="Y19" s="5">
        <f t="shared" si="5"/>
        <v>0</v>
      </c>
      <c r="Z19" s="5">
        <f t="shared" si="6"/>
        <v>0</v>
      </c>
      <c r="AA19" s="5">
        <f t="shared" si="7"/>
        <v>0</v>
      </c>
      <c r="AB19" s="5">
        <v>0</v>
      </c>
      <c r="AC19" s="5">
        <v>1.980420515885558E-2</v>
      </c>
      <c r="AD19" s="5">
        <f t="shared" si="8"/>
        <v>0</v>
      </c>
      <c r="AE19" s="5">
        <v>0</v>
      </c>
      <c r="AF19" s="5">
        <v>2.7725887222397813E-2</v>
      </c>
      <c r="AG19" s="5">
        <f t="shared" si="9"/>
        <v>0</v>
      </c>
      <c r="AH19" s="5">
        <v>0</v>
      </c>
      <c r="AI19" s="5">
        <v>0.34657359027997264</v>
      </c>
      <c r="AJ19" s="5">
        <f t="shared" si="10"/>
        <v>0</v>
      </c>
      <c r="AK19" s="5">
        <f t="shared" si="11"/>
        <v>0</v>
      </c>
      <c r="AL19" s="7">
        <f>IF(Tableau182986[[#This Row],[Age]]&lt;&gt;"",IF(Tableau182986[[#This Row],[Age]]=0,$AT$10*$B$10+SUMIF($AS$21:$AS$29,Tableau182986[[#This Row],[Age]],$AU$21:$AU$29)*$B$10+$AT$11*$B$10,SUMIF($AS$21:$AS$29,Tableau182986[[#This Row],[Age]],$AU$21:$AU$29)*$B$10+$AT$11*$B$10),"")</f>
        <v>9</v>
      </c>
      <c r="AM19" s="7">
        <f>IF(Tableau182986[[#This Row],[Age]]&lt;&gt;"",IF(Tableau182986[[#This Row],[Age]]=$B$11,$AT$10*$B$10,0)+Tableau182986[[#This Row],[VBO]]*$AX$21*$B$10+Tableau182986[[#This Row],[VBI]]*$AX$22*$B$10+Tableau182986[[#This Row],[VBE]]*$AX$23*$B$10,"")</f>
        <v>0</v>
      </c>
      <c r="AN19" s="7">
        <v>4.2585874690065824</v>
      </c>
      <c r="AO19" s="7">
        <v>0</v>
      </c>
      <c r="AP19" s="7">
        <f>IF(Tableau182986[[#This Row],[Age]]&lt;&gt;"",Tableau182986[[#This Row],[RA]]-Tableau182986[[#This Row],[DA]],"")</f>
        <v>-4.2585874690065824</v>
      </c>
      <c r="AS19" s="18" t="s">
        <v>70</v>
      </c>
      <c r="AW19" s="18" t="s">
        <v>29</v>
      </c>
    </row>
    <row r="20" spans="1:50" ht="15" customHeight="1" x14ac:dyDescent="0.2">
      <c r="A20" s="19"/>
      <c r="B20" s="20"/>
      <c r="C20" s="20"/>
      <c r="D20" s="20"/>
      <c r="E20" s="20"/>
      <c r="F20" s="20"/>
      <c r="G20" s="20"/>
      <c r="H20" s="20"/>
      <c r="I20" s="21"/>
      <c r="K20" s="3">
        <v>18</v>
      </c>
      <c r="L20" s="4">
        <v>52.8</v>
      </c>
      <c r="M20" s="4">
        <v>0</v>
      </c>
      <c r="N20" s="4">
        <v>52.8</v>
      </c>
      <c r="O20" s="5">
        <f t="shared" si="0"/>
        <v>24.7104</v>
      </c>
      <c r="P20" s="5">
        <f t="shared" si="1"/>
        <v>7.8397214929862118</v>
      </c>
      <c r="Q20" s="5">
        <f t="shared" si="2"/>
        <v>51.755278143273578</v>
      </c>
      <c r="R20" s="5">
        <v>6</v>
      </c>
      <c r="S20" s="5">
        <v>134.2304073961437</v>
      </c>
      <c r="T20" s="5">
        <f t="shared" si="3"/>
        <v>0</v>
      </c>
      <c r="U20" s="5">
        <f t="shared" si="4"/>
        <v>0</v>
      </c>
      <c r="V20" s="5" t="str">
        <f>IF($E$4="Embrousaillement",Tableau182986[[#This Row],[SOL]],"")</f>
        <v/>
      </c>
      <c r="W20" s="5" t="str">
        <f>IF($E$4="Embrousaillement",Tableau182986[[#This Row],[L]],"")</f>
        <v/>
      </c>
      <c r="X20" s="5">
        <v>9.1666666666666661</v>
      </c>
      <c r="Y20" s="5">
        <f t="shared" si="5"/>
        <v>0</v>
      </c>
      <c r="Z20" s="5">
        <f t="shared" si="6"/>
        <v>0</v>
      </c>
      <c r="AA20" s="5">
        <f t="shared" si="7"/>
        <v>0</v>
      </c>
      <c r="AB20" s="5">
        <v>0</v>
      </c>
      <c r="AC20" s="5">
        <v>1.980420515885558E-2</v>
      </c>
      <c r="AD20" s="5">
        <f t="shared" si="8"/>
        <v>0</v>
      </c>
      <c r="AE20" s="5">
        <v>0</v>
      </c>
      <c r="AF20" s="5">
        <v>2.7725887222397813E-2</v>
      </c>
      <c r="AG20" s="5">
        <f t="shared" si="9"/>
        <v>0</v>
      </c>
      <c r="AH20" s="5">
        <v>0</v>
      </c>
      <c r="AI20" s="5">
        <v>0.34657359027997264</v>
      </c>
      <c r="AJ20" s="5">
        <f t="shared" si="10"/>
        <v>0</v>
      </c>
      <c r="AK20" s="5">
        <f t="shared" si="11"/>
        <v>0</v>
      </c>
      <c r="AL20" s="7">
        <f>IF(Tableau182986[[#This Row],[Age]]&lt;&gt;"",IF(Tableau182986[[#This Row],[Age]]=0,$AT$10*$B$10+SUMIF($AS$21:$AS$29,Tableau182986[[#This Row],[Age]],$AU$21:$AU$29)*$B$10+$AT$11*$B$10,SUMIF($AS$21:$AS$29,Tableau182986[[#This Row],[Age]],$AU$21:$AU$29)*$B$10+$AT$11*$B$10),"")</f>
        <v>9</v>
      </c>
      <c r="AM20" s="7">
        <f>IF(Tableau182986[[#This Row],[Age]]&lt;&gt;"",IF(Tableau182986[[#This Row],[Age]]=$B$11,$AT$10*$B$10,0)+Tableau182986[[#This Row],[VBO]]*$AX$21*$B$10+Tableau182986[[#This Row],[VBI]]*$AX$22*$B$10+Tableau182986[[#This Row],[VBE]]*$AX$23*$B$10,"")</f>
        <v>0</v>
      </c>
      <c r="AN20" s="7">
        <v>4.0752033196235251</v>
      </c>
      <c r="AO20" s="7">
        <v>0</v>
      </c>
      <c r="AP20" s="7">
        <f>IF(Tableau182986[[#This Row],[Age]]&lt;&gt;"",Tableau182986[[#This Row],[RA]]-Tableau182986[[#This Row],[DA]],"")</f>
        <v>-4.0752033196235251</v>
      </c>
      <c r="AS20" s="3" t="s">
        <v>71</v>
      </c>
      <c r="AT20" s="3" t="s">
        <v>72</v>
      </c>
      <c r="AU20" s="3" t="s">
        <v>73</v>
      </c>
      <c r="AW20" s="3" t="s">
        <v>49</v>
      </c>
      <c r="AX20" s="3" t="s">
        <v>74</v>
      </c>
    </row>
    <row r="21" spans="1:50" ht="15" customHeight="1" x14ac:dyDescent="0.2">
      <c r="K21" s="3">
        <v>19</v>
      </c>
      <c r="L21" s="4">
        <v>55.733333333333327</v>
      </c>
      <c r="M21" s="4">
        <v>0</v>
      </c>
      <c r="N21" s="4">
        <v>55.733333333333327</v>
      </c>
      <c r="O21" s="5">
        <f t="shared" si="0"/>
        <v>26.083199999999998</v>
      </c>
      <c r="P21" s="5">
        <f t="shared" si="1"/>
        <v>8.2233453782130042</v>
      </c>
      <c r="Q21" s="5">
        <f t="shared" si="2"/>
        <v>52.07178327840036</v>
      </c>
      <c r="R21" s="5">
        <v>6.333333333333333</v>
      </c>
      <c r="S21" s="5">
        <v>136.95133038837224</v>
      </c>
      <c r="T21" s="5">
        <f t="shared" si="3"/>
        <v>0</v>
      </c>
      <c r="U21" s="5">
        <f t="shared" si="4"/>
        <v>0</v>
      </c>
      <c r="V21" s="5" t="str">
        <f>IF($E$4="Embrousaillement",Tableau182986[[#This Row],[SOL]],"")</f>
        <v/>
      </c>
      <c r="W21" s="5" t="str">
        <f>IF($E$4="Embrousaillement",Tableau182986[[#This Row],[L]],"")</f>
        <v/>
      </c>
      <c r="X21" s="5">
        <v>9.1666666666666661</v>
      </c>
      <c r="Y21" s="5">
        <f t="shared" si="5"/>
        <v>0</v>
      </c>
      <c r="Z21" s="5">
        <f t="shared" si="6"/>
        <v>0</v>
      </c>
      <c r="AA21" s="5">
        <f t="shared" si="7"/>
        <v>0</v>
      </c>
      <c r="AB21" s="5">
        <v>0</v>
      </c>
      <c r="AC21" s="5">
        <v>1.980420515885558E-2</v>
      </c>
      <c r="AD21" s="5">
        <f t="shared" si="8"/>
        <v>0</v>
      </c>
      <c r="AE21" s="5">
        <v>0</v>
      </c>
      <c r="AF21" s="5">
        <v>2.7725887222397813E-2</v>
      </c>
      <c r="AG21" s="5">
        <f t="shared" si="9"/>
        <v>0</v>
      </c>
      <c r="AH21" s="5">
        <v>0</v>
      </c>
      <c r="AI21" s="5">
        <v>0.34657359027997264</v>
      </c>
      <c r="AJ21" s="5">
        <f t="shared" si="10"/>
        <v>0</v>
      </c>
      <c r="AK21" s="5">
        <f t="shared" si="11"/>
        <v>0</v>
      </c>
      <c r="AL21" s="7">
        <f>IF(Tableau182986[[#This Row],[Age]]&lt;&gt;"",IF(Tableau182986[[#This Row],[Age]]=0,$AT$10*$B$10+SUMIF($AS$21:$AS$29,Tableau182986[[#This Row],[Age]],$AU$21:$AU$29)*$B$10+$AT$11*$B$10,SUMIF($AS$21:$AS$29,Tableau182986[[#This Row],[Age]],$AU$21:$AU$29)*$B$10+$AT$11*$B$10),"")</f>
        <v>9</v>
      </c>
      <c r="AM21" s="7">
        <f>IF(Tableau182986[[#This Row],[Age]]&lt;&gt;"",IF(Tableau182986[[#This Row],[Age]]=$B$11,$AT$10*$B$10,0)+Tableau182986[[#This Row],[VBO]]*$AX$21*$B$10+Tableau182986[[#This Row],[VBI]]*$AX$22*$B$10+Tableau182986[[#This Row],[VBE]]*$AX$23*$B$10,"")</f>
        <v>0</v>
      </c>
      <c r="AN21" s="7">
        <v>3.8997160953335168</v>
      </c>
      <c r="AO21" s="7">
        <v>0</v>
      </c>
      <c r="AP21" s="7">
        <f>IF(Tableau182986[[#This Row],[Age]]&lt;&gt;"",Tableau182986[[#This Row],[RA]]-Tableau182986[[#This Row],[DA]],"")</f>
        <v>-3.8997160953335168</v>
      </c>
      <c r="AS21" s="3">
        <v>0</v>
      </c>
      <c r="AT21" s="3" t="s">
        <v>75</v>
      </c>
      <c r="AU21" s="22">
        <v>750</v>
      </c>
      <c r="AW21" s="3" t="s">
        <v>76</v>
      </c>
      <c r="AX21" s="23">
        <v>60</v>
      </c>
    </row>
    <row r="22" spans="1:50" ht="15" customHeight="1" x14ac:dyDescent="0.2">
      <c r="K22" s="3">
        <v>20</v>
      </c>
      <c r="L22" s="4">
        <v>58.666666666666664</v>
      </c>
      <c r="M22" s="4">
        <v>0</v>
      </c>
      <c r="N22" s="4">
        <v>58.666666666666664</v>
      </c>
      <c r="O22" s="5">
        <f t="shared" si="0"/>
        <v>27.455999999999996</v>
      </c>
      <c r="P22" s="5">
        <f t="shared" si="1"/>
        <v>8.6046251042298927</v>
      </c>
      <c r="Q22" s="5">
        <f t="shared" si="2"/>
        <v>52.382797757032165</v>
      </c>
      <c r="R22" s="5">
        <v>6.6666666666666661</v>
      </c>
      <c r="S22" s="5">
        <v>139.66014580504807</v>
      </c>
      <c r="T22" s="5">
        <f t="shared" si="3"/>
        <v>0</v>
      </c>
      <c r="U22" s="5">
        <f t="shared" si="4"/>
        <v>0</v>
      </c>
      <c r="V22" s="5" t="str">
        <f>IF($E$4="Embrousaillement",Tableau182986[[#This Row],[SOL]],"")</f>
        <v/>
      </c>
      <c r="W22" s="5" t="str">
        <f>IF($E$4="Embrousaillement",Tableau182986[[#This Row],[L]],"")</f>
        <v/>
      </c>
      <c r="X22" s="5">
        <v>9.1666666666666661</v>
      </c>
      <c r="Y22" s="5">
        <f t="shared" si="5"/>
        <v>0</v>
      </c>
      <c r="Z22" s="5">
        <f t="shared" si="6"/>
        <v>0</v>
      </c>
      <c r="AA22" s="5">
        <f t="shared" si="7"/>
        <v>0</v>
      </c>
      <c r="AB22" s="5">
        <v>0</v>
      </c>
      <c r="AC22" s="5">
        <v>1.980420515885558E-2</v>
      </c>
      <c r="AD22" s="5">
        <f t="shared" si="8"/>
        <v>0</v>
      </c>
      <c r="AE22" s="5">
        <v>0</v>
      </c>
      <c r="AF22" s="5">
        <v>2.7725887222397813E-2</v>
      </c>
      <c r="AG22" s="5">
        <f t="shared" si="9"/>
        <v>0</v>
      </c>
      <c r="AH22" s="5">
        <v>0</v>
      </c>
      <c r="AI22" s="5">
        <v>0.34657359027997264</v>
      </c>
      <c r="AJ22" s="5">
        <f t="shared" si="10"/>
        <v>0</v>
      </c>
      <c r="AK22" s="5">
        <f t="shared" si="11"/>
        <v>0</v>
      </c>
      <c r="AL22" s="7">
        <f>IF(Tableau182986[[#This Row],[Age]]&lt;&gt;"",IF(Tableau182986[[#This Row],[Age]]=0,$AT$10*$B$10+SUMIF($AS$21:$AS$29,Tableau182986[[#This Row],[Age]],$AU$21:$AU$29)*$B$10+$AT$11*$B$10,SUMIF($AS$21:$AS$29,Tableau182986[[#This Row],[Age]],$AU$21:$AU$29)*$B$10+$AT$11*$B$10),"")</f>
        <v>9</v>
      </c>
      <c r="AM22" s="7">
        <f>IF(Tableau182986[[#This Row],[Age]]&lt;&gt;"",IF(Tableau182986[[#This Row],[Age]]=$B$11,$AT$10*$B$10,0)+Tableau182986[[#This Row],[VBO]]*$AX$21*$B$10+Tableau182986[[#This Row],[VBI]]*$AX$22*$B$10+Tableau182986[[#This Row],[VBE]]*$AX$23*$B$10,"")</f>
        <v>0</v>
      </c>
      <c r="AN22" s="7">
        <v>3.7317857371612608</v>
      </c>
      <c r="AO22" s="7">
        <v>0</v>
      </c>
      <c r="AP22" s="7">
        <f>IF(Tableau182986[[#This Row],[Age]]&lt;&gt;"",Tableau182986[[#This Row],[RA]]-Tableau182986[[#This Row],[DA]],"")</f>
        <v>-3.7317857371612608</v>
      </c>
      <c r="AS22" s="3">
        <v>1</v>
      </c>
      <c r="AT22" s="3" t="s">
        <v>77</v>
      </c>
      <c r="AU22" s="22">
        <v>400</v>
      </c>
      <c r="AW22" s="3" t="s">
        <v>78</v>
      </c>
      <c r="AX22" s="23">
        <v>5</v>
      </c>
    </row>
    <row r="23" spans="1:50" ht="15" customHeight="1" x14ac:dyDescent="0.2">
      <c r="K23" s="3">
        <v>21</v>
      </c>
      <c r="L23" s="4">
        <v>61.599999999999994</v>
      </c>
      <c r="M23" s="4">
        <v>0</v>
      </c>
      <c r="N23" s="4">
        <v>61.599999999999994</v>
      </c>
      <c r="O23" s="5">
        <f t="shared" si="0"/>
        <v>28.828799999999998</v>
      </c>
      <c r="P23" s="5">
        <f t="shared" si="1"/>
        <v>8.983691253405949</v>
      </c>
      <c r="Q23" s="5">
        <f t="shared" si="2"/>
        <v>52.688416829783918</v>
      </c>
      <c r="R23" s="5">
        <v>7</v>
      </c>
      <c r="S23" s="5">
        <v>142.35714198777819</v>
      </c>
      <c r="T23" s="5">
        <f t="shared" si="3"/>
        <v>0</v>
      </c>
      <c r="U23" s="5">
        <f t="shared" si="4"/>
        <v>0</v>
      </c>
      <c r="V23" s="5" t="str">
        <f>IF($E$4="Embrousaillement",Tableau182986[[#This Row],[SOL]],"")</f>
        <v/>
      </c>
      <c r="W23" s="5" t="str">
        <f>IF($E$4="Embrousaillement",Tableau182986[[#This Row],[L]],"")</f>
        <v/>
      </c>
      <c r="X23" s="5">
        <v>9.1666666666666661</v>
      </c>
      <c r="Y23" s="5">
        <f t="shared" si="5"/>
        <v>0</v>
      </c>
      <c r="Z23" s="5">
        <f t="shared" si="6"/>
        <v>0</v>
      </c>
      <c r="AA23" s="5">
        <f t="shared" si="7"/>
        <v>0</v>
      </c>
      <c r="AB23" s="5">
        <v>0</v>
      </c>
      <c r="AC23" s="5">
        <v>1.980420515885558E-2</v>
      </c>
      <c r="AD23" s="5">
        <f t="shared" si="8"/>
        <v>0</v>
      </c>
      <c r="AE23" s="5">
        <v>0</v>
      </c>
      <c r="AF23" s="5">
        <v>2.7725887222397813E-2</v>
      </c>
      <c r="AG23" s="5">
        <f t="shared" si="9"/>
        <v>0</v>
      </c>
      <c r="AH23" s="5">
        <v>0</v>
      </c>
      <c r="AI23" s="5">
        <v>0.34657359027997264</v>
      </c>
      <c r="AJ23" s="5">
        <f t="shared" si="10"/>
        <v>0</v>
      </c>
      <c r="AK23" s="5">
        <f t="shared" si="11"/>
        <v>0</v>
      </c>
      <c r="AL23" s="7">
        <f>IF(Tableau182986[[#This Row],[Age]]&lt;&gt;"",IF(Tableau182986[[#This Row],[Age]]=0,$AT$10*$B$10+SUMIF($AS$21:$AS$29,Tableau182986[[#This Row],[Age]],$AU$21:$AU$29)*$B$10+$AT$11*$B$10,SUMIF($AS$21:$AS$29,Tableau182986[[#This Row],[Age]],$AU$21:$AU$29)*$B$10+$AT$11*$B$10),"")</f>
        <v>9</v>
      </c>
      <c r="AM23" s="7">
        <f>IF(Tableau182986[[#This Row],[Age]]&lt;&gt;"",IF(Tableau182986[[#This Row],[Age]]=$B$11,$AT$10*$B$10,0)+Tableau182986[[#This Row],[VBO]]*$AX$21*$B$10+Tableau182986[[#This Row],[VBI]]*$AX$22*$B$10+Tableau182986[[#This Row],[VBE]]*$AX$23*$B$10,"")</f>
        <v>0</v>
      </c>
      <c r="AN23" s="7">
        <v>3.5710868298193881</v>
      </c>
      <c r="AO23" s="7">
        <v>0</v>
      </c>
      <c r="AP23" s="7">
        <f>IF(Tableau182986[[#This Row],[Age]]&lt;&gt;"",Tableau182986[[#This Row],[RA]]-Tableau182986[[#This Row],[DA]],"")</f>
        <v>-3.5710868298193881</v>
      </c>
      <c r="AS23" s="3">
        <v>1</v>
      </c>
      <c r="AT23" s="3" t="s">
        <v>79</v>
      </c>
      <c r="AU23" s="22">
        <v>3328</v>
      </c>
      <c r="AW23" s="3" t="s">
        <v>80</v>
      </c>
      <c r="AX23" s="23">
        <v>5</v>
      </c>
    </row>
    <row r="24" spans="1:50" ht="15" customHeight="1" x14ac:dyDescent="0.25">
      <c r="A24" s="1" t="s">
        <v>81</v>
      </c>
      <c r="B24" s="1" t="s">
        <v>82</v>
      </c>
      <c r="K24" s="3">
        <v>22</v>
      </c>
      <c r="L24" s="4">
        <v>64.533333333333331</v>
      </c>
      <c r="M24" s="4">
        <v>0</v>
      </c>
      <c r="N24" s="4">
        <v>64.533333333333331</v>
      </c>
      <c r="O24" s="5">
        <f t="shared" si="0"/>
        <v>30.201599999999999</v>
      </c>
      <c r="P24" s="5">
        <f t="shared" si="1"/>
        <v>9.360661268966588</v>
      </c>
      <c r="Q24" s="5">
        <f t="shared" si="2"/>
        <v>52.988734094885309</v>
      </c>
      <c r="R24" s="5">
        <v>7.333333333333333</v>
      </c>
      <c r="S24" s="5">
        <v>145.04259280679256</v>
      </c>
      <c r="T24" s="5">
        <f t="shared" si="3"/>
        <v>0</v>
      </c>
      <c r="U24" s="5">
        <f t="shared" si="4"/>
        <v>0</v>
      </c>
      <c r="V24" s="5" t="str">
        <f>IF($E$4="Embrousaillement",Tableau182986[[#This Row],[SOL]],"")</f>
        <v/>
      </c>
      <c r="W24" s="5" t="str">
        <f>IF($E$4="Embrousaillement",Tableau182986[[#This Row],[L]],"")</f>
        <v/>
      </c>
      <c r="X24" s="5">
        <v>9.1666666666666661</v>
      </c>
      <c r="Y24" s="5">
        <f t="shared" si="5"/>
        <v>0</v>
      </c>
      <c r="Z24" s="5">
        <f t="shared" si="6"/>
        <v>0</v>
      </c>
      <c r="AA24" s="5">
        <f t="shared" si="7"/>
        <v>0</v>
      </c>
      <c r="AB24" s="5">
        <v>0</v>
      </c>
      <c r="AC24" s="5">
        <v>1.980420515885558E-2</v>
      </c>
      <c r="AD24" s="5">
        <f t="shared" si="8"/>
        <v>0</v>
      </c>
      <c r="AE24" s="5">
        <v>0</v>
      </c>
      <c r="AF24" s="5">
        <v>2.7725887222397813E-2</v>
      </c>
      <c r="AG24" s="5">
        <f t="shared" si="9"/>
        <v>0</v>
      </c>
      <c r="AH24" s="5">
        <v>0</v>
      </c>
      <c r="AI24" s="5">
        <v>0.34657359027997264</v>
      </c>
      <c r="AJ24" s="5">
        <f t="shared" si="10"/>
        <v>0</v>
      </c>
      <c r="AK24" s="5">
        <f t="shared" si="11"/>
        <v>0</v>
      </c>
      <c r="AL24" s="7">
        <f>IF(Tableau182986[[#This Row],[Age]]&lt;&gt;"",IF(Tableau182986[[#This Row],[Age]]=0,$AT$10*$B$10+SUMIF($AS$21:$AS$29,Tableau182986[[#This Row],[Age]],$AU$21:$AU$29)*$B$10+$AT$11*$B$10,SUMIF($AS$21:$AS$29,Tableau182986[[#This Row],[Age]],$AU$21:$AU$29)*$B$10+$AT$11*$B$10),"")</f>
        <v>9</v>
      </c>
      <c r="AM24" s="7">
        <f>IF(Tableau182986[[#This Row],[Age]]&lt;&gt;"",IF(Tableau182986[[#This Row],[Age]]=$B$11,$AT$10*$B$10,0)+Tableau182986[[#This Row],[VBO]]*$AX$21*$B$10+Tableau182986[[#This Row],[VBI]]*$AX$22*$B$10+Tableau182986[[#This Row],[VBE]]*$AX$23*$B$10,"")</f>
        <v>0</v>
      </c>
      <c r="AN24" s="7">
        <v>3.4173079711190328</v>
      </c>
      <c r="AO24" s="7">
        <v>0</v>
      </c>
      <c r="AP24" s="7">
        <f>IF(Tableau182986[[#This Row],[Age]]&lt;&gt;"",Tableau182986[[#This Row],[RA]]-Tableau182986[[#This Row],[DA]],"")</f>
        <v>-3.4173079711190328</v>
      </c>
      <c r="AS24" s="3">
        <v>1</v>
      </c>
      <c r="AT24" s="3" t="s">
        <v>83</v>
      </c>
      <c r="AU24" s="22">
        <v>1280</v>
      </c>
    </row>
    <row r="25" spans="1:50" ht="15" customHeight="1" x14ac:dyDescent="0.2">
      <c r="A25" s="12"/>
      <c r="B25" s="13"/>
      <c r="C25" s="13"/>
      <c r="D25" s="13"/>
      <c r="E25" s="13"/>
      <c r="F25" s="13"/>
      <c r="G25" s="13"/>
      <c r="H25" s="13"/>
      <c r="I25" s="14"/>
      <c r="K25" s="3">
        <v>23</v>
      </c>
      <c r="L25" s="4">
        <v>67.466666666666669</v>
      </c>
      <c r="M25" s="4">
        <v>0</v>
      </c>
      <c r="N25" s="4">
        <v>67.466666666666669</v>
      </c>
      <c r="O25" s="5">
        <f t="shared" si="0"/>
        <v>31.574400000000001</v>
      </c>
      <c r="P25" s="5">
        <f t="shared" si="1"/>
        <v>9.7356413139687668</v>
      </c>
      <c r="Q25" s="5">
        <f t="shared" si="2"/>
        <v>53.283841526846018</v>
      </c>
      <c r="R25" s="5">
        <v>7.6666666666666661</v>
      </c>
      <c r="S25" s="5">
        <v>147.7167593323544</v>
      </c>
      <c r="T25" s="5">
        <f t="shared" si="3"/>
        <v>0</v>
      </c>
      <c r="U25" s="5">
        <f t="shared" si="4"/>
        <v>0</v>
      </c>
      <c r="V25" s="5" t="str">
        <f>IF($E$4="Embrousaillement",Tableau182986[[#This Row],[SOL]],"")</f>
        <v/>
      </c>
      <c r="W25" s="5" t="str">
        <f>IF($E$4="Embrousaillement",Tableau182986[[#This Row],[L]],"")</f>
        <v/>
      </c>
      <c r="X25" s="5">
        <v>9.1666666666666661</v>
      </c>
      <c r="Y25" s="5">
        <f t="shared" si="5"/>
        <v>0</v>
      </c>
      <c r="Z25" s="5">
        <f t="shared" si="6"/>
        <v>0</v>
      </c>
      <c r="AA25" s="5">
        <f t="shared" si="7"/>
        <v>0</v>
      </c>
      <c r="AB25" s="5">
        <v>0</v>
      </c>
      <c r="AC25" s="5">
        <v>1.980420515885558E-2</v>
      </c>
      <c r="AD25" s="5">
        <f t="shared" si="8"/>
        <v>0</v>
      </c>
      <c r="AE25" s="5">
        <v>0</v>
      </c>
      <c r="AF25" s="5">
        <v>2.7725887222397813E-2</v>
      </c>
      <c r="AG25" s="5">
        <f t="shared" si="9"/>
        <v>0</v>
      </c>
      <c r="AH25" s="5">
        <v>0</v>
      </c>
      <c r="AI25" s="5">
        <v>0.34657359027997264</v>
      </c>
      <c r="AJ25" s="5">
        <f t="shared" si="10"/>
        <v>0</v>
      </c>
      <c r="AK25" s="5">
        <f t="shared" si="11"/>
        <v>0</v>
      </c>
      <c r="AL25" s="7">
        <f>IF(Tableau182986[[#This Row],[Age]]&lt;&gt;"",IF(Tableau182986[[#This Row],[Age]]=0,$AT$10*$B$10+SUMIF($AS$21:$AS$29,Tableau182986[[#This Row],[Age]],$AU$21:$AU$29)*$B$10+$AT$11*$B$10,SUMIF($AS$21:$AS$29,Tableau182986[[#This Row],[Age]],$AU$21:$AU$29)*$B$10+$AT$11*$B$10),"")</f>
        <v>9</v>
      </c>
      <c r="AM25" s="7">
        <f>IF(Tableau182986[[#This Row],[Age]]&lt;&gt;"",IF(Tableau182986[[#This Row],[Age]]=$B$11,$AT$10*$B$10,0)+Tableau182986[[#This Row],[VBO]]*$AX$21*$B$10+Tableau182986[[#This Row],[VBI]]*$AX$22*$B$10+Tableau182986[[#This Row],[VBE]]*$AX$23*$B$10,"")</f>
        <v>0</v>
      </c>
      <c r="AN25" s="7">
        <v>3.2701511685349596</v>
      </c>
      <c r="AO25" s="7">
        <v>0</v>
      </c>
      <c r="AP25" s="7">
        <f>IF(Tableau182986[[#This Row],[Age]]&lt;&gt;"",Tableau182986[[#This Row],[RA]]-Tableau182986[[#This Row],[DA]],"")</f>
        <v>-3.2701511685349596</v>
      </c>
      <c r="AS25" s="3">
        <v>2</v>
      </c>
      <c r="AT25" s="3" t="s">
        <v>84</v>
      </c>
      <c r="AU25" s="22">
        <v>250</v>
      </c>
    </row>
    <row r="26" spans="1:50" ht="15" customHeight="1" x14ac:dyDescent="0.25">
      <c r="A26" s="24" t="s">
        <v>85</v>
      </c>
      <c r="D26" s="1" t="s">
        <v>86</v>
      </c>
      <c r="G26" s="1" t="s">
        <v>87</v>
      </c>
      <c r="I26" s="17"/>
      <c r="K26" s="3">
        <v>24</v>
      </c>
      <c r="L26" s="4">
        <v>70.399999999999991</v>
      </c>
      <c r="M26" s="4">
        <v>0</v>
      </c>
      <c r="N26" s="4">
        <v>70.399999999999991</v>
      </c>
      <c r="O26" s="5">
        <f t="shared" si="0"/>
        <v>32.947199999999995</v>
      </c>
      <c r="P26" s="5">
        <f t="shared" si="1"/>
        <v>10.10872779785357</v>
      </c>
      <c r="Q26" s="5">
        <f t="shared" si="2"/>
        <v>53.573829504623582</v>
      </c>
      <c r="R26" s="5">
        <v>8</v>
      </c>
      <c r="S26" s="5">
        <v>150.37989121577405</v>
      </c>
      <c r="T26" s="5">
        <f t="shared" si="3"/>
        <v>0</v>
      </c>
      <c r="U26" s="5">
        <f t="shared" si="4"/>
        <v>0</v>
      </c>
      <c r="V26" s="5" t="str">
        <f>IF($E$4="Embrousaillement",Tableau182986[[#This Row],[SOL]],"")</f>
        <v/>
      </c>
      <c r="W26" s="5" t="str">
        <f>IF($E$4="Embrousaillement",Tableau182986[[#This Row],[L]],"")</f>
        <v/>
      </c>
      <c r="X26" s="5">
        <v>9.1666666666666661</v>
      </c>
      <c r="Y26" s="5">
        <f t="shared" si="5"/>
        <v>0</v>
      </c>
      <c r="Z26" s="5">
        <f t="shared" si="6"/>
        <v>0</v>
      </c>
      <c r="AA26" s="5">
        <f t="shared" si="7"/>
        <v>0</v>
      </c>
      <c r="AB26" s="5">
        <v>0</v>
      </c>
      <c r="AC26" s="5">
        <v>1.980420515885558E-2</v>
      </c>
      <c r="AD26" s="5">
        <f t="shared" si="8"/>
        <v>0</v>
      </c>
      <c r="AE26" s="5">
        <v>0</v>
      </c>
      <c r="AF26" s="5">
        <v>2.7725887222397813E-2</v>
      </c>
      <c r="AG26" s="5">
        <f t="shared" si="9"/>
        <v>0</v>
      </c>
      <c r="AH26" s="5">
        <v>0</v>
      </c>
      <c r="AI26" s="5">
        <v>0.34657359027997264</v>
      </c>
      <c r="AJ26" s="5">
        <f t="shared" si="10"/>
        <v>0</v>
      </c>
      <c r="AK26" s="5">
        <f t="shared" si="11"/>
        <v>0</v>
      </c>
      <c r="AL26" s="7">
        <f>IF(Tableau182986[[#This Row],[Age]]&lt;&gt;"",IF(Tableau182986[[#This Row],[Age]]=0,$AT$10*$B$10+SUMIF($AS$21:$AS$29,Tableau182986[[#This Row],[Age]],$AU$21:$AU$29)*$B$10+$AT$11*$B$10,SUMIF($AS$21:$AS$29,Tableau182986[[#This Row],[Age]],$AU$21:$AU$29)*$B$10+$AT$11*$B$10),"")</f>
        <v>9</v>
      </c>
      <c r="AM26" s="7">
        <f>IF(Tableau182986[[#This Row],[Age]]&lt;&gt;"",IF(Tableau182986[[#This Row],[Age]]=$B$11,$AT$10*$B$10,0)+Tableau182986[[#This Row],[VBO]]*$AX$21*$B$10+Tableau182986[[#This Row],[VBI]]*$AX$22*$B$10+Tableau182986[[#This Row],[VBE]]*$AX$23*$B$10,"")</f>
        <v>0</v>
      </c>
      <c r="AN26" s="7">
        <v>3.1293312617559428</v>
      </c>
      <c r="AO26" s="7">
        <v>0</v>
      </c>
      <c r="AP26" s="7">
        <f>IF(Tableau182986[[#This Row],[Age]]&lt;&gt;"",Tableau182986[[#This Row],[RA]]-Tableau182986[[#This Row],[DA]],"")</f>
        <v>-3.1293312617559428</v>
      </c>
      <c r="AS26" s="3">
        <v>3</v>
      </c>
      <c r="AT26" s="3" t="s">
        <v>88</v>
      </c>
      <c r="AU26" s="22">
        <v>350</v>
      </c>
    </row>
    <row r="27" spans="1:50" ht="15" customHeight="1" x14ac:dyDescent="0.2">
      <c r="A27" s="15" t="s">
        <v>89</v>
      </c>
      <c r="B27" s="25">
        <f>S32</f>
        <v>166.1397527950719</v>
      </c>
      <c r="D27" s="3" t="s">
        <v>90</v>
      </c>
      <c r="E27" s="25">
        <f>SUM(AD2:AD32)</f>
        <v>0</v>
      </c>
      <c r="G27" s="3" t="s">
        <v>91</v>
      </c>
      <c r="H27" s="25">
        <f>SUM(AK2:AK32)</f>
        <v>0</v>
      </c>
      <c r="I27" s="17"/>
      <c r="K27" s="3">
        <v>25</v>
      </c>
      <c r="L27" s="4">
        <v>73.333333333333329</v>
      </c>
      <c r="M27" s="4">
        <v>0</v>
      </c>
      <c r="N27" s="4">
        <v>73.333333333333329</v>
      </c>
      <c r="O27" s="5">
        <f t="shared" si="0"/>
        <v>34.32</v>
      </c>
      <c r="P27" s="5">
        <f t="shared" si="1"/>
        <v>10.480008641404153</v>
      </c>
      <c r="Q27" s="5">
        <f t="shared" si="2"/>
        <v>53.858786839302695</v>
      </c>
      <c r="R27" s="5">
        <v>8.3333333333333321</v>
      </c>
      <c r="S27" s="5">
        <v>153.03222784172215</v>
      </c>
      <c r="T27" s="5">
        <f t="shared" si="3"/>
        <v>0</v>
      </c>
      <c r="U27" s="5">
        <f t="shared" si="4"/>
        <v>0</v>
      </c>
      <c r="V27" s="5" t="str">
        <f>IF($E$4="Embrousaillement",Tableau182986[[#This Row],[SOL]],"")</f>
        <v/>
      </c>
      <c r="W27" s="5" t="str">
        <f>IF($E$4="Embrousaillement",Tableau182986[[#This Row],[L]],"")</f>
        <v/>
      </c>
      <c r="X27" s="5">
        <v>9.1666666666666661</v>
      </c>
      <c r="Y27" s="5">
        <f t="shared" si="5"/>
        <v>0</v>
      </c>
      <c r="Z27" s="5">
        <f t="shared" si="6"/>
        <v>0</v>
      </c>
      <c r="AA27" s="5">
        <f t="shared" si="7"/>
        <v>0</v>
      </c>
      <c r="AB27" s="5">
        <v>0</v>
      </c>
      <c r="AC27" s="5">
        <v>1.980420515885558E-2</v>
      </c>
      <c r="AD27" s="5">
        <f t="shared" si="8"/>
        <v>0</v>
      </c>
      <c r="AE27" s="5">
        <v>0</v>
      </c>
      <c r="AF27" s="5">
        <v>2.7725887222397813E-2</v>
      </c>
      <c r="AG27" s="5">
        <f t="shared" si="9"/>
        <v>0</v>
      </c>
      <c r="AH27" s="5">
        <v>0</v>
      </c>
      <c r="AI27" s="5">
        <v>0.34657359027997264</v>
      </c>
      <c r="AJ27" s="5">
        <f t="shared" si="10"/>
        <v>0</v>
      </c>
      <c r="AK27" s="5">
        <f t="shared" si="11"/>
        <v>0</v>
      </c>
      <c r="AL27" s="7">
        <f>IF(Tableau182986[[#This Row],[Age]]&lt;&gt;"",IF(Tableau182986[[#This Row],[Age]]=0,$AT$10*$B$10+SUMIF($AS$21:$AS$29,Tableau182986[[#This Row],[Age]],$AU$21:$AU$29)*$B$10+$AT$11*$B$10,SUMIF($AS$21:$AS$29,Tableau182986[[#This Row],[Age]],$AU$21:$AU$29)*$B$10+$AT$11*$B$10),"")</f>
        <v>9</v>
      </c>
      <c r="AM27" s="7">
        <f>IF(Tableau182986[[#This Row],[Age]]&lt;&gt;"",IF(Tableau182986[[#This Row],[Age]]=$B$11,$AT$10*$B$10,0)+Tableau182986[[#This Row],[VBO]]*$AX$21*$B$10+Tableau182986[[#This Row],[VBI]]*$AX$22*$B$10+Tableau182986[[#This Row],[VBE]]*$AX$23*$B$10,"")</f>
        <v>0</v>
      </c>
      <c r="AN27" s="7">
        <v>2.9945753701013809</v>
      </c>
      <c r="AO27" s="7">
        <v>0</v>
      </c>
      <c r="AP27" s="7">
        <f>IF(Tableau182986[[#This Row],[Age]]&lt;&gt;"",Tableau182986[[#This Row],[RA]]-Tableau182986[[#This Row],[DA]],"")</f>
        <v>-2.9945753701013809</v>
      </c>
      <c r="AS27" s="3">
        <v>4</v>
      </c>
      <c r="AT27" s="3" t="s">
        <v>92</v>
      </c>
      <c r="AU27" s="22">
        <v>250</v>
      </c>
    </row>
    <row r="28" spans="1:50" ht="15" customHeight="1" x14ac:dyDescent="0.2">
      <c r="A28" s="15" t="s">
        <v>93</v>
      </c>
      <c r="B28" s="25">
        <f>SUM(S:S)/$B$11</f>
        <v>285.02830405509803</v>
      </c>
      <c r="D28" s="3" t="s">
        <v>94</v>
      </c>
      <c r="E28" s="25">
        <f>SUM(AG2:AG32)</f>
        <v>0</v>
      </c>
      <c r="G28" s="3" t="s">
        <v>95</v>
      </c>
      <c r="H28" s="25">
        <f>IF(OR($E$6="Résineux lents",$E$6="Résineux rapides"),$B$10*20,0)</f>
        <v>0</v>
      </c>
      <c r="I28" s="17"/>
      <c r="K28" s="3">
        <v>26</v>
      </c>
      <c r="L28" s="4">
        <v>76.266666666666666</v>
      </c>
      <c r="M28" s="4">
        <v>0</v>
      </c>
      <c r="N28" s="4">
        <v>76.266666666666666</v>
      </c>
      <c r="O28" s="5">
        <f t="shared" si="0"/>
        <v>35.692799999999998</v>
      </c>
      <c r="P28" s="5">
        <f t="shared" si="1"/>
        <v>10.849564333613264</v>
      </c>
      <c r="Q28" s="5">
        <f t="shared" si="2"/>
        <v>54.138800801294295</v>
      </c>
      <c r="R28" s="5">
        <v>8.6666666666666661</v>
      </c>
      <c r="S28" s="5">
        <v>155.67399929844998</v>
      </c>
      <c r="T28" s="5">
        <f t="shared" si="3"/>
        <v>0</v>
      </c>
      <c r="U28" s="5">
        <f t="shared" si="4"/>
        <v>0</v>
      </c>
      <c r="V28" s="5" t="str">
        <f>IF($E$4="Embrousaillement",Tableau182986[[#This Row],[SOL]],"")</f>
        <v/>
      </c>
      <c r="W28" s="5" t="str">
        <f>IF($E$4="Embrousaillement",Tableau182986[[#This Row],[L]],"")</f>
        <v/>
      </c>
      <c r="X28" s="5">
        <v>9.1666666666666661</v>
      </c>
      <c r="Y28" s="5">
        <f t="shared" si="5"/>
        <v>0</v>
      </c>
      <c r="Z28" s="5">
        <f t="shared" si="6"/>
        <v>0</v>
      </c>
      <c r="AA28" s="5">
        <f t="shared" si="7"/>
        <v>0</v>
      </c>
      <c r="AB28" s="5">
        <v>0</v>
      </c>
      <c r="AC28" s="5">
        <v>1.980420515885558E-2</v>
      </c>
      <c r="AD28" s="5">
        <f t="shared" si="8"/>
        <v>0</v>
      </c>
      <c r="AE28" s="5">
        <v>0</v>
      </c>
      <c r="AF28" s="5">
        <v>2.7725887222397813E-2</v>
      </c>
      <c r="AG28" s="5">
        <f t="shared" si="9"/>
        <v>0</v>
      </c>
      <c r="AH28" s="5">
        <v>0</v>
      </c>
      <c r="AI28" s="5">
        <v>0.34657359027997264</v>
      </c>
      <c r="AJ28" s="5">
        <f t="shared" si="10"/>
        <v>0</v>
      </c>
      <c r="AK28" s="5">
        <f t="shared" si="11"/>
        <v>0</v>
      </c>
      <c r="AL28" s="7">
        <f>IF(Tableau182986[[#This Row],[Age]]&lt;&gt;"",IF(Tableau182986[[#This Row],[Age]]=0,$AT$10*$B$10+SUMIF($AS$21:$AS$29,Tableau182986[[#This Row],[Age]],$AU$21:$AU$29)*$B$10+$AT$11*$B$10,SUMIF($AS$21:$AS$29,Tableau182986[[#This Row],[Age]],$AU$21:$AU$29)*$B$10+$AT$11*$B$10),"")</f>
        <v>9</v>
      </c>
      <c r="AM28" s="7">
        <f>IF(Tableau182986[[#This Row],[Age]]&lt;&gt;"",IF(Tableau182986[[#This Row],[Age]]=$B$11,$AT$10*$B$10,0)+Tableau182986[[#This Row],[VBO]]*$AX$21*$B$10+Tableau182986[[#This Row],[VBI]]*$AX$22*$B$10+Tableau182986[[#This Row],[VBE]]*$AX$23*$B$10,"")</f>
        <v>0</v>
      </c>
      <c r="AN28" s="7">
        <v>2.8656223637333795</v>
      </c>
      <c r="AO28" s="7">
        <v>0</v>
      </c>
      <c r="AP28" s="7">
        <f>IF(Tableau182986[[#This Row],[Age]]&lt;&gt;"",Tableau182986[[#This Row],[RA]]-Tableau182986[[#This Row],[DA]],"")</f>
        <v>-2.8656223637333795</v>
      </c>
      <c r="AT28" s="3" t="s">
        <v>96</v>
      </c>
      <c r="AU28" s="22"/>
    </row>
    <row r="29" spans="1:50" ht="15" customHeight="1" x14ac:dyDescent="0.2">
      <c r="A29" s="15" t="s">
        <v>97</v>
      </c>
      <c r="B29" s="25">
        <f>X32</f>
        <v>9.1666666666666661</v>
      </c>
      <c r="D29" s="3" t="s">
        <v>98</v>
      </c>
      <c r="E29" s="25">
        <f>SUM(AJ2:AJ32)</f>
        <v>0</v>
      </c>
      <c r="H29" s="25"/>
      <c r="I29" s="17"/>
      <c r="K29" s="3">
        <v>27</v>
      </c>
      <c r="L29" s="4">
        <v>79.199999999999989</v>
      </c>
      <c r="M29" s="4">
        <v>0</v>
      </c>
      <c r="N29" s="4">
        <v>79.199999999999989</v>
      </c>
      <c r="O29" s="5">
        <f t="shared" si="0"/>
        <v>37.065599999999989</v>
      </c>
      <c r="P29" s="5">
        <f t="shared" si="1"/>
        <v>11.217468821382381</v>
      </c>
      <c r="Q29" s="5">
        <f t="shared" si="2"/>
        <v>54.413957147062774</v>
      </c>
      <c r="R29" s="5">
        <v>9</v>
      </c>
      <c r="S29" s="5">
        <v>158.30542720156888</v>
      </c>
      <c r="T29" s="5">
        <f t="shared" si="3"/>
        <v>0</v>
      </c>
      <c r="U29" s="5">
        <f t="shared" si="4"/>
        <v>0</v>
      </c>
      <c r="V29" s="5" t="str">
        <f>IF($E$4="Embrousaillement",Tableau182986[[#This Row],[SOL]],"")</f>
        <v/>
      </c>
      <c r="W29" s="5" t="str">
        <f>IF($E$4="Embrousaillement",Tableau182986[[#This Row],[L]],"")</f>
        <v/>
      </c>
      <c r="X29" s="5">
        <v>9.1666666666666661</v>
      </c>
      <c r="Y29" s="5">
        <f t="shared" si="5"/>
        <v>0</v>
      </c>
      <c r="Z29" s="5">
        <f t="shared" si="6"/>
        <v>0</v>
      </c>
      <c r="AA29" s="5">
        <f t="shared" si="7"/>
        <v>0</v>
      </c>
      <c r="AB29" s="5">
        <v>0</v>
      </c>
      <c r="AC29" s="5">
        <v>1.980420515885558E-2</v>
      </c>
      <c r="AD29" s="5">
        <f t="shared" si="8"/>
        <v>0</v>
      </c>
      <c r="AE29" s="5">
        <v>0</v>
      </c>
      <c r="AF29" s="5">
        <v>2.7725887222397813E-2</v>
      </c>
      <c r="AG29" s="5">
        <f t="shared" si="9"/>
        <v>0</v>
      </c>
      <c r="AH29" s="5">
        <v>0</v>
      </c>
      <c r="AI29" s="5">
        <v>0.34657359027997264</v>
      </c>
      <c r="AJ29" s="5">
        <f t="shared" si="10"/>
        <v>0</v>
      </c>
      <c r="AK29" s="5">
        <f t="shared" si="11"/>
        <v>0</v>
      </c>
      <c r="AL29" s="7">
        <f>IF(Tableau182986[[#This Row],[Age]]&lt;&gt;"",IF(Tableau182986[[#This Row],[Age]]=0,$AT$10*$B$10+SUMIF($AS$21:$AS$29,Tableau182986[[#This Row],[Age]],$AU$21:$AU$29)*$B$10+$AT$11*$B$10,SUMIF($AS$21:$AS$29,Tableau182986[[#This Row],[Age]],$AU$21:$AU$29)*$B$10+$AT$11*$B$10),"")</f>
        <v>9</v>
      </c>
      <c r="AM29" s="7">
        <f>IF(Tableau182986[[#This Row],[Age]]&lt;&gt;"",IF(Tableau182986[[#This Row],[Age]]=$B$11,$AT$10*$B$10,0)+Tableau182986[[#This Row],[VBO]]*$AX$21*$B$10+Tableau182986[[#This Row],[VBI]]*$AX$22*$B$10+Tableau182986[[#This Row],[VBE]]*$AX$23*$B$10,"")</f>
        <v>0</v>
      </c>
      <c r="AN29" s="7">
        <v>2.7422223576395974</v>
      </c>
      <c r="AO29" s="7">
        <v>0</v>
      </c>
      <c r="AP29" s="7">
        <f>IF(Tableau182986[[#This Row],[Age]]&lt;&gt;"",Tableau182986[[#This Row],[RA]]-Tableau182986[[#This Row],[DA]],"")</f>
        <v>-2.7422223576395974</v>
      </c>
      <c r="AT29" s="3" t="s">
        <v>99</v>
      </c>
      <c r="AU29" s="22"/>
    </row>
    <row r="30" spans="1:50" ht="15" customHeight="1" x14ac:dyDescent="0.2">
      <c r="A30" s="15" t="s">
        <v>100</v>
      </c>
      <c r="B30" s="25">
        <f>SUM(X:X)/$E$11</f>
        <v>9.1666666666666519</v>
      </c>
      <c r="D30" s="3" t="s">
        <v>101</v>
      </c>
      <c r="E30" s="25">
        <v>0</v>
      </c>
      <c r="H30" s="25"/>
      <c r="I30" s="17"/>
      <c r="K30" s="3">
        <v>28</v>
      </c>
      <c r="L30" s="4">
        <v>82.133333333333326</v>
      </c>
      <c r="M30" s="4">
        <v>0</v>
      </c>
      <c r="N30" s="4">
        <v>82.133333333333326</v>
      </c>
      <c r="O30" s="5">
        <f t="shared" si="0"/>
        <v>38.438400000000001</v>
      </c>
      <c r="P30" s="5">
        <f t="shared" si="1"/>
        <v>11.583790263708339</v>
      </c>
      <c r="Q30" s="5">
        <f t="shared" si="2"/>
        <v>54.684340145389598</v>
      </c>
      <c r="R30" s="5">
        <v>9.3333333333333321</v>
      </c>
      <c r="S30" s="5">
        <v>160.92672539897137</v>
      </c>
      <c r="T30" s="5">
        <f t="shared" si="3"/>
        <v>0</v>
      </c>
      <c r="U30" s="5">
        <f t="shared" si="4"/>
        <v>0</v>
      </c>
      <c r="V30" s="5" t="str">
        <f>IF($E$4="Embrousaillement",Tableau182986[[#This Row],[SOL]],"")</f>
        <v/>
      </c>
      <c r="W30" s="5" t="str">
        <f>IF($E$4="Embrousaillement",Tableau182986[[#This Row],[L]],"")</f>
        <v/>
      </c>
      <c r="X30" s="5">
        <v>9.1666666666666661</v>
      </c>
      <c r="Y30" s="5">
        <f t="shared" si="5"/>
        <v>0</v>
      </c>
      <c r="Z30" s="5">
        <f t="shared" si="6"/>
        <v>0</v>
      </c>
      <c r="AA30" s="5">
        <f t="shared" si="7"/>
        <v>0</v>
      </c>
      <c r="AB30" s="5">
        <v>0</v>
      </c>
      <c r="AC30" s="5">
        <v>1.980420515885558E-2</v>
      </c>
      <c r="AD30" s="5">
        <f t="shared" si="8"/>
        <v>0</v>
      </c>
      <c r="AE30" s="5">
        <v>0</v>
      </c>
      <c r="AF30" s="5">
        <v>2.7725887222397813E-2</v>
      </c>
      <c r="AG30" s="5">
        <f t="shared" si="9"/>
        <v>0</v>
      </c>
      <c r="AH30" s="5">
        <v>0</v>
      </c>
      <c r="AI30" s="5">
        <v>0.34657359027997264</v>
      </c>
      <c r="AJ30" s="5">
        <f t="shared" si="10"/>
        <v>0</v>
      </c>
      <c r="AK30" s="5">
        <f t="shared" si="11"/>
        <v>0</v>
      </c>
      <c r="AL30" s="7">
        <f>IF(Tableau182986[[#This Row],[Age]]&lt;&gt;"",IF(Tableau182986[[#This Row],[Age]]=0,$AT$10*$B$10+SUMIF($AS$21:$AS$29,Tableau182986[[#This Row],[Age]],$AU$21:$AU$29)*$B$10+$AT$11*$B$10,SUMIF($AS$21:$AS$29,Tableau182986[[#This Row],[Age]],$AU$21:$AU$29)*$B$10+$AT$11*$B$10),"")</f>
        <v>9</v>
      </c>
      <c r="AM30" s="7">
        <f>IF(Tableau182986[[#This Row],[Age]]&lt;&gt;"",IF(Tableau182986[[#This Row],[Age]]=$B$11,$AT$10*$B$10,0)+Tableau182986[[#This Row],[VBO]]*$AX$21*$B$10+Tableau182986[[#This Row],[VBI]]*$AX$22*$B$10+Tableau182986[[#This Row],[VBE]]*$AX$23*$B$10,"")</f>
        <v>0</v>
      </c>
      <c r="AN30" s="7">
        <v>2.6241362274063142</v>
      </c>
      <c r="AO30" s="7">
        <v>0</v>
      </c>
      <c r="AP30" s="7">
        <f>IF(Tableau182986[[#This Row],[Age]]&lt;&gt;"",Tableau182986[[#This Row],[RA]]-Tableau182986[[#This Row],[DA]],"")</f>
        <v>-2.6241362274063142</v>
      </c>
      <c r="AS30" s="3">
        <v>5</v>
      </c>
      <c r="AT30" s="3" t="s">
        <v>102</v>
      </c>
      <c r="AU30" s="3">
        <v>2250</v>
      </c>
    </row>
    <row r="31" spans="1:50" ht="15" customHeight="1" x14ac:dyDescent="0.2">
      <c r="A31" s="15"/>
      <c r="B31" s="25"/>
      <c r="E31" s="25"/>
      <c r="H31" s="25"/>
      <c r="I31" s="17"/>
      <c r="K31" s="3">
        <v>29</v>
      </c>
      <c r="L31" s="4">
        <v>85.066666666666663</v>
      </c>
      <c r="M31" s="4">
        <v>0</v>
      </c>
      <c r="N31" s="4">
        <v>85.066666666666663</v>
      </c>
      <c r="O31" s="5">
        <f t="shared" si="0"/>
        <v>39.811199999999999</v>
      </c>
      <c r="P31" s="5">
        <f t="shared" si="1"/>
        <v>11.948591675101238</v>
      </c>
      <c r="Q31" s="5">
        <f t="shared" si="2"/>
        <v>54.950032603181285</v>
      </c>
      <c r="R31" s="5">
        <v>9.6666666666666661</v>
      </c>
      <c r="S31" s="5">
        <v>163.53810057845524</v>
      </c>
      <c r="T31" s="5">
        <f t="shared" si="3"/>
        <v>0</v>
      </c>
      <c r="U31" s="5">
        <f t="shared" si="4"/>
        <v>0</v>
      </c>
      <c r="V31" s="5" t="str">
        <f>IF($E$4="Embrousaillement",Tableau182986[[#This Row],[SOL]],"")</f>
        <v/>
      </c>
      <c r="W31" s="5" t="str">
        <f>IF($E$4="Embrousaillement",Tableau182986[[#This Row],[L]],"")</f>
        <v/>
      </c>
      <c r="X31" s="5">
        <v>9.1666666666666661</v>
      </c>
      <c r="Y31" s="5">
        <f t="shared" si="5"/>
        <v>0</v>
      </c>
      <c r="Z31" s="5">
        <f t="shared" si="6"/>
        <v>0</v>
      </c>
      <c r="AA31" s="5">
        <f t="shared" si="7"/>
        <v>0</v>
      </c>
      <c r="AB31" s="5">
        <v>0</v>
      </c>
      <c r="AC31" s="5">
        <v>1.980420515885558E-2</v>
      </c>
      <c r="AD31" s="5">
        <f t="shared" si="8"/>
        <v>0</v>
      </c>
      <c r="AE31" s="5">
        <v>0</v>
      </c>
      <c r="AF31" s="5">
        <v>2.7725887222397813E-2</v>
      </c>
      <c r="AG31" s="5">
        <f t="shared" si="9"/>
        <v>0</v>
      </c>
      <c r="AH31" s="5">
        <v>0</v>
      </c>
      <c r="AI31" s="5">
        <v>0.34657359027997264</v>
      </c>
      <c r="AJ31" s="5">
        <f t="shared" si="10"/>
        <v>0</v>
      </c>
      <c r="AK31" s="5">
        <f t="shared" si="11"/>
        <v>0</v>
      </c>
      <c r="AL31" s="7">
        <f>IF(Tableau182986[[#This Row],[Age]]&lt;&gt;"",IF(Tableau182986[[#This Row],[Age]]=0,$AT$10*$B$10+SUMIF($AS$21:$AS$29,Tableau182986[[#This Row],[Age]],$AU$21:$AU$29)*$B$10+$AT$11*$B$10,SUMIF($AS$21:$AS$29,Tableau182986[[#This Row],[Age]],$AU$21:$AU$29)*$B$10+$AT$11*$B$10),"")</f>
        <v>9</v>
      </c>
      <c r="AM31" s="7">
        <f>IF(Tableau182986[[#This Row],[Age]]&lt;&gt;"",IF(Tableau182986[[#This Row],[Age]]=$B$11,$AT$10*$B$10,0)+Tableau182986[[#This Row],[VBO]]*$AX$21*$B$10+Tableau182986[[#This Row],[VBI]]*$AX$22*$B$10+Tableau182986[[#This Row],[VBE]]*$AX$23*$B$10,"")</f>
        <v>0</v>
      </c>
      <c r="AN31" s="7">
        <v>2.5111351458433622</v>
      </c>
      <c r="AO31" s="7">
        <v>0</v>
      </c>
      <c r="AP31" s="7">
        <f>IF(Tableau182986[[#This Row],[Age]]&lt;&gt;"",Tableau182986[[#This Row],[RA]]-Tableau182986[[#This Row],[DA]],"")</f>
        <v>-2.5111351458433622</v>
      </c>
    </row>
    <row r="32" spans="1:50" ht="15" customHeight="1" x14ac:dyDescent="0.2">
      <c r="A32" s="15" t="s">
        <v>103</v>
      </c>
      <c r="B32" s="25">
        <f>IF(B11&gt;=30,B27-B29,"")</f>
        <v>156.97308612840524</v>
      </c>
      <c r="E32" s="25"/>
      <c r="H32" s="25"/>
      <c r="I32" s="17"/>
      <c r="K32" s="26">
        <v>30</v>
      </c>
      <c r="L32" s="27">
        <v>88</v>
      </c>
      <c r="M32" s="27">
        <v>0</v>
      </c>
      <c r="N32" s="27">
        <v>88</v>
      </c>
      <c r="O32" s="27">
        <f t="shared" si="0"/>
        <v>41.183999999999997</v>
      </c>
      <c r="P32" s="27">
        <f t="shared" si="1"/>
        <v>12.31193147776184</v>
      </c>
      <c r="Q32" s="27">
        <f t="shared" si="2"/>
        <v>55.211115890829625</v>
      </c>
      <c r="R32" s="27">
        <v>10</v>
      </c>
      <c r="S32" s="27">
        <v>166.1397527950719</v>
      </c>
      <c r="T32" s="27">
        <f t="shared" si="3"/>
        <v>0</v>
      </c>
      <c r="U32" s="27">
        <f t="shared" si="4"/>
        <v>0</v>
      </c>
      <c r="V32" s="27" t="str">
        <f>IF($E$4="Embrousaillement",Tableau182986[[#This Row],[SOL]],"")</f>
        <v/>
      </c>
      <c r="W32" s="27" t="str">
        <f>IF($E$4="Embrousaillement",Tableau182986[[#This Row],[L]],"")</f>
        <v/>
      </c>
      <c r="X32" s="27">
        <v>9.1666666666666661</v>
      </c>
      <c r="Y32" s="27">
        <f t="shared" si="5"/>
        <v>0</v>
      </c>
      <c r="Z32" s="27">
        <f t="shared" si="6"/>
        <v>0</v>
      </c>
      <c r="AA32" s="27">
        <f t="shared" si="7"/>
        <v>0</v>
      </c>
      <c r="AB32" s="27">
        <v>0</v>
      </c>
      <c r="AC32" s="27">
        <v>1.980420515885558E-2</v>
      </c>
      <c r="AD32" s="27">
        <f t="shared" si="8"/>
        <v>0</v>
      </c>
      <c r="AE32" s="27">
        <v>0</v>
      </c>
      <c r="AF32" s="27">
        <v>2.7725887222397813E-2</v>
      </c>
      <c r="AG32" s="27">
        <f t="shared" si="9"/>
        <v>0</v>
      </c>
      <c r="AH32" s="27">
        <v>0</v>
      </c>
      <c r="AI32" s="27">
        <v>0.34657359027997264</v>
      </c>
      <c r="AJ32" s="27">
        <f t="shared" si="10"/>
        <v>0</v>
      </c>
      <c r="AK32" s="27">
        <f t="shared" si="11"/>
        <v>0</v>
      </c>
      <c r="AL32" s="28">
        <f>IF(Tableau182986[[#This Row],[Age]]&lt;&gt;"",IF(Tableau182986[[#This Row],[Age]]=0,$AT$10*$B$10+SUMIF($AS$21:$AS$29,Tableau182986[[#This Row],[Age]],$AU$21:$AU$29)*$B$10+$AT$11*$B$10,SUMIF($AS$21:$AS$29,Tableau182986[[#This Row],[Age]],$AU$21:$AU$29)*$B$10+$AT$11*$B$10),"")</f>
        <v>9</v>
      </c>
      <c r="AM32" s="28">
        <f>IF(Tableau182986[[#This Row],[Age]]&lt;&gt;"",IF(Tableau182986[[#This Row],[Age]]=$B$11,$AT$10*$B$10,0)+Tableau182986[[#This Row],[VBO]]*$AX$21*$B$10+Tableau182986[[#This Row],[VBI]]*$AX$22*$B$10+Tableau182986[[#This Row],[VBE]]*$AX$23*$B$10,"")</f>
        <v>0</v>
      </c>
      <c r="AN32" s="28">
        <v>2.4030001395630269</v>
      </c>
      <c r="AO32" s="28">
        <v>0</v>
      </c>
      <c r="AP32" s="28">
        <f>IF(Tableau182986[[#This Row],[Age]]&lt;&gt;"",Tableau182986[[#This Row],[RA]]-Tableau182986[[#This Row],[DA]],"")</f>
        <v>-2.4030001395630269</v>
      </c>
      <c r="AS32" s="3" t="s">
        <v>70</v>
      </c>
      <c r="AT32" s="29">
        <f>SUM(AL2:AL7)</f>
        <v>3358</v>
      </c>
    </row>
    <row r="33" spans="1:42" ht="15" customHeight="1" x14ac:dyDescent="0.2">
      <c r="A33" s="15" t="s">
        <v>104</v>
      </c>
      <c r="B33" s="25">
        <f>B28-B30</f>
        <v>275.8616373884314</v>
      </c>
      <c r="E33" s="25"/>
      <c r="H33" s="25"/>
      <c r="I33" s="17"/>
      <c r="K33" s="3">
        <v>31</v>
      </c>
      <c r="L33" s="4">
        <v>99</v>
      </c>
      <c r="M33" s="4">
        <v>0</v>
      </c>
      <c r="N33" s="4">
        <v>99</v>
      </c>
      <c r="O33" s="5">
        <f t="shared" si="0"/>
        <v>46.332000000000001</v>
      </c>
      <c r="P33" s="5">
        <f t="shared" si="1"/>
        <v>13.662323315513062</v>
      </c>
      <c r="Q33" s="5">
        <f t="shared" si="2"/>
        <v>55.467669967132053</v>
      </c>
      <c r="R33" s="5">
        <v>10.333333333333332</v>
      </c>
      <c r="S33" s="5">
        <v>172.88022927144584</v>
      </c>
      <c r="T33" s="5">
        <f t="shared" si="3"/>
        <v>0</v>
      </c>
      <c r="U33" s="5">
        <f t="shared" si="4"/>
        <v>0</v>
      </c>
      <c r="V33" s="5" t="str">
        <f>IF($E$4="Embrousaillement",Tableau182986[[#This Row],[SOL]],"")</f>
        <v/>
      </c>
      <c r="W33" s="5" t="str">
        <f>IF($E$4="Embrousaillement",Tableau182986[[#This Row],[L]],"")</f>
        <v/>
      </c>
      <c r="X33" s="5">
        <v>9.1666666666666661</v>
      </c>
      <c r="Y33" s="5">
        <f t="shared" si="5"/>
        <v>0</v>
      </c>
      <c r="Z33" s="5">
        <f t="shared" si="6"/>
        <v>0</v>
      </c>
      <c r="AA33" s="5">
        <f t="shared" si="7"/>
        <v>0</v>
      </c>
      <c r="AB33" s="5" t="s">
        <v>166</v>
      </c>
      <c r="AC33" s="5" t="s">
        <v>166</v>
      </c>
      <c r="AD33" s="5" t="str">
        <f t="shared" si="8"/>
        <v/>
      </c>
      <c r="AE33" s="5" t="s">
        <v>166</v>
      </c>
      <c r="AF33" s="5" t="s">
        <v>166</v>
      </c>
      <c r="AG33" s="5" t="str">
        <f t="shared" si="9"/>
        <v/>
      </c>
      <c r="AH33" s="5" t="s">
        <v>166</v>
      </c>
      <c r="AI33" s="5" t="s">
        <v>166</v>
      </c>
      <c r="AJ33" s="5" t="str">
        <f t="shared" si="10"/>
        <v/>
      </c>
      <c r="AK33" s="5" t="str">
        <f t="shared" si="11"/>
        <v/>
      </c>
      <c r="AL33" s="7">
        <f>IF(Tableau182986[[#This Row],[Age]]&lt;&gt;"",IF(Tableau182986[[#This Row],[Age]]=0,$AT$10*$B$10+SUMIF($AS$21:$AS$29,Tableau182986[[#This Row],[Age]],$AU$21:$AU$29)*$B$10+$AT$11*$B$10,SUMIF($AS$21:$AS$29,Tableau182986[[#This Row],[Age]],$AU$21:$AU$29)*$B$10+$AT$11*$B$10),"")</f>
        <v>9</v>
      </c>
      <c r="AM33" s="7">
        <f>IF(Tableau182986[[#This Row],[Age]]&lt;&gt;"",IF(Tableau182986[[#This Row],[Age]]=$B$11,$AT$10*$B$10,0)+Tableau182986[[#This Row],[VBO]]*$AX$21*$B$10+Tableau182986[[#This Row],[VBI]]*$AX$22*$B$10+Tableau182986[[#This Row],[VBE]]*$AX$23*$B$10,"")</f>
        <v>0</v>
      </c>
      <c r="AN33" s="7">
        <v>2.2995216646536139</v>
      </c>
      <c r="AO33" s="7">
        <v>0</v>
      </c>
      <c r="AP33" s="7">
        <f>IF(Tableau182986[[#This Row],[Age]]&lt;&gt;"",Tableau182986[[#This Row],[RA]]-Tableau182986[[#This Row],[DA]],"")</f>
        <v>-2.2995216646536139</v>
      </c>
    </row>
    <row r="34" spans="1:42" ht="15" customHeight="1" x14ac:dyDescent="0.2">
      <c r="A34" s="15"/>
      <c r="B34" s="25"/>
      <c r="E34" s="25"/>
      <c r="H34" s="25"/>
      <c r="I34" s="17"/>
      <c r="K34" s="3">
        <v>32</v>
      </c>
      <c r="L34" s="4">
        <v>110</v>
      </c>
      <c r="M34" s="4">
        <v>0</v>
      </c>
      <c r="N34" s="4">
        <v>110</v>
      </c>
      <c r="O34" s="5">
        <f t="shared" si="0"/>
        <v>51.480000000000004</v>
      </c>
      <c r="P34" s="5">
        <f t="shared" si="1"/>
        <v>14.995324806875232</v>
      </c>
      <c r="Q34" s="5">
        <f t="shared" si="2"/>
        <v>55.719773403779627</v>
      </c>
      <c r="R34" s="5">
        <v>10.666666666666666</v>
      </c>
      <c r="S34" s="5">
        <v>179.59740214847204</v>
      </c>
      <c r="T34" s="5">
        <f t="shared" si="3"/>
        <v>0</v>
      </c>
      <c r="U34" s="5">
        <f t="shared" si="4"/>
        <v>0</v>
      </c>
      <c r="V34" s="5" t="str">
        <f>IF($E$4="Embrousaillement",Tableau182986[[#This Row],[SOL]],"")</f>
        <v/>
      </c>
      <c r="W34" s="5" t="str">
        <f>IF($E$4="Embrousaillement",Tableau182986[[#This Row],[L]],"")</f>
        <v/>
      </c>
      <c r="X34" s="5">
        <v>9.1666666666666661</v>
      </c>
      <c r="Y34" s="5">
        <f t="shared" si="5"/>
        <v>0</v>
      </c>
      <c r="Z34" s="5">
        <f t="shared" si="6"/>
        <v>0</v>
      </c>
      <c r="AA34" s="5">
        <f t="shared" si="7"/>
        <v>0</v>
      </c>
      <c r="AB34" s="5" t="s">
        <v>166</v>
      </c>
      <c r="AC34" s="5" t="s">
        <v>166</v>
      </c>
      <c r="AD34" s="5" t="str">
        <f t="shared" si="8"/>
        <v/>
      </c>
      <c r="AE34" s="5" t="s">
        <v>166</v>
      </c>
      <c r="AF34" s="5" t="s">
        <v>166</v>
      </c>
      <c r="AG34" s="5" t="str">
        <f t="shared" si="9"/>
        <v/>
      </c>
      <c r="AH34" s="5" t="s">
        <v>166</v>
      </c>
      <c r="AI34" s="5" t="s">
        <v>166</v>
      </c>
      <c r="AJ34" s="5" t="str">
        <f t="shared" si="10"/>
        <v/>
      </c>
      <c r="AK34" s="5" t="str">
        <f t="shared" si="11"/>
        <v/>
      </c>
      <c r="AL34" s="7">
        <f>IF(Tableau182986[[#This Row],[Age]]&lt;&gt;"",IF(Tableau182986[[#This Row],[Age]]=0,$AT$10*$B$10+SUMIF($AS$21:$AS$29,Tableau182986[[#This Row],[Age]],$AU$21:$AU$29)*$B$10+$AT$11*$B$10,SUMIF($AS$21:$AS$29,Tableau182986[[#This Row],[Age]],$AU$21:$AU$29)*$B$10+$AT$11*$B$10),"")</f>
        <v>9</v>
      </c>
      <c r="AM34" s="7">
        <f>IF(Tableau182986[[#This Row],[Age]]&lt;&gt;"",IF(Tableau182986[[#This Row],[Age]]=$B$11,$AT$10*$B$10,0)+Tableau182986[[#This Row],[VBO]]*$AX$21*$B$10+Tableau182986[[#This Row],[VBI]]*$AX$22*$B$10+Tableau182986[[#This Row],[VBE]]*$AX$23*$B$10,"")</f>
        <v>0</v>
      </c>
      <c r="AN34" s="7">
        <v>2.2004992006254689</v>
      </c>
      <c r="AO34" s="7">
        <v>0</v>
      </c>
      <c r="AP34" s="7">
        <f>IF(Tableau182986[[#This Row],[Age]]&lt;&gt;"",Tableau182986[[#This Row],[RA]]-Tableau182986[[#This Row],[DA]],"")</f>
        <v>-2.2004992006254689</v>
      </c>
    </row>
    <row r="35" spans="1:42" ht="15" customHeight="1" x14ac:dyDescent="0.2">
      <c r="A35" s="15" t="s">
        <v>105</v>
      </c>
      <c r="B35" s="25">
        <f>IF(ISERROR(MIN(B32:B33)),0,IF(B11&gt;=30,MIN(B32:B33),B33))</f>
        <v>156.97308612840524</v>
      </c>
      <c r="D35" s="3" t="s">
        <v>106</v>
      </c>
      <c r="E35" s="25">
        <f>IF(ISNA((SUM(E27:E29)-E30)/30),0,(SUM(E27:E29)-E30)/30)</f>
        <v>0</v>
      </c>
      <c r="G35" s="3" t="s">
        <v>107</v>
      </c>
      <c r="H35" s="25">
        <f>IF(ISNA((H27-H28)*$B$9),0,(H27-H28)*$B$9)</f>
        <v>0</v>
      </c>
      <c r="I35" s="17"/>
      <c r="K35" s="3">
        <v>33</v>
      </c>
      <c r="L35" s="4">
        <v>121</v>
      </c>
      <c r="M35" s="4">
        <v>0</v>
      </c>
      <c r="N35" s="4">
        <v>121</v>
      </c>
      <c r="O35" s="5">
        <f t="shared" si="0"/>
        <v>56.627999999999993</v>
      </c>
      <c r="P35" s="5">
        <f t="shared" si="1"/>
        <v>16.312872953208519</v>
      </c>
      <c r="Q35" s="5">
        <f t="shared" si="2"/>
        <v>55.96750340942021</v>
      </c>
      <c r="R35" s="5">
        <v>11</v>
      </c>
      <c r="S35" s="5">
        <v>186.29309978068946</v>
      </c>
      <c r="T35" s="5">
        <f t="shared" si="3"/>
        <v>0</v>
      </c>
      <c r="U35" s="5">
        <f t="shared" si="4"/>
        <v>0</v>
      </c>
      <c r="V35" s="5" t="str">
        <f>IF($E$4="Embrousaillement",Tableau182986[[#This Row],[SOL]],"")</f>
        <v/>
      </c>
      <c r="W35" s="5" t="str">
        <f>IF($E$4="Embrousaillement",Tableau182986[[#This Row],[L]],"")</f>
        <v/>
      </c>
      <c r="X35" s="5">
        <v>9.1666666666666661</v>
      </c>
      <c r="Y35" s="5">
        <f t="shared" si="5"/>
        <v>0</v>
      </c>
      <c r="Z35" s="5">
        <f t="shared" si="6"/>
        <v>0</v>
      </c>
      <c r="AA35" s="5">
        <f t="shared" si="7"/>
        <v>0</v>
      </c>
      <c r="AB35" s="5" t="s">
        <v>166</v>
      </c>
      <c r="AC35" s="5" t="s">
        <v>166</v>
      </c>
      <c r="AD35" s="5" t="str">
        <f t="shared" si="8"/>
        <v/>
      </c>
      <c r="AE35" s="5" t="s">
        <v>166</v>
      </c>
      <c r="AF35" s="5" t="s">
        <v>166</v>
      </c>
      <c r="AG35" s="5" t="str">
        <f t="shared" si="9"/>
        <v/>
      </c>
      <c r="AH35" s="5" t="s">
        <v>166</v>
      </c>
      <c r="AI35" s="5" t="s">
        <v>166</v>
      </c>
      <c r="AJ35" s="5" t="str">
        <f t="shared" si="10"/>
        <v/>
      </c>
      <c r="AK35" s="5" t="str">
        <f t="shared" si="11"/>
        <v/>
      </c>
      <c r="AL35" s="7">
        <f>IF(Tableau182986[[#This Row],[Age]]&lt;&gt;"",IF(Tableau182986[[#This Row],[Age]]=0,$AT$10*$B$10+SUMIF($AS$21:$AS$29,Tableau182986[[#This Row],[Age]],$AU$21:$AU$29)*$B$10+$AT$11*$B$10,SUMIF($AS$21:$AS$29,Tableau182986[[#This Row],[Age]],$AU$21:$AU$29)*$B$10+$AT$11*$B$10),"")</f>
        <v>9</v>
      </c>
      <c r="AM35" s="7">
        <f>IF(Tableau182986[[#This Row],[Age]]&lt;&gt;"",IF(Tableau182986[[#This Row],[Age]]=$B$11,$AT$10*$B$10,0)+Tableau182986[[#This Row],[VBO]]*$AX$21*$B$10+Tableau182986[[#This Row],[VBI]]*$AX$22*$B$10+Tableau182986[[#This Row],[VBE]]*$AX$23*$B$10,"")</f>
        <v>0</v>
      </c>
      <c r="AN35" s="7">
        <v>2.1057408618425546</v>
      </c>
      <c r="AO35" s="7">
        <v>0</v>
      </c>
      <c r="AP35" s="7">
        <f>IF(Tableau182986[[#This Row],[Age]]&lt;&gt;"",Tableau182986[[#This Row],[RA]]-Tableau182986[[#This Row],[DA]],"")</f>
        <v>-2.1057408618425546</v>
      </c>
    </row>
    <row r="36" spans="1:42" ht="15" customHeight="1" x14ac:dyDescent="0.2">
      <c r="A36" s="19"/>
      <c r="B36" s="20"/>
      <c r="C36" s="20"/>
      <c r="D36" s="20"/>
      <c r="E36" s="20"/>
      <c r="F36" s="20"/>
      <c r="G36" s="20"/>
      <c r="H36" s="20"/>
      <c r="I36" s="21"/>
      <c r="K36" s="3">
        <v>34</v>
      </c>
      <c r="L36" s="4">
        <v>132</v>
      </c>
      <c r="M36" s="4">
        <v>0</v>
      </c>
      <c r="N36" s="4">
        <v>132</v>
      </c>
      <c r="O36" s="5">
        <f t="shared" si="0"/>
        <v>61.775999999999996</v>
      </c>
      <c r="P36" s="5">
        <f t="shared" si="1"/>
        <v>17.616532373802876</v>
      </c>
      <c r="Q36" s="5">
        <f t="shared" si="2"/>
        <v>56.210935853304257</v>
      </c>
      <c r="R36" s="5">
        <v>11.333333333333332</v>
      </c>
      <c r="S36" s="5">
        <v>192.96882378435558</v>
      </c>
      <c r="T36" s="5">
        <f t="shared" si="3"/>
        <v>0</v>
      </c>
      <c r="U36" s="5">
        <f t="shared" si="4"/>
        <v>0</v>
      </c>
      <c r="V36" s="5" t="str">
        <f>IF($E$4="Embrousaillement",Tableau182986[[#This Row],[SOL]],"")</f>
        <v/>
      </c>
      <c r="W36" s="5" t="str">
        <f>IF($E$4="Embrousaillement",Tableau182986[[#This Row],[L]],"")</f>
        <v/>
      </c>
      <c r="X36" s="5">
        <v>9.1666666666666661</v>
      </c>
      <c r="Y36" s="5">
        <f t="shared" si="5"/>
        <v>0</v>
      </c>
      <c r="Z36" s="5">
        <f t="shared" si="6"/>
        <v>0</v>
      </c>
      <c r="AA36" s="5">
        <f t="shared" si="7"/>
        <v>0</v>
      </c>
      <c r="AB36" s="5" t="s">
        <v>166</v>
      </c>
      <c r="AC36" s="5" t="s">
        <v>166</v>
      </c>
      <c r="AD36" s="5" t="str">
        <f t="shared" si="8"/>
        <v/>
      </c>
      <c r="AE36" s="5" t="s">
        <v>166</v>
      </c>
      <c r="AF36" s="5" t="s">
        <v>166</v>
      </c>
      <c r="AG36" s="5" t="str">
        <f t="shared" si="9"/>
        <v/>
      </c>
      <c r="AH36" s="5" t="s">
        <v>166</v>
      </c>
      <c r="AI36" s="5" t="s">
        <v>166</v>
      </c>
      <c r="AJ36" s="5" t="str">
        <f t="shared" si="10"/>
        <v/>
      </c>
      <c r="AK36" s="5" t="str">
        <f t="shared" si="11"/>
        <v/>
      </c>
      <c r="AL36" s="7">
        <f>IF(Tableau182986[[#This Row],[Age]]&lt;&gt;"",IF(Tableau182986[[#This Row],[Age]]=0,$AT$10*$B$10+SUMIF($AS$21:$AS$29,Tableau182986[[#This Row],[Age]],$AU$21:$AU$29)*$B$10+$AT$11*$B$10,SUMIF($AS$21:$AS$29,Tableau182986[[#This Row],[Age]],$AU$21:$AU$29)*$B$10+$AT$11*$B$10),"")</f>
        <v>9</v>
      </c>
      <c r="AM36" s="7">
        <f>IF(Tableau182986[[#This Row],[Age]]&lt;&gt;"",IF(Tableau182986[[#This Row],[Age]]=$B$11,$AT$10*$B$10,0)+Tableau182986[[#This Row],[VBO]]*$AX$21*$B$10+Tableau182986[[#This Row],[VBI]]*$AX$22*$B$10+Tableau182986[[#This Row],[VBE]]*$AX$23*$B$10,"")</f>
        <v>0</v>
      </c>
      <c r="AN36" s="7">
        <v>2.0150630256866551</v>
      </c>
      <c r="AO36" s="7">
        <v>0</v>
      </c>
      <c r="AP36" s="7">
        <f>IF(Tableau182986[[#This Row],[Age]]&lt;&gt;"",Tableau182986[[#This Row],[RA]]-Tableau182986[[#This Row],[DA]],"")</f>
        <v>-2.0150630256866551</v>
      </c>
    </row>
    <row r="37" spans="1:42" ht="15" customHeight="1" x14ac:dyDescent="0.2">
      <c r="K37" s="3">
        <v>35</v>
      </c>
      <c r="L37" s="4">
        <v>143</v>
      </c>
      <c r="M37" s="4">
        <v>0</v>
      </c>
      <c r="N37" s="4">
        <v>143</v>
      </c>
      <c r="O37" s="5">
        <f t="shared" si="0"/>
        <v>66.923999999999992</v>
      </c>
      <c r="P37" s="5">
        <f t="shared" si="1"/>
        <v>18.90759204786767</v>
      </c>
      <c r="Q37" s="5">
        <f t="shared" si="2"/>
        <v>56.450145288520318</v>
      </c>
      <c r="R37" s="5">
        <v>11.666666666666666</v>
      </c>
      <c r="S37" s="5">
        <v>199.62583332619423</v>
      </c>
      <c r="T37" s="5">
        <f t="shared" si="3"/>
        <v>0</v>
      </c>
      <c r="U37" s="5">
        <f t="shared" si="4"/>
        <v>0</v>
      </c>
      <c r="V37" s="5" t="str">
        <f>IF($E$4="Embrousaillement",Tableau182986[[#This Row],[SOL]],"")</f>
        <v/>
      </c>
      <c r="W37" s="5" t="str">
        <f>IF($E$4="Embrousaillement",Tableau182986[[#This Row],[L]],"")</f>
        <v/>
      </c>
      <c r="X37" s="5">
        <v>9.1666666666666661</v>
      </c>
      <c r="Y37" s="5">
        <f t="shared" si="5"/>
        <v>0</v>
      </c>
      <c r="Z37" s="5">
        <f t="shared" si="6"/>
        <v>0</v>
      </c>
      <c r="AA37" s="5">
        <f t="shared" si="7"/>
        <v>0</v>
      </c>
      <c r="AB37" s="5" t="s">
        <v>166</v>
      </c>
      <c r="AC37" s="5" t="s">
        <v>166</v>
      </c>
      <c r="AD37" s="5" t="str">
        <f t="shared" si="8"/>
        <v/>
      </c>
      <c r="AE37" s="5" t="s">
        <v>166</v>
      </c>
      <c r="AF37" s="5" t="s">
        <v>166</v>
      </c>
      <c r="AG37" s="5" t="str">
        <f t="shared" si="9"/>
        <v/>
      </c>
      <c r="AH37" s="5" t="s">
        <v>166</v>
      </c>
      <c r="AI37" s="5" t="s">
        <v>166</v>
      </c>
      <c r="AJ37" s="5" t="str">
        <f t="shared" si="10"/>
        <v/>
      </c>
      <c r="AK37" s="5" t="str">
        <f t="shared" si="11"/>
        <v/>
      </c>
      <c r="AL37" s="7">
        <f>IF(Tableau182986[[#This Row],[Age]]&lt;&gt;"",IF(Tableau182986[[#This Row],[Age]]=0,$AT$10*$B$10+SUMIF($AS$21:$AS$29,Tableau182986[[#This Row],[Age]],$AU$21:$AU$29)*$B$10+$AT$11*$B$10,SUMIF($AS$21:$AS$29,Tableau182986[[#This Row],[Age]],$AU$21:$AU$29)*$B$10+$AT$11*$B$10),"")</f>
        <v>9</v>
      </c>
      <c r="AM37" s="7">
        <f>IF(Tableau182986[[#This Row],[Age]]&lt;&gt;"",IF(Tableau182986[[#This Row],[Age]]=$B$11,$AT$10*$B$10,0)+Tableau182986[[#This Row],[VBO]]*$AX$21*$B$10+Tableau182986[[#This Row],[VBI]]*$AX$22*$B$10+Tableau182986[[#This Row],[VBE]]*$AX$23*$B$10,"")</f>
        <v>0</v>
      </c>
      <c r="AN37" s="7">
        <v>1.9282899767336414</v>
      </c>
      <c r="AO37" s="7">
        <v>0</v>
      </c>
      <c r="AP37" s="7">
        <f>IF(Tableau182986[[#This Row],[Age]]&lt;&gt;"",Tableau182986[[#This Row],[RA]]-Tableau182986[[#This Row],[DA]],"")</f>
        <v>-1.9282899767336414</v>
      </c>
    </row>
    <row r="38" spans="1:42" ht="15" customHeight="1" x14ac:dyDescent="0.2">
      <c r="K38" s="3">
        <v>36</v>
      </c>
      <c r="L38" s="4">
        <v>154</v>
      </c>
      <c r="M38" s="4">
        <v>0</v>
      </c>
      <c r="N38" s="4">
        <v>154</v>
      </c>
      <c r="O38" s="5">
        <f t="shared" si="0"/>
        <v>72.072000000000003</v>
      </c>
      <c r="P38" s="5">
        <f t="shared" si="1"/>
        <v>20.187131385147271</v>
      </c>
      <c r="Q38" s="5">
        <f t="shared" si="2"/>
        <v>56.68520497482757</v>
      </c>
      <c r="R38" s="5">
        <v>12</v>
      </c>
      <c r="S38" s="5">
        <v>206.26520270174962</v>
      </c>
      <c r="T38" s="5">
        <f t="shared" si="3"/>
        <v>0</v>
      </c>
      <c r="U38" s="5">
        <f t="shared" si="4"/>
        <v>0</v>
      </c>
      <c r="V38" s="5" t="str">
        <f>IF($E$4="Embrousaillement",Tableau182986[[#This Row],[SOL]],"")</f>
        <v/>
      </c>
      <c r="W38" s="5" t="str">
        <f>IF($E$4="Embrousaillement",Tableau182986[[#This Row],[L]],"")</f>
        <v/>
      </c>
      <c r="X38" s="5">
        <v>9.1666666666666661</v>
      </c>
      <c r="Y38" s="5">
        <f t="shared" si="5"/>
        <v>0</v>
      </c>
      <c r="Z38" s="5">
        <f t="shared" si="6"/>
        <v>0</v>
      </c>
      <c r="AA38" s="5">
        <f t="shared" si="7"/>
        <v>0</v>
      </c>
      <c r="AB38" s="5" t="s">
        <v>166</v>
      </c>
      <c r="AC38" s="5" t="s">
        <v>166</v>
      </c>
      <c r="AD38" s="5" t="str">
        <f t="shared" si="8"/>
        <v/>
      </c>
      <c r="AE38" s="5" t="s">
        <v>166</v>
      </c>
      <c r="AF38" s="5" t="s">
        <v>166</v>
      </c>
      <c r="AG38" s="5" t="str">
        <f t="shared" si="9"/>
        <v/>
      </c>
      <c r="AH38" s="5" t="s">
        <v>166</v>
      </c>
      <c r="AI38" s="5" t="s">
        <v>166</v>
      </c>
      <c r="AJ38" s="5" t="str">
        <f t="shared" si="10"/>
        <v/>
      </c>
      <c r="AK38" s="5" t="str">
        <f t="shared" si="11"/>
        <v/>
      </c>
      <c r="AL38" s="7">
        <f>IF(Tableau182986[[#This Row],[Age]]&lt;&gt;"",IF(Tableau182986[[#This Row],[Age]]=0,$AT$10*$B$10+SUMIF($AS$21:$AS$29,Tableau182986[[#This Row],[Age]],$AU$21:$AU$29)*$B$10+$AT$11*$B$10,SUMIF($AS$21:$AS$29,Tableau182986[[#This Row],[Age]],$AU$21:$AU$29)*$B$10+$AT$11*$B$10),"")</f>
        <v>9</v>
      </c>
      <c r="AM38" s="7">
        <f>IF(Tableau182986[[#This Row],[Age]]&lt;&gt;"",IF(Tableau182986[[#This Row],[Age]]=$B$11,$AT$10*$B$10,0)+Tableau182986[[#This Row],[VBO]]*$AX$21*$B$10+Tableau182986[[#This Row],[VBI]]*$AX$22*$B$10+Tableau182986[[#This Row],[VBE]]*$AX$23*$B$10,"")</f>
        <v>0</v>
      </c>
      <c r="AN38" s="7">
        <v>1.8452535662522886</v>
      </c>
      <c r="AO38" s="7">
        <v>0</v>
      </c>
      <c r="AP38" s="7">
        <f>IF(Tableau182986[[#This Row],[Age]]&lt;&gt;"",Tableau182986[[#This Row],[RA]]-Tableau182986[[#This Row],[DA]],"")</f>
        <v>-1.8452535662522886</v>
      </c>
    </row>
    <row r="39" spans="1:42" ht="15" customHeight="1" x14ac:dyDescent="0.2">
      <c r="K39" s="3">
        <v>37</v>
      </c>
      <c r="L39" s="4">
        <v>165</v>
      </c>
      <c r="M39" s="4">
        <v>0</v>
      </c>
      <c r="N39" s="4">
        <v>165</v>
      </c>
      <c r="O39" s="5">
        <f t="shared" si="0"/>
        <v>77.22</v>
      </c>
      <c r="P39" s="5">
        <f t="shared" si="1"/>
        <v>21.456066856215884</v>
      </c>
      <c r="Q39" s="5">
        <f t="shared" si="2"/>
        <v>56.916186901092118</v>
      </c>
      <c r="R39" s="5">
        <v>12.333333333333332</v>
      </c>
      <c r="S39" s="5">
        <v>212.88786198373464</v>
      </c>
      <c r="T39" s="5">
        <f t="shared" si="3"/>
        <v>0</v>
      </c>
      <c r="U39" s="5">
        <f t="shared" si="4"/>
        <v>0</v>
      </c>
      <c r="V39" s="5" t="str">
        <f>IF($E$4="Embrousaillement",Tableau182986[[#This Row],[SOL]],"")</f>
        <v/>
      </c>
      <c r="W39" s="5" t="str">
        <f>IF($E$4="Embrousaillement",Tableau182986[[#This Row],[L]],"")</f>
        <v/>
      </c>
      <c r="X39" s="5">
        <v>9.1666666666666661</v>
      </c>
      <c r="Y39" s="5">
        <f t="shared" si="5"/>
        <v>0</v>
      </c>
      <c r="Z39" s="5">
        <f t="shared" si="6"/>
        <v>0</v>
      </c>
      <c r="AA39" s="5">
        <f t="shared" si="7"/>
        <v>0</v>
      </c>
      <c r="AB39" s="5" t="s">
        <v>166</v>
      </c>
      <c r="AC39" s="5" t="s">
        <v>166</v>
      </c>
      <c r="AD39" s="5" t="str">
        <f t="shared" si="8"/>
        <v/>
      </c>
      <c r="AE39" s="5" t="s">
        <v>166</v>
      </c>
      <c r="AF39" s="5" t="s">
        <v>166</v>
      </c>
      <c r="AG39" s="5" t="str">
        <f t="shared" si="9"/>
        <v/>
      </c>
      <c r="AH39" s="5" t="s">
        <v>166</v>
      </c>
      <c r="AI39" s="5" t="s">
        <v>166</v>
      </c>
      <c r="AJ39" s="5" t="str">
        <f t="shared" si="10"/>
        <v/>
      </c>
      <c r="AK39" s="5" t="str">
        <f t="shared" si="11"/>
        <v/>
      </c>
      <c r="AL39" s="7">
        <f>IF(Tableau182986[[#This Row],[Age]]&lt;&gt;"",IF(Tableau182986[[#This Row],[Age]]=0,$AT$10*$B$10+SUMIF($AS$21:$AS$29,Tableau182986[[#This Row],[Age]],$AU$21:$AU$29)*$B$10+$AT$11*$B$10,SUMIF($AS$21:$AS$29,Tableau182986[[#This Row],[Age]],$AU$21:$AU$29)*$B$10+$AT$11*$B$10),"")</f>
        <v>9</v>
      </c>
      <c r="AM39" s="7">
        <f>IF(Tableau182986[[#This Row],[Age]]&lt;&gt;"",IF(Tableau182986[[#This Row],[Age]]=$B$11,$AT$10*$B$10,0)+Tableau182986[[#This Row],[VBO]]*$AX$21*$B$10+Tableau182986[[#This Row],[VBI]]*$AX$22*$B$10+Tableau182986[[#This Row],[VBE]]*$AX$23*$B$10,"")</f>
        <v>0</v>
      </c>
      <c r="AN39" s="7">
        <v>1.7657928863658265</v>
      </c>
      <c r="AO39" s="7">
        <v>0</v>
      </c>
      <c r="AP39" s="7">
        <f>IF(Tableau182986[[#This Row],[Age]]&lt;&gt;"",Tableau182986[[#This Row],[RA]]-Tableau182986[[#This Row],[DA]],"")</f>
        <v>-1.7657928863658265</v>
      </c>
    </row>
    <row r="40" spans="1:42" ht="15" customHeight="1" x14ac:dyDescent="0.2">
      <c r="K40" s="3">
        <v>38</v>
      </c>
      <c r="L40" s="4">
        <v>176</v>
      </c>
      <c r="M40" s="4">
        <v>0</v>
      </c>
      <c r="N40" s="4">
        <v>176</v>
      </c>
      <c r="O40" s="5">
        <f t="shared" si="0"/>
        <v>82.367999999999995</v>
      </c>
      <c r="P40" s="5">
        <f t="shared" si="1"/>
        <v>22.715185822374924</v>
      </c>
      <c r="Q40" s="5">
        <f t="shared" si="2"/>
        <v>57.143161807334202</v>
      </c>
      <c r="R40" s="5">
        <v>12.666666666666666</v>
      </c>
      <c r="S40" s="5">
        <v>219.49462652265308</v>
      </c>
      <c r="T40" s="5">
        <f t="shared" si="3"/>
        <v>0</v>
      </c>
      <c r="U40" s="5">
        <f t="shared" si="4"/>
        <v>0</v>
      </c>
      <c r="V40" s="5" t="str">
        <f>IF($E$4="Embrousaillement",Tableau182986[[#This Row],[SOL]],"")</f>
        <v/>
      </c>
      <c r="W40" s="5" t="str">
        <f>IF($E$4="Embrousaillement",Tableau182986[[#This Row],[L]],"")</f>
        <v/>
      </c>
      <c r="X40" s="5">
        <v>9.1666666666666661</v>
      </c>
      <c r="Y40" s="5">
        <f t="shared" si="5"/>
        <v>0</v>
      </c>
      <c r="Z40" s="5">
        <f t="shared" si="6"/>
        <v>0</v>
      </c>
      <c r="AA40" s="5">
        <f t="shared" si="7"/>
        <v>0</v>
      </c>
      <c r="AB40" s="5" t="s">
        <v>166</v>
      </c>
      <c r="AC40" s="5" t="s">
        <v>166</v>
      </c>
      <c r="AD40" s="5" t="str">
        <f t="shared" si="8"/>
        <v/>
      </c>
      <c r="AE40" s="5" t="s">
        <v>166</v>
      </c>
      <c r="AF40" s="5" t="s">
        <v>166</v>
      </c>
      <c r="AG40" s="5" t="str">
        <f t="shared" si="9"/>
        <v/>
      </c>
      <c r="AH40" s="5" t="s">
        <v>166</v>
      </c>
      <c r="AI40" s="5" t="s">
        <v>166</v>
      </c>
      <c r="AJ40" s="5" t="str">
        <f t="shared" si="10"/>
        <v/>
      </c>
      <c r="AK40" s="5" t="str">
        <f t="shared" si="11"/>
        <v/>
      </c>
      <c r="AL40" s="7">
        <f>IF(Tableau182986[[#This Row],[Age]]&lt;&gt;"",IF(Tableau182986[[#This Row],[Age]]=0,$AT$10*$B$10+SUMIF($AS$21:$AS$29,Tableau182986[[#This Row],[Age]],$AU$21:$AU$29)*$B$10+$AT$11*$B$10,SUMIF($AS$21:$AS$29,Tableau182986[[#This Row],[Age]],$AU$21:$AU$29)*$B$10+$AT$11*$B$10),"")</f>
        <v>9</v>
      </c>
      <c r="AM40" s="7">
        <f>IF(Tableau182986[[#This Row],[Age]]&lt;&gt;"",IF(Tableau182986[[#This Row],[Age]]=$B$11,$AT$10*$B$10,0)+Tableau182986[[#This Row],[VBO]]*$AX$21*$B$10+Tableau182986[[#This Row],[VBI]]*$AX$22*$B$10+Tableau182986[[#This Row],[VBE]]*$AX$23*$B$10,"")</f>
        <v>0</v>
      </c>
      <c r="AN40" s="7">
        <v>1.6897539582448105</v>
      </c>
      <c r="AO40" s="7">
        <v>0</v>
      </c>
      <c r="AP40" s="7">
        <f>IF(Tableau182986[[#This Row],[Age]]&lt;&gt;"",Tableau182986[[#This Row],[RA]]-Tableau182986[[#This Row],[DA]],"")</f>
        <v>-1.6897539582448105</v>
      </c>
    </row>
    <row r="41" spans="1:42" ht="15" customHeight="1" x14ac:dyDescent="0.2">
      <c r="K41" s="3">
        <v>39</v>
      </c>
      <c r="L41" s="4">
        <v>187</v>
      </c>
      <c r="M41" s="4">
        <v>0</v>
      </c>
      <c r="N41" s="4">
        <v>187</v>
      </c>
      <c r="O41" s="5">
        <f t="shared" si="0"/>
        <v>87.515999999999991</v>
      </c>
      <c r="P41" s="5">
        <f t="shared" si="1"/>
        <v>23.965171662037644</v>
      </c>
      <c r="Q41" s="5">
        <f t="shared" si="2"/>
        <v>57.366199206392857</v>
      </c>
      <c r="R41" s="5">
        <v>13</v>
      </c>
      <c r="S41" s="5">
        <v>226.08621886741133</v>
      </c>
      <c r="T41" s="5">
        <f t="shared" si="3"/>
        <v>0</v>
      </c>
      <c r="U41" s="5">
        <f t="shared" si="4"/>
        <v>0</v>
      </c>
      <c r="V41" s="5" t="str">
        <f>IF($E$4="Embrousaillement",Tableau182986[[#This Row],[SOL]],"")</f>
        <v/>
      </c>
      <c r="W41" s="5" t="str">
        <f>IF($E$4="Embrousaillement",Tableau182986[[#This Row],[L]],"")</f>
        <v/>
      </c>
      <c r="X41" s="5">
        <v>9.1666666666666661</v>
      </c>
      <c r="Y41" s="5">
        <f t="shared" si="5"/>
        <v>0</v>
      </c>
      <c r="Z41" s="5">
        <f t="shared" si="6"/>
        <v>0</v>
      </c>
      <c r="AA41" s="5">
        <f t="shared" si="7"/>
        <v>0</v>
      </c>
      <c r="AB41" s="5" t="s">
        <v>166</v>
      </c>
      <c r="AC41" s="5" t="s">
        <v>166</v>
      </c>
      <c r="AD41" s="5" t="str">
        <f t="shared" si="8"/>
        <v/>
      </c>
      <c r="AE41" s="5" t="s">
        <v>166</v>
      </c>
      <c r="AF41" s="5" t="s">
        <v>166</v>
      </c>
      <c r="AG41" s="5" t="str">
        <f t="shared" si="9"/>
        <v/>
      </c>
      <c r="AH41" s="5" t="s">
        <v>166</v>
      </c>
      <c r="AI41" s="5" t="s">
        <v>166</v>
      </c>
      <c r="AJ41" s="5" t="str">
        <f t="shared" si="10"/>
        <v/>
      </c>
      <c r="AK41" s="5" t="str">
        <f t="shared" si="11"/>
        <v/>
      </c>
      <c r="AL41" s="7">
        <f>IF(Tableau182986[[#This Row],[Age]]&lt;&gt;"",IF(Tableau182986[[#This Row],[Age]]=0,$AT$10*$B$10+SUMIF($AS$21:$AS$29,Tableau182986[[#This Row],[Age]],$AU$21:$AU$29)*$B$10+$AT$11*$B$10,SUMIF($AS$21:$AS$29,Tableau182986[[#This Row],[Age]],$AU$21:$AU$29)*$B$10+$AT$11*$B$10),"")</f>
        <v>9</v>
      </c>
      <c r="AM41" s="7">
        <f>IF(Tableau182986[[#This Row],[Age]]&lt;&gt;"",IF(Tableau182986[[#This Row],[Age]]=$B$11,$AT$10*$B$10,0)+Tableau182986[[#This Row],[VBO]]*$AX$21*$B$10+Tableau182986[[#This Row],[VBI]]*$AX$22*$B$10+Tableau182986[[#This Row],[VBE]]*$AX$23*$B$10,"")</f>
        <v>0</v>
      </c>
      <c r="AN41" s="7">
        <v>1.6169894337270914</v>
      </c>
      <c r="AO41" s="7">
        <v>0</v>
      </c>
      <c r="AP41" s="7">
        <f>IF(Tableau182986[[#This Row],[Age]]&lt;&gt;"",Tableau182986[[#This Row],[RA]]-Tableau182986[[#This Row],[DA]],"")</f>
        <v>-1.6169894337270914</v>
      </c>
    </row>
    <row r="42" spans="1:42" ht="15" customHeight="1" x14ac:dyDescent="0.2">
      <c r="K42" s="3">
        <v>40</v>
      </c>
      <c r="L42" s="4">
        <v>198</v>
      </c>
      <c r="M42" s="4">
        <v>0</v>
      </c>
      <c r="N42" s="4">
        <v>198</v>
      </c>
      <c r="O42" s="5">
        <f t="shared" si="0"/>
        <v>92.664000000000001</v>
      </c>
      <c r="P42" s="5">
        <f t="shared" si="1"/>
        <v>25.206622814445748</v>
      </c>
      <c r="Q42" s="5">
        <f t="shared" si="2"/>
        <v>57.585367405214768</v>
      </c>
      <c r="R42" s="5">
        <v>13.333333333333332</v>
      </c>
      <c r="S42" s="5">
        <v>232.66328538825135</v>
      </c>
      <c r="T42" s="5">
        <f t="shared" si="3"/>
        <v>0</v>
      </c>
      <c r="U42" s="5">
        <f t="shared" si="4"/>
        <v>0</v>
      </c>
      <c r="V42" s="5" t="str">
        <f>IF($E$4="Embrousaillement",Tableau182986[[#This Row],[SOL]],"")</f>
        <v/>
      </c>
      <c r="W42" s="5" t="str">
        <f>IF($E$4="Embrousaillement",Tableau182986[[#This Row],[L]],"")</f>
        <v/>
      </c>
      <c r="X42" s="5">
        <v>9.1666666666666661</v>
      </c>
      <c r="Y42" s="5">
        <f t="shared" si="5"/>
        <v>0</v>
      </c>
      <c r="Z42" s="5">
        <f t="shared" si="6"/>
        <v>0</v>
      </c>
      <c r="AA42" s="5">
        <f t="shared" si="7"/>
        <v>0</v>
      </c>
      <c r="AB42" s="5" t="s">
        <v>166</v>
      </c>
      <c r="AC42" s="5" t="s">
        <v>166</v>
      </c>
      <c r="AD42" s="5" t="str">
        <f t="shared" si="8"/>
        <v/>
      </c>
      <c r="AE42" s="5" t="s">
        <v>166</v>
      </c>
      <c r="AF42" s="5" t="s">
        <v>166</v>
      </c>
      <c r="AG42" s="5" t="str">
        <f t="shared" si="9"/>
        <v/>
      </c>
      <c r="AH42" s="5" t="s">
        <v>166</v>
      </c>
      <c r="AI42" s="5" t="s">
        <v>166</v>
      </c>
      <c r="AJ42" s="5" t="str">
        <f t="shared" si="10"/>
        <v/>
      </c>
      <c r="AK42" s="5" t="str">
        <f t="shared" si="11"/>
        <v/>
      </c>
      <c r="AL42" s="7">
        <f>IF(Tableau182986[[#This Row],[Age]]&lt;&gt;"",IF(Tableau182986[[#This Row],[Age]]=0,$AT$10*$B$10+SUMIF($AS$21:$AS$29,Tableau182986[[#This Row],[Age]],$AU$21:$AU$29)*$B$10+$AT$11*$B$10,SUMIF($AS$21:$AS$29,Tableau182986[[#This Row],[Age]],$AU$21:$AU$29)*$B$10+$AT$11*$B$10),"")</f>
        <v>9</v>
      </c>
      <c r="AM42" s="7">
        <f>IF(Tableau182986[[#This Row],[Age]]&lt;&gt;"",IF(Tableau182986[[#This Row],[Age]]=$B$11,$AT$10*$B$10,0)+Tableau182986[[#This Row],[VBO]]*$AX$21*$B$10+Tableau182986[[#This Row],[VBI]]*$AX$22*$B$10+Tableau182986[[#This Row],[VBE]]*$AX$23*$B$10,"")</f>
        <v>0</v>
      </c>
      <c r="AN42" s="7">
        <v>1.5473583097866908</v>
      </c>
      <c r="AO42" s="7">
        <v>0</v>
      </c>
      <c r="AP42" s="7">
        <f>IF(Tableau182986[[#This Row],[Age]]&lt;&gt;"",Tableau182986[[#This Row],[RA]]-Tableau182986[[#This Row],[DA]],"")</f>
        <v>-1.5473583097866908</v>
      </c>
    </row>
    <row r="43" spans="1:42" ht="15" customHeight="1" x14ac:dyDescent="0.2">
      <c r="K43" s="3">
        <v>41</v>
      </c>
      <c r="L43" s="4">
        <v>215</v>
      </c>
      <c r="M43" s="4">
        <v>0</v>
      </c>
      <c r="N43" s="4">
        <v>215</v>
      </c>
      <c r="O43" s="5">
        <f t="shared" si="0"/>
        <v>100.61999999999999</v>
      </c>
      <c r="P43" s="5">
        <f t="shared" si="1"/>
        <v>27.10965082293415</v>
      </c>
      <c r="Q43" s="5">
        <f t="shared" si="2"/>
        <v>57.800733525773801</v>
      </c>
      <c r="R43" s="5">
        <v>13.666666666666666</v>
      </c>
      <c r="S43" s="5">
        <v>242.25480461111266</v>
      </c>
      <c r="T43" s="5">
        <f t="shared" si="3"/>
        <v>0</v>
      </c>
      <c r="U43" s="5">
        <f t="shared" si="4"/>
        <v>0</v>
      </c>
      <c r="V43" s="5" t="str">
        <f>IF($E$4="Embrousaillement",Tableau182986[[#This Row],[SOL]],"")</f>
        <v/>
      </c>
      <c r="W43" s="5" t="str">
        <f>IF($E$4="Embrousaillement",Tableau182986[[#This Row],[L]],"")</f>
        <v/>
      </c>
      <c r="X43" s="5">
        <v>9.1666666666666661</v>
      </c>
      <c r="Y43" s="5">
        <f t="shared" si="5"/>
        <v>0</v>
      </c>
      <c r="Z43" s="5">
        <f t="shared" si="6"/>
        <v>0</v>
      </c>
      <c r="AA43" s="5">
        <f t="shared" si="7"/>
        <v>0</v>
      </c>
      <c r="AB43" s="5" t="s">
        <v>166</v>
      </c>
      <c r="AC43" s="5" t="s">
        <v>166</v>
      </c>
      <c r="AD43" s="5" t="str">
        <f t="shared" si="8"/>
        <v/>
      </c>
      <c r="AE43" s="5" t="s">
        <v>166</v>
      </c>
      <c r="AF43" s="5" t="s">
        <v>166</v>
      </c>
      <c r="AG43" s="5" t="str">
        <f t="shared" si="9"/>
        <v/>
      </c>
      <c r="AH43" s="5" t="s">
        <v>166</v>
      </c>
      <c r="AI43" s="5" t="s">
        <v>166</v>
      </c>
      <c r="AJ43" s="5" t="str">
        <f t="shared" si="10"/>
        <v/>
      </c>
      <c r="AK43" s="5" t="str">
        <f t="shared" si="11"/>
        <v/>
      </c>
      <c r="AL43" s="7">
        <f>IF(Tableau182986[[#This Row],[Age]]&lt;&gt;"",IF(Tableau182986[[#This Row],[Age]]=0,$AT$10*$B$10+SUMIF($AS$21:$AS$29,Tableau182986[[#This Row],[Age]],$AU$21:$AU$29)*$B$10+$AT$11*$B$10,SUMIF($AS$21:$AS$29,Tableau182986[[#This Row],[Age]],$AU$21:$AU$29)*$B$10+$AT$11*$B$10),"")</f>
        <v>9</v>
      </c>
      <c r="AM43" s="7">
        <f>IF(Tableau182986[[#This Row],[Age]]&lt;&gt;"",IF(Tableau182986[[#This Row],[Age]]=$B$11,$AT$10*$B$10,0)+Tableau182986[[#This Row],[VBO]]*$AX$21*$B$10+Tableau182986[[#This Row],[VBI]]*$AX$22*$B$10+Tableau182986[[#This Row],[VBE]]*$AX$23*$B$10,"")</f>
        <v>0</v>
      </c>
      <c r="AN43" s="7">
        <v>1.4807256552982688</v>
      </c>
      <c r="AO43" s="7">
        <v>0</v>
      </c>
      <c r="AP43" s="7">
        <f>IF(Tableau182986[[#This Row],[Age]]&lt;&gt;"",Tableau182986[[#This Row],[RA]]-Tableau182986[[#This Row],[DA]],"")</f>
        <v>-1.4807256552982688</v>
      </c>
    </row>
    <row r="44" spans="1:42" ht="15" customHeight="1" x14ac:dyDescent="0.2">
      <c r="K44" s="3">
        <v>42</v>
      </c>
      <c r="L44" s="4">
        <v>232</v>
      </c>
      <c r="M44" s="4">
        <v>0</v>
      </c>
      <c r="N44" s="4">
        <v>232</v>
      </c>
      <c r="O44" s="5">
        <f t="shared" si="0"/>
        <v>108.57599999999999</v>
      </c>
      <c r="P44" s="5">
        <f t="shared" si="1"/>
        <v>28.995225061228002</v>
      </c>
      <c r="Q44" s="5">
        <f t="shared" si="2"/>
        <v>58.012363525627649</v>
      </c>
      <c r="R44" s="5">
        <v>14</v>
      </c>
      <c r="S44" s="5">
        <v>251.8242749544701</v>
      </c>
      <c r="T44" s="5">
        <f t="shared" si="3"/>
        <v>0</v>
      </c>
      <c r="U44" s="5">
        <f t="shared" si="4"/>
        <v>0</v>
      </c>
      <c r="V44" s="5" t="str">
        <f>IF($E$4="Embrousaillement",Tableau182986[[#This Row],[SOL]],"")</f>
        <v/>
      </c>
      <c r="W44" s="5" t="str">
        <f>IF($E$4="Embrousaillement",Tableau182986[[#This Row],[L]],"")</f>
        <v/>
      </c>
      <c r="X44" s="5">
        <v>9.1666666666666661</v>
      </c>
      <c r="Y44" s="5">
        <f t="shared" si="5"/>
        <v>0</v>
      </c>
      <c r="Z44" s="5">
        <f t="shared" si="6"/>
        <v>0</v>
      </c>
      <c r="AA44" s="5">
        <f t="shared" si="7"/>
        <v>0</v>
      </c>
      <c r="AB44" s="5" t="s">
        <v>166</v>
      </c>
      <c r="AC44" s="5" t="s">
        <v>166</v>
      </c>
      <c r="AD44" s="5" t="str">
        <f t="shared" si="8"/>
        <v/>
      </c>
      <c r="AE44" s="5" t="s">
        <v>166</v>
      </c>
      <c r="AF44" s="5" t="s">
        <v>166</v>
      </c>
      <c r="AG44" s="5" t="str">
        <f t="shared" si="9"/>
        <v/>
      </c>
      <c r="AH44" s="5" t="s">
        <v>166</v>
      </c>
      <c r="AI44" s="5" t="s">
        <v>166</v>
      </c>
      <c r="AJ44" s="5" t="str">
        <f t="shared" si="10"/>
        <v/>
      </c>
      <c r="AK44" s="5" t="str">
        <f t="shared" si="11"/>
        <v/>
      </c>
      <c r="AL44" s="7">
        <f>IF(Tableau182986[[#This Row],[Age]]&lt;&gt;"",IF(Tableau182986[[#This Row],[Age]]=0,$AT$10*$B$10+SUMIF($AS$21:$AS$29,Tableau182986[[#This Row],[Age]],$AU$21:$AU$29)*$B$10+$AT$11*$B$10,SUMIF($AS$21:$AS$29,Tableau182986[[#This Row],[Age]],$AU$21:$AU$29)*$B$10+$AT$11*$B$10),"")</f>
        <v>9</v>
      </c>
      <c r="AM44" s="7">
        <f>IF(Tableau182986[[#This Row],[Age]]&lt;&gt;"",IF(Tableau182986[[#This Row],[Age]]=$B$11,$AT$10*$B$10,0)+Tableau182986[[#This Row],[VBO]]*$AX$21*$B$10+Tableau182986[[#This Row],[VBI]]*$AX$22*$B$10+Tableau182986[[#This Row],[VBE]]*$AX$23*$B$10,"")</f>
        <v>0</v>
      </c>
      <c r="AN44" s="7">
        <v>1.4169623495677215</v>
      </c>
      <c r="AO44" s="7">
        <v>0</v>
      </c>
      <c r="AP44" s="7">
        <f>IF(Tableau182986[[#This Row],[Age]]&lt;&gt;"",Tableau182986[[#This Row],[RA]]-Tableau182986[[#This Row],[DA]],"")</f>
        <v>-1.4169623495677215</v>
      </c>
    </row>
    <row r="45" spans="1:42" ht="15" customHeight="1" x14ac:dyDescent="0.2">
      <c r="K45" s="3">
        <v>43</v>
      </c>
      <c r="L45" s="4">
        <v>249</v>
      </c>
      <c r="M45" s="4">
        <v>0</v>
      </c>
      <c r="N45" s="4">
        <v>249</v>
      </c>
      <c r="O45" s="5">
        <f t="shared" si="0"/>
        <v>116.53200000000001</v>
      </c>
      <c r="P45" s="5">
        <f t="shared" si="1"/>
        <v>30.864769909522728</v>
      </c>
      <c r="Q45" s="5">
        <f t="shared" si="2"/>
        <v>58.220322218117829</v>
      </c>
      <c r="R45" s="5">
        <v>14.333333333333332</v>
      </c>
      <c r="S45" s="5">
        <v>261.37305564053656</v>
      </c>
      <c r="T45" s="5">
        <f t="shared" si="3"/>
        <v>0</v>
      </c>
      <c r="U45" s="5">
        <f t="shared" si="4"/>
        <v>0</v>
      </c>
      <c r="V45" s="5" t="str">
        <f>IF($E$4="Embrousaillement",Tableau182986[[#This Row],[SOL]],"")</f>
        <v/>
      </c>
      <c r="W45" s="5" t="str">
        <f>IF($E$4="Embrousaillement",Tableau182986[[#This Row],[L]],"")</f>
        <v/>
      </c>
      <c r="X45" s="5">
        <v>9.1666666666666661</v>
      </c>
      <c r="Y45" s="5">
        <f t="shared" si="5"/>
        <v>0</v>
      </c>
      <c r="Z45" s="5">
        <f t="shared" si="6"/>
        <v>0</v>
      </c>
      <c r="AA45" s="5">
        <f t="shared" si="7"/>
        <v>0</v>
      </c>
      <c r="AB45" s="5" t="s">
        <v>166</v>
      </c>
      <c r="AC45" s="5" t="s">
        <v>166</v>
      </c>
      <c r="AD45" s="5" t="str">
        <f t="shared" si="8"/>
        <v/>
      </c>
      <c r="AE45" s="5" t="s">
        <v>166</v>
      </c>
      <c r="AF45" s="5" t="s">
        <v>166</v>
      </c>
      <c r="AG45" s="5" t="str">
        <f t="shared" si="9"/>
        <v/>
      </c>
      <c r="AH45" s="5" t="s">
        <v>166</v>
      </c>
      <c r="AI45" s="5" t="s">
        <v>166</v>
      </c>
      <c r="AJ45" s="5" t="str">
        <f t="shared" si="10"/>
        <v/>
      </c>
      <c r="AK45" s="5" t="str">
        <f t="shared" si="11"/>
        <v/>
      </c>
      <c r="AL45" s="7">
        <f>IF(Tableau182986[[#This Row],[Age]]&lt;&gt;"",IF(Tableau182986[[#This Row],[Age]]=0,$AT$10*$B$10+SUMIF($AS$21:$AS$29,Tableau182986[[#This Row],[Age]],$AU$21:$AU$29)*$B$10+$AT$11*$B$10,SUMIF($AS$21:$AS$29,Tableau182986[[#This Row],[Age]],$AU$21:$AU$29)*$B$10+$AT$11*$B$10),"")</f>
        <v>9</v>
      </c>
      <c r="AM45" s="7">
        <f>IF(Tableau182986[[#This Row],[Age]]&lt;&gt;"",IF(Tableau182986[[#This Row],[Age]]=$B$11,$AT$10*$B$10,0)+Tableau182986[[#This Row],[VBO]]*$AX$21*$B$10+Tableau182986[[#This Row],[VBI]]*$AX$22*$B$10+Tableau182986[[#This Row],[VBE]]*$AX$23*$B$10,"")</f>
        <v>0</v>
      </c>
      <c r="AN45" s="7">
        <v>1.3559448321222216</v>
      </c>
      <c r="AO45" s="7">
        <v>0</v>
      </c>
      <c r="AP45" s="7">
        <f>IF(Tableau182986[[#This Row],[Age]]&lt;&gt;"",Tableau182986[[#This Row],[RA]]-Tableau182986[[#This Row],[DA]],"")</f>
        <v>-1.3559448321222216</v>
      </c>
    </row>
    <row r="46" spans="1:42" ht="15" customHeight="1" x14ac:dyDescent="0.2">
      <c r="K46" s="3">
        <v>44</v>
      </c>
      <c r="L46" s="4">
        <v>266</v>
      </c>
      <c r="M46" s="4">
        <v>0</v>
      </c>
      <c r="N46" s="4">
        <v>266</v>
      </c>
      <c r="O46" s="5">
        <f t="shared" si="0"/>
        <v>124.48799999999999</v>
      </c>
      <c r="P46" s="5">
        <f t="shared" si="1"/>
        <v>32.719504245667267</v>
      </c>
      <c r="Q46" s="5">
        <f t="shared" si="2"/>
        <v>58.424673292219296</v>
      </c>
      <c r="R46" s="5">
        <v>14.666666666666666</v>
      </c>
      <c r="S46" s="5">
        <v>270.90232487189274</v>
      </c>
      <c r="T46" s="5">
        <f t="shared" si="3"/>
        <v>0</v>
      </c>
      <c r="U46" s="5">
        <f t="shared" si="4"/>
        <v>0</v>
      </c>
      <c r="V46" s="5" t="str">
        <f>IF($E$4="Embrousaillement",Tableau182986[[#This Row],[SOL]],"")</f>
        <v/>
      </c>
      <c r="W46" s="5" t="str">
        <f>IF($E$4="Embrousaillement",Tableau182986[[#This Row],[L]],"")</f>
        <v/>
      </c>
      <c r="X46" s="5">
        <v>9.1666666666666661</v>
      </c>
      <c r="Y46" s="5">
        <f t="shared" si="5"/>
        <v>0</v>
      </c>
      <c r="Z46" s="5">
        <f t="shared" si="6"/>
        <v>0</v>
      </c>
      <c r="AA46" s="5">
        <f t="shared" si="7"/>
        <v>0</v>
      </c>
      <c r="AB46" s="5" t="s">
        <v>166</v>
      </c>
      <c r="AC46" s="5" t="s">
        <v>166</v>
      </c>
      <c r="AD46" s="5" t="str">
        <f t="shared" si="8"/>
        <v/>
      </c>
      <c r="AE46" s="5" t="s">
        <v>166</v>
      </c>
      <c r="AF46" s="5" t="s">
        <v>166</v>
      </c>
      <c r="AG46" s="5" t="str">
        <f t="shared" si="9"/>
        <v/>
      </c>
      <c r="AH46" s="5" t="s">
        <v>166</v>
      </c>
      <c r="AI46" s="5" t="s">
        <v>166</v>
      </c>
      <c r="AJ46" s="5" t="str">
        <f t="shared" si="10"/>
        <v/>
      </c>
      <c r="AK46" s="5" t="str">
        <f t="shared" si="11"/>
        <v/>
      </c>
      <c r="AL46" s="7">
        <f>IF(Tableau182986[[#This Row],[Age]]&lt;&gt;"",IF(Tableau182986[[#This Row],[Age]]=0,$AT$10*$B$10+SUMIF($AS$21:$AS$29,Tableau182986[[#This Row],[Age]],$AU$21:$AU$29)*$B$10+$AT$11*$B$10,SUMIF($AS$21:$AS$29,Tableau182986[[#This Row],[Age]],$AU$21:$AU$29)*$B$10+$AT$11*$B$10),"")</f>
        <v>9</v>
      </c>
      <c r="AM46" s="7">
        <f>IF(Tableau182986[[#This Row],[Age]]&lt;&gt;"",IF(Tableau182986[[#This Row],[Age]]=$B$11,$AT$10*$B$10,0)+Tableau182986[[#This Row],[VBO]]*$AX$21*$B$10+Tableau182986[[#This Row],[VBI]]*$AX$22*$B$10+Tableau182986[[#This Row],[VBE]]*$AX$23*$B$10,"")</f>
        <v>0</v>
      </c>
      <c r="AN46" s="7">
        <v>1.2975548632748533</v>
      </c>
      <c r="AO46" s="7">
        <v>0</v>
      </c>
      <c r="AP46" s="7">
        <f>IF(Tableau182986[[#This Row],[Age]]&lt;&gt;"",Tableau182986[[#This Row],[RA]]-Tableau182986[[#This Row],[DA]],"")</f>
        <v>-1.2975548632748533</v>
      </c>
    </row>
    <row r="47" spans="1:42" ht="15" customHeight="1" x14ac:dyDescent="0.2">
      <c r="K47" s="3">
        <v>45</v>
      </c>
      <c r="L47" s="4">
        <v>283</v>
      </c>
      <c r="M47" s="4">
        <v>0</v>
      </c>
      <c r="N47" s="4">
        <v>283</v>
      </c>
      <c r="O47" s="5">
        <f t="shared" si="0"/>
        <v>132.44399999999999</v>
      </c>
      <c r="P47" s="5">
        <f t="shared" si="1"/>
        <v>34.560482342975533</v>
      </c>
      <c r="Q47" s="5">
        <f t="shared" si="2"/>
        <v>58.625479332045664</v>
      </c>
      <c r="R47" s="5">
        <v>15</v>
      </c>
      <c r="S47" s="5">
        <v>280.41311548242487</v>
      </c>
      <c r="T47" s="5">
        <f t="shared" si="3"/>
        <v>0</v>
      </c>
      <c r="U47" s="5">
        <f t="shared" si="4"/>
        <v>0</v>
      </c>
      <c r="V47" s="5" t="str">
        <f>IF($E$4="Embrousaillement",Tableau182986[[#This Row],[SOL]],"")</f>
        <v/>
      </c>
      <c r="W47" s="5" t="str">
        <f>IF($E$4="Embrousaillement",Tableau182986[[#This Row],[L]],"")</f>
        <v/>
      </c>
      <c r="X47" s="5">
        <v>9.1666666666666661</v>
      </c>
      <c r="Y47" s="5">
        <f t="shared" si="5"/>
        <v>0</v>
      </c>
      <c r="Z47" s="5">
        <f t="shared" si="6"/>
        <v>0</v>
      </c>
      <c r="AA47" s="5">
        <f t="shared" si="7"/>
        <v>0</v>
      </c>
      <c r="AB47" s="5" t="s">
        <v>166</v>
      </c>
      <c r="AC47" s="5" t="s">
        <v>166</v>
      </c>
      <c r="AD47" s="5" t="str">
        <f t="shared" si="8"/>
        <v/>
      </c>
      <c r="AE47" s="5" t="s">
        <v>166</v>
      </c>
      <c r="AF47" s="5" t="s">
        <v>166</v>
      </c>
      <c r="AG47" s="5" t="str">
        <f t="shared" si="9"/>
        <v/>
      </c>
      <c r="AH47" s="5" t="s">
        <v>166</v>
      </c>
      <c r="AI47" s="5" t="s">
        <v>166</v>
      </c>
      <c r="AJ47" s="5" t="str">
        <f t="shared" si="10"/>
        <v/>
      </c>
      <c r="AK47" s="5" t="str">
        <f t="shared" si="11"/>
        <v/>
      </c>
      <c r="AL47" s="7">
        <f>IF(Tableau182986[[#This Row],[Age]]&lt;&gt;"",IF(Tableau182986[[#This Row],[Age]]=0,$AT$10*$B$10+SUMIF($AS$21:$AS$29,Tableau182986[[#This Row],[Age]],$AU$21:$AU$29)*$B$10+$AT$11*$B$10,SUMIF($AS$21:$AS$29,Tableau182986[[#This Row],[Age]],$AU$21:$AU$29)*$B$10+$AT$11*$B$10),"")</f>
        <v>9</v>
      </c>
      <c r="AM47" s="7">
        <f>IF(Tableau182986[[#This Row],[Age]]&lt;&gt;"",IF(Tableau182986[[#This Row],[Age]]=$B$11,$AT$10*$B$10,0)+Tableau182986[[#This Row],[VBO]]*$AX$21*$B$10+Tableau182986[[#This Row],[VBI]]*$AX$22*$B$10+Tableau182986[[#This Row],[VBE]]*$AX$23*$B$10,"")</f>
        <v>0</v>
      </c>
      <c r="AN47" s="7">
        <v>1.2416792949998596</v>
      </c>
      <c r="AO47" s="7">
        <v>0</v>
      </c>
      <c r="AP47" s="7">
        <f>IF(Tableau182986[[#This Row],[Age]]&lt;&gt;"",Tableau182986[[#This Row],[RA]]-Tableau182986[[#This Row],[DA]],"")</f>
        <v>-1.2416792949998596</v>
      </c>
    </row>
    <row r="48" spans="1:42" ht="15" customHeight="1" x14ac:dyDescent="0.2">
      <c r="K48" s="3">
        <v>46</v>
      </c>
      <c r="L48" s="4">
        <v>300</v>
      </c>
      <c r="M48" s="4">
        <v>102</v>
      </c>
      <c r="N48" s="4">
        <v>198</v>
      </c>
      <c r="O48" s="5">
        <f t="shared" si="0"/>
        <v>92.664000000000001</v>
      </c>
      <c r="P48" s="5">
        <f t="shared" si="1"/>
        <v>25.206622814445748</v>
      </c>
      <c r="Q48" s="5">
        <f t="shared" si="2"/>
        <v>58.82280183601609</v>
      </c>
      <c r="R48" s="5">
        <v>15.333333333333332</v>
      </c>
      <c r="S48" s="5">
        <v>238.59858184472046</v>
      </c>
      <c r="T48" s="5">
        <f t="shared" si="3"/>
        <v>0</v>
      </c>
      <c r="U48" s="5">
        <f t="shared" si="4"/>
        <v>0</v>
      </c>
      <c r="V48" s="5" t="str">
        <f>IF($E$4="Embrousaillement",Tableau182986[[#This Row],[SOL]],"")</f>
        <v/>
      </c>
      <c r="W48" s="5" t="str">
        <f>IF($E$4="Embrousaillement",Tableau182986[[#This Row],[L]],"")</f>
        <v/>
      </c>
      <c r="X48" s="5">
        <v>9.1666666666666661</v>
      </c>
      <c r="Y48" s="5">
        <f t="shared" si="5"/>
        <v>51</v>
      </c>
      <c r="Z48" s="5">
        <f t="shared" si="6"/>
        <v>51</v>
      </c>
      <c r="AA48" s="5">
        <f t="shared" si="7"/>
        <v>0</v>
      </c>
      <c r="AB48" s="5" t="s">
        <v>166</v>
      </c>
      <c r="AC48" s="5" t="s">
        <v>166</v>
      </c>
      <c r="AD48" s="5" t="str">
        <f t="shared" si="8"/>
        <v/>
      </c>
      <c r="AE48" s="5" t="s">
        <v>166</v>
      </c>
      <c r="AF48" s="5" t="s">
        <v>166</v>
      </c>
      <c r="AG48" s="5" t="str">
        <f t="shared" si="9"/>
        <v/>
      </c>
      <c r="AH48" s="5" t="s">
        <v>166</v>
      </c>
      <c r="AI48" s="5" t="s">
        <v>166</v>
      </c>
      <c r="AJ48" s="5" t="str">
        <f t="shared" si="10"/>
        <v/>
      </c>
      <c r="AK48" s="5" t="str">
        <f t="shared" si="11"/>
        <v/>
      </c>
      <c r="AL48" s="7">
        <f>IF(Tableau182986[[#This Row],[Age]]&lt;&gt;"",IF(Tableau182986[[#This Row],[Age]]=0,$AT$10*$B$10+SUMIF($AS$21:$AS$29,Tableau182986[[#This Row],[Age]],$AU$21:$AU$29)*$B$10+$AT$11*$B$10,SUMIF($AS$21:$AS$29,Tableau182986[[#This Row],[Age]],$AU$21:$AU$29)*$B$10+$AT$11*$B$10),"")</f>
        <v>9</v>
      </c>
      <c r="AM48" s="7">
        <f>IF(Tableau182986[[#This Row],[Age]]&lt;&gt;"",IF(Tableau182986[[#This Row],[Age]]=$B$11,$AT$10*$B$10,0)+Tableau182986[[#This Row],[VBO]]*$AX$21*$B$10+Tableau182986[[#This Row],[VBI]]*$AX$22*$B$10+Tableau182986[[#This Row],[VBE]]*$AX$23*$B$10,"")</f>
        <v>1657.5</v>
      </c>
      <c r="AN48" s="7">
        <v>1.188209851674507</v>
      </c>
      <c r="AO48" s="7">
        <v>218.8286476833884</v>
      </c>
      <c r="AP48" s="7">
        <f>IF(Tableau182986[[#This Row],[Age]]&lt;&gt;"",Tableau182986[[#This Row],[RA]]-Tableau182986[[#This Row],[DA]],"")</f>
        <v>217.64043783171388</v>
      </c>
    </row>
    <row r="49" spans="11:42" ht="15" customHeight="1" x14ac:dyDescent="0.2">
      <c r="K49" s="3">
        <v>47</v>
      </c>
      <c r="L49" s="4">
        <v>216.09999999999991</v>
      </c>
      <c r="M49" s="4">
        <v>0</v>
      </c>
      <c r="N49" s="4">
        <v>216.09999999999991</v>
      </c>
      <c r="O49" s="5">
        <f t="shared" si="0"/>
        <v>101.13479999999996</v>
      </c>
      <c r="P49" s="5">
        <f t="shared" si="1"/>
        <v>27.232170195444869</v>
      </c>
      <c r="Q49" s="5">
        <f t="shared" si="2"/>
        <v>59.016701235689659</v>
      </c>
      <c r="R49" s="5">
        <v>15.666666666666666</v>
      </c>
      <c r="S49" s="5">
        <v>248.70574436618645</v>
      </c>
      <c r="T49" s="5">
        <f t="shared" si="3"/>
        <v>0</v>
      </c>
      <c r="U49" s="5">
        <f t="shared" si="4"/>
        <v>0</v>
      </c>
      <c r="V49" s="5" t="str">
        <f>IF($E$4="Embrousaillement",Tableau182986[[#This Row],[SOL]],"")</f>
        <v/>
      </c>
      <c r="W49" s="5" t="str">
        <f>IF($E$4="Embrousaillement",Tableau182986[[#This Row],[L]],"")</f>
        <v/>
      </c>
      <c r="X49" s="5">
        <v>9.1666666666666661</v>
      </c>
      <c r="Y49" s="5">
        <f t="shared" si="5"/>
        <v>0</v>
      </c>
      <c r="Z49" s="5">
        <f t="shared" si="6"/>
        <v>0</v>
      </c>
      <c r="AA49" s="5">
        <f t="shared" si="7"/>
        <v>0</v>
      </c>
      <c r="AB49" s="5" t="s">
        <v>166</v>
      </c>
      <c r="AC49" s="5" t="s">
        <v>166</v>
      </c>
      <c r="AD49" s="5" t="str">
        <f t="shared" si="8"/>
        <v/>
      </c>
      <c r="AE49" s="5" t="s">
        <v>166</v>
      </c>
      <c r="AF49" s="5" t="s">
        <v>166</v>
      </c>
      <c r="AG49" s="5" t="str">
        <f t="shared" si="9"/>
        <v/>
      </c>
      <c r="AH49" s="5" t="s">
        <v>166</v>
      </c>
      <c r="AI49" s="5" t="s">
        <v>166</v>
      </c>
      <c r="AJ49" s="5" t="str">
        <f t="shared" si="10"/>
        <v/>
      </c>
      <c r="AK49" s="5" t="str">
        <f t="shared" si="11"/>
        <v/>
      </c>
      <c r="AL49" s="7">
        <f>IF(Tableau182986[[#This Row],[Age]]&lt;&gt;"",IF(Tableau182986[[#This Row],[Age]]=0,$AT$10*$B$10+SUMIF($AS$21:$AS$29,Tableau182986[[#This Row],[Age]],$AU$21:$AU$29)*$B$10+$AT$11*$B$10,SUMIF($AS$21:$AS$29,Tableau182986[[#This Row],[Age]],$AU$21:$AU$29)*$B$10+$AT$11*$B$10),"")</f>
        <v>9</v>
      </c>
      <c r="AM49" s="7">
        <f>IF(Tableau182986[[#This Row],[Age]]&lt;&gt;"",IF(Tableau182986[[#This Row],[Age]]=$B$11,$AT$10*$B$10,0)+Tableau182986[[#This Row],[VBO]]*$AX$21*$B$10+Tableau182986[[#This Row],[VBI]]*$AX$22*$B$10+Tableau182986[[#This Row],[VBE]]*$AX$23*$B$10,"")</f>
        <v>0</v>
      </c>
      <c r="AN49" s="7">
        <v>1.1370429202626862</v>
      </c>
      <c r="AO49" s="7">
        <v>0</v>
      </c>
      <c r="AP49" s="7">
        <f>IF(Tableau182986[[#This Row],[Age]]&lt;&gt;"",Tableau182986[[#This Row],[RA]]-Tableau182986[[#This Row],[DA]],"")</f>
        <v>-1.1370429202626862</v>
      </c>
    </row>
    <row r="50" spans="11:42" ht="15" customHeight="1" x14ac:dyDescent="0.2">
      <c r="K50" s="3">
        <v>48</v>
      </c>
      <c r="L50" s="4">
        <v>234.19999999999993</v>
      </c>
      <c r="M50" s="4">
        <v>0</v>
      </c>
      <c r="N50" s="4">
        <v>234.19999999999993</v>
      </c>
      <c r="O50" s="5">
        <f t="shared" si="0"/>
        <v>109.60559999999997</v>
      </c>
      <c r="P50" s="5">
        <f t="shared" si="1"/>
        <v>29.238041439718181</v>
      </c>
      <c r="Q50" s="5">
        <f t="shared" si="2"/>
        <v>59.207236914273011</v>
      </c>
      <c r="R50" s="5">
        <v>16</v>
      </c>
      <c r="S50" s="5">
        <v>258.78960542992172</v>
      </c>
      <c r="T50" s="5">
        <f t="shared" si="3"/>
        <v>0</v>
      </c>
      <c r="U50" s="5">
        <f t="shared" si="4"/>
        <v>0</v>
      </c>
      <c r="V50" s="5" t="str">
        <f>IF($E$4="Embrousaillement",Tableau182986[[#This Row],[SOL]],"")</f>
        <v/>
      </c>
      <c r="W50" s="5" t="str">
        <f>IF($E$4="Embrousaillement",Tableau182986[[#This Row],[L]],"")</f>
        <v/>
      </c>
      <c r="X50" s="5">
        <v>9.1666666666666661</v>
      </c>
      <c r="Y50" s="5">
        <f t="shared" si="5"/>
        <v>0</v>
      </c>
      <c r="Z50" s="5">
        <f t="shared" si="6"/>
        <v>0</v>
      </c>
      <c r="AA50" s="5">
        <f t="shared" si="7"/>
        <v>0</v>
      </c>
      <c r="AB50" s="5" t="s">
        <v>166</v>
      </c>
      <c r="AC50" s="5" t="s">
        <v>166</v>
      </c>
      <c r="AD50" s="5" t="str">
        <f t="shared" si="8"/>
        <v/>
      </c>
      <c r="AE50" s="5" t="s">
        <v>166</v>
      </c>
      <c r="AF50" s="5" t="s">
        <v>166</v>
      </c>
      <c r="AG50" s="5" t="str">
        <f t="shared" si="9"/>
        <v/>
      </c>
      <c r="AH50" s="5" t="s">
        <v>166</v>
      </c>
      <c r="AI50" s="5" t="s">
        <v>166</v>
      </c>
      <c r="AJ50" s="5" t="str">
        <f t="shared" si="10"/>
        <v/>
      </c>
      <c r="AK50" s="5" t="str">
        <f t="shared" si="11"/>
        <v/>
      </c>
      <c r="AL50" s="7">
        <f>IF(Tableau182986[[#This Row],[Age]]&lt;&gt;"",IF(Tableau182986[[#This Row],[Age]]=0,$AT$10*$B$10+SUMIF($AS$21:$AS$29,Tableau182986[[#This Row],[Age]],$AU$21:$AU$29)*$B$10+$AT$11*$B$10,SUMIF($AS$21:$AS$29,Tableau182986[[#This Row],[Age]],$AU$21:$AU$29)*$B$10+$AT$11*$B$10),"")</f>
        <v>9</v>
      </c>
      <c r="AM50" s="7">
        <f>IF(Tableau182986[[#This Row],[Age]]&lt;&gt;"",IF(Tableau182986[[#This Row],[Age]]=$B$11,$AT$10*$B$10,0)+Tableau182986[[#This Row],[VBO]]*$AX$21*$B$10+Tableau182986[[#This Row],[VBI]]*$AX$22*$B$10+Tableau182986[[#This Row],[VBE]]*$AX$23*$B$10,"")</f>
        <v>0</v>
      </c>
      <c r="AN50" s="7">
        <v>1.0880793495336714</v>
      </c>
      <c r="AO50" s="7">
        <v>0</v>
      </c>
      <c r="AP50" s="7">
        <f>IF(Tableau182986[[#This Row],[Age]]&lt;&gt;"",Tableau182986[[#This Row],[RA]]-Tableau182986[[#This Row],[DA]],"")</f>
        <v>-1.0880793495336714</v>
      </c>
    </row>
    <row r="51" spans="11:42" ht="15" customHeight="1" x14ac:dyDescent="0.2">
      <c r="K51" s="3">
        <v>49</v>
      </c>
      <c r="L51" s="4">
        <v>252.29999999999995</v>
      </c>
      <c r="M51" s="4">
        <v>0</v>
      </c>
      <c r="N51" s="4">
        <v>252.29999999999995</v>
      </c>
      <c r="O51" s="5">
        <f t="shared" si="0"/>
        <v>118.07639999999996</v>
      </c>
      <c r="P51" s="5">
        <f t="shared" si="1"/>
        <v>31.225930100508233</v>
      </c>
      <c r="Q51" s="5">
        <f t="shared" si="2"/>
        <v>59.394467224806895</v>
      </c>
      <c r="R51" s="5">
        <v>16.333333333333332</v>
      </c>
      <c r="S51" s="5">
        <v>268.85174681911627</v>
      </c>
      <c r="T51" s="5">
        <f t="shared" si="3"/>
        <v>0</v>
      </c>
      <c r="U51" s="5">
        <f t="shared" si="4"/>
        <v>0</v>
      </c>
      <c r="V51" s="5" t="str">
        <f>IF($E$4="Embrousaillement",Tableau182986[[#This Row],[SOL]],"")</f>
        <v/>
      </c>
      <c r="W51" s="5" t="str">
        <f>IF($E$4="Embrousaillement",Tableau182986[[#This Row],[L]],"")</f>
        <v/>
      </c>
      <c r="X51" s="5">
        <v>9.1666666666666661</v>
      </c>
      <c r="Y51" s="5">
        <f t="shared" si="5"/>
        <v>0</v>
      </c>
      <c r="Z51" s="5">
        <f t="shared" si="6"/>
        <v>0</v>
      </c>
      <c r="AA51" s="5">
        <f t="shared" si="7"/>
        <v>0</v>
      </c>
      <c r="AB51" s="5" t="s">
        <v>166</v>
      </c>
      <c r="AC51" s="5" t="s">
        <v>166</v>
      </c>
      <c r="AD51" s="5" t="str">
        <f t="shared" si="8"/>
        <v/>
      </c>
      <c r="AE51" s="5" t="s">
        <v>166</v>
      </c>
      <c r="AF51" s="5" t="s">
        <v>166</v>
      </c>
      <c r="AG51" s="5" t="str">
        <f t="shared" si="9"/>
        <v/>
      </c>
      <c r="AH51" s="5" t="s">
        <v>166</v>
      </c>
      <c r="AI51" s="5" t="s">
        <v>166</v>
      </c>
      <c r="AJ51" s="5" t="str">
        <f t="shared" si="10"/>
        <v/>
      </c>
      <c r="AK51" s="5" t="str">
        <f t="shared" si="11"/>
        <v/>
      </c>
      <c r="AL51" s="7">
        <f>IF(Tableau182986[[#This Row],[Age]]&lt;&gt;"",IF(Tableau182986[[#This Row],[Age]]=0,$AT$10*$B$10+SUMIF($AS$21:$AS$29,Tableau182986[[#This Row],[Age]],$AU$21:$AU$29)*$B$10+$AT$11*$B$10,SUMIF($AS$21:$AS$29,Tableau182986[[#This Row],[Age]],$AU$21:$AU$29)*$B$10+$AT$11*$B$10),"")</f>
        <v>9</v>
      </c>
      <c r="AM51" s="7">
        <f>IF(Tableau182986[[#This Row],[Age]]&lt;&gt;"",IF(Tableau182986[[#This Row],[Age]]=$B$11,$AT$10*$B$10,0)+Tableau182986[[#This Row],[VBO]]*$AX$21*$B$10+Tableau182986[[#This Row],[VBI]]*$AX$22*$B$10+Tableau182986[[#This Row],[VBE]]*$AX$23*$B$10,"")</f>
        <v>0</v>
      </c>
      <c r="AN51" s="7">
        <v>1.0412242579269582</v>
      </c>
      <c r="AO51" s="7">
        <v>0</v>
      </c>
      <c r="AP51" s="7">
        <f>IF(Tableau182986[[#This Row],[Age]]&lt;&gt;"",Tableau182986[[#This Row],[RA]]-Tableau182986[[#This Row],[DA]],"")</f>
        <v>-1.0412242579269582</v>
      </c>
    </row>
    <row r="52" spans="11:42" ht="15" customHeight="1" x14ac:dyDescent="0.2">
      <c r="K52" s="3">
        <v>50</v>
      </c>
      <c r="L52" s="4">
        <v>270.39999999999998</v>
      </c>
      <c r="M52" s="4">
        <v>0</v>
      </c>
      <c r="N52" s="4">
        <v>270.39999999999998</v>
      </c>
      <c r="O52" s="5">
        <f t="shared" si="0"/>
        <v>126.5472</v>
      </c>
      <c r="P52" s="5">
        <f t="shared" si="1"/>
        <v>33.19727296936243</v>
      </c>
      <c r="Q52" s="5">
        <f t="shared" si="2"/>
        <v>59.578449508037295</v>
      </c>
      <c r="R52" s="5">
        <v>16.666666666666664</v>
      </c>
      <c r="S52" s="5">
        <v>278.89352486444369</v>
      </c>
      <c r="T52" s="5">
        <f t="shared" si="3"/>
        <v>0</v>
      </c>
      <c r="U52" s="5">
        <f t="shared" si="4"/>
        <v>0</v>
      </c>
      <c r="V52" s="5" t="str">
        <f>IF($E$4="Embrousaillement",Tableau182986[[#This Row],[SOL]],"")</f>
        <v/>
      </c>
      <c r="W52" s="5" t="str">
        <f>IF($E$4="Embrousaillement",Tableau182986[[#This Row],[L]],"")</f>
        <v/>
      </c>
      <c r="X52" s="5">
        <v>9.1666666666666661</v>
      </c>
      <c r="Y52" s="5">
        <f t="shared" si="5"/>
        <v>0</v>
      </c>
      <c r="Z52" s="5">
        <f t="shared" si="6"/>
        <v>0</v>
      </c>
      <c r="AA52" s="5">
        <f t="shared" si="7"/>
        <v>0</v>
      </c>
      <c r="AB52" s="5" t="s">
        <v>166</v>
      </c>
      <c r="AC52" s="5" t="s">
        <v>166</v>
      </c>
      <c r="AD52" s="5" t="str">
        <f t="shared" si="8"/>
        <v/>
      </c>
      <c r="AE52" s="5" t="s">
        <v>166</v>
      </c>
      <c r="AF52" s="5" t="s">
        <v>166</v>
      </c>
      <c r="AG52" s="5" t="str">
        <f t="shared" si="9"/>
        <v/>
      </c>
      <c r="AH52" s="5" t="s">
        <v>166</v>
      </c>
      <c r="AI52" s="5" t="s">
        <v>166</v>
      </c>
      <c r="AJ52" s="5" t="str">
        <f t="shared" si="10"/>
        <v/>
      </c>
      <c r="AK52" s="5" t="str">
        <f t="shared" si="11"/>
        <v/>
      </c>
      <c r="AL52" s="7">
        <f>IF(Tableau182986[[#This Row],[Age]]&lt;&gt;"",IF(Tableau182986[[#This Row],[Age]]=0,$AT$10*$B$10+SUMIF($AS$21:$AS$29,Tableau182986[[#This Row],[Age]],$AU$21:$AU$29)*$B$10+$AT$11*$B$10,SUMIF($AS$21:$AS$29,Tableau182986[[#This Row],[Age]],$AU$21:$AU$29)*$B$10+$AT$11*$B$10),"")</f>
        <v>9</v>
      </c>
      <c r="AM52" s="7">
        <f>IF(Tableau182986[[#This Row],[Age]]&lt;&gt;"",IF(Tableau182986[[#This Row],[Age]]=$B$11,$AT$10*$B$10,0)+Tableau182986[[#This Row],[VBO]]*$AX$21*$B$10+Tableau182986[[#This Row],[VBI]]*$AX$22*$B$10+Tableau182986[[#This Row],[VBE]]*$AX$23*$B$10,"")</f>
        <v>0</v>
      </c>
      <c r="AN52" s="7">
        <v>0.99638684969086933</v>
      </c>
      <c r="AO52" s="7">
        <v>0</v>
      </c>
      <c r="AP52" s="7">
        <f>IF(Tableau182986[[#This Row],[Age]]&lt;&gt;"",Tableau182986[[#This Row],[RA]]-Tableau182986[[#This Row],[DA]],"")</f>
        <v>-0.99638684969086933</v>
      </c>
    </row>
    <row r="53" spans="11:42" ht="15" customHeight="1" x14ac:dyDescent="0.2">
      <c r="K53" s="3">
        <v>51</v>
      </c>
      <c r="L53" s="4">
        <v>288.49999999999989</v>
      </c>
      <c r="M53" s="4">
        <v>0</v>
      </c>
      <c r="N53" s="4">
        <v>288.49999999999989</v>
      </c>
      <c r="O53" s="5">
        <f t="shared" si="0"/>
        <v>135.01799999999994</v>
      </c>
      <c r="P53" s="5">
        <f t="shared" si="1"/>
        <v>35.153303603250578</v>
      </c>
      <c r="Q53" s="5">
        <f t="shared" si="2"/>
        <v>59.759240109976403</v>
      </c>
      <c r="R53" s="5">
        <v>17</v>
      </c>
      <c r="S53" s="5">
        <v>288.91611708945402</v>
      </c>
      <c r="T53" s="5">
        <f t="shared" si="3"/>
        <v>0</v>
      </c>
      <c r="U53" s="5">
        <f t="shared" si="4"/>
        <v>0</v>
      </c>
      <c r="V53" s="5" t="str">
        <f>IF($E$4="Embrousaillement",Tableau182986[[#This Row],[SOL]],"")</f>
        <v/>
      </c>
      <c r="W53" s="5" t="str">
        <f>IF($E$4="Embrousaillement",Tableau182986[[#This Row],[L]],"")</f>
        <v/>
      </c>
      <c r="X53" s="5">
        <v>9.1666666666666661</v>
      </c>
      <c r="Y53" s="5">
        <f t="shared" si="5"/>
        <v>0</v>
      </c>
      <c r="Z53" s="5">
        <f t="shared" si="6"/>
        <v>0</v>
      </c>
      <c r="AA53" s="5">
        <f t="shared" si="7"/>
        <v>0</v>
      </c>
      <c r="AB53" s="5" t="s">
        <v>166</v>
      </c>
      <c r="AC53" s="5" t="s">
        <v>166</v>
      </c>
      <c r="AD53" s="5" t="str">
        <f t="shared" si="8"/>
        <v/>
      </c>
      <c r="AE53" s="5" t="s">
        <v>166</v>
      </c>
      <c r="AF53" s="5" t="s">
        <v>166</v>
      </c>
      <c r="AG53" s="5" t="str">
        <f t="shared" si="9"/>
        <v/>
      </c>
      <c r="AH53" s="5" t="s">
        <v>166</v>
      </c>
      <c r="AI53" s="5" t="s">
        <v>166</v>
      </c>
      <c r="AJ53" s="5" t="str">
        <f t="shared" si="10"/>
        <v/>
      </c>
      <c r="AK53" s="5" t="str">
        <f t="shared" si="11"/>
        <v/>
      </c>
      <c r="AL53" s="7">
        <f>IF(Tableau182986[[#This Row],[Age]]&lt;&gt;"",IF(Tableau182986[[#This Row],[Age]]=0,$AT$10*$B$10+SUMIF($AS$21:$AS$29,Tableau182986[[#This Row],[Age]],$AU$21:$AU$29)*$B$10+$AT$11*$B$10,SUMIF($AS$21:$AS$29,Tableau182986[[#This Row],[Age]],$AU$21:$AU$29)*$B$10+$AT$11*$B$10),"")</f>
        <v>9</v>
      </c>
      <c r="AM53" s="7">
        <f>IF(Tableau182986[[#This Row],[Age]]&lt;&gt;"",IF(Tableau182986[[#This Row],[Age]]=$B$11,$AT$10*$B$10,0)+Tableau182986[[#This Row],[VBO]]*$AX$21*$B$10+Tableau182986[[#This Row],[VBI]]*$AX$22*$B$10+Tableau182986[[#This Row],[VBE]]*$AX$23*$B$10,"")</f>
        <v>0</v>
      </c>
      <c r="AN53" s="7">
        <v>0.95348023893863099</v>
      </c>
      <c r="AO53" s="7">
        <v>0</v>
      </c>
      <c r="AP53" s="7">
        <f>IF(Tableau182986[[#This Row],[Age]]&lt;&gt;"",Tableau182986[[#This Row],[RA]]-Tableau182986[[#This Row],[DA]],"")</f>
        <v>-0.95348023893863099</v>
      </c>
    </row>
    <row r="54" spans="11:42" ht="15" customHeight="1" x14ac:dyDescent="0.2">
      <c r="K54" s="3">
        <v>52</v>
      </c>
      <c r="L54" s="4">
        <v>306.59999999999991</v>
      </c>
      <c r="M54" s="4">
        <v>0</v>
      </c>
      <c r="N54" s="4">
        <v>306.59999999999991</v>
      </c>
      <c r="O54" s="5">
        <f t="shared" si="0"/>
        <v>143.48879999999997</v>
      </c>
      <c r="P54" s="5">
        <f t="shared" si="1"/>
        <v>37.095092027878884</v>
      </c>
      <c r="Q54" s="5">
        <f t="shared" si="2"/>
        <v>59.936894399159101</v>
      </c>
      <c r="R54" s="5">
        <v>17.333333333333332</v>
      </c>
      <c r="S54" s="5">
        <v>298.92055681718062</v>
      </c>
      <c r="T54" s="5">
        <f t="shared" si="3"/>
        <v>0</v>
      </c>
      <c r="U54" s="5">
        <f t="shared" si="4"/>
        <v>0</v>
      </c>
      <c r="V54" s="5" t="str">
        <f>IF($E$4="Embrousaillement",Tableau182986[[#This Row],[SOL]],"")</f>
        <v/>
      </c>
      <c r="W54" s="5" t="str">
        <f>IF($E$4="Embrousaillement",Tableau182986[[#This Row],[L]],"")</f>
        <v/>
      </c>
      <c r="X54" s="5">
        <v>9.1666666666666661</v>
      </c>
      <c r="Y54" s="5">
        <f t="shared" si="5"/>
        <v>0</v>
      </c>
      <c r="Z54" s="5">
        <f t="shared" si="6"/>
        <v>0</v>
      </c>
      <c r="AA54" s="5">
        <f t="shared" si="7"/>
        <v>0</v>
      </c>
      <c r="AB54" s="5" t="s">
        <v>166</v>
      </c>
      <c r="AC54" s="5" t="s">
        <v>166</v>
      </c>
      <c r="AD54" s="5" t="str">
        <f t="shared" si="8"/>
        <v/>
      </c>
      <c r="AE54" s="5" t="s">
        <v>166</v>
      </c>
      <c r="AF54" s="5" t="s">
        <v>166</v>
      </c>
      <c r="AG54" s="5" t="str">
        <f t="shared" si="9"/>
        <v/>
      </c>
      <c r="AH54" s="5" t="s">
        <v>166</v>
      </c>
      <c r="AI54" s="5" t="s">
        <v>166</v>
      </c>
      <c r="AJ54" s="5" t="str">
        <f t="shared" si="10"/>
        <v/>
      </c>
      <c r="AK54" s="5" t="str">
        <f t="shared" si="11"/>
        <v/>
      </c>
      <c r="AL54" s="7">
        <f>IF(Tableau182986[[#This Row],[Age]]&lt;&gt;"",IF(Tableau182986[[#This Row],[Age]]=0,$AT$10*$B$10+SUMIF($AS$21:$AS$29,Tableau182986[[#This Row],[Age]],$AU$21:$AU$29)*$B$10+$AT$11*$B$10,SUMIF($AS$21:$AS$29,Tableau182986[[#This Row],[Age]],$AU$21:$AU$29)*$B$10+$AT$11*$B$10),"")</f>
        <v>9</v>
      </c>
      <c r="AM54" s="7">
        <f>IF(Tableau182986[[#This Row],[Age]]&lt;&gt;"",IF(Tableau182986[[#This Row],[Age]]=$B$11,$AT$10*$B$10,0)+Tableau182986[[#This Row],[VBO]]*$AX$21*$B$10+Tableau182986[[#This Row],[VBI]]*$AX$22*$B$10+Tableau182986[[#This Row],[VBE]]*$AX$23*$B$10,"")</f>
        <v>0</v>
      </c>
      <c r="AN54" s="7">
        <v>0.91242128128098676</v>
      </c>
      <c r="AO54" s="7">
        <v>0</v>
      </c>
      <c r="AP54" s="7">
        <f>IF(Tableau182986[[#This Row],[Age]]&lt;&gt;"",Tableau182986[[#This Row],[RA]]-Tableau182986[[#This Row],[DA]],"")</f>
        <v>-0.91242128128098676</v>
      </c>
    </row>
    <row r="55" spans="11:42" ht="15" customHeight="1" x14ac:dyDescent="0.2">
      <c r="K55" s="3">
        <v>53</v>
      </c>
      <c r="L55" s="4">
        <v>324.69999999999993</v>
      </c>
      <c r="M55" s="4">
        <v>0</v>
      </c>
      <c r="N55" s="4">
        <v>324.69999999999993</v>
      </c>
      <c r="O55" s="5">
        <f t="shared" si="0"/>
        <v>151.95959999999997</v>
      </c>
      <c r="P55" s="5">
        <f t="shared" si="1"/>
        <v>39.023574794907688</v>
      </c>
      <c r="Q55" s="5">
        <f t="shared" si="2"/>
        <v>60.111466783599973</v>
      </c>
      <c r="R55" s="5">
        <v>17.666666666666664</v>
      </c>
      <c r="S55" s="5">
        <v>308.90775937605423</v>
      </c>
      <c r="T55" s="5">
        <f t="shared" si="3"/>
        <v>0</v>
      </c>
      <c r="U55" s="5">
        <f t="shared" si="4"/>
        <v>0</v>
      </c>
      <c r="V55" s="5" t="str">
        <f>IF($E$4="Embrousaillement",Tableau182986[[#This Row],[SOL]],"")</f>
        <v/>
      </c>
      <c r="W55" s="5" t="str">
        <f>IF($E$4="Embrousaillement",Tableau182986[[#This Row],[L]],"")</f>
        <v/>
      </c>
      <c r="X55" s="5">
        <v>9.1666666666666661</v>
      </c>
      <c r="Y55" s="5">
        <f t="shared" si="5"/>
        <v>0</v>
      </c>
      <c r="Z55" s="5">
        <f t="shared" si="6"/>
        <v>0</v>
      </c>
      <c r="AA55" s="5">
        <f t="shared" si="7"/>
        <v>0</v>
      </c>
      <c r="AB55" s="5" t="s">
        <v>166</v>
      </c>
      <c r="AC55" s="5" t="s">
        <v>166</v>
      </c>
      <c r="AD55" s="5" t="str">
        <f t="shared" si="8"/>
        <v/>
      </c>
      <c r="AE55" s="5" t="s">
        <v>166</v>
      </c>
      <c r="AF55" s="5" t="s">
        <v>166</v>
      </c>
      <c r="AG55" s="5" t="str">
        <f t="shared" si="9"/>
        <v/>
      </c>
      <c r="AH55" s="5" t="s">
        <v>166</v>
      </c>
      <c r="AI55" s="5" t="s">
        <v>166</v>
      </c>
      <c r="AJ55" s="5" t="str">
        <f t="shared" si="10"/>
        <v/>
      </c>
      <c r="AK55" s="5" t="str">
        <f t="shared" si="11"/>
        <v/>
      </c>
      <c r="AL55" s="7">
        <f>IF(Tableau182986[[#This Row],[Age]]&lt;&gt;"",IF(Tableau182986[[#This Row],[Age]]=0,$AT$10*$B$10+SUMIF($AS$21:$AS$29,Tableau182986[[#This Row],[Age]],$AU$21:$AU$29)*$B$10+$AT$11*$B$10,SUMIF($AS$21:$AS$29,Tableau182986[[#This Row],[Age]],$AU$21:$AU$29)*$B$10+$AT$11*$B$10),"")</f>
        <v>9</v>
      </c>
      <c r="AM55" s="7">
        <f>IF(Tableau182986[[#This Row],[Age]]&lt;&gt;"",IF(Tableau182986[[#This Row],[Age]]=$B$11,$AT$10*$B$10,0)+Tableau182986[[#This Row],[VBO]]*$AX$21*$B$10+Tableau182986[[#This Row],[VBI]]*$AX$22*$B$10+Tableau182986[[#This Row],[VBE]]*$AX$23*$B$10,"")</f>
        <v>0</v>
      </c>
      <c r="AN55" s="7">
        <v>0.87313041270907821</v>
      </c>
      <c r="AO55" s="7">
        <v>0</v>
      </c>
      <c r="AP55" s="7">
        <f>IF(Tableau182986[[#This Row],[Age]]&lt;&gt;"",Tableau182986[[#This Row],[RA]]-Tableau182986[[#This Row],[DA]],"")</f>
        <v>-0.87313041270907821</v>
      </c>
    </row>
    <row r="56" spans="11:42" ht="15" customHeight="1" x14ac:dyDescent="0.2">
      <c r="K56" s="3">
        <v>54</v>
      </c>
      <c r="L56" s="4">
        <v>342.79999999999995</v>
      </c>
      <c r="M56" s="4">
        <v>0</v>
      </c>
      <c r="N56" s="4">
        <v>342.79999999999995</v>
      </c>
      <c r="O56" s="5">
        <f t="shared" si="0"/>
        <v>160.43039999999996</v>
      </c>
      <c r="P56" s="5">
        <f t="shared" si="1"/>
        <v>40.939578144953039</v>
      </c>
      <c r="Q56" s="5">
        <f t="shared" si="2"/>
        <v>60.283010727456173</v>
      </c>
      <c r="R56" s="5">
        <v>18</v>
      </c>
      <c r="S56" s="5">
        <v>318.8785423015662</v>
      </c>
      <c r="T56" s="5">
        <f t="shared" si="3"/>
        <v>0</v>
      </c>
      <c r="U56" s="5">
        <f t="shared" si="4"/>
        <v>0</v>
      </c>
      <c r="V56" s="5" t="str">
        <f>IF($E$4="Embrousaillement",Tableau182986[[#This Row],[SOL]],"")</f>
        <v/>
      </c>
      <c r="W56" s="5" t="str">
        <f>IF($E$4="Embrousaillement",Tableau182986[[#This Row],[L]],"")</f>
        <v/>
      </c>
      <c r="X56" s="5">
        <v>9.1666666666666661</v>
      </c>
      <c r="Y56" s="5">
        <f t="shared" si="5"/>
        <v>0</v>
      </c>
      <c r="Z56" s="5">
        <f t="shared" si="6"/>
        <v>0</v>
      </c>
      <c r="AA56" s="5">
        <f t="shared" si="7"/>
        <v>0</v>
      </c>
      <c r="AB56" s="5" t="s">
        <v>166</v>
      </c>
      <c r="AC56" s="5" t="s">
        <v>166</v>
      </c>
      <c r="AD56" s="5" t="str">
        <f t="shared" si="8"/>
        <v/>
      </c>
      <c r="AE56" s="5" t="s">
        <v>166</v>
      </c>
      <c r="AF56" s="5" t="s">
        <v>166</v>
      </c>
      <c r="AG56" s="5" t="str">
        <f t="shared" si="9"/>
        <v/>
      </c>
      <c r="AH56" s="5" t="s">
        <v>166</v>
      </c>
      <c r="AI56" s="5" t="s">
        <v>166</v>
      </c>
      <c r="AJ56" s="5" t="str">
        <f t="shared" si="10"/>
        <v/>
      </c>
      <c r="AK56" s="5" t="str">
        <f t="shared" si="11"/>
        <v/>
      </c>
      <c r="AL56" s="7">
        <f>IF(Tableau182986[[#This Row],[Age]]&lt;&gt;"",IF(Tableau182986[[#This Row],[Age]]=0,$AT$10*$B$10+SUMIF($AS$21:$AS$29,Tableau182986[[#This Row],[Age]],$AU$21:$AU$29)*$B$10+$AT$11*$B$10,SUMIF($AS$21:$AS$29,Tableau182986[[#This Row],[Age]],$AU$21:$AU$29)*$B$10+$AT$11*$B$10),"")</f>
        <v>9</v>
      </c>
      <c r="AM56" s="7">
        <f>IF(Tableau182986[[#This Row],[Age]]&lt;&gt;"",IF(Tableau182986[[#This Row],[Age]]=$B$11,$AT$10*$B$10,0)+Tableau182986[[#This Row],[VBO]]*$AX$21*$B$10+Tableau182986[[#This Row],[VBI]]*$AX$22*$B$10+Tableau182986[[#This Row],[VBE]]*$AX$23*$B$10,"")</f>
        <v>0</v>
      </c>
      <c r="AN56" s="7">
        <v>0.83553149541538618</v>
      </c>
      <c r="AO56" s="7">
        <v>0</v>
      </c>
      <c r="AP56" s="7">
        <f>IF(Tableau182986[[#This Row],[Age]]&lt;&gt;"",Tableau182986[[#This Row],[RA]]-Tableau182986[[#This Row],[DA]],"")</f>
        <v>-0.83553149541538618</v>
      </c>
    </row>
    <row r="57" spans="11:42" ht="15" customHeight="1" x14ac:dyDescent="0.2">
      <c r="K57" s="3">
        <v>55</v>
      </c>
      <c r="L57" s="4">
        <v>360.9</v>
      </c>
      <c r="M57" s="4">
        <v>0</v>
      </c>
      <c r="N57" s="4">
        <v>360.9</v>
      </c>
      <c r="O57" s="5">
        <f t="shared" si="0"/>
        <v>168.90119999999999</v>
      </c>
      <c r="P57" s="5">
        <f t="shared" si="1"/>
        <v>42.843836138922292</v>
      </c>
      <c r="Q57" s="5">
        <f t="shared" si="2"/>
        <v>60.45157876740128</v>
      </c>
      <c r="R57" s="5">
        <v>18.333333333333332</v>
      </c>
      <c r="S57" s="5">
        <v>328.83364115565826</v>
      </c>
      <c r="T57" s="5">
        <f t="shared" si="3"/>
        <v>0</v>
      </c>
      <c r="U57" s="5">
        <f t="shared" si="4"/>
        <v>0</v>
      </c>
      <c r="V57" s="5" t="str">
        <f>IF($E$4="Embrousaillement",Tableau182986[[#This Row],[SOL]],"")</f>
        <v/>
      </c>
      <c r="W57" s="5" t="str">
        <f>IF($E$4="Embrousaillement",Tableau182986[[#This Row],[L]],"")</f>
        <v/>
      </c>
      <c r="X57" s="5">
        <v>9.1666666666666661</v>
      </c>
      <c r="Y57" s="5">
        <f t="shared" si="5"/>
        <v>0</v>
      </c>
      <c r="Z57" s="5">
        <f t="shared" si="6"/>
        <v>0</v>
      </c>
      <c r="AA57" s="5">
        <f t="shared" si="7"/>
        <v>0</v>
      </c>
      <c r="AB57" s="5" t="s">
        <v>166</v>
      </c>
      <c r="AC57" s="5" t="s">
        <v>166</v>
      </c>
      <c r="AD57" s="5" t="str">
        <f t="shared" si="8"/>
        <v/>
      </c>
      <c r="AE57" s="5" t="s">
        <v>166</v>
      </c>
      <c r="AF57" s="5" t="s">
        <v>166</v>
      </c>
      <c r="AG57" s="5" t="str">
        <f t="shared" si="9"/>
        <v/>
      </c>
      <c r="AH57" s="5" t="s">
        <v>166</v>
      </c>
      <c r="AI57" s="5" t="s">
        <v>166</v>
      </c>
      <c r="AJ57" s="5" t="str">
        <f t="shared" si="10"/>
        <v/>
      </c>
      <c r="AK57" s="5" t="str">
        <f t="shared" si="11"/>
        <v/>
      </c>
      <c r="AL57" s="7">
        <f>IF(Tableau182986[[#This Row],[Age]]&lt;&gt;"",IF(Tableau182986[[#This Row],[Age]]=0,$AT$10*$B$10+SUMIF($AS$21:$AS$29,Tableau182986[[#This Row],[Age]],$AU$21:$AU$29)*$B$10+$AT$11*$B$10,SUMIF($AS$21:$AS$29,Tableau182986[[#This Row],[Age]],$AU$21:$AU$29)*$B$10+$AT$11*$B$10),"")</f>
        <v>9</v>
      </c>
      <c r="AM57" s="7">
        <f>IF(Tableau182986[[#This Row],[Age]]&lt;&gt;"",IF(Tableau182986[[#This Row],[Age]]=$B$11,$AT$10*$B$10,0)+Tableau182986[[#This Row],[VBO]]*$AX$21*$B$10+Tableau182986[[#This Row],[VBI]]*$AX$22*$B$10+Tableau182986[[#This Row],[VBE]]*$AX$23*$B$10,"")</f>
        <v>0</v>
      </c>
      <c r="AN57" s="7">
        <v>0.7995516702539579</v>
      </c>
      <c r="AO57" s="7">
        <v>0</v>
      </c>
      <c r="AP57" s="7">
        <f>IF(Tableau182986[[#This Row],[Age]]&lt;&gt;"",Tableau182986[[#This Row],[RA]]-Tableau182986[[#This Row],[DA]],"")</f>
        <v>-0.7995516702539579</v>
      </c>
    </row>
    <row r="58" spans="11:42" ht="15" customHeight="1" x14ac:dyDescent="0.2">
      <c r="K58" s="3">
        <v>56</v>
      </c>
      <c r="L58" s="4">
        <v>379</v>
      </c>
      <c r="M58" s="4">
        <v>91</v>
      </c>
      <c r="N58" s="4">
        <v>288</v>
      </c>
      <c r="O58" s="5">
        <f t="shared" si="0"/>
        <v>134.78399999999999</v>
      </c>
      <c r="P58" s="5">
        <f t="shared" si="1"/>
        <v>35.099465485142126</v>
      </c>
      <c r="Q58" s="5">
        <f t="shared" si="2"/>
        <v>60.617222528715011</v>
      </c>
      <c r="R58" s="5">
        <v>18.666666666666664</v>
      </c>
      <c r="S58" s="5">
        <v>293.2939813848443</v>
      </c>
      <c r="T58" s="5">
        <f t="shared" si="3"/>
        <v>0</v>
      </c>
      <c r="U58" s="5">
        <f t="shared" si="4"/>
        <v>0</v>
      </c>
      <c r="V58" s="5" t="str">
        <f>IF($E$4="Embrousaillement",Tableau182986[[#This Row],[SOL]],"")</f>
        <v/>
      </c>
      <c r="W58" s="5" t="str">
        <f>IF($E$4="Embrousaillement",Tableau182986[[#This Row],[L]],"")</f>
        <v/>
      </c>
      <c r="X58" s="5">
        <v>9.1666666666666661</v>
      </c>
      <c r="Y58" s="5">
        <f t="shared" si="5"/>
        <v>63.699999999999996</v>
      </c>
      <c r="Z58" s="5">
        <f t="shared" si="6"/>
        <v>27.3</v>
      </c>
      <c r="AA58" s="5">
        <f t="shared" si="7"/>
        <v>0</v>
      </c>
      <c r="AB58" s="5" t="s">
        <v>166</v>
      </c>
      <c r="AC58" s="5" t="s">
        <v>166</v>
      </c>
      <c r="AD58" s="5" t="str">
        <f t="shared" si="8"/>
        <v/>
      </c>
      <c r="AE58" s="5" t="s">
        <v>166</v>
      </c>
      <c r="AF58" s="5" t="s">
        <v>166</v>
      </c>
      <c r="AG58" s="5" t="str">
        <f t="shared" si="9"/>
        <v/>
      </c>
      <c r="AH58" s="5" t="s">
        <v>166</v>
      </c>
      <c r="AI58" s="5" t="s">
        <v>166</v>
      </c>
      <c r="AJ58" s="5" t="str">
        <f t="shared" si="10"/>
        <v/>
      </c>
      <c r="AK58" s="5" t="str">
        <f t="shared" si="11"/>
        <v/>
      </c>
      <c r="AL58" s="7">
        <f>IF(Tableau182986[[#This Row],[Age]]&lt;&gt;"",IF(Tableau182986[[#This Row],[Age]]=0,$AT$10*$B$10+SUMIF($AS$21:$AS$29,Tableau182986[[#This Row],[Age]],$AU$21:$AU$29)*$B$10+$AT$11*$B$10,SUMIF($AS$21:$AS$29,Tableau182986[[#This Row],[Age]],$AU$21:$AU$29)*$B$10+$AT$11*$B$10),"")</f>
        <v>9</v>
      </c>
      <c r="AM58" s="7">
        <f>IF(Tableau182986[[#This Row],[Age]]&lt;&gt;"",IF(Tableau182986[[#This Row],[Age]]=$B$11,$AT$10*$B$10,0)+Tableau182986[[#This Row],[VBO]]*$AX$21*$B$10+Tableau182986[[#This Row],[VBI]]*$AX$22*$B$10+Tableau182986[[#This Row],[VBE]]*$AX$23*$B$10,"")</f>
        <v>1979.2499999999998</v>
      </c>
      <c r="AN58" s="7">
        <v>0.7651212155540269</v>
      </c>
      <c r="AO58" s="7">
        <v>168.26290732058973</v>
      </c>
      <c r="AP58" s="7">
        <f>IF(Tableau182986[[#This Row],[Age]]&lt;&gt;"",Tableau182986[[#This Row],[RA]]-Tableau182986[[#This Row],[DA]],"")</f>
        <v>167.49778610503571</v>
      </c>
    </row>
    <row r="59" spans="11:42" ht="15" customHeight="1" x14ac:dyDescent="0.2">
      <c r="K59" s="3">
        <v>57</v>
      </c>
      <c r="L59" s="4">
        <v>305.69999999999993</v>
      </c>
      <c r="M59" s="4">
        <v>0</v>
      </c>
      <c r="N59" s="4">
        <v>305.69999999999993</v>
      </c>
      <c r="O59" s="5">
        <f t="shared" si="0"/>
        <v>143.06759999999997</v>
      </c>
      <c r="P59" s="5">
        <f t="shared" si="1"/>
        <v>36.998860631151281</v>
      </c>
      <c r="Q59" s="5">
        <f t="shared" si="2"/>
        <v>60.77999274109392</v>
      </c>
      <c r="R59" s="5">
        <v>19</v>
      </c>
      <c r="S59" s="5">
        <v>303.0711961582997</v>
      </c>
      <c r="T59" s="5">
        <f t="shared" si="3"/>
        <v>0</v>
      </c>
      <c r="U59" s="5">
        <f t="shared" si="4"/>
        <v>0</v>
      </c>
      <c r="V59" s="5" t="str">
        <f>IF($E$4="Embrousaillement",Tableau182986[[#This Row],[SOL]],"")</f>
        <v/>
      </c>
      <c r="W59" s="5" t="str">
        <f>IF($E$4="Embrousaillement",Tableau182986[[#This Row],[L]],"")</f>
        <v/>
      </c>
      <c r="X59" s="5">
        <v>9.1666666666666661</v>
      </c>
      <c r="Y59" s="5">
        <f t="shared" si="5"/>
        <v>0</v>
      </c>
      <c r="Z59" s="5">
        <f t="shared" si="6"/>
        <v>0</v>
      </c>
      <c r="AA59" s="5">
        <f t="shared" si="7"/>
        <v>0</v>
      </c>
      <c r="AB59" s="5" t="s">
        <v>166</v>
      </c>
      <c r="AC59" s="5" t="s">
        <v>166</v>
      </c>
      <c r="AD59" s="5" t="str">
        <f t="shared" si="8"/>
        <v/>
      </c>
      <c r="AE59" s="5" t="s">
        <v>166</v>
      </c>
      <c r="AF59" s="5" t="s">
        <v>166</v>
      </c>
      <c r="AG59" s="5" t="str">
        <f t="shared" si="9"/>
        <v/>
      </c>
      <c r="AH59" s="5" t="s">
        <v>166</v>
      </c>
      <c r="AI59" s="5" t="s">
        <v>166</v>
      </c>
      <c r="AJ59" s="5" t="str">
        <f t="shared" si="10"/>
        <v/>
      </c>
      <c r="AK59" s="5" t="str">
        <f t="shared" si="11"/>
        <v/>
      </c>
      <c r="AL59" s="7">
        <f>IF(Tableau182986[[#This Row],[Age]]&lt;&gt;"",IF(Tableau182986[[#This Row],[Age]]=0,$AT$10*$B$10+SUMIF($AS$21:$AS$29,Tableau182986[[#This Row],[Age]],$AU$21:$AU$29)*$B$10+$AT$11*$B$10,SUMIF($AS$21:$AS$29,Tableau182986[[#This Row],[Age]],$AU$21:$AU$29)*$B$10+$AT$11*$B$10),"")</f>
        <v>9</v>
      </c>
      <c r="AM59" s="7">
        <f>IF(Tableau182986[[#This Row],[Age]]&lt;&gt;"",IF(Tableau182986[[#This Row],[Age]]=$B$11,$AT$10*$B$10,0)+Tableau182986[[#This Row],[VBO]]*$AX$21*$B$10+Tableau182986[[#This Row],[VBI]]*$AX$22*$B$10+Tableau182986[[#This Row],[VBE]]*$AX$23*$B$10,"")</f>
        <v>0</v>
      </c>
      <c r="AN59" s="7">
        <v>0.73217341201342301</v>
      </c>
      <c r="AO59" s="7">
        <v>0</v>
      </c>
      <c r="AP59" s="7">
        <f>IF(Tableau182986[[#This Row],[Age]]&lt;&gt;"",Tableau182986[[#This Row],[RA]]-Tableau182986[[#This Row],[DA]],"")</f>
        <v>-0.73217341201342301</v>
      </c>
    </row>
    <row r="60" spans="11:42" ht="15" customHeight="1" x14ac:dyDescent="0.2">
      <c r="K60" s="3">
        <v>58</v>
      </c>
      <c r="L60" s="4">
        <v>323.39999999999986</v>
      </c>
      <c r="M60" s="4">
        <v>0</v>
      </c>
      <c r="N60" s="4">
        <v>323.39999999999986</v>
      </c>
      <c r="O60" s="5">
        <f t="shared" si="0"/>
        <v>151.35119999999995</v>
      </c>
      <c r="P60" s="5">
        <f t="shared" si="1"/>
        <v>38.885490222897047</v>
      </c>
      <c r="Q60" s="5">
        <f t="shared" si="2"/>
        <v>60.939939254187742</v>
      </c>
      <c r="R60" s="5">
        <v>19.333333333333332</v>
      </c>
      <c r="S60" s="5">
        <v>312.83211747956142</v>
      </c>
      <c r="T60" s="5">
        <f t="shared" si="3"/>
        <v>0</v>
      </c>
      <c r="U60" s="5">
        <f t="shared" si="4"/>
        <v>0</v>
      </c>
      <c r="V60" s="5" t="str">
        <f>IF($E$4="Embrousaillement",Tableau182986[[#This Row],[SOL]],"")</f>
        <v/>
      </c>
      <c r="W60" s="5" t="str">
        <f>IF($E$4="Embrousaillement",Tableau182986[[#This Row],[L]],"")</f>
        <v/>
      </c>
      <c r="X60" s="5">
        <v>9.1666666666666661</v>
      </c>
      <c r="Y60" s="5">
        <f t="shared" si="5"/>
        <v>0</v>
      </c>
      <c r="Z60" s="5">
        <f t="shared" si="6"/>
        <v>0</v>
      </c>
      <c r="AA60" s="5">
        <f t="shared" si="7"/>
        <v>0</v>
      </c>
      <c r="AB60" s="5" t="s">
        <v>166</v>
      </c>
      <c r="AC60" s="5" t="s">
        <v>166</v>
      </c>
      <c r="AD60" s="5" t="str">
        <f t="shared" si="8"/>
        <v/>
      </c>
      <c r="AE60" s="5" t="s">
        <v>166</v>
      </c>
      <c r="AF60" s="5" t="s">
        <v>166</v>
      </c>
      <c r="AG60" s="5" t="str">
        <f t="shared" si="9"/>
        <v/>
      </c>
      <c r="AH60" s="5" t="s">
        <v>166</v>
      </c>
      <c r="AI60" s="5" t="s">
        <v>166</v>
      </c>
      <c r="AJ60" s="5" t="str">
        <f t="shared" si="10"/>
        <v/>
      </c>
      <c r="AK60" s="5" t="str">
        <f t="shared" si="11"/>
        <v/>
      </c>
      <c r="AL60" s="7">
        <f>IF(Tableau182986[[#This Row],[Age]]&lt;&gt;"",IF(Tableau182986[[#This Row],[Age]]=0,$AT$10*$B$10+SUMIF($AS$21:$AS$29,Tableau182986[[#This Row],[Age]],$AU$21:$AU$29)*$B$10+$AT$11*$B$10,SUMIF($AS$21:$AS$29,Tableau182986[[#This Row],[Age]],$AU$21:$AU$29)*$B$10+$AT$11*$B$10),"")</f>
        <v>9</v>
      </c>
      <c r="AM60" s="7">
        <f>IF(Tableau182986[[#This Row],[Age]]&lt;&gt;"",IF(Tableau182986[[#This Row],[Age]]=$B$11,$AT$10*$B$10,0)+Tableau182986[[#This Row],[VBO]]*$AX$21*$B$10+Tableau182986[[#This Row],[VBI]]*$AX$22*$B$10+Tableau182986[[#This Row],[VBE]]*$AX$23*$B$10,"")</f>
        <v>0</v>
      </c>
      <c r="AN60" s="7">
        <v>0.7006444134099743</v>
      </c>
      <c r="AO60" s="7">
        <v>0</v>
      </c>
      <c r="AP60" s="7">
        <f>IF(Tableau182986[[#This Row],[Age]]&lt;&gt;"",Tableau182986[[#This Row],[RA]]-Tableau182986[[#This Row],[DA]],"")</f>
        <v>-0.7006444134099743</v>
      </c>
    </row>
    <row r="61" spans="11:42" ht="15" customHeight="1" x14ac:dyDescent="0.2">
      <c r="K61" s="3">
        <v>59</v>
      </c>
      <c r="L61" s="4">
        <v>341.09999999999991</v>
      </c>
      <c r="M61" s="4">
        <v>0</v>
      </c>
      <c r="N61" s="4">
        <v>341.09999999999991</v>
      </c>
      <c r="O61" s="5">
        <f t="shared" si="0"/>
        <v>159.63479999999996</v>
      </c>
      <c r="P61" s="5">
        <f t="shared" si="1"/>
        <v>40.760132575591193</v>
      </c>
      <c r="Q61" s="5">
        <f t="shared" si="2"/>
        <v>61.097111052866211</v>
      </c>
      <c r="R61" s="5">
        <v>19.666666666666664</v>
      </c>
      <c r="S61" s="5">
        <v>322.57751293705422</v>
      </c>
      <c r="T61" s="5">
        <f t="shared" si="3"/>
        <v>0</v>
      </c>
      <c r="U61" s="5">
        <f t="shared" si="4"/>
        <v>0</v>
      </c>
      <c r="V61" s="5" t="str">
        <f>IF($E$4="Embrousaillement",Tableau182986[[#This Row],[SOL]],"")</f>
        <v/>
      </c>
      <c r="W61" s="5" t="str">
        <f>IF($E$4="Embrousaillement",Tableau182986[[#This Row],[L]],"")</f>
        <v/>
      </c>
      <c r="X61" s="5">
        <v>9.1666666666666661</v>
      </c>
      <c r="Y61" s="5">
        <f t="shared" si="5"/>
        <v>0</v>
      </c>
      <c r="Z61" s="5">
        <f t="shared" si="6"/>
        <v>0</v>
      </c>
      <c r="AA61" s="5">
        <f t="shared" si="7"/>
        <v>0</v>
      </c>
      <c r="AB61" s="5" t="s">
        <v>166</v>
      </c>
      <c r="AC61" s="5" t="s">
        <v>166</v>
      </c>
      <c r="AD61" s="5" t="str">
        <f t="shared" si="8"/>
        <v/>
      </c>
      <c r="AE61" s="5" t="s">
        <v>166</v>
      </c>
      <c r="AF61" s="5" t="s">
        <v>166</v>
      </c>
      <c r="AG61" s="5" t="str">
        <f t="shared" si="9"/>
        <v/>
      </c>
      <c r="AH61" s="5" t="s">
        <v>166</v>
      </c>
      <c r="AI61" s="5" t="s">
        <v>166</v>
      </c>
      <c r="AJ61" s="5" t="str">
        <f t="shared" si="10"/>
        <v/>
      </c>
      <c r="AK61" s="5" t="str">
        <f t="shared" si="11"/>
        <v/>
      </c>
      <c r="AL61" s="7">
        <f>IF(Tableau182986[[#This Row],[Age]]&lt;&gt;"",IF(Tableau182986[[#This Row],[Age]]=0,$AT$10*$B$10+SUMIF($AS$21:$AS$29,Tableau182986[[#This Row],[Age]],$AU$21:$AU$29)*$B$10+$AT$11*$B$10,SUMIF($AS$21:$AS$29,Tableau182986[[#This Row],[Age]],$AU$21:$AU$29)*$B$10+$AT$11*$B$10),"")</f>
        <v>9</v>
      </c>
      <c r="AM61" s="7">
        <f>IF(Tableau182986[[#This Row],[Age]]&lt;&gt;"",IF(Tableau182986[[#This Row],[Age]]=$B$11,$AT$10*$B$10,0)+Tableau182986[[#This Row],[VBO]]*$AX$21*$B$10+Tableau182986[[#This Row],[VBI]]*$AX$22*$B$10+Tableau182986[[#This Row],[VBE]]*$AX$23*$B$10,"")</f>
        <v>0</v>
      </c>
      <c r="AN61" s="7">
        <v>0.67047312288035821</v>
      </c>
      <c r="AO61" s="7">
        <v>0</v>
      </c>
      <c r="AP61" s="7">
        <f>IF(Tableau182986[[#This Row],[Age]]&lt;&gt;"",Tableau182986[[#This Row],[RA]]-Tableau182986[[#This Row],[DA]],"")</f>
        <v>-0.67047312288035821</v>
      </c>
    </row>
    <row r="62" spans="11:42" ht="15" customHeight="1" x14ac:dyDescent="0.2">
      <c r="K62" s="3">
        <v>60</v>
      </c>
      <c r="L62" s="4">
        <v>358.79999999999995</v>
      </c>
      <c r="M62" s="4">
        <v>0</v>
      </c>
      <c r="N62" s="4">
        <v>358.79999999999995</v>
      </c>
      <c r="O62" s="5">
        <f t="shared" si="0"/>
        <v>167.91839999999999</v>
      </c>
      <c r="P62" s="5">
        <f t="shared" si="1"/>
        <v>42.623480667123864</v>
      </c>
      <c r="Q62" s="5">
        <f t="shared" si="2"/>
        <v>61.251556272221123</v>
      </c>
      <c r="R62" s="5">
        <v>20</v>
      </c>
      <c r="S62" s="5">
        <v>332.30807424669234</v>
      </c>
      <c r="T62" s="5">
        <f t="shared" si="3"/>
        <v>0</v>
      </c>
      <c r="U62" s="5">
        <f t="shared" si="4"/>
        <v>0</v>
      </c>
      <c r="V62" s="5" t="str">
        <f>IF($E$4="Embrousaillement",Tableau182986[[#This Row],[SOL]],"")</f>
        <v/>
      </c>
      <c r="W62" s="5" t="str">
        <f>IF($E$4="Embrousaillement",Tableau182986[[#This Row],[L]],"")</f>
        <v/>
      </c>
      <c r="X62" s="5">
        <v>9.1666666666666661</v>
      </c>
      <c r="Y62" s="5">
        <f t="shared" si="5"/>
        <v>0</v>
      </c>
      <c r="Z62" s="5">
        <f t="shared" si="6"/>
        <v>0</v>
      </c>
      <c r="AA62" s="5">
        <f t="shared" si="7"/>
        <v>0</v>
      </c>
      <c r="AB62" s="5" t="s">
        <v>166</v>
      </c>
      <c r="AC62" s="5" t="s">
        <v>166</v>
      </c>
      <c r="AD62" s="5" t="str">
        <f t="shared" si="8"/>
        <v/>
      </c>
      <c r="AE62" s="5" t="s">
        <v>166</v>
      </c>
      <c r="AF62" s="5" t="s">
        <v>166</v>
      </c>
      <c r="AG62" s="5" t="str">
        <f t="shared" si="9"/>
        <v/>
      </c>
      <c r="AH62" s="5" t="s">
        <v>166</v>
      </c>
      <c r="AI62" s="5" t="s">
        <v>166</v>
      </c>
      <c r="AJ62" s="5" t="str">
        <f t="shared" si="10"/>
        <v/>
      </c>
      <c r="AK62" s="5" t="str">
        <f t="shared" si="11"/>
        <v/>
      </c>
      <c r="AL62" s="7">
        <f>IF(Tableau182986[[#This Row],[Age]]&lt;&gt;"",IF(Tableau182986[[#This Row],[Age]]=0,$AT$10*$B$10+SUMIF($AS$21:$AS$29,Tableau182986[[#This Row],[Age]],$AU$21:$AU$29)*$B$10+$AT$11*$B$10,SUMIF($AS$21:$AS$29,Tableau182986[[#This Row],[Age]],$AU$21:$AU$29)*$B$10+$AT$11*$B$10),"")</f>
        <v>9</v>
      </c>
      <c r="AM62" s="7">
        <f>IF(Tableau182986[[#This Row],[Age]]&lt;&gt;"",IF(Tableau182986[[#This Row],[Age]]=$B$11,$AT$10*$B$10,0)+Tableau182986[[#This Row],[VBO]]*$AX$21*$B$10+Tableau182986[[#This Row],[VBI]]*$AX$22*$B$10+Tableau182986[[#This Row],[VBE]]*$AX$23*$B$10,"")</f>
        <v>0</v>
      </c>
      <c r="AN62" s="7">
        <v>0.64160107452665871</v>
      </c>
      <c r="AO62" s="7">
        <v>0</v>
      </c>
      <c r="AP62" s="7">
        <f>IF(Tableau182986[[#This Row],[Age]]&lt;&gt;"",Tableau182986[[#This Row],[RA]]-Tableau182986[[#This Row],[DA]],"")</f>
        <v>-0.64160107452665871</v>
      </c>
    </row>
    <row r="63" spans="11:42" ht="15" customHeight="1" x14ac:dyDescent="0.2">
      <c r="K63" s="3">
        <v>61</v>
      </c>
      <c r="L63" s="4">
        <v>376.5</v>
      </c>
      <c r="M63" s="4">
        <v>0</v>
      </c>
      <c r="N63" s="4">
        <v>376.5</v>
      </c>
      <c r="O63" s="5">
        <f t="shared" si="0"/>
        <v>176.202</v>
      </c>
      <c r="P63" s="5">
        <f t="shared" si="1"/>
        <v>44.47615524216701</v>
      </c>
      <c r="Q63" s="5">
        <f t="shared" si="2"/>
        <v>61.403322212307998</v>
      </c>
      <c r="R63" s="5">
        <v>20.333333333333332</v>
      </c>
      <c r="S63" s="5">
        <v>342.02442869039623</v>
      </c>
      <c r="T63" s="5">
        <f t="shared" si="3"/>
        <v>0</v>
      </c>
      <c r="U63" s="5">
        <f t="shared" si="4"/>
        <v>0</v>
      </c>
      <c r="V63" s="5" t="str">
        <f>IF($E$4="Embrousaillement",Tableau182986[[#This Row],[SOL]],"")</f>
        <v/>
      </c>
      <c r="W63" s="5" t="str">
        <f>IF($E$4="Embrousaillement",Tableau182986[[#This Row],[L]],"")</f>
        <v/>
      </c>
      <c r="X63" s="5">
        <v>9.1666666666666661</v>
      </c>
      <c r="Y63" s="5">
        <f t="shared" si="5"/>
        <v>0</v>
      </c>
      <c r="Z63" s="5">
        <f t="shared" si="6"/>
        <v>0</v>
      </c>
      <c r="AA63" s="5">
        <f t="shared" si="7"/>
        <v>0</v>
      </c>
      <c r="AB63" s="5" t="s">
        <v>166</v>
      </c>
      <c r="AC63" s="5" t="s">
        <v>166</v>
      </c>
      <c r="AD63" s="5" t="str">
        <f t="shared" si="8"/>
        <v/>
      </c>
      <c r="AE63" s="5" t="s">
        <v>166</v>
      </c>
      <c r="AF63" s="5" t="s">
        <v>166</v>
      </c>
      <c r="AG63" s="5" t="str">
        <f t="shared" si="9"/>
        <v/>
      </c>
      <c r="AH63" s="5" t="s">
        <v>166</v>
      </c>
      <c r="AI63" s="5" t="s">
        <v>166</v>
      </c>
      <c r="AJ63" s="5" t="str">
        <f t="shared" si="10"/>
        <v/>
      </c>
      <c r="AK63" s="5" t="str">
        <f t="shared" si="11"/>
        <v/>
      </c>
      <c r="AL63" s="7">
        <f>IF(Tableau182986[[#This Row],[Age]]&lt;&gt;"",IF(Tableau182986[[#This Row],[Age]]=0,$AT$10*$B$10+SUMIF($AS$21:$AS$29,Tableau182986[[#This Row],[Age]],$AU$21:$AU$29)*$B$10+$AT$11*$B$10,SUMIF($AS$21:$AS$29,Tableau182986[[#This Row],[Age]],$AU$21:$AU$29)*$B$10+$AT$11*$B$10),"")</f>
        <v>9</v>
      </c>
      <c r="AM63" s="7">
        <f>IF(Tableau182986[[#This Row],[Age]]&lt;&gt;"",IF(Tableau182986[[#This Row],[Age]]=$B$11,$AT$10*$B$10,0)+Tableau182986[[#This Row],[VBO]]*$AX$21*$B$10+Tableau182986[[#This Row],[VBI]]*$AX$22*$B$10+Tableau182986[[#This Row],[VBE]]*$AX$23*$B$10,"")</f>
        <v>0</v>
      </c>
      <c r="AN63" s="7">
        <v>0.6139723201212044</v>
      </c>
      <c r="AO63" s="7">
        <v>0</v>
      </c>
      <c r="AP63" s="7">
        <f>IF(Tableau182986[[#This Row],[Age]]&lt;&gt;"",Tableau182986[[#This Row],[RA]]-Tableau182986[[#This Row],[DA]],"")</f>
        <v>-0.6139723201212044</v>
      </c>
    </row>
    <row r="64" spans="11:42" ht="15" customHeight="1" x14ac:dyDescent="0.2">
      <c r="K64" s="3">
        <v>62</v>
      </c>
      <c r="L64" s="4">
        <v>394.19999999999982</v>
      </c>
      <c r="M64" s="4">
        <v>0</v>
      </c>
      <c r="N64" s="4">
        <v>394.19999999999982</v>
      </c>
      <c r="O64" s="5">
        <f t="shared" si="0"/>
        <v>184.48559999999989</v>
      </c>
      <c r="P64" s="5">
        <f t="shared" si="1"/>
        <v>46.318715382308191</v>
      </c>
      <c r="Q64" s="5">
        <f t="shared" si="2"/>
        <v>61.55245535263218</v>
      </c>
      <c r="R64" s="5">
        <v>20.666666666666664</v>
      </c>
      <c r="S64" s="5">
        <v>351.7271483474745</v>
      </c>
      <c r="T64" s="5">
        <f t="shared" si="3"/>
        <v>0</v>
      </c>
      <c r="U64" s="5">
        <f t="shared" si="4"/>
        <v>0</v>
      </c>
      <c r="V64" s="5" t="str">
        <f>IF($E$4="Embrousaillement",Tableau182986[[#This Row],[SOL]],"")</f>
        <v/>
      </c>
      <c r="W64" s="5" t="str">
        <f>IF($E$4="Embrousaillement",Tableau182986[[#This Row],[L]],"")</f>
        <v/>
      </c>
      <c r="X64" s="5">
        <v>9.1666666666666661</v>
      </c>
      <c r="Y64" s="5">
        <f t="shared" si="5"/>
        <v>0</v>
      </c>
      <c r="Z64" s="5">
        <f t="shared" si="6"/>
        <v>0</v>
      </c>
      <c r="AA64" s="5">
        <f t="shared" si="7"/>
        <v>0</v>
      </c>
      <c r="AB64" s="5" t="s">
        <v>166</v>
      </c>
      <c r="AC64" s="5" t="s">
        <v>166</v>
      </c>
      <c r="AD64" s="5" t="str">
        <f t="shared" si="8"/>
        <v/>
      </c>
      <c r="AE64" s="5" t="s">
        <v>166</v>
      </c>
      <c r="AF64" s="5" t="s">
        <v>166</v>
      </c>
      <c r="AG64" s="5" t="str">
        <f t="shared" si="9"/>
        <v/>
      </c>
      <c r="AH64" s="5" t="s">
        <v>166</v>
      </c>
      <c r="AI64" s="5" t="s">
        <v>166</v>
      </c>
      <c r="AJ64" s="5" t="str">
        <f t="shared" si="10"/>
        <v/>
      </c>
      <c r="AK64" s="5" t="str">
        <f t="shared" si="11"/>
        <v/>
      </c>
      <c r="AL64" s="7">
        <f>IF(Tableau182986[[#This Row],[Age]]&lt;&gt;"",IF(Tableau182986[[#This Row],[Age]]=0,$AT$10*$B$10+SUMIF($AS$21:$AS$29,Tableau182986[[#This Row],[Age]],$AU$21:$AU$29)*$B$10+$AT$11*$B$10,SUMIF($AS$21:$AS$29,Tableau182986[[#This Row],[Age]],$AU$21:$AU$29)*$B$10+$AT$11*$B$10),"")</f>
        <v>9</v>
      </c>
      <c r="AM64" s="7">
        <f>IF(Tableau182986[[#This Row],[Age]]&lt;&gt;"",IF(Tableau182986[[#This Row],[Age]]=$B$11,$AT$10*$B$10,0)+Tableau182986[[#This Row],[VBO]]*$AX$21*$B$10+Tableau182986[[#This Row],[VBI]]*$AX$22*$B$10+Tableau182986[[#This Row],[VBE]]*$AX$23*$B$10,"")</f>
        <v>0</v>
      </c>
      <c r="AN64" s="7">
        <v>0.58753332069014796</v>
      </c>
      <c r="AO64" s="7">
        <v>0</v>
      </c>
      <c r="AP64" s="7">
        <f>IF(Tableau182986[[#This Row],[Age]]&lt;&gt;"",Tableau182986[[#This Row],[RA]]-Tableau182986[[#This Row],[DA]],"")</f>
        <v>-0.58753332069014796</v>
      </c>
    </row>
    <row r="65" spans="1:42" ht="15" customHeight="1" x14ac:dyDescent="0.2">
      <c r="A65" s="30" t="s">
        <v>108</v>
      </c>
      <c r="B65" s="30" t="s">
        <v>109</v>
      </c>
      <c r="C65" s="30" t="s">
        <v>110</v>
      </c>
      <c r="K65" s="3">
        <v>63</v>
      </c>
      <c r="L65" s="4">
        <v>411.89999999999986</v>
      </c>
      <c r="M65" s="4">
        <v>0</v>
      </c>
      <c r="N65" s="4">
        <v>411.89999999999986</v>
      </c>
      <c r="O65" s="5">
        <f t="shared" si="0"/>
        <v>192.76919999999993</v>
      </c>
      <c r="P65" s="5">
        <f t="shared" si="1"/>
        <v>48.151667124108002</v>
      </c>
      <c r="Q65" s="5">
        <f t="shared" si="2"/>
        <v>61.699001366383484</v>
      </c>
      <c r="R65" s="5">
        <v>21</v>
      </c>
      <c r="S65" s="5">
        <v>361.41675762561363</v>
      </c>
      <c r="T65" s="5">
        <f t="shared" si="3"/>
        <v>0</v>
      </c>
      <c r="U65" s="5">
        <f t="shared" si="4"/>
        <v>0</v>
      </c>
      <c r="V65" s="5" t="str">
        <f>IF($E$4="Embrousaillement",Tableau182986[[#This Row],[SOL]],"")</f>
        <v/>
      </c>
      <c r="W65" s="5" t="str">
        <f>IF($E$4="Embrousaillement",Tableau182986[[#This Row],[L]],"")</f>
        <v/>
      </c>
      <c r="X65" s="5">
        <v>9.1666666666666661</v>
      </c>
      <c r="Y65" s="5">
        <f t="shared" si="5"/>
        <v>0</v>
      </c>
      <c r="Z65" s="5">
        <f t="shared" si="6"/>
        <v>0</v>
      </c>
      <c r="AA65" s="5">
        <f t="shared" si="7"/>
        <v>0</v>
      </c>
      <c r="AB65" s="5" t="s">
        <v>166</v>
      </c>
      <c r="AC65" s="5" t="s">
        <v>166</v>
      </c>
      <c r="AD65" s="5" t="str">
        <f t="shared" si="8"/>
        <v/>
      </c>
      <c r="AE65" s="5" t="s">
        <v>166</v>
      </c>
      <c r="AF65" s="5" t="s">
        <v>166</v>
      </c>
      <c r="AG65" s="5" t="str">
        <f t="shared" si="9"/>
        <v/>
      </c>
      <c r="AH65" s="5" t="s">
        <v>166</v>
      </c>
      <c r="AI65" s="5" t="s">
        <v>166</v>
      </c>
      <c r="AJ65" s="5" t="str">
        <f t="shared" si="10"/>
        <v/>
      </c>
      <c r="AK65" s="5" t="str">
        <f t="shared" si="11"/>
        <v/>
      </c>
      <c r="AL65" s="7">
        <f>IF(Tableau182986[[#This Row],[Age]]&lt;&gt;"",IF(Tableau182986[[#This Row],[Age]]=0,$AT$10*$B$10+SUMIF($AS$21:$AS$29,Tableau182986[[#This Row],[Age]],$AU$21:$AU$29)*$B$10+$AT$11*$B$10,SUMIF($AS$21:$AS$29,Tableau182986[[#This Row],[Age]],$AU$21:$AU$29)*$B$10+$AT$11*$B$10),"")</f>
        <v>9</v>
      </c>
      <c r="AM65" s="7">
        <f>IF(Tableau182986[[#This Row],[Age]]&lt;&gt;"",IF(Tableau182986[[#This Row],[Age]]=$B$11,$AT$10*$B$10,0)+Tableau182986[[#This Row],[VBO]]*$AX$21*$B$10+Tableau182986[[#This Row],[VBI]]*$AX$22*$B$10+Tableau182986[[#This Row],[VBE]]*$AX$23*$B$10,"")</f>
        <v>0</v>
      </c>
      <c r="AN65" s="7">
        <v>0.56223284276569174</v>
      </c>
      <c r="AO65" s="7">
        <v>0</v>
      </c>
      <c r="AP65" s="7">
        <f>IF(Tableau182986[[#This Row],[Age]]&lt;&gt;"",Tableau182986[[#This Row],[RA]]-Tableau182986[[#This Row],[DA]],"")</f>
        <v>-0.56223284276569174</v>
      </c>
    </row>
    <row r="66" spans="1:42" ht="15" customHeight="1" x14ac:dyDescent="0.2">
      <c r="A66" s="3" t="s">
        <v>1</v>
      </c>
      <c r="B66" s="3" t="s">
        <v>111</v>
      </c>
      <c r="C66" s="3" t="s">
        <v>112</v>
      </c>
      <c r="K66" s="3">
        <v>64</v>
      </c>
      <c r="L66" s="4">
        <v>429.59999999999991</v>
      </c>
      <c r="M66" s="4">
        <v>0</v>
      </c>
      <c r="N66" s="4">
        <v>429.59999999999991</v>
      </c>
      <c r="O66" s="5">
        <f t="shared" ref="O66:O102" si="12">IF(K66&lt;&gt;"",N66*$B$7*$B$8,"")</f>
        <v>201.05279999999993</v>
      </c>
      <c r="P66" s="5">
        <f t="shared" ref="P66:P102" si="13">IF(K66&lt;&gt;"",IF(O66&gt;0,EXP(-1.0587+0.8836*LN(O66)+0.284),0),"")</f>
        <v>49.975470554049167</v>
      </c>
      <c r="Q66" s="5">
        <f t="shared" ref="Q66:Q102" si="14">IF(K66&lt;&gt;"",45+25*(1-EXP(-0.0175*K66)),"")</f>
        <v>61.843005134424018</v>
      </c>
      <c r="R66" s="5">
        <v>21.333333333333332</v>
      </c>
      <c r="S66" s="5">
        <v>371.09373946503956</v>
      </c>
      <c r="T66" s="5">
        <f t="shared" ref="T66:T102" si="15">IF(AND(K66&lt;=$E$11,K66&lt;&gt;"",K66&gt;0),IF($E$4="Embrousaillement",1*K66*$E$7*$E$8,0),"")</f>
        <v>0</v>
      </c>
      <c r="U66" s="5">
        <f t="shared" ref="U66:U102" si="16">IF(AND(K66&lt;=$E$11,K66&lt;&gt;"",K66&gt;0),IF($E$4="Embrousaillement",EXP(-1.0587+0.8836*LN(T66)+0.284),0),"")</f>
        <v>0</v>
      </c>
      <c r="V66" s="5" t="str">
        <f>IF($E$4="Embrousaillement",Tableau182986[[#This Row],[SOL]],"")</f>
        <v/>
      </c>
      <c r="W66" s="5" t="str">
        <f>IF($E$4="Embrousaillement",Tableau182986[[#This Row],[L]],"")</f>
        <v/>
      </c>
      <c r="X66" s="5">
        <v>9.1666666666666661</v>
      </c>
      <c r="Y66" s="5">
        <f t="shared" ref="Y66:Y102" si="17">IF(K66&lt;&gt;"",IF(M66&gt;0,IF($K66&gt;=$AT$7,$AU$7,IF(AND($K66&gt;=$AT$6,$K66&lt;$AT$7),$AU$6,IF(AND($K66&gt;=$AT$5,$K66&lt;$AT$6),$AU$5,IF(AND($K66&gt;=$AT$4,$K66&lt;$AT$5),$AU$4,$AU$4))))*M66,0),"")</f>
        <v>0</v>
      </c>
      <c r="Z66" s="5">
        <f t="shared" ref="Z66:Z102" si="18">IF(K66&lt;&gt;"",IF(M66&gt;0,IF($K66&gt;=$AT$7,$AV$7,IF(AND($K66&gt;=$AT$6,$K66&lt;$AT$7),$AV$6,IF(AND($K66&gt;=$AT$5,$K66&lt;$AT$6),$AV$5,IF(AND($K66&gt;=$AT$4,$K66&lt;$AT$5),$AV$4,$AV$4))))*M66,0),"")</f>
        <v>0</v>
      </c>
      <c r="AA66" s="5">
        <f t="shared" ref="AA66:AA102" si="19">IF(K66&lt;&gt;"",IF(M66&gt;0,IF($K66&gt;=$AT$7,$AW$7,IF(AND($K66&gt;=$AT$6,$K66&lt;$AT$7),$AW$6,IF(AND($K66&gt;=$AT$5,$K66&lt;$AT$6),$AW$5,IF(AND($K66&gt;=$AT$4,$K66&lt;$AT$5),$AW$4,$AW$4))))*M66,0),"")</f>
        <v>0</v>
      </c>
      <c r="AB66" s="5" t="s">
        <v>166</v>
      </c>
      <c r="AC66" s="5" t="s">
        <v>166</v>
      </c>
      <c r="AD66" s="5" t="str">
        <f t="shared" ref="AD66:AD102" si="20">IF(AND(K66&lt;=30,K66&lt;&gt;"",K66&gt;0),EXP(-AC66)*IF(K66=1,0,AD65)+(((1-EXP(-AC66))/AC66)*AB66),"")</f>
        <v/>
      </c>
      <c r="AE66" s="5" t="s">
        <v>166</v>
      </c>
      <c r="AF66" s="5" t="s">
        <v>166</v>
      </c>
      <c r="AG66" s="5" t="str">
        <f t="shared" ref="AG66:AG102" si="21">IF(AND(K66&lt;=30,K66&lt;&gt;"",K66&gt;0),EXP(-AF66)*IF(K66=1,0,AG65)+(((1-EXP(-AF66))/AF66)*AE66),"")</f>
        <v/>
      </c>
      <c r="AH66" s="5" t="s">
        <v>166</v>
      </c>
      <c r="AI66" s="5" t="s">
        <v>166</v>
      </c>
      <c r="AJ66" s="5" t="str">
        <f t="shared" ref="AJ66:AJ102" si="22">IF(AND(K66&lt;=30,K66&lt;&gt;"",K66&gt;0),EXP(-AI66)*IF(K66=1,0,AJ65)+(((1-EXP(-AI66))/AI66)*AH66),"")</f>
        <v/>
      </c>
      <c r="AK66" s="5" t="str">
        <f t="shared" ref="AK66:AK102" si="23">IF(AND(K66&lt;=30,K66&lt;&gt;""),SUM(Y66:AA66)*$B$10,"")</f>
        <v/>
      </c>
      <c r="AL66" s="7">
        <f>IF(Tableau182986[[#This Row],[Age]]&lt;&gt;"",IF(Tableau182986[[#This Row],[Age]]=0,$AT$10*$B$10+SUMIF($AS$21:$AS$29,Tableau182986[[#This Row],[Age]],$AU$21:$AU$29)*$B$10+$AT$11*$B$10,SUMIF($AS$21:$AS$29,Tableau182986[[#This Row],[Age]],$AU$21:$AU$29)*$B$10+$AT$11*$B$10),"")</f>
        <v>9</v>
      </c>
      <c r="AM66" s="7">
        <f>IF(Tableau182986[[#This Row],[Age]]&lt;&gt;"",IF(Tableau182986[[#This Row],[Age]]=$B$11,$AT$10*$B$10,0)+Tableau182986[[#This Row],[VBO]]*$AX$21*$B$10+Tableau182986[[#This Row],[VBI]]*$AX$22*$B$10+Tableau182986[[#This Row],[VBE]]*$AX$23*$B$10,"")</f>
        <v>0</v>
      </c>
      <c r="AN66" s="7">
        <v>0.53802185910592537</v>
      </c>
      <c r="AO66" s="7">
        <v>0</v>
      </c>
      <c r="AP66" s="7">
        <f>IF(Tableau182986[[#This Row],[Age]]&lt;&gt;"",Tableau182986[[#This Row],[RA]]-Tableau182986[[#This Row],[DA]],"")</f>
        <v>-0.53802185910592537</v>
      </c>
    </row>
    <row r="67" spans="1:42" ht="15" customHeight="1" x14ac:dyDescent="0.2">
      <c r="A67" s="3" t="s">
        <v>2</v>
      </c>
      <c r="B67" s="3" t="s">
        <v>113</v>
      </c>
      <c r="C67" s="3" t="s">
        <v>114</v>
      </c>
      <c r="K67" s="3">
        <v>65</v>
      </c>
      <c r="L67" s="4">
        <v>447.29999999999995</v>
      </c>
      <c r="M67" s="4">
        <v>0</v>
      </c>
      <c r="N67" s="4">
        <v>447.29999999999995</v>
      </c>
      <c r="O67" s="5">
        <f t="shared" si="12"/>
        <v>209.3364</v>
      </c>
      <c r="P67" s="5">
        <f t="shared" si="13"/>
        <v>51.790545701268393</v>
      </c>
      <c r="Q67" s="5">
        <f t="shared" si="14"/>
        <v>61.984510759033235</v>
      </c>
      <c r="R67" s="5">
        <v>21.666666666666664</v>
      </c>
      <c r="S67" s="5">
        <v>380.75854049530432</v>
      </c>
      <c r="T67" s="5">
        <f t="shared" si="15"/>
        <v>0</v>
      </c>
      <c r="U67" s="5">
        <f t="shared" si="16"/>
        <v>0</v>
      </c>
      <c r="V67" s="5" t="str">
        <f>IF($E$4="Embrousaillement",Tableau182986[[#This Row],[SOL]],"")</f>
        <v/>
      </c>
      <c r="W67" s="5" t="str">
        <f>IF($E$4="Embrousaillement",Tableau182986[[#This Row],[L]],"")</f>
        <v/>
      </c>
      <c r="X67" s="5">
        <v>9.1666666666666661</v>
      </c>
      <c r="Y67" s="5">
        <f t="shared" si="17"/>
        <v>0</v>
      </c>
      <c r="Z67" s="5">
        <f t="shared" si="18"/>
        <v>0</v>
      </c>
      <c r="AA67" s="5">
        <f t="shared" si="19"/>
        <v>0</v>
      </c>
      <c r="AB67" s="5" t="s">
        <v>166</v>
      </c>
      <c r="AC67" s="5" t="s">
        <v>166</v>
      </c>
      <c r="AD67" s="5" t="str">
        <f t="shared" si="20"/>
        <v/>
      </c>
      <c r="AE67" s="5" t="s">
        <v>166</v>
      </c>
      <c r="AF67" s="5" t="s">
        <v>166</v>
      </c>
      <c r="AG67" s="5" t="str">
        <f t="shared" si="21"/>
        <v/>
      </c>
      <c r="AH67" s="5" t="s">
        <v>166</v>
      </c>
      <c r="AI67" s="5" t="s">
        <v>166</v>
      </c>
      <c r="AJ67" s="5" t="str">
        <f t="shared" si="22"/>
        <v/>
      </c>
      <c r="AK67" s="5" t="str">
        <f t="shared" si="23"/>
        <v/>
      </c>
      <c r="AL67" s="7">
        <f>IF(Tableau182986[[#This Row],[Age]]&lt;&gt;"",IF(Tableau182986[[#This Row],[Age]]=0,$AT$10*$B$10+SUMIF($AS$21:$AS$29,Tableau182986[[#This Row],[Age]],$AU$21:$AU$29)*$B$10+$AT$11*$B$10,SUMIF($AS$21:$AS$29,Tableau182986[[#This Row],[Age]],$AU$21:$AU$29)*$B$10+$AT$11*$B$10),"")</f>
        <v>9</v>
      </c>
      <c r="AM67" s="7">
        <f>IF(Tableau182986[[#This Row],[Age]]&lt;&gt;"",IF(Tableau182986[[#This Row],[Age]]=$B$11,$AT$10*$B$10,0)+Tableau182986[[#This Row],[VBO]]*$AX$21*$B$10+Tableau182986[[#This Row],[VBI]]*$AX$22*$B$10+Tableau182986[[#This Row],[VBE]]*$AX$23*$B$10,"")</f>
        <v>0</v>
      </c>
      <c r="AN67" s="7">
        <v>0.51485345368988078</v>
      </c>
      <c r="AO67" s="7">
        <v>0</v>
      </c>
      <c r="AP67" s="7">
        <f>IF(Tableau182986[[#This Row],[Age]]&lt;&gt;"",Tableau182986[[#This Row],[RA]]-Tableau182986[[#This Row],[DA]],"")</f>
        <v>-0.51485345368988078</v>
      </c>
    </row>
    <row r="68" spans="1:42" ht="15" customHeight="1" x14ac:dyDescent="0.2">
      <c r="A68" s="3" t="s">
        <v>3</v>
      </c>
      <c r="B68" s="3" t="s">
        <v>113</v>
      </c>
      <c r="C68" s="3" t="s">
        <v>115</v>
      </c>
      <c r="K68" s="3">
        <v>66</v>
      </c>
      <c r="L68" s="4">
        <v>465</v>
      </c>
      <c r="M68" s="4">
        <v>101</v>
      </c>
      <c r="N68" s="4">
        <v>364</v>
      </c>
      <c r="O68" s="5">
        <f t="shared" si="12"/>
        <v>170.352</v>
      </c>
      <c r="P68" s="5">
        <f t="shared" si="13"/>
        <v>43.168850382694451</v>
      </c>
      <c r="Q68" s="5">
        <f t="shared" si="14"/>
        <v>62.123561577414662</v>
      </c>
      <c r="R68" s="5">
        <v>22</v>
      </c>
      <c r="S68" s="5">
        <v>340.16760343352325</v>
      </c>
      <c r="T68" s="5">
        <f t="shared" si="15"/>
        <v>0</v>
      </c>
      <c r="U68" s="5">
        <f t="shared" si="16"/>
        <v>0</v>
      </c>
      <c r="V68" s="5" t="str">
        <f>IF($E$4="Embrousaillement",Tableau182986[[#This Row],[SOL]],"")</f>
        <v/>
      </c>
      <c r="W68" s="5" t="str">
        <f>IF($E$4="Embrousaillement",Tableau182986[[#This Row],[L]],"")</f>
        <v/>
      </c>
      <c r="X68" s="5">
        <v>9.1666666666666661</v>
      </c>
      <c r="Y68" s="5">
        <f t="shared" si="17"/>
        <v>70.699999999999989</v>
      </c>
      <c r="Z68" s="5">
        <f t="shared" si="18"/>
        <v>30.299999999999997</v>
      </c>
      <c r="AA68" s="5">
        <f t="shared" si="19"/>
        <v>0</v>
      </c>
      <c r="AB68" s="5" t="s">
        <v>166</v>
      </c>
      <c r="AC68" s="5" t="s">
        <v>166</v>
      </c>
      <c r="AD68" s="5" t="str">
        <f t="shared" si="20"/>
        <v/>
      </c>
      <c r="AE68" s="5" t="s">
        <v>166</v>
      </c>
      <c r="AF68" s="5" t="s">
        <v>166</v>
      </c>
      <c r="AG68" s="5" t="str">
        <f t="shared" si="21"/>
        <v/>
      </c>
      <c r="AH68" s="5" t="s">
        <v>166</v>
      </c>
      <c r="AI68" s="5" t="s">
        <v>166</v>
      </c>
      <c r="AJ68" s="5" t="str">
        <f t="shared" si="22"/>
        <v/>
      </c>
      <c r="AK68" s="5" t="str">
        <f t="shared" si="23"/>
        <v/>
      </c>
      <c r="AL68" s="7">
        <f>IF(Tableau182986[[#This Row],[Age]]&lt;&gt;"",IF(Tableau182986[[#This Row],[Age]]=0,$AT$10*$B$10+SUMIF($AS$21:$AS$29,Tableau182986[[#This Row],[Age]],$AU$21:$AU$29)*$B$10+$AT$11*$B$10,SUMIF($AS$21:$AS$29,Tableau182986[[#This Row],[Age]],$AU$21:$AU$29)*$B$10+$AT$11*$B$10),"")</f>
        <v>9</v>
      </c>
      <c r="AM68" s="7">
        <f>IF(Tableau182986[[#This Row],[Age]]&lt;&gt;"",IF(Tableau182986[[#This Row],[Age]]=$B$11,$AT$10*$B$10,0)+Tableau182986[[#This Row],[VBO]]*$AX$21*$B$10+Tableau182986[[#This Row],[VBI]]*$AX$22*$B$10+Tableau182986[[#This Row],[VBE]]*$AX$23*$B$10,"")</f>
        <v>2196.7499999999995</v>
      </c>
      <c r="AN68" s="7">
        <v>0.49268273080371378</v>
      </c>
      <c r="AO68" s="7">
        <v>120.25564321033978</v>
      </c>
      <c r="AP68" s="7">
        <f>IF(Tableau182986[[#This Row],[Age]]&lt;&gt;"",Tableau182986[[#This Row],[RA]]-Tableau182986[[#This Row],[DA]],"")</f>
        <v>119.76296047953608</v>
      </c>
    </row>
    <row r="69" spans="1:42" ht="15" customHeight="1" x14ac:dyDescent="0.2">
      <c r="A69" s="3" t="s">
        <v>4</v>
      </c>
      <c r="B69" s="3" t="s">
        <v>113</v>
      </c>
      <c r="C69" s="3" t="s">
        <v>116</v>
      </c>
      <c r="K69" s="3">
        <v>67</v>
      </c>
      <c r="L69" s="4">
        <v>380.69999999999982</v>
      </c>
      <c r="M69" s="4">
        <v>0</v>
      </c>
      <c r="N69" s="4">
        <v>380.69999999999982</v>
      </c>
      <c r="O69" s="5">
        <f t="shared" si="12"/>
        <v>178.16759999999994</v>
      </c>
      <c r="P69" s="5">
        <f t="shared" si="13"/>
        <v>44.91426846875347</v>
      </c>
      <c r="Q69" s="5">
        <f t="shared" si="14"/>
        <v>62.26020017496824</v>
      </c>
      <c r="R69" s="5">
        <v>22.333333333333332</v>
      </c>
      <c r="S69" s="5">
        <v>349.35527189009235</v>
      </c>
      <c r="T69" s="5">
        <f t="shared" si="15"/>
        <v>0</v>
      </c>
      <c r="U69" s="5">
        <f t="shared" si="16"/>
        <v>0</v>
      </c>
      <c r="V69" s="5" t="str">
        <f>IF($E$4="Embrousaillement",Tableau182986[[#This Row],[SOL]],"")</f>
        <v/>
      </c>
      <c r="W69" s="5" t="str">
        <f>IF($E$4="Embrousaillement",Tableau182986[[#This Row],[L]],"")</f>
        <v/>
      </c>
      <c r="X69" s="5">
        <v>9.1666666666666661</v>
      </c>
      <c r="Y69" s="5">
        <f t="shared" si="17"/>
        <v>0</v>
      </c>
      <c r="Z69" s="5">
        <f t="shared" si="18"/>
        <v>0</v>
      </c>
      <c r="AA69" s="5">
        <f t="shared" si="19"/>
        <v>0</v>
      </c>
      <c r="AB69" s="5" t="s">
        <v>166</v>
      </c>
      <c r="AC69" s="5" t="s">
        <v>166</v>
      </c>
      <c r="AD69" s="5" t="str">
        <f t="shared" si="20"/>
        <v/>
      </c>
      <c r="AE69" s="5" t="s">
        <v>166</v>
      </c>
      <c r="AF69" s="5" t="s">
        <v>166</v>
      </c>
      <c r="AG69" s="5" t="str">
        <f t="shared" si="21"/>
        <v/>
      </c>
      <c r="AH69" s="5" t="s">
        <v>166</v>
      </c>
      <c r="AI69" s="5" t="s">
        <v>166</v>
      </c>
      <c r="AJ69" s="5" t="str">
        <f t="shared" si="22"/>
        <v/>
      </c>
      <c r="AK69" s="5" t="str">
        <f t="shared" si="23"/>
        <v/>
      </c>
      <c r="AL69" s="7">
        <f>IF(Tableau182986[[#This Row],[Age]]&lt;&gt;"",IF(Tableau182986[[#This Row],[Age]]=0,$AT$10*$B$10+SUMIF($AS$21:$AS$29,Tableau182986[[#This Row],[Age]],$AU$21:$AU$29)*$B$10+$AT$11*$B$10,SUMIF($AS$21:$AS$29,Tableau182986[[#This Row],[Age]],$AU$21:$AU$29)*$B$10+$AT$11*$B$10),"")</f>
        <v>9</v>
      </c>
      <c r="AM69" s="7">
        <f>IF(Tableau182986[[#This Row],[Age]]&lt;&gt;"",IF(Tableau182986[[#This Row],[Age]]=$B$11,$AT$10*$B$10,0)+Tableau182986[[#This Row],[VBO]]*$AX$21*$B$10+Tableau182986[[#This Row],[VBI]]*$AX$22*$B$10+Tableau182986[[#This Row],[VBE]]*$AX$23*$B$10,"")</f>
        <v>0</v>
      </c>
      <c r="AN69" s="7">
        <v>0.47146672804183132</v>
      </c>
      <c r="AO69" s="7">
        <v>0</v>
      </c>
      <c r="AP69" s="7">
        <f>IF(Tableau182986[[#This Row],[Age]]&lt;&gt;"",Tableau182986[[#This Row],[RA]]-Tableau182986[[#This Row],[DA]],"")</f>
        <v>-0.47146672804183132</v>
      </c>
    </row>
    <row r="70" spans="1:42" ht="15" customHeight="1" x14ac:dyDescent="0.2">
      <c r="A70" s="3" t="s">
        <v>5</v>
      </c>
      <c r="B70" s="3" t="s">
        <v>117</v>
      </c>
      <c r="C70" s="3" t="s">
        <v>118</v>
      </c>
      <c r="K70" s="3">
        <v>68</v>
      </c>
      <c r="L70" s="4">
        <v>397.39999999999986</v>
      </c>
      <c r="M70" s="4">
        <v>0</v>
      </c>
      <c r="N70" s="4">
        <v>397.39999999999986</v>
      </c>
      <c r="O70" s="5">
        <f t="shared" si="12"/>
        <v>185.98319999999993</v>
      </c>
      <c r="P70" s="5">
        <f t="shared" si="13"/>
        <v>46.650794034675862</v>
      </c>
      <c r="Q70" s="5">
        <f t="shared" si="14"/>
        <v>62.3944683983324</v>
      </c>
      <c r="R70" s="5">
        <v>22.666666666666664</v>
      </c>
      <c r="S70" s="5">
        <v>358.53085075769508</v>
      </c>
      <c r="T70" s="5">
        <f t="shared" si="15"/>
        <v>0</v>
      </c>
      <c r="U70" s="5">
        <f t="shared" si="16"/>
        <v>0</v>
      </c>
      <c r="V70" s="5" t="str">
        <f>IF($E$4="Embrousaillement",Tableau182986[[#This Row],[SOL]],"")</f>
        <v/>
      </c>
      <c r="W70" s="5" t="str">
        <f>IF($E$4="Embrousaillement",Tableau182986[[#This Row],[L]],"")</f>
        <v/>
      </c>
      <c r="X70" s="5">
        <v>9.1666666666666661</v>
      </c>
      <c r="Y70" s="5">
        <f t="shared" si="17"/>
        <v>0</v>
      </c>
      <c r="Z70" s="5">
        <f t="shared" si="18"/>
        <v>0</v>
      </c>
      <c r="AA70" s="5">
        <f t="shared" si="19"/>
        <v>0</v>
      </c>
      <c r="AB70" s="5" t="s">
        <v>166</v>
      </c>
      <c r="AC70" s="5" t="s">
        <v>166</v>
      </c>
      <c r="AD70" s="5" t="str">
        <f t="shared" si="20"/>
        <v/>
      </c>
      <c r="AE70" s="5" t="s">
        <v>166</v>
      </c>
      <c r="AF70" s="5" t="s">
        <v>166</v>
      </c>
      <c r="AG70" s="5" t="str">
        <f t="shared" si="21"/>
        <v/>
      </c>
      <c r="AH70" s="5" t="s">
        <v>166</v>
      </c>
      <c r="AI70" s="5" t="s">
        <v>166</v>
      </c>
      <c r="AJ70" s="5" t="str">
        <f t="shared" si="22"/>
        <v/>
      </c>
      <c r="AK70" s="5" t="str">
        <f t="shared" si="23"/>
        <v/>
      </c>
      <c r="AL70" s="7">
        <f>IF(Tableau182986[[#This Row],[Age]]&lt;&gt;"",IF(Tableau182986[[#This Row],[Age]]=0,$AT$10*$B$10+SUMIF($AS$21:$AS$29,Tableau182986[[#This Row],[Age]],$AU$21:$AU$29)*$B$10+$AT$11*$B$10,SUMIF($AS$21:$AS$29,Tableau182986[[#This Row],[Age]],$AU$21:$AU$29)*$B$10+$AT$11*$B$10),"")</f>
        <v>9</v>
      </c>
      <c r="AM70" s="7">
        <f>IF(Tableau182986[[#This Row],[Age]]&lt;&gt;"",IF(Tableau182986[[#This Row],[Age]]=$B$11,$AT$10*$B$10,0)+Tableau182986[[#This Row],[VBO]]*$AX$21*$B$10+Tableau182986[[#This Row],[VBI]]*$AX$22*$B$10+Tableau182986[[#This Row],[VBE]]*$AX$23*$B$10,"")</f>
        <v>0</v>
      </c>
      <c r="AN70" s="7">
        <v>0.45116433305438414</v>
      </c>
      <c r="AO70" s="7">
        <v>0</v>
      </c>
      <c r="AP70" s="7">
        <f>IF(Tableau182986[[#This Row],[Age]]&lt;&gt;"",Tableau182986[[#This Row],[RA]]-Tableau182986[[#This Row],[DA]],"")</f>
        <v>-0.45116433305438414</v>
      </c>
    </row>
    <row r="71" spans="1:42" ht="15" customHeight="1" x14ac:dyDescent="0.2">
      <c r="A71" s="3" t="s">
        <v>6</v>
      </c>
      <c r="B71" s="3" t="s">
        <v>117</v>
      </c>
      <c r="C71" s="3" t="s">
        <v>119</v>
      </c>
      <c r="K71" s="3">
        <v>69</v>
      </c>
      <c r="L71" s="4">
        <v>414.09999999999991</v>
      </c>
      <c r="M71" s="4">
        <v>0</v>
      </c>
      <c r="N71" s="4">
        <v>414.09999999999991</v>
      </c>
      <c r="O71" s="5">
        <f t="shared" si="12"/>
        <v>193.79879999999997</v>
      </c>
      <c r="P71" s="5">
        <f t="shared" si="13"/>
        <v>48.378843501227415</v>
      </c>
      <c r="Q71" s="5">
        <f t="shared" si="14"/>
        <v>62.526407368199969</v>
      </c>
      <c r="R71" s="5">
        <v>23</v>
      </c>
      <c r="S71" s="5">
        <v>367.6947780573521</v>
      </c>
      <c r="T71" s="5">
        <f t="shared" si="15"/>
        <v>0</v>
      </c>
      <c r="U71" s="5">
        <f t="shared" si="16"/>
        <v>0</v>
      </c>
      <c r="V71" s="5" t="str">
        <f>IF($E$4="Embrousaillement",Tableau182986[[#This Row],[SOL]],"")</f>
        <v/>
      </c>
      <c r="W71" s="5" t="str">
        <f>IF($E$4="Embrousaillement",Tableau182986[[#This Row],[L]],"")</f>
        <v/>
      </c>
      <c r="X71" s="5">
        <v>9.1666666666666661</v>
      </c>
      <c r="Y71" s="5">
        <f t="shared" si="17"/>
        <v>0</v>
      </c>
      <c r="Z71" s="5">
        <f t="shared" si="18"/>
        <v>0</v>
      </c>
      <c r="AA71" s="5">
        <f t="shared" si="19"/>
        <v>0</v>
      </c>
      <c r="AB71" s="5" t="s">
        <v>166</v>
      </c>
      <c r="AC71" s="5" t="s">
        <v>166</v>
      </c>
      <c r="AD71" s="5" t="str">
        <f t="shared" si="20"/>
        <v/>
      </c>
      <c r="AE71" s="5" t="s">
        <v>166</v>
      </c>
      <c r="AF71" s="5" t="s">
        <v>166</v>
      </c>
      <c r="AG71" s="5" t="str">
        <f t="shared" si="21"/>
        <v/>
      </c>
      <c r="AH71" s="5" t="s">
        <v>166</v>
      </c>
      <c r="AI71" s="5" t="s">
        <v>166</v>
      </c>
      <c r="AJ71" s="5" t="str">
        <f t="shared" si="22"/>
        <v/>
      </c>
      <c r="AK71" s="5" t="str">
        <f t="shared" si="23"/>
        <v/>
      </c>
      <c r="AL71" s="7">
        <f>IF(Tableau182986[[#This Row],[Age]]&lt;&gt;"",IF(Tableau182986[[#This Row],[Age]]=0,$AT$10*$B$10+SUMIF($AS$21:$AS$29,Tableau182986[[#This Row],[Age]],$AU$21:$AU$29)*$B$10+$AT$11*$B$10,SUMIF($AS$21:$AS$29,Tableau182986[[#This Row],[Age]],$AU$21:$AU$29)*$B$10+$AT$11*$B$10),"")</f>
        <v>9</v>
      </c>
      <c r="AM71" s="7">
        <f>IF(Tableau182986[[#This Row],[Age]]&lt;&gt;"",IF(Tableau182986[[#This Row],[Age]]=$B$11,$AT$10*$B$10,0)+Tableau182986[[#This Row],[VBO]]*$AX$21*$B$10+Tableau182986[[#This Row],[VBI]]*$AX$22*$B$10+Tableau182986[[#This Row],[VBE]]*$AX$23*$B$10,"")</f>
        <v>0</v>
      </c>
      <c r="AN71" s="7">
        <v>0.43173620387979345</v>
      </c>
      <c r="AO71" s="7">
        <v>0</v>
      </c>
      <c r="AP71" s="7">
        <f>IF(Tableau182986[[#This Row],[Age]]&lt;&gt;"",Tableau182986[[#This Row],[RA]]-Tableau182986[[#This Row],[DA]],"")</f>
        <v>-0.43173620387979345</v>
      </c>
    </row>
    <row r="72" spans="1:42" ht="15" customHeight="1" x14ac:dyDescent="0.2">
      <c r="A72" s="3" t="s">
        <v>7</v>
      </c>
      <c r="B72" s="3" t="s">
        <v>120</v>
      </c>
      <c r="C72" s="3" t="s">
        <v>121</v>
      </c>
      <c r="K72" s="3">
        <v>70</v>
      </c>
      <c r="L72" s="4">
        <v>430.79999999999995</v>
      </c>
      <c r="M72" s="4">
        <v>0</v>
      </c>
      <c r="N72" s="4">
        <v>430.79999999999995</v>
      </c>
      <c r="O72" s="5">
        <f t="shared" si="12"/>
        <v>201.61439999999996</v>
      </c>
      <c r="P72" s="5">
        <f t="shared" si="13"/>
        <v>50.098797801035609</v>
      </c>
      <c r="Q72" s="5">
        <f t="shared" si="14"/>
        <v>62.656057491911682</v>
      </c>
      <c r="R72" s="5">
        <v>23.333333333333332</v>
      </c>
      <c r="S72" s="5">
        <v>376.84745959801762</v>
      </c>
      <c r="T72" s="5">
        <f t="shared" si="15"/>
        <v>0</v>
      </c>
      <c r="U72" s="5">
        <f t="shared" si="16"/>
        <v>0</v>
      </c>
      <c r="V72" s="5" t="str">
        <f>IF($E$4="Embrousaillement",Tableau182986[[#This Row],[SOL]],"")</f>
        <v/>
      </c>
      <c r="W72" s="5" t="str">
        <f>IF($E$4="Embrousaillement",Tableau182986[[#This Row],[L]],"")</f>
        <v/>
      </c>
      <c r="X72" s="5">
        <v>9.1666666666666661</v>
      </c>
      <c r="Y72" s="5">
        <f t="shared" si="17"/>
        <v>0</v>
      </c>
      <c r="Z72" s="5">
        <f t="shared" si="18"/>
        <v>0</v>
      </c>
      <c r="AA72" s="5">
        <f t="shared" si="19"/>
        <v>0</v>
      </c>
      <c r="AB72" s="5" t="s">
        <v>166</v>
      </c>
      <c r="AC72" s="5" t="s">
        <v>166</v>
      </c>
      <c r="AD72" s="5" t="str">
        <f t="shared" si="20"/>
        <v/>
      </c>
      <c r="AE72" s="5" t="s">
        <v>166</v>
      </c>
      <c r="AF72" s="5" t="s">
        <v>166</v>
      </c>
      <c r="AG72" s="5" t="str">
        <f t="shared" si="21"/>
        <v/>
      </c>
      <c r="AH72" s="5" t="s">
        <v>166</v>
      </c>
      <c r="AI72" s="5" t="s">
        <v>166</v>
      </c>
      <c r="AJ72" s="5" t="str">
        <f t="shared" si="22"/>
        <v/>
      </c>
      <c r="AK72" s="5" t="str">
        <f t="shared" si="23"/>
        <v/>
      </c>
      <c r="AL72" s="7">
        <f>IF(Tableau182986[[#This Row],[Age]]&lt;&gt;"",IF(Tableau182986[[#This Row],[Age]]=0,$AT$10*$B$10+SUMIF($AS$21:$AS$29,Tableau182986[[#This Row],[Age]],$AU$21:$AU$29)*$B$10+$AT$11*$B$10,SUMIF($AS$21:$AS$29,Tableau182986[[#This Row],[Age]],$AU$21:$AU$29)*$B$10+$AT$11*$B$10),"")</f>
        <v>9</v>
      </c>
      <c r="AM72" s="7">
        <f>IF(Tableau182986[[#This Row],[Age]]&lt;&gt;"",IF(Tableau182986[[#This Row],[Age]]=$B$11,$AT$10*$B$10,0)+Tableau182986[[#This Row],[VBO]]*$AX$21*$B$10+Tableau182986[[#This Row],[VBI]]*$AX$22*$B$10+Tableau182986[[#This Row],[VBE]]*$AX$23*$B$10,"")</f>
        <v>0</v>
      </c>
      <c r="AN72" s="7">
        <v>0.41314469270793641</v>
      </c>
      <c r="AO72" s="7">
        <v>0</v>
      </c>
      <c r="AP72" s="7">
        <f>IF(Tableau182986[[#This Row],[Age]]&lt;&gt;"",Tableau182986[[#This Row],[RA]]-Tableau182986[[#This Row],[DA]],"")</f>
        <v>-0.41314469270793641</v>
      </c>
    </row>
    <row r="73" spans="1:42" ht="15" customHeight="1" x14ac:dyDescent="0.2">
      <c r="A73" s="3" t="s">
        <v>8</v>
      </c>
      <c r="B73" s="3" t="s">
        <v>120</v>
      </c>
      <c r="C73" s="3" t="s">
        <v>122</v>
      </c>
      <c r="K73" s="3">
        <v>71</v>
      </c>
      <c r="L73" s="4">
        <v>447.5</v>
      </c>
      <c r="M73" s="4">
        <v>0</v>
      </c>
      <c r="N73" s="4">
        <v>447.5</v>
      </c>
      <c r="O73" s="5">
        <f t="shared" si="12"/>
        <v>209.43</v>
      </c>
      <c r="P73" s="5">
        <f t="shared" si="13"/>
        <v>51.811006660589165</v>
      </c>
      <c r="Q73" s="5">
        <f t="shared" si="14"/>
        <v>62.783458475831253</v>
      </c>
      <c r="R73" s="5">
        <v>23.666666666666664</v>
      </c>
      <c r="S73" s="5">
        <v>385.98927272817588</v>
      </c>
      <c r="T73" s="5">
        <f t="shared" si="15"/>
        <v>0</v>
      </c>
      <c r="U73" s="5">
        <f t="shared" si="16"/>
        <v>0</v>
      </c>
      <c r="V73" s="5" t="str">
        <f>IF($E$4="Embrousaillement",Tableau182986[[#This Row],[SOL]],"")</f>
        <v/>
      </c>
      <c r="W73" s="5" t="str">
        <f>IF($E$4="Embrousaillement",Tableau182986[[#This Row],[L]],"")</f>
        <v/>
      </c>
      <c r="X73" s="5">
        <v>9.1666666666666661</v>
      </c>
      <c r="Y73" s="5">
        <f t="shared" si="17"/>
        <v>0</v>
      </c>
      <c r="Z73" s="5">
        <f t="shared" si="18"/>
        <v>0</v>
      </c>
      <c r="AA73" s="5">
        <f t="shared" si="19"/>
        <v>0</v>
      </c>
      <c r="AB73" s="5" t="s">
        <v>166</v>
      </c>
      <c r="AC73" s="5" t="s">
        <v>166</v>
      </c>
      <c r="AD73" s="5" t="str">
        <f t="shared" si="20"/>
        <v/>
      </c>
      <c r="AE73" s="5" t="s">
        <v>166</v>
      </c>
      <c r="AF73" s="5" t="s">
        <v>166</v>
      </c>
      <c r="AG73" s="5" t="str">
        <f t="shared" si="21"/>
        <v/>
      </c>
      <c r="AH73" s="5" t="s">
        <v>166</v>
      </c>
      <c r="AI73" s="5" t="s">
        <v>166</v>
      </c>
      <c r="AJ73" s="5" t="str">
        <f t="shared" si="22"/>
        <v/>
      </c>
      <c r="AK73" s="5" t="str">
        <f t="shared" si="23"/>
        <v/>
      </c>
      <c r="AL73" s="7">
        <f>IF(Tableau182986[[#This Row],[Age]]&lt;&gt;"",IF(Tableau182986[[#This Row],[Age]]=0,$AT$10*$B$10+SUMIF($AS$21:$AS$29,Tableau182986[[#This Row],[Age]],$AU$21:$AU$29)*$B$10+$AT$11*$B$10,SUMIF($AS$21:$AS$29,Tableau182986[[#This Row],[Age]],$AU$21:$AU$29)*$B$10+$AT$11*$B$10),"")</f>
        <v>9</v>
      </c>
      <c r="AM73" s="7">
        <f>IF(Tableau182986[[#This Row],[Age]]&lt;&gt;"",IF(Tableau182986[[#This Row],[Age]]=$B$11,$AT$10*$B$10,0)+Tableau182986[[#This Row],[VBO]]*$AX$21*$B$10+Tableau182986[[#This Row],[VBI]]*$AX$22*$B$10+Tableau182986[[#This Row],[VBE]]*$AX$23*$B$10,"")</f>
        <v>0</v>
      </c>
      <c r="AN73" s="7">
        <v>0.39535377292625495</v>
      </c>
      <c r="AO73" s="7">
        <v>0</v>
      </c>
      <c r="AP73" s="7">
        <f>IF(Tableau182986[[#This Row],[Age]]&lt;&gt;"",Tableau182986[[#This Row],[RA]]-Tableau182986[[#This Row],[DA]],"")</f>
        <v>-0.39535377292625495</v>
      </c>
    </row>
    <row r="74" spans="1:42" ht="15" customHeight="1" x14ac:dyDescent="0.2">
      <c r="A74" s="3" t="s">
        <v>9</v>
      </c>
      <c r="B74" s="3" t="s">
        <v>123</v>
      </c>
      <c r="C74" s="3" t="s">
        <v>124</v>
      </c>
      <c r="K74" s="3">
        <v>72</v>
      </c>
      <c r="L74" s="4">
        <v>464.19999999999982</v>
      </c>
      <c r="M74" s="4">
        <v>0</v>
      </c>
      <c r="N74" s="4">
        <v>464.19999999999982</v>
      </c>
      <c r="O74" s="5">
        <f t="shared" si="12"/>
        <v>217.24559999999994</v>
      </c>
      <c r="P74" s="5">
        <f t="shared" si="13"/>
        <v>53.515792225077334</v>
      </c>
      <c r="Q74" s="5">
        <f t="shared" si="14"/>
        <v>62.908649337505743</v>
      </c>
      <c r="R74" s="5">
        <v>24</v>
      </c>
      <c r="S74" s="5">
        <v>395.12056951476529</v>
      </c>
      <c r="T74" s="5">
        <f t="shared" si="15"/>
        <v>0</v>
      </c>
      <c r="U74" s="5">
        <f t="shared" si="16"/>
        <v>0</v>
      </c>
      <c r="V74" s="5" t="str">
        <f>IF($E$4="Embrousaillement",Tableau182986[[#This Row],[SOL]],"")</f>
        <v/>
      </c>
      <c r="W74" s="5" t="str">
        <f>IF($E$4="Embrousaillement",Tableau182986[[#This Row],[L]],"")</f>
        <v/>
      </c>
      <c r="X74" s="5">
        <v>9.1666666666666661</v>
      </c>
      <c r="Y74" s="5">
        <f t="shared" si="17"/>
        <v>0</v>
      </c>
      <c r="Z74" s="5">
        <f t="shared" si="18"/>
        <v>0</v>
      </c>
      <c r="AA74" s="5">
        <f t="shared" si="19"/>
        <v>0</v>
      </c>
      <c r="AB74" s="5" t="s">
        <v>166</v>
      </c>
      <c r="AC74" s="5" t="s">
        <v>166</v>
      </c>
      <c r="AD74" s="5" t="str">
        <f t="shared" si="20"/>
        <v/>
      </c>
      <c r="AE74" s="5" t="s">
        <v>166</v>
      </c>
      <c r="AF74" s="5" t="s">
        <v>166</v>
      </c>
      <c r="AG74" s="5" t="str">
        <f t="shared" si="21"/>
        <v/>
      </c>
      <c r="AH74" s="5" t="s">
        <v>166</v>
      </c>
      <c r="AI74" s="5" t="s">
        <v>166</v>
      </c>
      <c r="AJ74" s="5" t="str">
        <f t="shared" si="22"/>
        <v/>
      </c>
      <c r="AK74" s="5" t="str">
        <f t="shared" si="23"/>
        <v/>
      </c>
      <c r="AL74" s="7">
        <f>IF(Tableau182986[[#This Row],[Age]]&lt;&gt;"",IF(Tableau182986[[#This Row],[Age]]=0,$AT$10*$B$10+SUMIF($AS$21:$AS$29,Tableau182986[[#This Row],[Age]],$AU$21:$AU$29)*$B$10+$AT$11*$B$10,SUMIF($AS$21:$AS$29,Tableau182986[[#This Row],[Age]],$AU$21:$AU$29)*$B$10+$AT$11*$B$10),"")</f>
        <v>9</v>
      </c>
      <c r="AM74" s="7">
        <f>IF(Tableau182986[[#This Row],[Age]]&lt;&gt;"",IF(Tableau182986[[#This Row],[Age]]=$B$11,$AT$10*$B$10,0)+Tableau182986[[#This Row],[VBO]]*$AX$21*$B$10+Tableau182986[[#This Row],[VBI]]*$AX$22*$B$10+Tableau182986[[#This Row],[VBE]]*$AX$23*$B$10,"")</f>
        <v>0</v>
      </c>
      <c r="AN74" s="7">
        <v>0.3783289693074211</v>
      </c>
      <c r="AO74" s="7">
        <v>0</v>
      </c>
      <c r="AP74" s="7">
        <f>IF(Tableau182986[[#This Row],[Age]]&lt;&gt;"",Tableau182986[[#This Row],[RA]]-Tableau182986[[#This Row],[DA]],"")</f>
        <v>-0.3783289693074211</v>
      </c>
    </row>
    <row r="75" spans="1:42" ht="15" customHeight="1" x14ac:dyDescent="0.2">
      <c r="A75" s="3" t="s">
        <v>10</v>
      </c>
      <c r="B75" s="3" t="s">
        <v>117</v>
      </c>
      <c r="C75" s="3" t="s">
        <v>125</v>
      </c>
      <c r="K75" s="3">
        <v>73</v>
      </c>
      <c r="L75" s="4">
        <v>480.89999999999986</v>
      </c>
      <c r="M75" s="4">
        <v>0</v>
      </c>
      <c r="N75" s="4">
        <v>480.89999999999986</v>
      </c>
      <c r="O75" s="5">
        <f t="shared" si="12"/>
        <v>225.06119999999993</v>
      </c>
      <c r="P75" s="5">
        <f t="shared" si="13"/>
        <v>55.213452146942807</v>
      </c>
      <c r="Q75" s="5">
        <f t="shared" si="14"/>
        <v>63.031668417615023</v>
      </c>
      <c r="R75" s="5">
        <v>24.333333333333332</v>
      </c>
      <c r="S75" s="5">
        <v>404.24167945470123</v>
      </c>
      <c r="T75" s="5">
        <f t="shared" si="15"/>
        <v>0</v>
      </c>
      <c r="U75" s="5">
        <f t="shared" si="16"/>
        <v>0</v>
      </c>
      <c r="V75" s="5" t="str">
        <f>IF($E$4="Embrousaillement",Tableau182986[[#This Row],[SOL]],"")</f>
        <v/>
      </c>
      <c r="W75" s="5" t="str">
        <f>IF($E$4="Embrousaillement",Tableau182986[[#This Row],[L]],"")</f>
        <v/>
      </c>
      <c r="X75" s="5">
        <v>9.1666666666666661</v>
      </c>
      <c r="Y75" s="5">
        <f t="shared" si="17"/>
        <v>0</v>
      </c>
      <c r="Z75" s="5">
        <f t="shared" si="18"/>
        <v>0</v>
      </c>
      <c r="AA75" s="5">
        <f t="shared" si="19"/>
        <v>0</v>
      </c>
      <c r="AB75" s="5" t="s">
        <v>166</v>
      </c>
      <c r="AC75" s="5" t="s">
        <v>166</v>
      </c>
      <c r="AD75" s="5" t="str">
        <f t="shared" si="20"/>
        <v/>
      </c>
      <c r="AE75" s="5" t="s">
        <v>166</v>
      </c>
      <c r="AF75" s="5" t="s">
        <v>166</v>
      </c>
      <c r="AG75" s="5" t="str">
        <f t="shared" si="21"/>
        <v/>
      </c>
      <c r="AH75" s="5" t="s">
        <v>166</v>
      </c>
      <c r="AI75" s="5" t="s">
        <v>166</v>
      </c>
      <c r="AJ75" s="5" t="str">
        <f t="shared" si="22"/>
        <v/>
      </c>
      <c r="AK75" s="5" t="str">
        <f t="shared" si="23"/>
        <v/>
      </c>
      <c r="AL75" s="7">
        <f>IF(Tableau182986[[#This Row],[Age]]&lt;&gt;"",IF(Tableau182986[[#This Row],[Age]]=0,$AT$10*$B$10+SUMIF($AS$21:$AS$29,Tableau182986[[#This Row],[Age]],$AU$21:$AU$29)*$B$10+$AT$11*$B$10,SUMIF($AS$21:$AS$29,Tableau182986[[#This Row],[Age]],$AU$21:$AU$29)*$B$10+$AT$11*$B$10),"")</f>
        <v>9</v>
      </c>
      <c r="AM75" s="7">
        <f>IF(Tableau182986[[#This Row],[Age]]&lt;&gt;"",IF(Tableau182986[[#This Row],[Age]]=$B$11,$AT$10*$B$10,0)+Tableau182986[[#This Row],[VBO]]*$AX$21*$B$10+Tableau182986[[#This Row],[VBI]]*$AX$22*$B$10+Tableau182986[[#This Row],[VBE]]*$AX$23*$B$10,"")</f>
        <v>0</v>
      </c>
      <c r="AN75" s="7">
        <v>0.36203729120327383</v>
      </c>
      <c r="AO75" s="7">
        <v>0</v>
      </c>
      <c r="AP75" s="7">
        <f>IF(Tableau182986[[#This Row],[Age]]&lt;&gt;"",Tableau182986[[#This Row],[RA]]-Tableau182986[[#This Row],[DA]],"")</f>
        <v>-0.36203729120327383</v>
      </c>
    </row>
    <row r="76" spans="1:42" ht="15" customHeight="1" x14ac:dyDescent="0.2">
      <c r="A76" s="3" t="s">
        <v>11</v>
      </c>
      <c r="B76" s="3" t="s">
        <v>117</v>
      </c>
      <c r="C76" s="3" t="s">
        <v>126</v>
      </c>
      <c r="K76" s="3">
        <v>74</v>
      </c>
      <c r="L76" s="4">
        <v>497.59999999999991</v>
      </c>
      <c r="M76" s="4">
        <v>0</v>
      </c>
      <c r="N76" s="4">
        <v>497.59999999999991</v>
      </c>
      <c r="O76" s="5">
        <f t="shared" si="12"/>
        <v>232.87679999999997</v>
      </c>
      <c r="P76" s="5">
        <f t="shared" si="13"/>
        <v>56.904262233361948</v>
      </c>
      <c r="Q76" s="5">
        <f t="shared" si="14"/>
        <v>63.152553391713859</v>
      </c>
      <c r="R76" s="5">
        <v>24.666666666666664</v>
      </c>
      <c r="S76" s="5">
        <v>413.35291180191695</v>
      </c>
      <c r="T76" s="5">
        <f t="shared" si="15"/>
        <v>0</v>
      </c>
      <c r="U76" s="5">
        <f t="shared" si="16"/>
        <v>0</v>
      </c>
      <c r="V76" s="5" t="str">
        <f>IF($E$4="Embrousaillement",Tableau182986[[#This Row],[SOL]],"")</f>
        <v/>
      </c>
      <c r="W76" s="5" t="str">
        <f>IF($E$4="Embrousaillement",Tableau182986[[#This Row],[L]],"")</f>
        <v/>
      </c>
      <c r="X76" s="5">
        <v>9.1666666666666661</v>
      </c>
      <c r="Y76" s="5">
        <f t="shared" si="17"/>
        <v>0</v>
      </c>
      <c r="Z76" s="5">
        <f t="shared" si="18"/>
        <v>0</v>
      </c>
      <c r="AA76" s="5">
        <f t="shared" si="19"/>
        <v>0</v>
      </c>
      <c r="AB76" s="5" t="s">
        <v>166</v>
      </c>
      <c r="AC76" s="5" t="s">
        <v>166</v>
      </c>
      <c r="AD76" s="5" t="str">
        <f t="shared" si="20"/>
        <v/>
      </c>
      <c r="AE76" s="5" t="s">
        <v>166</v>
      </c>
      <c r="AF76" s="5" t="s">
        <v>166</v>
      </c>
      <c r="AG76" s="5" t="str">
        <f t="shared" si="21"/>
        <v/>
      </c>
      <c r="AH76" s="5" t="s">
        <v>166</v>
      </c>
      <c r="AI76" s="5" t="s">
        <v>166</v>
      </c>
      <c r="AJ76" s="5" t="str">
        <f t="shared" si="22"/>
        <v/>
      </c>
      <c r="AK76" s="5" t="str">
        <f t="shared" si="23"/>
        <v/>
      </c>
      <c r="AL76" s="7">
        <f>IF(Tableau182986[[#This Row],[Age]]&lt;&gt;"",IF(Tableau182986[[#This Row],[Age]]=0,$AT$10*$B$10+SUMIF($AS$21:$AS$29,Tableau182986[[#This Row],[Age]],$AU$21:$AU$29)*$B$10+$AT$11*$B$10,SUMIF($AS$21:$AS$29,Tableau182986[[#This Row],[Age]],$AU$21:$AU$29)*$B$10+$AT$11*$B$10),"")</f>
        <v>9</v>
      </c>
      <c r="AM76" s="7">
        <f>IF(Tableau182986[[#This Row],[Age]]&lt;&gt;"",IF(Tableau182986[[#This Row],[Age]]=$B$11,$AT$10*$B$10,0)+Tableau182986[[#This Row],[VBO]]*$AX$21*$B$10+Tableau182986[[#This Row],[VBI]]*$AX$22*$B$10+Tableau182986[[#This Row],[VBE]]*$AX$23*$B$10,"")</f>
        <v>0</v>
      </c>
      <c r="AN76" s="7">
        <v>0.34644716861557306</v>
      </c>
      <c r="AO76" s="7">
        <v>0</v>
      </c>
      <c r="AP76" s="7">
        <f>IF(Tableau182986[[#This Row],[Age]]&lt;&gt;"",Tableau182986[[#This Row],[RA]]-Tableau182986[[#This Row],[DA]],"")</f>
        <v>-0.34644716861557306</v>
      </c>
    </row>
    <row r="77" spans="1:42" ht="15" customHeight="1" x14ac:dyDescent="0.2">
      <c r="A77" s="3" t="s">
        <v>12</v>
      </c>
      <c r="B77" s="3" t="s">
        <v>120</v>
      </c>
      <c r="C77" s="3" t="s">
        <v>127</v>
      </c>
      <c r="K77" s="3">
        <v>75</v>
      </c>
      <c r="L77" s="4">
        <v>514.29999999999995</v>
      </c>
      <c r="M77" s="4">
        <v>0</v>
      </c>
      <c r="N77" s="4">
        <v>514.29999999999995</v>
      </c>
      <c r="O77" s="5">
        <f t="shared" si="12"/>
        <v>240.69239999999996</v>
      </c>
      <c r="P77" s="5">
        <f t="shared" si="13"/>
        <v>58.588478728331545</v>
      </c>
      <c r="Q77" s="5">
        <f t="shared" si="14"/>
        <v>63.271341281770404</v>
      </c>
      <c r="R77" s="5">
        <v>25</v>
      </c>
      <c r="S77" s="5">
        <v>422.45455757583443</v>
      </c>
      <c r="T77" s="5">
        <f t="shared" si="15"/>
        <v>0</v>
      </c>
      <c r="U77" s="5">
        <f t="shared" si="16"/>
        <v>0</v>
      </c>
      <c r="V77" s="5" t="str">
        <f>IF($E$4="Embrousaillement",Tableau182986[[#This Row],[SOL]],"")</f>
        <v/>
      </c>
      <c r="W77" s="5" t="str">
        <f>IF($E$4="Embrousaillement",Tableau182986[[#This Row],[L]],"")</f>
        <v/>
      </c>
      <c r="X77" s="5">
        <v>9.1666666666666661</v>
      </c>
      <c r="Y77" s="5">
        <f t="shared" si="17"/>
        <v>0</v>
      </c>
      <c r="Z77" s="5">
        <f t="shared" si="18"/>
        <v>0</v>
      </c>
      <c r="AA77" s="5">
        <f t="shared" si="19"/>
        <v>0</v>
      </c>
      <c r="AB77" s="5" t="s">
        <v>166</v>
      </c>
      <c r="AC77" s="5" t="s">
        <v>166</v>
      </c>
      <c r="AD77" s="5" t="str">
        <f t="shared" si="20"/>
        <v/>
      </c>
      <c r="AE77" s="5" t="s">
        <v>166</v>
      </c>
      <c r="AF77" s="5" t="s">
        <v>166</v>
      </c>
      <c r="AG77" s="5" t="str">
        <f t="shared" si="21"/>
        <v/>
      </c>
      <c r="AH77" s="5" t="s">
        <v>166</v>
      </c>
      <c r="AI77" s="5" t="s">
        <v>166</v>
      </c>
      <c r="AJ77" s="5" t="str">
        <f t="shared" si="22"/>
        <v/>
      </c>
      <c r="AK77" s="5" t="str">
        <f t="shared" si="23"/>
        <v/>
      </c>
      <c r="AL77" s="7">
        <f>IF(Tableau182986[[#This Row],[Age]]&lt;&gt;"",IF(Tableau182986[[#This Row],[Age]]=0,$AT$10*$B$10+SUMIF($AS$21:$AS$29,Tableau182986[[#This Row],[Age]],$AU$21:$AU$29)*$B$10+$AT$11*$B$10,SUMIF($AS$21:$AS$29,Tableau182986[[#This Row],[Age]],$AU$21:$AU$29)*$B$10+$AT$11*$B$10),"")</f>
        <v>9</v>
      </c>
      <c r="AM77" s="7">
        <f>IF(Tableau182986[[#This Row],[Age]]&lt;&gt;"",IF(Tableau182986[[#This Row],[Age]]=$B$11,$AT$10*$B$10,0)+Tableau182986[[#This Row],[VBO]]*$AX$21*$B$10+Tableau182986[[#This Row],[VBI]]*$AX$22*$B$10+Tableau182986[[#This Row],[VBE]]*$AX$23*$B$10,"")</f>
        <v>0</v>
      </c>
      <c r="AN77" s="7">
        <v>0.33152839101968712</v>
      </c>
      <c r="AO77" s="7">
        <v>0</v>
      </c>
      <c r="AP77" s="7">
        <f>IF(Tableau182986[[#This Row],[Age]]&lt;&gt;"",Tableau182986[[#This Row],[RA]]-Tableau182986[[#This Row],[DA]],"")</f>
        <v>-0.33152839101968712</v>
      </c>
    </row>
    <row r="78" spans="1:42" ht="15" customHeight="1" x14ac:dyDescent="0.2">
      <c r="A78" s="3" t="s">
        <v>13</v>
      </c>
      <c r="B78" s="3" t="s">
        <v>120</v>
      </c>
      <c r="C78" s="3" t="s">
        <v>128</v>
      </c>
      <c r="K78" s="3">
        <v>76</v>
      </c>
      <c r="L78" s="4">
        <v>531</v>
      </c>
      <c r="M78" s="4">
        <v>106</v>
      </c>
      <c r="N78" s="4">
        <v>425</v>
      </c>
      <c r="O78" s="5">
        <f t="shared" si="12"/>
        <v>198.9</v>
      </c>
      <c r="P78" s="5">
        <f t="shared" si="13"/>
        <v>49.502343477105569</v>
      </c>
      <c r="Q78" s="5">
        <f t="shared" si="14"/>
        <v>63.388068467504397</v>
      </c>
      <c r="R78" s="5">
        <v>25.333333333333332</v>
      </c>
      <c r="S78" s="5">
        <v>378.97294407951529</v>
      </c>
      <c r="T78" s="5">
        <f t="shared" si="15"/>
        <v>0</v>
      </c>
      <c r="U78" s="5">
        <f t="shared" si="16"/>
        <v>0</v>
      </c>
      <c r="V78" s="5" t="str">
        <f>IF($E$4="Embrousaillement",Tableau182986[[#This Row],[SOL]],"")</f>
        <v/>
      </c>
      <c r="W78" s="5" t="str">
        <f>IF($E$4="Embrousaillement",Tableau182986[[#This Row],[L]],"")</f>
        <v/>
      </c>
      <c r="X78" s="5">
        <v>9.1666666666666661</v>
      </c>
      <c r="Y78" s="5">
        <f t="shared" si="17"/>
        <v>74.199999999999989</v>
      </c>
      <c r="Z78" s="5">
        <f t="shared" si="18"/>
        <v>31.799999999999997</v>
      </c>
      <c r="AA78" s="5">
        <f t="shared" si="19"/>
        <v>0</v>
      </c>
      <c r="AB78" s="5" t="s">
        <v>166</v>
      </c>
      <c r="AC78" s="5" t="s">
        <v>166</v>
      </c>
      <c r="AD78" s="5" t="str">
        <f t="shared" si="20"/>
        <v/>
      </c>
      <c r="AE78" s="5" t="s">
        <v>166</v>
      </c>
      <c r="AF78" s="5" t="s">
        <v>166</v>
      </c>
      <c r="AG78" s="5" t="str">
        <f t="shared" si="21"/>
        <v/>
      </c>
      <c r="AH78" s="5" t="s">
        <v>166</v>
      </c>
      <c r="AI78" s="5" t="s">
        <v>166</v>
      </c>
      <c r="AJ78" s="5" t="str">
        <f t="shared" si="22"/>
        <v/>
      </c>
      <c r="AK78" s="5" t="str">
        <f t="shared" si="23"/>
        <v/>
      </c>
      <c r="AL78" s="7">
        <f>IF(Tableau182986[[#This Row],[Age]]&lt;&gt;"",IF(Tableau182986[[#This Row],[Age]]=0,$AT$10*$B$10+SUMIF($AS$21:$AS$29,Tableau182986[[#This Row],[Age]],$AU$21:$AU$29)*$B$10+$AT$11*$B$10,SUMIF($AS$21:$AS$29,Tableau182986[[#This Row],[Age]],$AU$21:$AU$29)*$B$10+$AT$11*$B$10),"")</f>
        <v>9</v>
      </c>
      <c r="AM78" s="7">
        <f>IF(Tableau182986[[#This Row],[Age]]&lt;&gt;"",IF(Tableau182986[[#This Row],[Age]]=$B$11,$AT$10*$B$10,0)+Tableau182986[[#This Row],[VBO]]*$AX$21*$B$10+Tableau182986[[#This Row],[VBI]]*$AX$22*$B$10+Tableau182986[[#This Row],[VBE]]*$AX$23*$B$10,"")</f>
        <v>2305.4999999999995</v>
      </c>
      <c r="AN78" s="7">
        <v>0.31725204882266722</v>
      </c>
      <c r="AO78" s="7">
        <v>81.269399840073234</v>
      </c>
      <c r="AP78" s="7">
        <f>IF(Tableau182986[[#This Row],[Age]]&lt;&gt;"",Tableau182986[[#This Row],[RA]]-Tableau182986[[#This Row],[DA]],"")</f>
        <v>80.952147791250567</v>
      </c>
    </row>
    <row r="79" spans="1:42" ht="15" customHeight="1" x14ac:dyDescent="0.2">
      <c r="A79" s="3" t="s">
        <v>14</v>
      </c>
      <c r="B79" s="3" t="s">
        <v>123</v>
      </c>
      <c r="C79" s="3" t="s">
        <v>129</v>
      </c>
      <c r="K79" s="3">
        <v>77</v>
      </c>
      <c r="L79" s="4">
        <v>439.19999999999982</v>
      </c>
      <c r="M79" s="4">
        <v>0</v>
      </c>
      <c r="N79" s="4">
        <v>439.19999999999982</v>
      </c>
      <c r="O79" s="5">
        <f t="shared" si="12"/>
        <v>205.54559999999992</v>
      </c>
      <c r="P79" s="5">
        <f t="shared" si="13"/>
        <v>50.960975968608096</v>
      </c>
      <c r="Q79" s="5">
        <f t="shared" si="14"/>
        <v>63.50277069752881</v>
      </c>
      <c r="R79" s="5">
        <v>25.666666666666664</v>
      </c>
      <c r="S79" s="5">
        <v>386.85177840702113</v>
      </c>
      <c r="T79" s="5">
        <f t="shared" si="15"/>
        <v>0</v>
      </c>
      <c r="U79" s="5">
        <f t="shared" si="16"/>
        <v>0</v>
      </c>
      <c r="V79" s="5" t="str">
        <f>IF($E$4="Embrousaillement",Tableau182986[[#This Row],[SOL]],"")</f>
        <v/>
      </c>
      <c r="W79" s="5" t="str">
        <f>IF($E$4="Embrousaillement",Tableau182986[[#This Row],[L]],"")</f>
        <v/>
      </c>
      <c r="X79" s="5">
        <v>9.1666666666666661</v>
      </c>
      <c r="Y79" s="5">
        <f t="shared" si="17"/>
        <v>0</v>
      </c>
      <c r="Z79" s="5">
        <f t="shared" si="18"/>
        <v>0</v>
      </c>
      <c r="AA79" s="5">
        <f t="shared" si="19"/>
        <v>0</v>
      </c>
      <c r="AB79" s="5" t="s">
        <v>166</v>
      </c>
      <c r="AC79" s="5" t="s">
        <v>166</v>
      </c>
      <c r="AD79" s="5" t="str">
        <f t="shared" si="20"/>
        <v/>
      </c>
      <c r="AE79" s="5" t="s">
        <v>166</v>
      </c>
      <c r="AF79" s="5" t="s">
        <v>166</v>
      </c>
      <c r="AG79" s="5" t="str">
        <f t="shared" si="21"/>
        <v/>
      </c>
      <c r="AH79" s="5" t="s">
        <v>166</v>
      </c>
      <c r="AI79" s="5" t="s">
        <v>166</v>
      </c>
      <c r="AJ79" s="5" t="str">
        <f t="shared" si="22"/>
        <v/>
      </c>
      <c r="AK79" s="5" t="str">
        <f t="shared" si="23"/>
        <v/>
      </c>
      <c r="AL79" s="7">
        <f>IF(Tableau182986[[#This Row],[Age]]&lt;&gt;"",IF(Tableau182986[[#This Row],[Age]]=0,$AT$10*$B$10+SUMIF($AS$21:$AS$29,Tableau182986[[#This Row],[Age]],$AU$21:$AU$29)*$B$10+$AT$11*$B$10,SUMIF($AS$21:$AS$29,Tableau182986[[#This Row],[Age]],$AU$21:$AU$29)*$B$10+$AT$11*$B$10),"")</f>
        <v>9</v>
      </c>
      <c r="AM79" s="7">
        <f>IF(Tableau182986[[#This Row],[Age]]&lt;&gt;"",IF(Tableau182986[[#This Row],[Age]]=$B$11,$AT$10*$B$10,0)+Tableau182986[[#This Row],[VBO]]*$AX$21*$B$10+Tableau182986[[#This Row],[VBI]]*$AX$22*$B$10+Tableau182986[[#This Row],[VBE]]*$AX$23*$B$10,"")</f>
        <v>0</v>
      </c>
      <c r="AN79" s="7">
        <v>0.30359047734226524</v>
      </c>
      <c r="AO79" s="7">
        <v>0</v>
      </c>
      <c r="AP79" s="7">
        <f>IF(Tableau182986[[#This Row],[Age]]&lt;&gt;"",Tableau182986[[#This Row],[RA]]-Tableau182986[[#This Row],[DA]],"")</f>
        <v>-0.30359047734226524</v>
      </c>
    </row>
    <row r="80" spans="1:42" ht="15" customHeight="1" x14ac:dyDescent="0.2">
      <c r="A80" s="3" t="s">
        <v>15</v>
      </c>
      <c r="B80" s="3" t="s">
        <v>113</v>
      </c>
      <c r="C80" s="3" t="s">
        <v>130</v>
      </c>
      <c r="K80" s="3">
        <v>78</v>
      </c>
      <c r="L80" s="4">
        <v>453.39999999999986</v>
      </c>
      <c r="M80" s="4">
        <v>0</v>
      </c>
      <c r="N80" s="4">
        <v>453.39999999999986</v>
      </c>
      <c r="O80" s="5">
        <f t="shared" si="12"/>
        <v>212.19119999999992</v>
      </c>
      <c r="P80" s="5">
        <f t="shared" si="13"/>
        <v>52.414128367883123</v>
      </c>
      <c r="Q80" s="5">
        <f t="shared" si="14"/>
        <v>63.615483100298057</v>
      </c>
      <c r="R80" s="5">
        <v>26</v>
      </c>
      <c r="S80" s="5">
        <v>394.72219247091118</v>
      </c>
      <c r="T80" s="5">
        <f t="shared" si="15"/>
        <v>0</v>
      </c>
      <c r="U80" s="5">
        <f t="shared" si="16"/>
        <v>0</v>
      </c>
      <c r="V80" s="5" t="str">
        <f>IF($E$4="Embrousaillement",Tableau182986[[#This Row],[SOL]],"")</f>
        <v/>
      </c>
      <c r="W80" s="5" t="str">
        <f>IF($E$4="Embrousaillement",Tableau182986[[#This Row],[L]],"")</f>
        <v/>
      </c>
      <c r="X80" s="5">
        <v>9.1666666666666661</v>
      </c>
      <c r="Y80" s="5">
        <f t="shared" si="17"/>
        <v>0</v>
      </c>
      <c r="Z80" s="5">
        <f t="shared" si="18"/>
        <v>0</v>
      </c>
      <c r="AA80" s="5">
        <f t="shared" si="19"/>
        <v>0</v>
      </c>
      <c r="AB80" s="5" t="s">
        <v>166</v>
      </c>
      <c r="AC80" s="5" t="s">
        <v>166</v>
      </c>
      <c r="AD80" s="5" t="str">
        <f t="shared" si="20"/>
        <v/>
      </c>
      <c r="AE80" s="5" t="s">
        <v>166</v>
      </c>
      <c r="AF80" s="5" t="s">
        <v>166</v>
      </c>
      <c r="AG80" s="5" t="str">
        <f t="shared" si="21"/>
        <v/>
      </c>
      <c r="AH80" s="5" t="s">
        <v>166</v>
      </c>
      <c r="AI80" s="5" t="s">
        <v>166</v>
      </c>
      <c r="AJ80" s="5" t="str">
        <f t="shared" si="22"/>
        <v/>
      </c>
      <c r="AK80" s="5" t="str">
        <f t="shared" si="23"/>
        <v/>
      </c>
      <c r="AL80" s="7">
        <f>IF(Tableau182986[[#This Row],[Age]]&lt;&gt;"",IF(Tableau182986[[#This Row],[Age]]=0,$AT$10*$B$10+SUMIF($AS$21:$AS$29,Tableau182986[[#This Row],[Age]],$AU$21:$AU$29)*$B$10+$AT$11*$B$10,SUMIF($AS$21:$AS$29,Tableau182986[[#This Row],[Age]],$AU$21:$AU$29)*$B$10+$AT$11*$B$10),"")</f>
        <v>9</v>
      </c>
      <c r="AM80" s="7">
        <f>IF(Tableau182986[[#This Row],[Age]]&lt;&gt;"",IF(Tableau182986[[#This Row],[Age]]=$B$11,$AT$10*$B$10,0)+Tableau182986[[#This Row],[VBO]]*$AX$21*$B$10+Tableau182986[[#This Row],[VBI]]*$AX$22*$B$10+Tableau182986[[#This Row],[VBE]]*$AX$23*$B$10,"")</f>
        <v>0</v>
      </c>
      <c r="AN80" s="7">
        <v>0.29051720319834001</v>
      </c>
      <c r="AO80" s="7">
        <v>0</v>
      </c>
      <c r="AP80" s="7">
        <f>IF(Tableau182986[[#This Row],[Age]]&lt;&gt;"",Tableau182986[[#This Row],[RA]]-Tableau182986[[#This Row],[DA]],"")</f>
        <v>-0.29051720319834001</v>
      </c>
    </row>
    <row r="81" spans="1:42" ht="15" customHeight="1" x14ac:dyDescent="0.2">
      <c r="A81" s="3" t="s">
        <v>16</v>
      </c>
      <c r="B81" s="3" t="s">
        <v>113</v>
      </c>
      <c r="C81" s="3" t="s">
        <v>131</v>
      </c>
      <c r="K81" s="3">
        <v>79</v>
      </c>
      <c r="L81" s="4">
        <v>467.59999999999991</v>
      </c>
      <c r="M81" s="4">
        <v>0</v>
      </c>
      <c r="N81" s="4">
        <v>467.59999999999991</v>
      </c>
      <c r="O81" s="5">
        <f t="shared" si="12"/>
        <v>218.83679999999995</v>
      </c>
      <c r="P81" s="5">
        <f t="shared" si="13"/>
        <v>53.861991997956267</v>
      </c>
      <c r="Q81" s="5">
        <f t="shared" si="14"/>
        <v>63.726240194866449</v>
      </c>
      <c r="R81" s="5">
        <v>26.333333333333332</v>
      </c>
      <c r="S81" s="5">
        <v>402.58441616658644</v>
      </c>
      <c r="T81" s="5">
        <f t="shared" si="15"/>
        <v>0</v>
      </c>
      <c r="U81" s="5">
        <f t="shared" si="16"/>
        <v>0</v>
      </c>
      <c r="V81" s="5" t="str">
        <f>IF($E$4="Embrousaillement",Tableau182986[[#This Row],[SOL]],"")</f>
        <v/>
      </c>
      <c r="W81" s="5" t="str">
        <f>IF($E$4="Embrousaillement",Tableau182986[[#This Row],[L]],"")</f>
        <v/>
      </c>
      <c r="X81" s="5">
        <v>9.1666666666666661</v>
      </c>
      <c r="Y81" s="5">
        <f t="shared" si="17"/>
        <v>0</v>
      </c>
      <c r="Z81" s="5">
        <f t="shared" si="18"/>
        <v>0</v>
      </c>
      <c r="AA81" s="5">
        <f t="shared" si="19"/>
        <v>0</v>
      </c>
      <c r="AB81" s="5" t="s">
        <v>166</v>
      </c>
      <c r="AC81" s="5" t="s">
        <v>166</v>
      </c>
      <c r="AD81" s="5" t="str">
        <f t="shared" si="20"/>
        <v/>
      </c>
      <c r="AE81" s="5" t="s">
        <v>166</v>
      </c>
      <c r="AF81" s="5" t="s">
        <v>166</v>
      </c>
      <c r="AG81" s="5" t="str">
        <f t="shared" si="21"/>
        <v/>
      </c>
      <c r="AH81" s="5" t="s">
        <v>166</v>
      </c>
      <c r="AI81" s="5" t="s">
        <v>166</v>
      </c>
      <c r="AJ81" s="5" t="str">
        <f t="shared" si="22"/>
        <v/>
      </c>
      <c r="AK81" s="5" t="str">
        <f t="shared" si="23"/>
        <v/>
      </c>
      <c r="AL81" s="7">
        <f>IF(Tableau182986[[#This Row],[Age]]&lt;&gt;"",IF(Tableau182986[[#This Row],[Age]]=0,$AT$10*$B$10+SUMIF($AS$21:$AS$29,Tableau182986[[#This Row],[Age]],$AU$21:$AU$29)*$B$10+$AT$11*$B$10,SUMIF($AS$21:$AS$29,Tableau182986[[#This Row],[Age]],$AU$21:$AU$29)*$B$10+$AT$11*$B$10),"")</f>
        <v>9</v>
      </c>
      <c r="AM81" s="7">
        <f>IF(Tableau182986[[#This Row],[Age]]&lt;&gt;"",IF(Tableau182986[[#This Row],[Age]]=$B$11,$AT$10*$B$10,0)+Tableau182986[[#This Row],[VBO]]*$AX$21*$B$10+Tableau182986[[#This Row],[VBI]]*$AX$22*$B$10+Tableau182986[[#This Row],[VBE]]*$AX$23*$B$10,"")</f>
        <v>0</v>
      </c>
      <c r="AN81" s="7">
        <v>0.27800689301276554</v>
      </c>
      <c r="AO81" s="7">
        <v>0</v>
      </c>
      <c r="AP81" s="7">
        <f>IF(Tableau182986[[#This Row],[Age]]&lt;&gt;"",Tableau182986[[#This Row],[RA]]-Tableau182986[[#This Row],[DA]],"")</f>
        <v>-0.27800689301276554</v>
      </c>
    </row>
    <row r="82" spans="1:42" ht="15" customHeight="1" x14ac:dyDescent="0.2">
      <c r="A82" s="3" t="s">
        <v>17</v>
      </c>
      <c r="B82" s="3" t="s">
        <v>113</v>
      </c>
      <c r="C82" s="3" t="s">
        <v>132</v>
      </c>
      <c r="K82" s="3">
        <v>80</v>
      </c>
      <c r="L82" s="4">
        <v>481.79999999999995</v>
      </c>
      <c r="M82" s="4">
        <v>0</v>
      </c>
      <c r="N82" s="4">
        <v>481.79999999999995</v>
      </c>
      <c r="O82" s="5">
        <f t="shared" si="12"/>
        <v>225.48239999999998</v>
      </c>
      <c r="P82" s="5">
        <f t="shared" si="13"/>
        <v>55.304745901414371</v>
      </c>
      <c r="Q82" s="5">
        <f t="shared" si="14"/>
        <v>63.835075901459838</v>
      </c>
      <c r="R82" s="5">
        <v>26.666666666666664</v>
      </c>
      <c r="S82" s="5">
        <v>410.43866759738023</v>
      </c>
      <c r="T82" s="5">
        <f t="shared" si="15"/>
        <v>0</v>
      </c>
      <c r="U82" s="5">
        <f t="shared" si="16"/>
        <v>0</v>
      </c>
      <c r="V82" s="5" t="str">
        <f>IF($E$4="Embrousaillement",Tableau182986[[#This Row],[SOL]],"")</f>
        <v/>
      </c>
      <c r="W82" s="5" t="str">
        <f>IF($E$4="Embrousaillement",Tableau182986[[#This Row],[L]],"")</f>
        <v/>
      </c>
      <c r="X82" s="5">
        <v>9.1666666666666661</v>
      </c>
      <c r="Y82" s="5">
        <f t="shared" si="17"/>
        <v>0</v>
      </c>
      <c r="Z82" s="5">
        <f t="shared" si="18"/>
        <v>0</v>
      </c>
      <c r="AA82" s="5">
        <f t="shared" si="19"/>
        <v>0</v>
      </c>
      <c r="AB82" s="5" t="s">
        <v>166</v>
      </c>
      <c r="AC82" s="5" t="s">
        <v>166</v>
      </c>
      <c r="AD82" s="5" t="str">
        <f t="shared" si="20"/>
        <v/>
      </c>
      <c r="AE82" s="5" t="s">
        <v>166</v>
      </c>
      <c r="AF82" s="5" t="s">
        <v>166</v>
      </c>
      <c r="AG82" s="5" t="str">
        <f t="shared" si="21"/>
        <v/>
      </c>
      <c r="AH82" s="5" t="s">
        <v>166</v>
      </c>
      <c r="AI82" s="5" t="s">
        <v>166</v>
      </c>
      <c r="AJ82" s="5" t="str">
        <f t="shared" si="22"/>
        <v/>
      </c>
      <c r="AK82" s="5" t="str">
        <f t="shared" si="23"/>
        <v/>
      </c>
      <c r="AL82" s="7">
        <f>IF(Tableau182986[[#This Row],[Age]]&lt;&gt;"",IF(Tableau182986[[#This Row],[Age]]=0,$AT$10*$B$10+SUMIF($AS$21:$AS$29,Tableau182986[[#This Row],[Age]],$AU$21:$AU$29)*$B$10+$AT$11*$B$10,SUMIF($AS$21:$AS$29,Tableau182986[[#This Row],[Age]],$AU$21:$AU$29)*$B$10+$AT$11*$B$10),"")</f>
        <v>9</v>
      </c>
      <c r="AM82" s="7">
        <f>IF(Tableau182986[[#This Row],[Age]]&lt;&gt;"",IF(Tableau182986[[#This Row],[Age]]=$B$11,$AT$10*$B$10,0)+Tableau182986[[#This Row],[VBO]]*$AX$21*$B$10+Tableau182986[[#This Row],[VBI]]*$AX$22*$B$10+Tableau182986[[#This Row],[VBE]]*$AX$23*$B$10,"")</f>
        <v>0</v>
      </c>
      <c r="AN82" s="7">
        <v>0.26603530431843603</v>
      </c>
      <c r="AO82" s="7">
        <v>0</v>
      </c>
      <c r="AP82" s="7">
        <f>IF(Tableau182986[[#This Row],[Age]]&lt;&gt;"",Tableau182986[[#This Row],[RA]]-Tableau182986[[#This Row],[DA]],"")</f>
        <v>-0.26603530431843603</v>
      </c>
    </row>
    <row r="83" spans="1:42" ht="15" customHeight="1" x14ac:dyDescent="0.2">
      <c r="A83" s="3" t="s">
        <v>18</v>
      </c>
      <c r="B83" s="3" t="s">
        <v>123</v>
      </c>
      <c r="C83" s="3" t="s">
        <v>133</v>
      </c>
      <c r="K83" s="3">
        <v>81</v>
      </c>
      <c r="L83" s="4">
        <v>496</v>
      </c>
      <c r="M83" s="4">
        <v>0</v>
      </c>
      <c r="N83" s="4">
        <v>496</v>
      </c>
      <c r="O83" s="5">
        <f t="shared" si="12"/>
        <v>232.12800000000001</v>
      </c>
      <c r="P83" s="5">
        <f t="shared" si="13"/>
        <v>56.742557967082398</v>
      </c>
      <c r="Q83" s="5">
        <f t="shared" si="14"/>
        <v>63.942023551864025</v>
      </c>
      <c r="R83" s="5">
        <v>27</v>
      </c>
      <c r="S83" s="5">
        <v>418.28515407475157</v>
      </c>
      <c r="T83" s="5">
        <f t="shared" si="15"/>
        <v>0</v>
      </c>
      <c r="U83" s="5">
        <f t="shared" si="16"/>
        <v>0</v>
      </c>
      <c r="V83" s="5" t="str">
        <f>IF($E$4="Embrousaillement",Tableau182986[[#This Row],[SOL]],"")</f>
        <v/>
      </c>
      <c r="W83" s="5" t="str">
        <f>IF($E$4="Embrousaillement",Tableau182986[[#This Row],[L]],"")</f>
        <v/>
      </c>
      <c r="X83" s="5">
        <v>9.1666666666666661</v>
      </c>
      <c r="Y83" s="5">
        <f t="shared" si="17"/>
        <v>0</v>
      </c>
      <c r="Z83" s="5">
        <f t="shared" si="18"/>
        <v>0</v>
      </c>
      <c r="AA83" s="5">
        <f t="shared" si="19"/>
        <v>0</v>
      </c>
      <c r="AB83" s="5" t="s">
        <v>166</v>
      </c>
      <c r="AC83" s="5" t="s">
        <v>166</v>
      </c>
      <c r="AD83" s="5" t="str">
        <f t="shared" si="20"/>
        <v/>
      </c>
      <c r="AE83" s="5" t="s">
        <v>166</v>
      </c>
      <c r="AF83" s="5" t="s">
        <v>166</v>
      </c>
      <c r="AG83" s="5" t="str">
        <f t="shared" si="21"/>
        <v/>
      </c>
      <c r="AH83" s="5" t="s">
        <v>166</v>
      </c>
      <c r="AI83" s="5" t="s">
        <v>166</v>
      </c>
      <c r="AJ83" s="5" t="str">
        <f t="shared" si="22"/>
        <v/>
      </c>
      <c r="AK83" s="5" t="str">
        <f t="shared" si="23"/>
        <v/>
      </c>
      <c r="AL83" s="7">
        <f>IF(Tableau182986[[#This Row],[Age]]&lt;&gt;"",IF(Tableau182986[[#This Row],[Age]]=0,$AT$10*$B$10+SUMIF($AS$21:$AS$29,Tableau182986[[#This Row],[Age]],$AU$21:$AU$29)*$B$10+$AT$11*$B$10,SUMIF($AS$21:$AS$29,Tableau182986[[#This Row],[Age]],$AU$21:$AU$29)*$B$10+$AT$11*$B$10),"")</f>
        <v>9</v>
      </c>
      <c r="AM83" s="7">
        <f>IF(Tableau182986[[#This Row],[Age]]&lt;&gt;"",IF(Tableau182986[[#This Row],[Age]]=$B$11,$AT$10*$B$10,0)+Tableau182986[[#This Row],[VBO]]*$AX$21*$B$10+Tableau182986[[#This Row],[VBI]]*$AX$22*$B$10+Tableau182986[[#This Row],[VBE]]*$AX$23*$B$10,"")</f>
        <v>0</v>
      </c>
      <c r="AN83" s="7">
        <v>0.25457923858223547</v>
      </c>
      <c r="AO83" s="7">
        <v>0</v>
      </c>
      <c r="AP83" s="7">
        <f>IF(Tableau182986[[#This Row],[Age]]&lt;&gt;"",Tableau182986[[#This Row],[RA]]-Tableau182986[[#This Row],[DA]],"")</f>
        <v>-0.25457923858223547</v>
      </c>
    </row>
    <row r="84" spans="1:42" ht="15" customHeight="1" x14ac:dyDescent="0.2">
      <c r="A84" s="3" t="s">
        <v>19</v>
      </c>
      <c r="B84" s="3" t="s">
        <v>134</v>
      </c>
      <c r="C84" s="3" t="s">
        <v>135</v>
      </c>
      <c r="K84" s="3">
        <v>82</v>
      </c>
      <c r="L84" s="4">
        <v>510.19999999999982</v>
      </c>
      <c r="M84" s="4">
        <v>0</v>
      </c>
      <c r="N84" s="4">
        <v>510.19999999999982</v>
      </c>
      <c r="O84" s="5">
        <f t="shared" si="12"/>
        <v>238.77359999999993</v>
      </c>
      <c r="P84" s="5">
        <f t="shared" si="13"/>
        <v>58.175585924051269</v>
      </c>
      <c r="Q84" s="5">
        <f t="shared" si="14"/>
        <v>64.047115899632828</v>
      </c>
      <c r="R84" s="5">
        <v>27.333333333333332</v>
      </c>
      <c r="S84" s="5">
        <v>426.12407300263254</v>
      </c>
      <c r="T84" s="5">
        <f t="shared" si="15"/>
        <v>0</v>
      </c>
      <c r="U84" s="5">
        <f t="shared" si="16"/>
        <v>0</v>
      </c>
      <c r="V84" s="5" t="str">
        <f>IF($E$4="Embrousaillement",Tableau182986[[#This Row],[SOL]],"")</f>
        <v/>
      </c>
      <c r="W84" s="5" t="str">
        <f>IF($E$4="Embrousaillement",Tableau182986[[#This Row],[L]],"")</f>
        <v/>
      </c>
      <c r="X84" s="5">
        <v>9.1666666666666661</v>
      </c>
      <c r="Y84" s="5">
        <f t="shared" si="17"/>
        <v>0</v>
      </c>
      <c r="Z84" s="5">
        <f t="shared" si="18"/>
        <v>0</v>
      </c>
      <c r="AA84" s="5">
        <f t="shared" si="19"/>
        <v>0</v>
      </c>
      <c r="AB84" s="5" t="s">
        <v>166</v>
      </c>
      <c r="AC84" s="5" t="s">
        <v>166</v>
      </c>
      <c r="AD84" s="5" t="str">
        <f t="shared" si="20"/>
        <v/>
      </c>
      <c r="AE84" s="5" t="s">
        <v>166</v>
      </c>
      <c r="AF84" s="5" t="s">
        <v>166</v>
      </c>
      <c r="AG84" s="5" t="str">
        <f t="shared" si="21"/>
        <v/>
      </c>
      <c r="AH84" s="5" t="s">
        <v>166</v>
      </c>
      <c r="AI84" s="5" t="s">
        <v>166</v>
      </c>
      <c r="AJ84" s="5" t="str">
        <f t="shared" si="22"/>
        <v/>
      </c>
      <c r="AK84" s="5" t="str">
        <f t="shared" si="23"/>
        <v/>
      </c>
      <c r="AL84" s="7">
        <f>IF(Tableau182986[[#This Row],[Age]]&lt;&gt;"",IF(Tableau182986[[#This Row],[Age]]=0,$AT$10*$B$10+SUMIF($AS$21:$AS$29,Tableau182986[[#This Row],[Age]],$AU$21:$AU$29)*$B$10+$AT$11*$B$10,SUMIF($AS$21:$AS$29,Tableau182986[[#This Row],[Age]],$AU$21:$AU$29)*$B$10+$AT$11*$B$10),"")</f>
        <v>9</v>
      </c>
      <c r="AM84" s="7">
        <f>IF(Tableau182986[[#This Row],[Age]]&lt;&gt;"",IF(Tableau182986[[#This Row],[Age]]=$B$11,$AT$10*$B$10,0)+Tableau182986[[#This Row],[VBO]]*$AX$21*$B$10+Tableau182986[[#This Row],[VBI]]*$AX$22*$B$10+Tableau182986[[#This Row],[VBE]]*$AX$23*$B$10,"")</f>
        <v>0</v>
      </c>
      <c r="AN84" s="7">
        <v>0.24361649625094303</v>
      </c>
      <c r="AO84" s="7">
        <v>0</v>
      </c>
      <c r="AP84" s="7">
        <f>IF(Tableau182986[[#This Row],[Age]]&lt;&gt;"",Tableau182986[[#This Row],[RA]]-Tableau182986[[#This Row],[DA]],"")</f>
        <v>-0.24361649625094303</v>
      </c>
    </row>
    <row r="85" spans="1:42" ht="15" customHeight="1" x14ac:dyDescent="0.2">
      <c r="A85" s="3" t="s">
        <v>20</v>
      </c>
      <c r="B85" s="3" t="s">
        <v>123</v>
      </c>
      <c r="C85" s="3" t="s">
        <v>136</v>
      </c>
      <c r="K85" s="3">
        <v>83</v>
      </c>
      <c r="L85" s="4">
        <v>524.39999999999986</v>
      </c>
      <c r="M85" s="4">
        <v>0</v>
      </c>
      <c r="N85" s="4">
        <v>524.39999999999986</v>
      </c>
      <c r="O85" s="5">
        <f t="shared" si="12"/>
        <v>245.41919999999993</v>
      </c>
      <c r="P85" s="5">
        <f t="shared" si="13"/>
        <v>59.603978221930504</v>
      </c>
      <c r="Q85" s="5">
        <f t="shared" si="14"/>
        <v>64.150385130119133</v>
      </c>
      <c r="R85" s="5">
        <v>27.666666666666664</v>
      </c>
      <c r="S85" s="5">
        <v>433.95561266237166</v>
      </c>
      <c r="T85" s="5">
        <f t="shared" si="15"/>
        <v>0</v>
      </c>
      <c r="U85" s="5">
        <f t="shared" si="16"/>
        <v>0</v>
      </c>
      <c r="V85" s="5" t="str">
        <f>IF($E$4="Embrousaillement",Tableau182986[[#This Row],[SOL]],"")</f>
        <v/>
      </c>
      <c r="W85" s="5" t="str">
        <f>IF($E$4="Embrousaillement",Tableau182986[[#This Row],[L]],"")</f>
        <v/>
      </c>
      <c r="X85" s="5">
        <v>9.1666666666666661</v>
      </c>
      <c r="Y85" s="5">
        <f t="shared" si="17"/>
        <v>0</v>
      </c>
      <c r="Z85" s="5">
        <f t="shared" si="18"/>
        <v>0</v>
      </c>
      <c r="AA85" s="5">
        <f t="shared" si="19"/>
        <v>0</v>
      </c>
      <c r="AB85" s="5" t="s">
        <v>166</v>
      </c>
      <c r="AC85" s="5" t="s">
        <v>166</v>
      </c>
      <c r="AD85" s="5" t="str">
        <f t="shared" si="20"/>
        <v/>
      </c>
      <c r="AE85" s="5" t="s">
        <v>166</v>
      </c>
      <c r="AF85" s="5" t="s">
        <v>166</v>
      </c>
      <c r="AG85" s="5" t="str">
        <f t="shared" si="21"/>
        <v/>
      </c>
      <c r="AH85" s="5" t="s">
        <v>166</v>
      </c>
      <c r="AI85" s="5" t="s">
        <v>166</v>
      </c>
      <c r="AJ85" s="5" t="str">
        <f t="shared" si="22"/>
        <v/>
      </c>
      <c r="AK85" s="5" t="str">
        <f t="shared" si="23"/>
        <v/>
      </c>
      <c r="AL85" s="7">
        <f>IF(Tableau182986[[#This Row],[Age]]&lt;&gt;"",IF(Tableau182986[[#This Row],[Age]]=0,$AT$10*$B$10+SUMIF($AS$21:$AS$29,Tableau182986[[#This Row],[Age]],$AU$21:$AU$29)*$B$10+$AT$11*$B$10,SUMIF($AS$21:$AS$29,Tableau182986[[#This Row],[Age]],$AU$21:$AU$29)*$B$10+$AT$11*$B$10),"")</f>
        <v>9</v>
      </c>
      <c r="AM85" s="7">
        <f>IF(Tableau182986[[#This Row],[Age]]&lt;&gt;"",IF(Tableau182986[[#This Row],[Age]]=$B$11,$AT$10*$B$10,0)+Tableau182986[[#This Row],[VBO]]*$AX$21*$B$10+Tableau182986[[#This Row],[VBI]]*$AX$22*$B$10+Tableau182986[[#This Row],[VBE]]*$AX$23*$B$10,"")</f>
        <v>0</v>
      </c>
      <c r="AN85" s="7">
        <v>0.23312583373295989</v>
      </c>
      <c r="AO85" s="7">
        <v>0</v>
      </c>
      <c r="AP85" s="7">
        <f>IF(Tableau182986[[#This Row],[Age]]&lt;&gt;"",Tableau182986[[#This Row],[RA]]-Tableau182986[[#This Row],[DA]],"")</f>
        <v>-0.23312583373295989</v>
      </c>
    </row>
    <row r="86" spans="1:42" ht="15" customHeight="1" x14ac:dyDescent="0.2">
      <c r="A86" s="3" t="s">
        <v>21</v>
      </c>
      <c r="B86" s="3" t="s">
        <v>123</v>
      </c>
      <c r="C86" s="3" t="s">
        <v>137</v>
      </c>
      <c r="K86" s="3">
        <v>84</v>
      </c>
      <c r="L86" s="4">
        <v>538.59999999999991</v>
      </c>
      <c r="M86" s="4">
        <v>0</v>
      </c>
      <c r="N86" s="4">
        <v>538.59999999999991</v>
      </c>
      <c r="O86" s="5">
        <f t="shared" si="12"/>
        <v>252.06479999999996</v>
      </c>
      <c r="P86" s="5">
        <f t="shared" si="13"/>
        <v>61.027874813075776</v>
      </c>
      <c r="Q86" s="5">
        <f t="shared" si="14"/>
        <v>64.251862870331905</v>
      </c>
      <c r="R86" s="5">
        <v>28</v>
      </c>
      <c r="S86" s="5">
        <v>441.77995291199522</v>
      </c>
      <c r="T86" s="5">
        <f t="shared" si="15"/>
        <v>0</v>
      </c>
      <c r="U86" s="5">
        <f t="shared" si="16"/>
        <v>0</v>
      </c>
      <c r="V86" s="5" t="str">
        <f>IF($E$4="Embrousaillement",Tableau182986[[#This Row],[SOL]],"")</f>
        <v/>
      </c>
      <c r="W86" s="5" t="str">
        <f>IF($E$4="Embrousaillement",Tableau182986[[#This Row],[L]],"")</f>
        <v/>
      </c>
      <c r="X86" s="5">
        <v>9.1666666666666661</v>
      </c>
      <c r="Y86" s="5">
        <f t="shared" si="17"/>
        <v>0</v>
      </c>
      <c r="Z86" s="5">
        <f t="shared" si="18"/>
        <v>0</v>
      </c>
      <c r="AA86" s="5">
        <f t="shared" si="19"/>
        <v>0</v>
      </c>
      <c r="AB86" s="5" t="s">
        <v>166</v>
      </c>
      <c r="AC86" s="5" t="s">
        <v>166</v>
      </c>
      <c r="AD86" s="5" t="str">
        <f t="shared" si="20"/>
        <v/>
      </c>
      <c r="AE86" s="5" t="s">
        <v>166</v>
      </c>
      <c r="AF86" s="5" t="s">
        <v>166</v>
      </c>
      <c r="AG86" s="5" t="str">
        <f t="shared" si="21"/>
        <v/>
      </c>
      <c r="AH86" s="5" t="s">
        <v>166</v>
      </c>
      <c r="AI86" s="5" t="s">
        <v>166</v>
      </c>
      <c r="AJ86" s="5" t="str">
        <f t="shared" si="22"/>
        <v/>
      </c>
      <c r="AK86" s="5" t="str">
        <f t="shared" si="23"/>
        <v/>
      </c>
      <c r="AL86" s="7">
        <f>IF(Tableau182986[[#This Row],[Age]]&lt;&gt;"",IF(Tableau182986[[#This Row],[Age]]=0,$AT$10*$B$10+SUMIF($AS$21:$AS$29,Tableau182986[[#This Row],[Age]],$AU$21:$AU$29)*$B$10+$AT$11*$B$10,SUMIF($AS$21:$AS$29,Tableau182986[[#This Row],[Age]],$AU$21:$AU$29)*$B$10+$AT$11*$B$10),"")</f>
        <v>9</v>
      </c>
      <c r="AM86" s="7">
        <f>IF(Tableau182986[[#This Row],[Age]]&lt;&gt;"",IF(Tableau182986[[#This Row],[Age]]=$B$11,$AT$10*$B$10,0)+Tableau182986[[#This Row],[VBO]]*$AX$21*$B$10+Tableau182986[[#This Row],[VBI]]*$AX$22*$B$10+Tableau182986[[#This Row],[VBE]]*$AX$23*$B$10,"")</f>
        <v>0</v>
      </c>
      <c r="AN86" s="7">
        <v>0.22308692223249754</v>
      </c>
      <c r="AO86" s="7">
        <v>0</v>
      </c>
      <c r="AP86" s="7">
        <f>IF(Tableau182986[[#This Row],[Age]]&lt;&gt;"",Tableau182986[[#This Row],[RA]]-Tableau182986[[#This Row],[DA]],"")</f>
        <v>-0.22308692223249754</v>
      </c>
    </row>
    <row r="87" spans="1:42" ht="15" customHeight="1" x14ac:dyDescent="0.2">
      <c r="A87" s="3" t="s">
        <v>22</v>
      </c>
      <c r="B87" s="3" t="s">
        <v>134</v>
      </c>
      <c r="C87" s="3" t="s">
        <v>138</v>
      </c>
      <c r="K87" s="3">
        <v>85</v>
      </c>
      <c r="L87" s="4">
        <v>552.79999999999995</v>
      </c>
      <c r="M87" s="4">
        <v>0</v>
      </c>
      <c r="N87" s="4">
        <v>552.79999999999995</v>
      </c>
      <c r="O87" s="5">
        <f t="shared" si="12"/>
        <v>258.71039999999999</v>
      </c>
      <c r="P87" s="5">
        <f t="shared" si="13"/>
        <v>62.447407850003529</v>
      </c>
      <c r="Q87" s="5">
        <f t="shared" si="14"/>
        <v>64.35158019862223</v>
      </c>
      <c r="R87" s="5">
        <v>28.333333333333332</v>
      </c>
      <c r="S87" s="5">
        <v>449.59726581129655</v>
      </c>
      <c r="T87" s="5">
        <f t="shared" si="15"/>
        <v>0</v>
      </c>
      <c r="U87" s="5">
        <f t="shared" si="16"/>
        <v>0</v>
      </c>
      <c r="V87" s="5" t="str">
        <f>IF($E$4="Embrousaillement",Tableau182986[[#This Row],[SOL]],"")</f>
        <v/>
      </c>
      <c r="W87" s="5" t="str">
        <f>IF($E$4="Embrousaillement",Tableau182986[[#This Row],[L]],"")</f>
        <v/>
      </c>
      <c r="X87" s="5">
        <v>9.1666666666666661</v>
      </c>
      <c r="Y87" s="5">
        <f t="shared" si="17"/>
        <v>0</v>
      </c>
      <c r="Z87" s="5">
        <f t="shared" si="18"/>
        <v>0</v>
      </c>
      <c r="AA87" s="5">
        <f t="shared" si="19"/>
        <v>0</v>
      </c>
      <c r="AB87" s="5" t="s">
        <v>166</v>
      </c>
      <c r="AC87" s="5" t="s">
        <v>166</v>
      </c>
      <c r="AD87" s="5" t="str">
        <f t="shared" si="20"/>
        <v/>
      </c>
      <c r="AE87" s="5" t="s">
        <v>166</v>
      </c>
      <c r="AF87" s="5" t="s">
        <v>166</v>
      </c>
      <c r="AG87" s="5" t="str">
        <f t="shared" si="21"/>
        <v/>
      </c>
      <c r="AH87" s="5" t="s">
        <v>166</v>
      </c>
      <c r="AI87" s="5" t="s">
        <v>166</v>
      </c>
      <c r="AJ87" s="5" t="str">
        <f t="shared" si="22"/>
        <v/>
      </c>
      <c r="AK87" s="5" t="str">
        <f t="shared" si="23"/>
        <v/>
      </c>
      <c r="AL87" s="7">
        <f>IF(Tableau182986[[#This Row],[Age]]&lt;&gt;"",IF(Tableau182986[[#This Row],[Age]]=0,$AT$10*$B$10+SUMIF($AS$21:$AS$29,Tableau182986[[#This Row],[Age]],$AU$21:$AU$29)*$B$10+$AT$11*$B$10,SUMIF($AS$21:$AS$29,Tableau182986[[#This Row],[Age]],$AU$21:$AU$29)*$B$10+$AT$11*$B$10),"")</f>
        <v>9</v>
      </c>
      <c r="AM87" s="7">
        <f>IF(Tableau182986[[#This Row],[Age]]&lt;&gt;"",IF(Tableau182986[[#This Row],[Age]]=$B$11,$AT$10*$B$10,0)+Tableau182986[[#This Row],[VBO]]*$AX$21*$B$10+Tableau182986[[#This Row],[VBI]]*$AX$22*$B$10+Tableau182986[[#This Row],[VBE]]*$AX$23*$B$10,"")</f>
        <v>0</v>
      </c>
      <c r="AN87" s="7">
        <v>0.21348030835645698</v>
      </c>
      <c r="AO87" s="7">
        <v>0</v>
      </c>
      <c r="AP87" s="7">
        <f>IF(Tableau182986[[#This Row],[Age]]&lt;&gt;"",Tableau182986[[#This Row],[RA]]-Tableau182986[[#This Row],[DA]],"")</f>
        <v>-0.21348030835645698</v>
      </c>
    </row>
    <row r="88" spans="1:42" ht="15" customHeight="1" x14ac:dyDescent="0.2">
      <c r="A88" s="3" t="s">
        <v>23</v>
      </c>
      <c r="B88" s="3" t="s">
        <v>123</v>
      </c>
      <c r="C88" s="3" t="s">
        <v>139</v>
      </c>
      <c r="K88" s="3">
        <v>86</v>
      </c>
      <c r="L88" s="4">
        <v>567</v>
      </c>
      <c r="M88" s="4">
        <v>108</v>
      </c>
      <c r="N88" s="4">
        <v>459</v>
      </c>
      <c r="O88" s="5">
        <f t="shared" si="12"/>
        <v>214.81199999999998</v>
      </c>
      <c r="P88" s="5">
        <f t="shared" si="13"/>
        <v>52.985738231738054</v>
      </c>
      <c r="Q88" s="5">
        <f t="shared" si="14"/>
        <v>64.449567654201275</v>
      </c>
      <c r="R88" s="5">
        <v>28.666666666666664</v>
      </c>
      <c r="S88" s="5">
        <v>403.92029329839636</v>
      </c>
      <c r="T88" s="5">
        <f t="shared" si="15"/>
        <v>0</v>
      </c>
      <c r="U88" s="5">
        <f t="shared" si="16"/>
        <v>0</v>
      </c>
      <c r="V88" s="5" t="str">
        <f>IF($E$4="Embrousaillement",Tableau182986[[#This Row],[SOL]],"")</f>
        <v/>
      </c>
      <c r="W88" s="5" t="str">
        <f>IF($E$4="Embrousaillement",Tableau182986[[#This Row],[L]],"")</f>
        <v/>
      </c>
      <c r="X88" s="5">
        <v>9.1666666666666661</v>
      </c>
      <c r="Y88" s="5">
        <f t="shared" si="17"/>
        <v>75.599999999999994</v>
      </c>
      <c r="Z88" s="5">
        <f t="shared" si="18"/>
        <v>32.4</v>
      </c>
      <c r="AA88" s="5">
        <f t="shared" si="19"/>
        <v>0</v>
      </c>
      <c r="AB88" s="5" t="s">
        <v>166</v>
      </c>
      <c r="AC88" s="5" t="s">
        <v>166</v>
      </c>
      <c r="AD88" s="5" t="str">
        <f t="shared" si="20"/>
        <v/>
      </c>
      <c r="AE88" s="5" t="s">
        <v>166</v>
      </c>
      <c r="AF88" s="5" t="s">
        <v>166</v>
      </c>
      <c r="AG88" s="5" t="str">
        <f t="shared" si="21"/>
        <v/>
      </c>
      <c r="AH88" s="5" t="s">
        <v>166</v>
      </c>
      <c r="AI88" s="5" t="s">
        <v>166</v>
      </c>
      <c r="AJ88" s="5" t="str">
        <f t="shared" si="22"/>
        <v/>
      </c>
      <c r="AK88" s="5" t="str">
        <f t="shared" si="23"/>
        <v/>
      </c>
      <c r="AL88" s="7">
        <f>IF(Tableau182986[[#This Row],[Age]]&lt;&gt;"",IF(Tableau182986[[#This Row],[Age]]=0,$AT$10*$B$10+SUMIF($AS$21:$AS$29,Tableau182986[[#This Row],[Age]],$AU$21:$AU$29)*$B$10+$AT$11*$B$10,SUMIF($AS$21:$AS$29,Tableau182986[[#This Row],[Age]],$AU$21:$AU$29)*$B$10+$AT$11*$B$10),"")</f>
        <v>9</v>
      </c>
      <c r="AM88" s="7">
        <f>IF(Tableau182986[[#This Row],[Age]]&lt;&gt;"",IF(Tableau182986[[#This Row],[Age]]=$B$11,$AT$10*$B$10,0)+Tableau182986[[#This Row],[VBO]]*$AX$21*$B$10+Tableau182986[[#This Row],[VBI]]*$AX$22*$B$10+Tableau182986[[#This Row],[VBE]]*$AX$23*$B$10,"")</f>
        <v>2349</v>
      </c>
      <c r="AN88" s="7">
        <v>0.20428737641766223</v>
      </c>
      <c r="AO88" s="7">
        <v>53.319005245009841</v>
      </c>
      <c r="AP88" s="7">
        <f>IF(Tableau182986[[#This Row],[Age]]&lt;&gt;"",Tableau182986[[#This Row],[RA]]-Tableau182986[[#This Row],[DA]],"")</f>
        <v>53.11471786859218</v>
      </c>
    </row>
    <row r="89" spans="1:42" ht="15" customHeight="1" x14ac:dyDescent="0.2">
      <c r="A89" s="3" t="s">
        <v>24</v>
      </c>
      <c r="B89" s="3" t="s">
        <v>123</v>
      </c>
      <c r="C89" s="3" t="s">
        <v>140</v>
      </c>
      <c r="K89" s="3">
        <v>87</v>
      </c>
      <c r="L89" s="4">
        <v>472</v>
      </c>
      <c r="M89" s="4">
        <v>0</v>
      </c>
      <c r="N89" s="4">
        <v>472</v>
      </c>
      <c r="O89" s="5">
        <f t="shared" si="12"/>
        <v>220.89599999999999</v>
      </c>
      <c r="P89" s="5">
        <f t="shared" si="13"/>
        <v>54.309580803412281</v>
      </c>
      <c r="Q89" s="5">
        <f t="shared" si="14"/>
        <v>64.545855246493133</v>
      </c>
      <c r="R89" s="5">
        <v>29</v>
      </c>
      <c r="S89" s="5">
        <v>411.1589279015422</v>
      </c>
      <c r="T89" s="5">
        <f t="shared" si="15"/>
        <v>0</v>
      </c>
      <c r="U89" s="5">
        <f t="shared" si="16"/>
        <v>0</v>
      </c>
      <c r="V89" s="5" t="str">
        <f>IF($E$4="Embrousaillement",Tableau182986[[#This Row],[SOL]],"")</f>
        <v/>
      </c>
      <c r="W89" s="5" t="str">
        <f>IF($E$4="Embrousaillement",Tableau182986[[#This Row],[L]],"")</f>
        <v/>
      </c>
      <c r="X89" s="5">
        <v>9.1666666666666661</v>
      </c>
      <c r="Y89" s="5">
        <f t="shared" si="17"/>
        <v>0</v>
      </c>
      <c r="Z89" s="5">
        <f t="shared" si="18"/>
        <v>0</v>
      </c>
      <c r="AA89" s="5">
        <f t="shared" si="19"/>
        <v>0</v>
      </c>
      <c r="AB89" s="5" t="s">
        <v>166</v>
      </c>
      <c r="AC89" s="5" t="s">
        <v>166</v>
      </c>
      <c r="AD89" s="5" t="str">
        <f t="shared" si="20"/>
        <v/>
      </c>
      <c r="AE89" s="5" t="s">
        <v>166</v>
      </c>
      <c r="AF89" s="5" t="s">
        <v>166</v>
      </c>
      <c r="AG89" s="5" t="str">
        <f t="shared" si="21"/>
        <v/>
      </c>
      <c r="AH89" s="5" t="s">
        <v>166</v>
      </c>
      <c r="AI89" s="5" t="s">
        <v>166</v>
      </c>
      <c r="AJ89" s="5" t="str">
        <f t="shared" si="22"/>
        <v/>
      </c>
      <c r="AK89" s="5" t="str">
        <f t="shared" si="23"/>
        <v/>
      </c>
      <c r="AL89" s="7">
        <f>IF(Tableau182986[[#This Row],[Age]]&lt;&gt;"",IF(Tableau182986[[#This Row],[Age]]=0,$AT$10*$B$10+SUMIF($AS$21:$AS$29,Tableau182986[[#This Row],[Age]],$AU$21:$AU$29)*$B$10+$AT$11*$B$10,SUMIF($AS$21:$AS$29,Tableau182986[[#This Row],[Age]],$AU$21:$AU$29)*$B$10+$AT$11*$B$10),"")</f>
        <v>9</v>
      </c>
      <c r="AM89" s="7">
        <f>IF(Tableau182986[[#This Row],[Age]]&lt;&gt;"",IF(Tableau182986[[#This Row],[Age]]=$B$11,$AT$10*$B$10,0)+Tableau182986[[#This Row],[VBO]]*$AX$21*$B$10+Tableau182986[[#This Row],[VBI]]*$AX$22*$B$10+Tableau182986[[#This Row],[VBE]]*$AX$23*$B$10,"")</f>
        <v>0</v>
      </c>
      <c r="AN89" s="7">
        <v>0.19549031236139924</v>
      </c>
      <c r="AO89" s="7">
        <v>0</v>
      </c>
      <c r="AP89" s="7">
        <f>IF(Tableau182986[[#This Row],[Age]]&lt;&gt;"",Tableau182986[[#This Row],[RA]]-Tableau182986[[#This Row],[DA]],"")</f>
        <v>-0.19549031236139924</v>
      </c>
    </row>
    <row r="90" spans="1:42" ht="15" customHeight="1" x14ac:dyDescent="0.2">
      <c r="A90" s="3" t="s">
        <v>25</v>
      </c>
      <c r="B90" s="3" t="s">
        <v>134</v>
      </c>
      <c r="C90" s="3" t="s">
        <v>141</v>
      </c>
      <c r="K90" s="3">
        <v>88</v>
      </c>
      <c r="L90" s="4">
        <v>485</v>
      </c>
      <c r="M90" s="4">
        <v>0</v>
      </c>
      <c r="N90" s="4">
        <v>485</v>
      </c>
      <c r="O90" s="5">
        <f t="shared" si="12"/>
        <v>226.98</v>
      </c>
      <c r="P90" s="5">
        <f t="shared" si="13"/>
        <v>55.629185455335929</v>
      </c>
      <c r="Q90" s="5">
        <f t="shared" si="14"/>
        <v>64.640472464325555</v>
      </c>
      <c r="R90" s="5">
        <v>29.333333333333332</v>
      </c>
      <c r="S90" s="5">
        <v>418.39080962972963</v>
      </c>
      <c r="T90" s="5">
        <f t="shared" si="15"/>
        <v>0</v>
      </c>
      <c r="U90" s="5">
        <f t="shared" si="16"/>
        <v>0</v>
      </c>
      <c r="V90" s="5" t="str">
        <f>IF($E$4="Embrousaillement",Tableau182986[[#This Row],[SOL]],"")</f>
        <v/>
      </c>
      <c r="W90" s="5" t="str">
        <f>IF($E$4="Embrousaillement",Tableau182986[[#This Row],[L]],"")</f>
        <v/>
      </c>
      <c r="X90" s="5">
        <v>9.1666666666666661</v>
      </c>
      <c r="Y90" s="5">
        <f t="shared" si="17"/>
        <v>0</v>
      </c>
      <c r="Z90" s="5">
        <f t="shared" si="18"/>
        <v>0</v>
      </c>
      <c r="AA90" s="5">
        <f t="shared" si="19"/>
        <v>0</v>
      </c>
      <c r="AB90" s="5" t="s">
        <v>166</v>
      </c>
      <c r="AC90" s="5" t="s">
        <v>166</v>
      </c>
      <c r="AD90" s="5" t="str">
        <f t="shared" si="20"/>
        <v/>
      </c>
      <c r="AE90" s="5" t="s">
        <v>166</v>
      </c>
      <c r="AF90" s="5" t="s">
        <v>166</v>
      </c>
      <c r="AG90" s="5" t="str">
        <f t="shared" si="21"/>
        <v/>
      </c>
      <c r="AH90" s="5" t="s">
        <v>166</v>
      </c>
      <c r="AI90" s="5" t="s">
        <v>166</v>
      </c>
      <c r="AJ90" s="5" t="str">
        <f t="shared" si="22"/>
        <v/>
      </c>
      <c r="AK90" s="5" t="str">
        <f t="shared" si="23"/>
        <v/>
      </c>
      <c r="AL90" s="7">
        <f>IF(Tableau182986[[#This Row],[Age]]&lt;&gt;"",IF(Tableau182986[[#This Row],[Age]]=0,$AT$10*$B$10+SUMIF($AS$21:$AS$29,Tableau182986[[#This Row],[Age]],$AU$21:$AU$29)*$B$10+$AT$11*$B$10,SUMIF($AS$21:$AS$29,Tableau182986[[#This Row],[Age]],$AU$21:$AU$29)*$B$10+$AT$11*$B$10),"")</f>
        <v>9</v>
      </c>
      <c r="AM90" s="7">
        <f>IF(Tableau182986[[#This Row],[Age]]&lt;&gt;"",IF(Tableau182986[[#This Row],[Age]]=$B$11,$AT$10*$B$10,0)+Tableau182986[[#This Row],[VBO]]*$AX$21*$B$10+Tableau182986[[#This Row],[VBI]]*$AX$22*$B$10+Tableau182986[[#This Row],[VBE]]*$AX$23*$B$10,"")</f>
        <v>0</v>
      </c>
      <c r="AN90" s="7">
        <v>0.18707206924535816</v>
      </c>
      <c r="AO90" s="7">
        <v>0</v>
      </c>
      <c r="AP90" s="7">
        <f>IF(Tableau182986[[#This Row],[Age]]&lt;&gt;"",Tableau182986[[#This Row],[RA]]-Tableau182986[[#This Row],[DA]],"")</f>
        <v>-0.18707206924535816</v>
      </c>
    </row>
    <row r="91" spans="1:42" ht="15" customHeight="1" x14ac:dyDescent="0.2">
      <c r="A91" s="3" t="s">
        <v>26</v>
      </c>
      <c r="B91" s="3" t="s">
        <v>123</v>
      </c>
      <c r="C91" s="3" t="s">
        <v>142</v>
      </c>
      <c r="K91" s="3">
        <v>89</v>
      </c>
      <c r="L91" s="4">
        <v>498</v>
      </c>
      <c r="M91" s="4">
        <v>0</v>
      </c>
      <c r="N91" s="4">
        <v>498</v>
      </c>
      <c r="O91" s="5">
        <f t="shared" si="12"/>
        <v>233.06400000000002</v>
      </c>
      <c r="P91" s="5">
        <f t="shared" si="13"/>
        <v>56.944678836622806</v>
      </c>
      <c r="Q91" s="5">
        <f t="shared" si="14"/>
        <v>64.733448284960986</v>
      </c>
      <c r="R91" s="5">
        <v>29.666666666666664</v>
      </c>
      <c r="S91" s="5">
        <v>425.61610189820971</v>
      </c>
      <c r="T91" s="5">
        <f t="shared" si="15"/>
        <v>0</v>
      </c>
      <c r="U91" s="5">
        <f t="shared" si="16"/>
        <v>0</v>
      </c>
      <c r="V91" s="5" t="str">
        <f>IF($E$4="Embrousaillement",Tableau182986[[#This Row],[SOL]],"")</f>
        <v/>
      </c>
      <c r="W91" s="5" t="str">
        <f>IF($E$4="Embrousaillement",Tableau182986[[#This Row],[L]],"")</f>
        <v/>
      </c>
      <c r="X91" s="5">
        <v>9.1666666666666661</v>
      </c>
      <c r="Y91" s="5">
        <f t="shared" si="17"/>
        <v>0</v>
      </c>
      <c r="Z91" s="5">
        <f t="shared" si="18"/>
        <v>0</v>
      </c>
      <c r="AA91" s="5">
        <f t="shared" si="19"/>
        <v>0</v>
      </c>
      <c r="AB91" s="5" t="s">
        <v>166</v>
      </c>
      <c r="AC91" s="5" t="s">
        <v>166</v>
      </c>
      <c r="AD91" s="5" t="str">
        <f t="shared" si="20"/>
        <v/>
      </c>
      <c r="AE91" s="5" t="s">
        <v>166</v>
      </c>
      <c r="AF91" s="5" t="s">
        <v>166</v>
      </c>
      <c r="AG91" s="5" t="str">
        <f t="shared" si="21"/>
        <v/>
      </c>
      <c r="AH91" s="5" t="s">
        <v>166</v>
      </c>
      <c r="AI91" s="5" t="s">
        <v>166</v>
      </c>
      <c r="AJ91" s="5" t="str">
        <f t="shared" si="22"/>
        <v/>
      </c>
      <c r="AK91" s="5" t="str">
        <f t="shared" si="23"/>
        <v/>
      </c>
      <c r="AL91" s="7">
        <f>IF(Tableau182986[[#This Row],[Age]]&lt;&gt;"",IF(Tableau182986[[#This Row],[Age]]=0,$AT$10*$B$10+SUMIF($AS$21:$AS$29,Tableau182986[[#This Row],[Age]],$AU$21:$AU$29)*$B$10+$AT$11*$B$10,SUMIF($AS$21:$AS$29,Tableau182986[[#This Row],[Age]],$AU$21:$AU$29)*$B$10+$AT$11*$B$10),"")</f>
        <v>9</v>
      </c>
      <c r="AM91" s="7">
        <f>IF(Tableau182986[[#This Row],[Age]]&lt;&gt;"",IF(Tableau182986[[#This Row],[Age]]=$B$11,$AT$10*$B$10,0)+Tableau182986[[#This Row],[VBO]]*$AX$21*$B$10+Tableau182986[[#This Row],[VBI]]*$AX$22*$B$10+Tableau182986[[#This Row],[VBE]]*$AX$23*$B$10,"")</f>
        <v>0</v>
      </c>
      <c r="AN91" s="7">
        <v>0.1790163342060844</v>
      </c>
      <c r="AO91" s="7">
        <v>0</v>
      </c>
      <c r="AP91" s="7">
        <f>IF(Tableau182986[[#This Row],[Age]]&lt;&gt;"",Tableau182986[[#This Row],[RA]]-Tableau182986[[#This Row],[DA]],"")</f>
        <v>-0.1790163342060844</v>
      </c>
    </row>
    <row r="92" spans="1:42" ht="15" customHeight="1" x14ac:dyDescent="0.2">
      <c r="A92" s="3" t="s">
        <v>91</v>
      </c>
      <c r="B92" s="3" t="s">
        <v>143</v>
      </c>
      <c r="C92" s="3" t="s">
        <v>144</v>
      </c>
      <c r="K92" s="3">
        <v>90</v>
      </c>
      <c r="L92" s="4">
        <v>511</v>
      </c>
      <c r="M92" s="4">
        <v>0</v>
      </c>
      <c r="N92" s="4">
        <v>511</v>
      </c>
      <c r="O92" s="5">
        <f t="shared" si="12"/>
        <v>239.14799999999997</v>
      </c>
      <c r="P92" s="5">
        <f t="shared" si="13"/>
        <v>58.256180607577782</v>
      </c>
      <c r="Q92" s="5">
        <f t="shared" si="14"/>
        <v>64.824811182971189</v>
      </c>
      <c r="R92" s="5">
        <v>30</v>
      </c>
      <c r="S92" s="5">
        <v>432.83496111454616</v>
      </c>
      <c r="T92" s="5">
        <f t="shared" si="15"/>
        <v>0</v>
      </c>
      <c r="U92" s="5">
        <f t="shared" si="16"/>
        <v>0</v>
      </c>
      <c r="V92" s="5" t="str">
        <f>IF($E$4="Embrousaillement",Tableau182986[[#This Row],[SOL]],"")</f>
        <v/>
      </c>
      <c r="W92" s="5" t="str">
        <f>IF($E$4="Embrousaillement",Tableau182986[[#This Row],[L]],"")</f>
        <v/>
      </c>
      <c r="X92" s="5">
        <v>9.1666666666666661</v>
      </c>
      <c r="Y92" s="5">
        <f t="shared" si="17"/>
        <v>0</v>
      </c>
      <c r="Z92" s="5">
        <f t="shared" si="18"/>
        <v>0</v>
      </c>
      <c r="AA92" s="5">
        <f t="shared" si="19"/>
        <v>0</v>
      </c>
      <c r="AB92" s="5" t="s">
        <v>166</v>
      </c>
      <c r="AC92" s="5" t="s">
        <v>166</v>
      </c>
      <c r="AD92" s="5" t="str">
        <f t="shared" si="20"/>
        <v/>
      </c>
      <c r="AE92" s="5" t="s">
        <v>166</v>
      </c>
      <c r="AF92" s="5" t="s">
        <v>166</v>
      </c>
      <c r="AG92" s="5" t="str">
        <f t="shared" si="21"/>
        <v/>
      </c>
      <c r="AH92" s="5" t="s">
        <v>166</v>
      </c>
      <c r="AI92" s="5" t="s">
        <v>166</v>
      </c>
      <c r="AJ92" s="5" t="str">
        <f t="shared" si="22"/>
        <v/>
      </c>
      <c r="AK92" s="5" t="str">
        <f t="shared" si="23"/>
        <v/>
      </c>
      <c r="AL92" s="7">
        <f>IF(Tableau182986[[#This Row],[Age]]&lt;&gt;"",IF(Tableau182986[[#This Row],[Age]]=0,$AT$10*$B$10+SUMIF($AS$21:$AS$29,Tableau182986[[#This Row],[Age]],$AU$21:$AU$29)*$B$10+$AT$11*$B$10,SUMIF($AS$21:$AS$29,Tableau182986[[#This Row],[Age]],$AU$21:$AU$29)*$B$10+$AT$11*$B$10),"")</f>
        <v>9</v>
      </c>
      <c r="AM92" s="7">
        <f>IF(Tableau182986[[#This Row],[Age]]&lt;&gt;"",IF(Tableau182986[[#This Row],[Age]]=$B$11,$AT$10*$B$10,0)+Tableau182986[[#This Row],[VBO]]*$AX$21*$B$10+Tableau182986[[#This Row],[VBI]]*$AX$22*$B$10+Tableau182986[[#This Row],[VBE]]*$AX$23*$B$10,"")</f>
        <v>0</v>
      </c>
      <c r="AN92" s="7">
        <v>0.1713074968479277</v>
      </c>
      <c r="AO92" s="7">
        <v>0</v>
      </c>
      <c r="AP92" s="7">
        <f>IF(Tableau182986[[#This Row],[Age]]&lt;&gt;"",Tableau182986[[#This Row],[RA]]-Tableau182986[[#This Row],[DA]],"")</f>
        <v>-0.1713074968479277</v>
      </c>
    </row>
    <row r="93" spans="1:42" ht="15" customHeight="1" x14ac:dyDescent="0.2">
      <c r="A93" s="3" t="s">
        <v>28</v>
      </c>
      <c r="B93" s="3" t="s">
        <v>145</v>
      </c>
      <c r="C93" s="3" t="s">
        <v>146</v>
      </c>
      <c r="K93" s="3">
        <v>91</v>
      </c>
      <c r="L93" s="4">
        <v>524</v>
      </c>
      <c r="M93" s="4">
        <v>0</v>
      </c>
      <c r="N93" s="4">
        <v>524</v>
      </c>
      <c r="O93" s="5">
        <f t="shared" si="12"/>
        <v>245.232</v>
      </c>
      <c r="P93" s="5">
        <f t="shared" si="13"/>
        <v>59.563803993206548</v>
      </c>
      <c r="Q93" s="5">
        <f t="shared" si="14"/>
        <v>64.914589138957751</v>
      </c>
      <c r="R93" s="5">
        <v>30.333333333333332</v>
      </c>
      <c r="S93" s="5">
        <v>440.04753717661771</v>
      </c>
      <c r="T93" s="5">
        <f t="shared" si="15"/>
        <v>0</v>
      </c>
      <c r="U93" s="5">
        <f t="shared" si="16"/>
        <v>0</v>
      </c>
      <c r="V93" s="5" t="str">
        <f>IF($E$4="Embrousaillement",Tableau182986[[#This Row],[SOL]],"")</f>
        <v/>
      </c>
      <c r="W93" s="5" t="str">
        <f>IF($E$4="Embrousaillement",Tableau182986[[#This Row],[L]],"")</f>
        <v/>
      </c>
      <c r="X93" s="5">
        <v>9.1666666666666661</v>
      </c>
      <c r="Y93" s="5">
        <f t="shared" si="17"/>
        <v>0</v>
      </c>
      <c r="Z93" s="5">
        <f t="shared" si="18"/>
        <v>0</v>
      </c>
      <c r="AA93" s="5">
        <f t="shared" si="19"/>
        <v>0</v>
      </c>
      <c r="AB93" s="5" t="s">
        <v>166</v>
      </c>
      <c r="AC93" s="5" t="s">
        <v>166</v>
      </c>
      <c r="AD93" s="5" t="str">
        <f t="shared" si="20"/>
        <v/>
      </c>
      <c r="AE93" s="5" t="s">
        <v>166</v>
      </c>
      <c r="AF93" s="5" t="s">
        <v>166</v>
      </c>
      <c r="AG93" s="5" t="str">
        <f t="shared" si="21"/>
        <v/>
      </c>
      <c r="AH93" s="5" t="s">
        <v>166</v>
      </c>
      <c r="AI93" s="5" t="s">
        <v>166</v>
      </c>
      <c r="AJ93" s="5" t="str">
        <f t="shared" si="22"/>
        <v/>
      </c>
      <c r="AK93" s="5" t="str">
        <f t="shared" si="23"/>
        <v/>
      </c>
      <c r="AL93" s="7">
        <f>IF(Tableau182986[[#This Row],[Age]]&lt;&gt;"",IF(Tableau182986[[#This Row],[Age]]=0,$AT$10*$B$10+SUMIF($AS$21:$AS$29,Tableau182986[[#This Row],[Age]],$AU$21:$AU$29)*$B$10+$AT$11*$B$10,SUMIF($AS$21:$AS$29,Tableau182986[[#This Row],[Age]],$AU$21:$AU$29)*$B$10+$AT$11*$B$10),"")</f>
        <v>9</v>
      </c>
      <c r="AM93" s="7">
        <f>IF(Tableau182986[[#This Row],[Age]]&lt;&gt;"",IF(Tableau182986[[#This Row],[Age]]=$B$11,$AT$10*$B$10,0)+Tableau182986[[#This Row],[VBO]]*$AX$21*$B$10+Tableau182986[[#This Row],[VBI]]*$AX$22*$B$10+Tableau182986[[#This Row],[VBE]]*$AX$23*$B$10,"")</f>
        <v>0</v>
      </c>
      <c r="AN93" s="7">
        <v>0.16393061899323222</v>
      </c>
      <c r="AO93" s="7">
        <v>0</v>
      </c>
      <c r="AP93" s="7">
        <f>IF(Tableau182986[[#This Row],[Age]]&lt;&gt;"",Tableau182986[[#This Row],[RA]]-Tableau182986[[#This Row],[DA]],"")</f>
        <v>-0.16393061899323222</v>
      </c>
    </row>
    <row r="94" spans="1:42" ht="15" customHeight="1" x14ac:dyDescent="0.2">
      <c r="A94" s="3" t="s">
        <v>29</v>
      </c>
      <c r="B94" s="3" t="s">
        <v>145</v>
      </c>
      <c r="C94" s="3" t="s">
        <v>147</v>
      </c>
      <c r="K94" s="3">
        <v>92</v>
      </c>
      <c r="L94" s="4">
        <v>537</v>
      </c>
      <c r="M94" s="4">
        <v>0</v>
      </c>
      <c r="N94" s="4">
        <v>537</v>
      </c>
      <c r="O94" s="5">
        <f t="shared" si="12"/>
        <v>251.316</v>
      </c>
      <c r="P94" s="5">
        <f t="shared" si="13"/>
        <v>60.86765628024984</v>
      </c>
      <c r="Q94" s="5">
        <f t="shared" si="14"/>
        <v>65.002809648121385</v>
      </c>
      <c r="R94" s="5">
        <v>30.666666666666664</v>
      </c>
      <c r="S94" s="5">
        <v>447.2539739211623</v>
      </c>
      <c r="T94" s="5">
        <f t="shared" si="15"/>
        <v>0</v>
      </c>
      <c r="U94" s="5">
        <f t="shared" si="16"/>
        <v>0</v>
      </c>
      <c r="V94" s="5" t="str">
        <f>IF($E$4="Embrousaillement",Tableau182986[[#This Row],[SOL]],"")</f>
        <v/>
      </c>
      <c r="W94" s="5" t="str">
        <f>IF($E$4="Embrousaillement",Tableau182986[[#This Row],[L]],"")</f>
        <v/>
      </c>
      <c r="X94" s="5">
        <v>9.1666666666666661</v>
      </c>
      <c r="Y94" s="5">
        <f t="shared" si="17"/>
        <v>0</v>
      </c>
      <c r="Z94" s="5">
        <f t="shared" si="18"/>
        <v>0</v>
      </c>
      <c r="AA94" s="5">
        <f t="shared" si="19"/>
        <v>0</v>
      </c>
      <c r="AB94" s="5" t="s">
        <v>166</v>
      </c>
      <c r="AC94" s="5" t="s">
        <v>166</v>
      </c>
      <c r="AD94" s="5" t="str">
        <f t="shared" si="20"/>
        <v/>
      </c>
      <c r="AE94" s="5" t="s">
        <v>166</v>
      </c>
      <c r="AF94" s="5" t="s">
        <v>166</v>
      </c>
      <c r="AG94" s="5" t="str">
        <f t="shared" si="21"/>
        <v/>
      </c>
      <c r="AH94" s="5" t="s">
        <v>166</v>
      </c>
      <c r="AI94" s="5" t="s">
        <v>166</v>
      </c>
      <c r="AJ94" s="5" t="str">
        <f t="shared" si="22"/>
        <v/>
      </c>
      <c r="AK94" s="5" t="str">
        <f t="shared" si="23"/>
        <v/>
      </c>
      <c r="AL94" s="7">
        <f>IF(Tableau182986[[#This Row],[Age]]&lt;&gt;"",IF(Tableau182986[[#This Row],[Age]]=0,$AT$10*$B$10+SUMIF($AS$21:$AS$29,Tableau182986[[#This Row],[Age]],$AU$21:$AU$29)*$B$10+$AT$11*$B$10,SUMIF($AS$21:$AS$29,Tableau182986[[#This Row],[Age]],$AU$21:$AU$29)*$B$10+$AT$11*$B$10),"")</f>
        <v>9</v>
      </c>
      <c r="AM94" s="7">
        <f>IF(Tableau182986[[#This Row],[Age]]&lt;&gt;"",IF(Tableau182986[[#This Row],[Age]]=$B$11,$AT$10*$B$10,0)+Tableau182986[[#This Row],[VBO]]*$AX$21*$B$10+Tableau182986[[#This Row],[VBI]]*$AX$22*$B$10+Tableau182986[[#This Row],[VBE]]*$AX$23*$B$10,"")</f>
        <v>0</v>
      </c>
      <c r="AN94" s="7">
        <v>0.15687140573515052</v>
      </c>
      <c r="AO94" s="7">
        <v>0</v>
      </c>
      <c r="AP94" s="7">
        <f>IF(Tableau182986[[#This Row],[Age]]&lt;&gt;"",Tableau182986[[#This Row],[RA]]-Tableau182986[[#This Row],[DA]],"")</f>
        <v>-0.15687140573515052</v>
      </c>
    </row>
    <row r="95" spans="1:42" ht="15" customHeight="1" x14ac:dyDescent="0.2">
      <c r="A95" s="3" t="s">
        <v>30</v>
      </c>
      <c r="B95" s="3" t="s">
        <v>145</v>
      </c>
      <c r="C95" s="3" t="s">
        <v>148</v>
      </c>
      <c r="K95" s="3">
        <v>93</v>
      </c>
      <c r="L95" s="4">
        <v>550</v>
      </c>
      <c r="M95" s="4">
        <v>0</v>
      </c>
      <c r="N95" s="4">
        <v>550</v>
      </c>
      <c r="O95" s="5">
        <f t="shared" si="12"/>
        <v>257.40000000000003</v>
      </c>
      <c r="P95" s="5">
        <f t="shared" si="13"/>
        <v>62.167839264733466</v>
      </c>
      <c r="Q95" s="5">
        <f t="shared" si="14"/>
        <v>65.08949972868254</v>
      </c>
      <c r="R95" s="5">
        <v>31</v>
      </c>
      <c r="S95" s="5">
        <v>454.45440952895672</v>
      </c>
      <c r="T95" s="5">
        <f t="shared" si="15"/>
        <v>0</v>
      </c>
      <c r="U95" s="5">
        <f t="shared" si="16"/>
        <v>0</v>
      </c>
      <c r="V95" s="5" t="str">
        <f>IF($E$4="Embrousaillement",Tableau182986[[#This Row],[SOL]],"")</f>
        <v/>
      </c>
      <c r="W95" s="5" t="str">
        <f>IF($E$4="Embrousaillement",Tableau182986[[#This Row],[L]],"")</f>
        <v/>
      </c>
      <c r="X95" s="5">
        <v>9.1666666666666661</v>
      </c>
      <c r="Y95" s="5">
        <f t="shared" si="17"/>
        <v>0</v>
      </c>
      <c r="Z95" s="5">
        <f t="shared" si="18"/>
        <v>0</v>
      </c>
      <c r="AA95" s="5">
        <f t="shared" si="19"/>
        <v>0</v>
      </c>
      <c r="AB95" s="5" t="s">
        <v>166</v>
      </c>
      <c r="AC95" s="5" t="s">
        <v>166</v>
      </c>
      <c r="AD95" s="5" t="str">
        <f t="shared" si="20"/>
        <v/>
      </c>
      <c r="AE95" s="5" t="s">
        <v>166</v>
      </c>
      <c r="AF95" s="5" t="s">
        <v>166</v>
      </c>
      <c r="AG95" s="5" t="str">
        <f t="shared" si="21"/>
        <v/>
      </c>
      <c r="AH95" s="5" t="s">
        <v>166</v>
      </c>
      <c r="AI95" s="5" t="s">
        <v>166</v>
      </c>
      <c r="AJ95" s="5" t="str">
        <f t="shared" si="22"/>
        <v/>
      </c>
      <c r="AK95" s="5" t="str">
        <f t="shared" si="23"/>
        <v/>
      </c>
      <c r="AL95" s="7">
        <f>IF(Tableau182986[[#This Row],[Age]]&lt;&gt;"",IF(Tableau182986[[#This Row],[Age]]=0,$AT$10*$B$10+SUMIF($AS$21:$AS$29,Tableau182986[[#This Row],[Age]],$AU$21:$AU$29)*$B$10+$AT$11*$B$10,SUMIF($AS$21:$AS$29,Tableau182986[[#This Row],[Age]],$AU$21:$AU$29)*$B$10+$AT$11*$B$10),"")</f>
        <v>9</v>
      </c>
      <c r="AM95" s="7">
        <f>IF(Tableau182986[[#This Row],[Age]]&lt;&gt;"",IF(Tableau182986[[#This Row],[Age]]=$B$11,$AT$10*$B$10,0)+Tableau182986[[#This Row],[VBO]]*$AX$21*$B$10+Tableau182986[[#This Row],[VBI]]*$AX$22*$B$10+Tableau182986[[#This Row],[VBE]]*$AX$23*$B$10,"")</f>
        <v>0</v>
      </c>
      <c r="AN95" s="7">
        <v>0.1501161777369861</v>
      </c>
      <c r="AO95" s="7">
        <v>0</v>
      </c>
      <c r="AP95" s="7">
        <f>IF(Tableau182986[[#This Row],[Age]]&lt;&gt;"",Tableau182986[[#This Row],[RA]]-Tableau182986[[#This Row],[DA]],"")</f>
        <v>-0.1501161777369861</v>
      </c>
    </row>
    <row r="96" spans="1:42" ht="15" customHeight="1" x14ac:dyDescent="0.2">
      <c r="A96" s="3" t="s">
        <v>31</v>
      </c>
      <c r="B96" s="3" t="s">
        <v>145</v>
      </c>
      <c r="C96" s="3" t="s">
        <v>149</v>
      </c>
      <c r="K96" s="3">
        <v>94</v>
      </c>
      <c r="L96" s="4">
        <v>563</v>
      </c>
      <c r="M96" s="4">
        <v>0</v>
      </c>
      <c r="N96" s="4">
        <v>563</v>
      </c>
      <c r="O96" s="5">
        <f t="shared" si="12"/>
        <v>263.48399999999998</v>
      </c>
      <c r="P96" s="5">
        <f t="shared" si="13"/>
        <v>63.464449656011489</v>
      </c>
      <c r="Q96" s="5">
        <f t="shared" si="14"/>
        <v>65.17468593015596</v>
      </c>
      <c r="R96" s="5">
        <v>31.333333333333332</v>
      </c>
      <c r="S96" s="5">
        <v>461.64897689184033</v>
      </c>
      <c r="T96" s="5">
        <f t="shared" si="15"/>
        <v>0</v>
      </c>
      <c r="U96" s="5">
        <f t="shared" si="16"/>
        <v>0</v>
      </c>
      <c r="V96" s="5" t="str">
        <f>IF($E$4="Embrousaillement",Tableau182986[[#This Row],[SOL]],"")</f>
        <v/>
      </c>
      <c r="W96" s="5" t="str">
        <f>IF($E$4="Embrousaillement",Tableau182986[[#This Row],[L]],"")</f>
        <v/>
      </c>
      <c r="X96" s="5">
        <v>9.1666666666666661</v>
      </c>
      <c r="Y96" s="5">
        <f t="shared" si="17"/>
        <v>0</v>
      </c>
      <c r="Z96" s="5">
        <f t="shared" si="18"/>
        <v>0</v>
      </c>
      <c r="AA96" s="5">
        <f t="shared" si="19"/>
        <v>0</v>
      </c>
      <c r="AB96" s="5" t="s">
        <v>166</v>
      </c>
      <c r="AC96" s="5" t="s">
        <v>166</v>
      </c>
      <c r="AD96" s="5" t="str">
        <f t="shared" si="20"/>
        <v/>
      </c>
      <c r="AE96" s="5" t="s">
        <v>166</v>
      </c>
      <c r="AF96" s="5" t="s">
        <v>166</v>
      </c>
      <c r="AG96" s="5" t="str">
        <f t="shared" si="21"/>
        <v/>
      </c>
      <c r="AH96" s="5" t="s">
        <v>166</v>
      </c>
      <c r="AI96" s="5" t="s">
        <v>166</v>
      </c>
      <c r="AJ96" s="5" t="str">
        <f t="shared" si="22"/>
        <v/>
      </c>
      <c r="AK96" s="5" t="str">
        <f t="shared" si="23"/>
        <v/>
      </c>
      <c r="AL96" s="7">
        <f>IF(Tableau182986[[#This Row],[Age]]&lt;&gt;"",IF(Tableau182986[[#This Row],[Age]]=0,$AT$10*$B$10+SUMIF($AS$21:$AS$29,Tableau182986[[#This Row],[Age]],$AU$21:$AU$29)*$B$10+$AT$11*$B$10,SUMIF($AS$21:$AS$29,Tableau182986[[#This Row],[Age]],$AU$21:$AU$29)*$B$10+$AT$11*$B$10),"")</f>
        <v>9</v>
      </c>
      <c r="AM96" s="7">
        <f>IF(Tableau182986[[#This Row],[Age]]&lt;&gt;"",IF(Tableau182986[[#This Row],[Age]]=$B$11,$AT$10*$B$10,0)+Tableau182986[[#This Row],[VBO]]*$AX$21*$B$10+Tableau182986[[#This Row],[VBI]]*$AX$22*$B$10+Tableau182986[[#This Row],[VBE]]*$AX$23*$B$10,"")</f>
        <v>0</v>
      </c>
      <c r="AN96" s="7">
        <v>0.14365184472438866</v>
      </c>
      <c r="AO96" s="7">
        <v>0</v>
      </c>
      <c r="AP96" s="7">
        <f>IF(Tableau182986[[#This Row],[Age]]&lt;&gt;"",Tableau182986[[#This Row],[RA]]-Tableau182986[[#This Row],[DA]],"")</f>
        <v>-0.14365184472438866</v>
      </c>
    </row>
    <row r="97" spans="1:42" ht="15" customHeight="1" x14ac:dyDescent="0.2">
      <c r="A97" s="3" t="s">
        <v>32</v>
      </c>
      <c r="B97" s="3" t="s">
        <v>145</v>
      </c>
      <c r="C97" s="3" t="s">
        <v>150</v>
      </c>
      <c r="K97" s="3">
        <v>95</v>
      </c>
      <c r="L97" s="4">
        <v>576</v>
      </c>
      <c r="M97" s="4">
        <v>103</v>
      </c>
      <c r="N97" s="4">
        <v>473</v>
      </c>
      <c r="O97" s="5">
        <f t="shared" si="12"/>
        <v>221.364</v>
      </c>
      <c r="P97" s="5">
        <f t="shared" si="13"/>
        <v>54.411237653200793</v>
      </c>
      <c r="Q97" s="5">
        <f t="shared" si="14"/>
        <v>65.258394341481619</v>
      </c>
      <c r="R97" s="5">
        <v>31.666666666666664</v>
      </c>
      <c r="S97" s="5">
        <v>417.85021463793419</v>
      </c>
      <c r="T97" s="5">
        <f t="shared" si="15"/>
        <v>0</v>
      </c>
      <c r="U97" s="5">
        <f t="shared" si="16"/>
        <v>0</v>
      </c>
      <c r="V97" s="5" t="str">
        <f>IF($E$4="Embrousaillement",Tableau182986[[#This Row],[SOL]],"")</f>
        <v/>
      </c>
      <c r="W97" s="5" t="str">
        <f>IF($E$4="Embrousaillement",Tableau182986[[#This Row],[L]],"")</f>
        <v/>
      </c>
      <c r="X97" s="5">
        <v>9.1666666666666661</v>
      </c>
      <c r="Y97" s="5">
        <f t="shared" si="17"/>
        <v>72.099999999999994</v>
      </c>
      <c r="Z97" s="5">
        <f t="shared" si="18"/>
        <v>30.9</v>
      </c>
      <c r="AA97" s="5">
        <f t="shared" si="19"/>
        <v>0</v>
      </c>
      <c r="AB97" s="5" t="s">
        <v>166</v>
      </c>
      <c r="AC97" s="5" t="s">
        <v>166</v>
      </c>
      <c r="AD97" s="5" t="str">
        <f t="shared" si="20"/>
        <v/>
      </c>
      <c r="AE97" s="5" t="s">
        <v>166</v>
      </c>
      <c r="AF97" s="5" t="s">
        <v>166</v>
      </c>
      <c r="AG97" s="5" t="str">
        <f t="shared" si="21"/>
        <v/>
      </c>
      <c r="AH97" s="5" t="s">
        <v>166</v>
      </c>
      <c r="AI97" s="5" t="s">
        <v>166</v>
      </c>
      <c r="AJ97" s="5" t="str">
        <f t="shared" si="22"/>
        <v/>
      </c>
      <c r="AK97" s="5" t="str">
        <f t="shared" si="23"/>
        <v/>
      </c>
      <c r="AL97" s="7">
        <f>IF(Tableau182986[[#This Row],[Age]]&lt;&gt;"",IF(Tableau182986[[#This Row],[Age]]=0,$AT$10*$B$10+SUMIF($AS$21:$AS$29,Tableau182986[[#This Row],[Age]],$AU$21:$AU$29)*$B$10+$AT$11*$B$10,SUMIF($AS$21:$AS$29,Tableau182986[[#This Row],[Age]],$AU$21:$AU$29)*$B$10+$AT$11*$B$10),"")</f>
        <v>9</v>
      </c>
      <c r="AM97" s="7">
        <f>IF(Tableau182986[[#This Row],[Age]]&lt;&gt;"",IF(Tableau182986[[#This Row],[Age]]=$B$11,$AT$10*$B$10,0)+Tableau182986[[#This Row],[VBO]]*$AX$21*$B$10+Tableau182986[[#This Row],[VBI]]*$AX$22*$B$10+Tableau182986[[#This Row],[VBE]]*$AX$23*$B$10,"")</f>
        <v>2240.25</v>
      </c>
      <c r="AN97" s="7">
        <v>0.13746588011903219</v>
      </c>
      <c r="AO97" s="7">
        <v>34.217548659629095</v>
      </c>
      <c r="AP97" s="7">
        <f>IF(Tableau182986[[#This Row],[Age]]&lt;&gt;"",Tableau182986[[#This Row],[RA]]-Tableau182986[[#This Row],[DA]],"")</f>
        <v>34.080082779510064</v>
      </c>
    </row>
    <row r="98" spans="1:42" ht="15" customHeight="1" x14ac:dyDescent="0.2">
      <c r="A98" s="3" t="s">
        <v>151</v>
      </c>
      <c r="B98" s="3" t="s">
        <v>145</v>
      </c>
      <c r="C98" s="3" t="s">
        <v>152</v>
      </c>
      <c r="K98" s="3">
        <v>96</v>
      </c>
      <c r="L98" s="4">
        <v>484.19999999999982</v>
      </c>
      <c r="M98" s="4">
        <v>0</v>
      </c>
      <c r="N98" s="4">
        <v>484.19999999999982</v>
      </c>
      <c r="O98" s="5">
        <f t="shared" si="12"/>
        <v>226.60559999999992</v>
      </c>
      <c r="P98" s="5">
        <f t="shared" si="13"/>
        <v>55.548098989444924</v>
      </c>
      <c r="Q98" s="5">
        <f t="shared" si="14"/>
        <v>65.340650599014751</v>
      </c>
      <c r="R98" s="5">
        <v>32</v>
      </c>
      <c r="S98" s="5">
        <v>424.16670563483524</v>
      </c>
      <c r="T98" s="5">
        <f t="shared" si="15"/>
        <v>0</v>
      </c>
      <c r="U98" s="5">
        <f t="shared" si="16"/>
        <v>0</v>
      </c>
      <c r="V98" s="5" t="str">
        <f>IF($E$4="Embrousaillement",Tableau182986[[#This Row],[SOL]],"")</f>
        <v/>
      </c>
      <c r="W98" s="5" t="str">
        <f>IF($E$4="Embrousaillement",Tableau182986[[#This Row],[L]],"")</f>
        <v/>
      </c>
      <c r="X98" s="5">
        <v>9.1666666666666661</v>
      </c>
      <c r="Y98" s="5">
        <f t="shared" si="17"/>
        <v>0</v>
      </c>
      <c r="Z98" s="5">
        <f t="shared" si="18"/>
        <v>0</v>
      </c>
      <c r="AA98" s="5">
        <f t="shared" si="19"/>
        <v>0</v>
      </c>
      <c r="AB98" s="5" t="s">
        <v>166</v>
      </c>
      <c r="AC98" s="5" t="s">
        <v>166</v>
      </c>
      <c r="AD98" s="5" t="str">
        <f t="shared" si="20"/>
        <v/>
      </c>
      <c r="AE98" s="5" t="s">
        <v>166</v>
      </c>
      <c r="AF98" s="5" t="s">
        <v>166</v>
      </c>
      <c r="AG98" s="5" t="str">
        <f t="shared" si="21"/>
        <v/>
      </c>
      <c r="AH98" s="5" t="s">
        <v>166</v>
      </c>
      <c r="AI98" s="5" t="s">
        <v>166</v>
      </c>
      <c r="AJ98" s="5" t="str">
        <f t="shared" si="22"/>
        <v/>
      </c>
      <c r="AK98" s="5" t="str">
        <f t="shared" si="23"/>
        <v/>
      </c>
      <c r="AL98" s="7">
        <f>IF(Tableau182986[[#This Row],[Age]]&lt;&gt;"",IF(Tableau182986[[#This Row],[Age]]=0,$AT$10*$B$10+SUMIF($AS$21:$AS$29,Tableau182986[[#This Row],[Age]],$AU$21:$AU$29)*$B$10+$AT$11*$B$10,SUMIF($AS$21:$AS$29,Tableau182986[[#This Row],[Age]],$AU$21:$AU$29)*$B$10+$AT$11*$B$10),"")</f>
        <v>9</v>
      </c>
      <c r="AM98" s="7">
        <f>IF(Tableau182986[[#This Row],[Age]]&lt;&gt;"",IF(Tableau182986[[#This Row],[Age]]=$B$11,$AT$10*$B$10,0)+Tableau182986[[#This Row],[VBO]]*$AX$21*$B$10+Tableau182986[[#This Row],[VBI]]*$AX$22*$B$10+Tableau182986[[#This Row],[VBE]]*$AX$23*$B$10,"")</f>
        <v>0</v>
      </c>
      <c r="AN98" s="7">
        <v>0.13154629676462418</v>
      </c>
      <c r="AO98" s="7">
        <v>0</v>
      </c>
      <c r="AP98" s="7">
        <f>IF(Tableau182986[[#This Row],[Age]]&lt;&gt;"",Tableau182986[[#This Row],[RA]]-Tableau182986[[#This Row],[DA]],"")</f>
        <v>-0.13154629676462418</v>
      </c>
    </row>
    <row r="99" spans="1:42" ht="15" customHeight="1" x14ac:dyDescent="0.2">
      <c r="A99" s="3" t="s">
        <v>153</v>
      </c>
      <c r="B99" s="3" t="s">
        <v>145</v>
      </c>
      <c r="C99" s="3" t="s">
        <v>154</v>
      </c>
      <c r="K99" s="3">
        <v>97</v>
      </c>
      <c r="L99" s="4">
        <v>495.39999999999986</v>
      </c>
      <c r="M99" s="4">
        <v>0</v>
      </c>
      <c r="N99" s="4">
        <v>495.39999999999986</v>
      </c>
      <c r="O99" s="5">
        <f t="shared" si="12"/>
        <v>231.84719999999993</v>
      </c>
      <c r="P99" s="5">
        <f t="shared" si="13"/>
        <v>56.681903222323619</v>
      </c>
      <c r="Q99" s="5">
        <f t="shared" si="14"/>
        <v>65.421479894377129</v>
      </c>
      <c r="R99" s="5">
        <v>32.333333333333329</v>
      </c>
      <c r="S99" s="5">
        <v>430.47791830690926</v>
      </c>
      <c r="T99" s="5">
        <f t="shared" si="15"/>
        <v>0</v>
      </c>
      <c r="U99" s="5">
        <f t="shared" si="16"/>
        <v>0</v>
      </c>
      <c r="V99" s="5" t="str">
        <f>IF($E$4="Embrousaillement",Tableau182986[[#This Row],[SOL]],"")</f>
        <v/>
      </c>
      <c r="W99" s="5" t="str">
        <f>IF($E$4="Embrousaillement",Tableau182986[[#This Row],[L]],"")</f>
        <v/>
      </c>
      <c r="X99" s="5">
        <v>9.1666666666666661</v>
      </c>
      <c r="Y99" s="5">
        <f t="shared" si="17"/>
        <v>0</v>
      </c>
      <c r="Z99" s="5">
        <f t="shared" si="18"/>
        <v>0</v>
      </c>
      <c r="AA99" s="5">
        <f t="shared" si="19"/>
        <v>0</v>
      </c>
      <c r="AB99" s="5" t="s">
        <v>166</v>
      </c>
      <c r="AC99" s="5" t="s">
        <v>166</v>
      </c>
      <c r="AD99" s="5" t="str">
        <f t="shared" si="20"/>
        <v/>
      </c>
      <c r="AE99" s="5" t="s">
        <v>166</v>
      </c>
      <c r="AF99" s="5" t="s">
        <v>166</v>
      </c>
      <c r="AG99" s="5" t="str">
        <f t="shared" si="21"/>
        <v/>
      </c>
      <c r="AH99" s="5" t="s">
        <v>166</v>
      </c>
      <c r="AI99" s="5" t="s">
        <v>166</v>
      </c>
      <c r="AJ99" s="5" t="str">
        <f t="shared" si="22"/>
        <v/>
      </c>
      <c r="AK99" s="5" t="str">
        <f t="shared" si="23"/>
        <v/>
      </c>
      <c r="AL99" s="7">
        <f>IF(Tableau182986[[#This Row],[Age]]&lt;&gt;"",IF(Tableau182986[[#This Row],[Age]]=0,$AT$10*$B$10+SUMIF($AS$21:$AS$29,Tableau182986[[#This Row],[Age]],$AU$21:$AU$29)*$B$10+$AT$11*$B$10,SUMIF($AS$21:$AS$29,Tableau182986[[#This Row],[Age]],$AU$21:$AU$29)*$B$10+$AT$11*$B$10),"")</f>
        <v>9</v>
      </c>
      <c r="AM99" s="7">
        <f>IF(Tableau182986[[#This Row],[Age]]&lt;&gt;"",IF(Tableau182986[[#This Row],[Age]]=$B$11,$AT$10*$B$10,0)+Tableau182986[[#This Row],[VBO]]*$AX$21*$B$10+Tableau182986[[#This Row],[VBI]]*$AX$22*$B$10+Tableau182986[[#This Row],[VBE]]*$AX$23*$B$10,"")</f>
        <v>0</v>
      </c>
      <c r="AN99" s="7">
        <v>0.12588162369820499</v>
      </c>
      <c r="AO99" s="7">
        <v>0</v>
      </c>
      <c r="AP99" s="7">
        <f>IF(Tableau182986[[#This Row],[Age]]&lt;&gt;"",Tableau182986[[#This Row],[RA]]-Tableau182986[[#This Row],[DA]],"")</f>
        <v>-0.12588162369820499</v>
      </c>
    </row>
    <row r="100" spans="1:42" ht="15" customHeight="1" x14ac:dyDescent="0.2">
      <c r="A100" s="3" t="s">
        <v>155</v>
      </c>
      <c r="B100" s="3" t="s">
        <v>145</v>
      </c>
      <c r="C100" s="3" t="s">
        <v>156</v>
      </c>
      <c r="K100" s="3">
        <v>98</v>
      </c>
      <c r="L100" s="4">
        <v>506.59999999999991</v>
      </c>
      <c r="M100" s="4">
        <v>0</v>
      </c>
      <c r="N100" s="4">
        <v>506.59999999999991</v>
      </c>
      <c r="O100" s="5">
        <f t="shared" si="12"/>
        <v>237.08879999999994</v>
      </c>
      <c r="P100" s="5">
        <f t="shared" si="13"/>
        <v>57.812727423622938</v>
      </c>
      <c r="Q100" s="5">
        <f t="shared" si="14"/>
        <v>65.500906982172197</v>
      </c>
      <c r="R100" s="5">
        <v>32.666666666666664</v>
      </c>
      <c r="S100" s="5">
        <v>436.78396515427613</v>
      </c>
      <c r="T100" s="5">
        <f t="shared" si="15"/>
        <v>0</v>
      </c>
      <c r="U100" s="5">
        <f t="shared" si="16"/>
        <v>0</v>
      </c>
      <c r="V100" s="5" t="str">
        <f>IF($E$4="Embrousaillement",Tableau182986[[#This Row],[SOL]],"")</f>
        <v/>
      </c>
      <c r="W100" s="5" t="str">
        <f>IF($E$4="Embrousaillement",Tableau182986[[#This Row],[L]],"")</f>
        <v/>
      </c>
      <c r="X100" s="5">
        <v>9.1666666666666661</v>
      </c>
      <c r="Y100" s="5">
        <f t="shared" si="17"/>
        <v>0</v>
      </c>
      <c r="Z100" s="5">
        <f t="shared" si="18"/>
        <v>0</v>
      </c>
      <c r="AA100" s="5">
        <f t="shared" si="19"/>
        <v>0</v>
      </c>
      <c r="AB100" s="5" t="s">
        <v>166</v>
      </c>
      <c r="AC100" s="5" t="s">
        <v>166</v>
      </c>
      <c r="AD100" s="5" t="str">
        <f t="shared" si="20"/>
        <v/>
      </c>
      <c r="AE100" s="5" t="s">
        <v>166</v>
      </c>
      <c r="AF100" s="5" t="s">
        <v>166</v>
      </c>
      <c r="AG100" s="5" t="str">
        <f t="shared" si="21"/>
        <v/>
      </c>
      <c r="AH100" s="5" t="s">
        <v>166</v>
      </c>
      <c r="AI100" s="5" t="s">
        <v>166</v>
      </c>
      <c r="AJ100" s="5" t="str">
        <f t="shared" si="22"/>
        <v/>
      </c>
      <c r="AK100" s="5" t="str">
        <f t="shared" si="23"/>
        <v/>
      </c>
      <c r="AL100" s="7">
        <f>IF(Tableau182986[[#This Row],[Age]]&lt;&gt;"",IF(Tableau182986[[#This Row],[Age]]=0,$AT$10*$B$10+SUMIF($AS$21:$AS$29,Tableau182986[[#This Row],[Age]],$AU$21:$AU$29)*$B$10+$AT$11*$B$10,SUMIF($AS$21:$AS$29,Tableau182986[[#This Row],[Age]],$AU$21:$AU$29)*$B$10+$AT$11*$B$10),"")</f>
        <v>9</v>
      </c>
      <c r="AM100" s="7">
        <f>IF(Tableau182986[[#This Row],[Age]]&lt;&gt;"",IF(Tableau182986[[#This Row],[Age]]=$B$11,$AT$10*$B$10,0)+Tableau182986[[#This Row],[VBO]]*$AX$21*$B$10+Tableau182986[[#This Row],[VBI]]*$AX$22*$B$10+Tableau182986[[#This Row],[VBE]]*$AX$23*$B$10,"")</f>
        <v>0</v>
      </c>
      <c r="AN100" s="7">
        <v>0.12046088392172727</v>
      </c>
      <c r="AO100" s="7">
        <v>0</v>
      </c>
      <c r="AP100" s="7">
        <f>IF(Tableau182986[[#This Row],[Age]]&lt;&gt;"",Tableau182986[[#This Row],[RA]]-Tableau182986[[#This Row],[DA]],"")</f>
        <v>-0.12046088392172727</v>
      </c>
    </row>
    <row r="101" spans="1:42" ht="15" customHeight="1" x14ac:dyDescent="0.2">
      <c r="A101" s="3" t="s">
        <v>157</v>
      </c>
      <c r="B101" s="3" t="s">
        <v>145</v>
      </c>
      <c r="C101" s="3" t="s">
        <v>158</v>
      </c>
      <c r="K101" s="3">
        <v>99</v>
      </c>
      <c r="L101" s="4">
        <v>517.79999999999995</v>
      </c>
      <c r="M101" s="4">
        <v>0</v>
      </c>
      <c r="N101" s="4">
        <v>517.79999999999995</v>
      </c>
      <c r="O101" s="5">
        <f t="shared" si="12"/>
        <v>242.3304</v>
      </c>
      <c r="P101" s="5">
        <f t="shared" si="13"/>
        <v>58.940645062714644</v>
      </c>
      <c r="Q101" s="5">
        <f t="shared" si="14"/>
        <v>65.578956187566391</v>
      </c>
      <c r="R101" s="5">
        <v>33</v>
      </c>
      <c r="S101" s="5">
        <v>443.08495475265238</v>
      </c>
      <c r="T101" s="5">
        <f t="shared" si="15"/>
        <v>0</v>
      </c>
      <c r="U101" s="5">
        <f t="shared" si="16"/>
        <v>0</v>
      </c>
      <c r="V101" s="5" t="str">
        <f>IF($E$4="Embrousaillement",Tableau182986[[#This Row],[SOL]],"")</f>
        <v/>
      </c>
      <c r="W101" s="5" t="str">
        <f>IF($E$4="Embrousaillement",Tableau182986[[#This Row],[L]],"")</f>
        <v/>
      </c>
      <c r="X101" s="5">
        <v>9.1666666666666661</v>
      </c>
      <c r="Y101" s="5">
        <f t="shared" si="17"/>
        <v>0</v>
      </c>
      <c r="Z101" s="5">
        <f t="shared" si="18"/>
        <v>0</v>
      </c>
      <c r="AA101" s="5">
        <f t="shared" si="19"/>
        <v>0</v>
      </c>
      <c r="AB101" s="5" t="s">
        <v>166</v>
      </c>
      <c r="AC101" s="5" t="s">
        <v>166</v>
      </c>
      <c r="AD101" s="5" t="str">
        <f t="shared" si="20"/>
        <v/>
      </c>
      <c r="AE101" s="5" t="s">
        <v>166</v>
      </c>
      <c r="AF101" s="5" t="s">
        <v>166</v>
      </c>
      <c r="AG101" s="5" t="str">
        <f t="shared" si="21"/>
        <v/>
      </c>
      <c r="AH101" s="5" t="s">
        <v>166</v>
      </c>
      <c r="AI101" s="5" t="s">
        <v>166</v>
      </c>
      <c r="AJ101" s="5" t="str">
        <f t="shared" si="22"/>
        <v/>
      </c>
      <c r="AK101" s="5" t="str">
        <f t="shared" si="23"/>
        <v/>
      </c>
      <c r="AL101" s="7">
        <f>IF(Tableau182986[[#This Row],[Age]]&lt;&gt;"",IF(Tableau182986[[#This Row],[Age]]=0,$AT$10*$B$10+SUMIF($AS$21:$AS$29,Tableau182986[[#This Row],[Age]],$AU$21:$AU$29)*$B$10+$AT$11*$B$10,SUMIF($AS$21:$AS$29,Tableau182986[[#This Row],[Age]],$AU$21:$AU$29)*$B$10+$AT$11*$B$10),"")</f>
        <v>9</v>
      </c>
      <c r="AM101" s="7">
        <f>IF(Tableau182986[[#This Row],[Age]]&lt;&gt;"",IF(Tableau182986[[#This Row],[Age]]=$B$11,$AT$10*$B$10,0)+Tableau182986[[#This Row],[VBO]]*$AX$21*$B$10+Tableau182986[[#This Row],[VBI]]*$AX$22*$B$10+Tableau182986[[#This Row],[VBE]]*$AX$23*$B$10,"")</f>
        <v>0</v>
      </c>
      <c r="AN101" s="7">
        <v>0.11527357313083948</v>
      </c>
      <c r="AO101" s="7">
        <v>0</v>
      </c>
      <c r="AP101" s="7">
        <f>IF(Tableau182986[[#This Row],[Age]]&lt;&gt;"",Tableau182986[[#This Row],[RA]]-Tableau182986[[#This Row],[DA]],"")</f>
        <v>-0.11527357313083948</v>
      </c>
    </row>
    <row r="102" spans="1:42" ht="15" customHeight="1" x14ac:dyDescent="0.2">
      <c r="A102" s="3" t="s">
        <v>159</v>
      </c>
      <c r="B102" s="3" t="s">
        <v>145</v>
      </c>
      <c r="C102" s="3" t="s">
        <v>160</v>
      </c>
      <c r="K102" s="3">
        <v>100</v>
      </c>
      <c r="L102" s="4">
        <v>529</v>
      </c>
      <c r="M102" s="4">
        <v>0</v>
      </c>
      <c r="N102" s="4">
        <v>529</v>
      </c>
      <c r="O102" s="5">
        <f t="shared" si="12"/>
        <v>247.572</v>
      </c>
      <c r="P102" s="5">
        <f t="shared" si="13"/>
        <v>60.065726249156526</v>
      </c>
      <c r="Q102" s="5">
        <f t="shared" si="14"/>
        <v>65.655651413738866</v>
      </c>
      <c r="R102" s="5">
        <v>33.333333333333329</v>
      </c>
      <c r="S102" s="5">
        <v>449.38099197827279</v>
      </c>
      <c r="T102" s="5">
        <f t="shared" si="15"/>
        <v>0</v>
      </c>
      <c r="U102" s="5">
        <f t="shared" si="16"/>
        <v>0</v>
      </c>
      <c r="V102" s="5" t="str">
        <f>IF($E$4="Embrousaillement",Tableau182986[[#This Row],[SOL]],"")</f>
        <v/>
      </c>
      <c r="W102" s="5" t="str">
        <f>IF($E$4="Embrousaillement",Tableau182986[[#This Row],[L]],"")</f>
        <v/>
      </c>
      <c r="X102" s="5">
        <v>9.1666666666666661</v>
      </c>
      <c r="Y102" s="5">
        <f t="shared" si="17"/>
        <v>0</v>
      </c>
      <c r="Z102" s="5">
        <f t="shared" si="18"/>
        <v>0</v>
      </c>
      <c r="AA102" s="5">
        <f t="shared" si="19"/>
        <v>0</v>
      </c>
      <c r="AB102" s="5" t="s">
        <v>166</v>
      </c>
      <c r="AC102" s="5" t="s">
        <v>166</v>
      </c>
      <c r="AD102" s="5" t="str">
        <f t="shared" si="20"/>
        <v/>
      </c>
      <c r="AE102" s="5" t="s">
        <v>166</v>
      </c>
      <c r="AF102" s="5" t="s">
        <v>166</v>
      </c>
      <c r="AG102" s="5" t="str">
        <f t="shared" si="21"/>
        <v/>
      </c>
      <c r="AH102" s="5" t="s">
        <v>166</v>
      </c>
      <c r="AI102" s="5" t="s">
        <v>166</v>
      </c>
      <c r="AJ102" s="5" t="str">
        <f t="shared" si="22"/>
        <v/>
      </c>
      <c r="AK102" s="5" t="str">
        <f t="shared" si="23"/>
        <v/>
      </c>
      <c r="AL102" s="7">
        <f>IF(Tableau182986[[#This Row],[Age]]&lt;&gt;"",IF(Tableau182986[[#This Row],[Age]]=0,$AT$10*$B$10+SUMIF($AS$21:$AS$29,Tableau182986[[#This Row],[Age]],$AU$21:$AU$29)*$B$10+$AT$11*$B$10,SUMIF($AS$21:$AS$29,Tableau182986[[#This Row],[Age]],$AU$21:$AU$29)*$B$10+$AT$11*$B$10),"")</f>
        <v>9</v>
      </c>
      <c r="AM102" s="7">
        <f>IF(Tableau182986[[#This Row],[Age]]&lt;&gt;"",IF(Tableau182986[[#This Row],[Age]]=$B$11,$AT$10*$B$10,0)+Tableau182986[[#This Row],[VBO]]*$AX$21*$B$10+Tableau182986[[#This Row],[VBI]]*$AX$22*$B$10+Tableau182986[[#This Row],[VBE]]*$AX$23*$B$10,"")</f>
        <v>0</v>
      </c>
      <c r="AN102" s="7">
        <v>0.11030963935965504</v>
      </c>
      <c r="AO102" s="7">
        <v>0</v>
      </c>
      <c r="AP102" s="7">
        <f>IF(Tableau182986[[#This Row],[Age]]&lt;&gt;"",Tableau182986[[#This Row],[RA]]-Tableau182986[[#This Row],[DA]],"")</f>
        <v>-0.11030963935965504</v>
      </c>
    </row>
    <row r="103" spans="1:42" ht="15" customHeight="1" x14ac:dyDescent="0.2">
      <c r="K103" s="3">
        <v>101</v>
      </c>
      <c r="L103" s="4">
        <v>539.19999999999982</v>
      </c>
      <c r="M103" s="4">
        <v>0</v>
      </c>
      <c r="N103" s="4">
        <v>539.19999999999982</v>
      </c>
      <c r="O103" s="5">
        <f>IF(K103&lt;&gt;"",N103*$B$7*$B$8,"")</f>
        <v>252.34559999999993</v>
      </c>
      <c r="P103" s="5">
        <f>IF(K103&lt;&gt;"",IF(O103&gt;0,EXP(-1.0587+0.8836*LN(O103)+0.284),0),"")</f>
        <v>61.087942472343123</v>
      </c>
      <c r="Q103" s="5">
        <f>IF(K103&lt;&gt;"",45+25*(1-EXP(-0.0175*K103)),"")</f>
        <v>65.731016149202105</v>
      </c>
      <c r="R103" s="5">
        <v>33.666666666666664</v>
      </c>
      <c r="S103" s="5">
        <v>455.17746173209144</v>
      </c>
      <c r="T103" s="5">
        <f>IF(AND(K103&lt;=$E$11,K103&lt;&gt;"",K103&gt;0),IF($E$4="Embrousaillement",1*K103*$E$7*$E$8,0),"")</f>
        <v>0</v>
      </c>
      <c r="U103" s="5">
        <f>IF(AND(K103&lt;=$E$11,K103&lt;&gt;"",K103&gt;0),IF($E$4="Embrousaillement",EXP(-1.0587+0.8836*LN(T103)+0.284),0),"")</f>
        <v>0</v>
      </c>
      <c r="V103" s="5" t="str">
        <f>IF($E$4="Embrousaillement",Tableau182986[[#This Row],[SOL]],"")</f>
        <v/>
      </c>
      <c r="W103" s="5" t="str">
        <f>IF($E$4="Embrousaillement",Tableau182986[[#This Row],[L]],"")</f>
        <v/>
      </c>
      <c r="X103" s="5">
        <v>9.1666666666666661</v>
      </c>
      <c r="Y103" s="5">
        <f>IF(K103&lt;&gt;"",IF(M103&gt;0,IF($K103&gt;=$AT$7,$AU$7,IF(AND($K103&gt;=$AT$6,$K103&lt;$AT$7),$AU$6,IF(AND($K103&gt;=$AT$5,$K103&lt;$AT$6),$AU$5,IF(AND($K103&gt;=$AT$4,$K103&lt;$AT$5),$AU$4,$AU$4))))*M103,0),"")</f>
        <v>0</v>
      </c>
      <c r="Z103" s="5">
        <f>IF(K103&lt;&gt;"",IF(M103&gt;0,IF($K103&gt;=$AT$7,$AV$7,IF(AND($K103&gt;=$AT$6,$K103&lt;$AT$7),$AV$6,IF(AND($K103&gt;=$AT$5,$K103&lt;$AT$6),$AV$5,IF(AND($K103&gt;=$AT$4,$K103&lt;$AT$5),$AV$4,$AV$4))))*M103,0),"")</f>
        <v>0</v>
      </c>
      <c r="AA103" s="5">
        <f>IF(K103&lt;&gt;"",IF(M103&gt;0,IF($K103&gt;=$AT$7,$AW$7,IF(AND($K103&gt;=$AT$6,$K103&lt;$AT$7),$AW$6,IF(AND($K103&gt;=$AT$5,$K103&lt;$AT$6),$AW$5,IF(AND($K103&gt;=$AT$4,$K103&lt;$AT$5),$AW$4,$AW$4))))*M103,0),"")</f>
        <v>0</v>
      </c>
      <c r="AB103" s="5" t="s">
        <v>166</v>
      </c>
      <c r="AC103" s="5" t="s">
        <v>166</v>
      </c>
      <c r="AD103" s="5" t="str">
        <f>IF(AND(K103&lt;=30,K103&lt;&gt;"",K103&gt;0),EXP(-AC103)*IF(K103=1,0,AD102)+(((1-EXP(-AC103))/AC103)*AB103),"")</f>
        <v/>
      </c>
      <c r="AE103" s="5" t="s">
        <v>166</v>
      </c>
      <c r="AF103" s="5" t="s">
        <v>166</v>
      </c>
      <c r="AG103" s="5" t="str">
        <f>IF(AND(K103&lt;=30,K103&lt;&gt;"",K103&gt;0),EXP(-AF103)*IF(K103=1,0,AG102)+(((1-EXP(-AF103))/AF103)*AE103),"")</f>
        <v/>
      </c>
      <c r="AH103" s="5" t="s">
        <v>166</v>
      </c>
      <c r="AI103" s="5" t="s">
        <v>166</v>
      </c>
      <c r="AJ103" s="5" t="str">
        <f>IF(AND(K103&lt;=30,K103&lt;&gt;"",K103&gt;0),EXP(-AI103)*IF(K103=1,0,AJ102)+(((1-EXP(-AI103))/AI103)*AH103),"")</f>
        <v/>
      </c>
      <c r="AK103" s="5" t="str">
        <f>IF(AND(K103&lt;=30,K103&lt;&gt;""),SUM(Y103:AA103)*$B$10,"")</f>
        <v/>
      </c>
      <c r="AL103" s="7">
        <f>IF(Tableau182986[[#This Row],[Age]]&lt;&gt;"",IF(Tableau182986[[#This Row],[Age]]=0,$AT$10*$B$10+SUMIF($AS$21:$AS$29,Tableau182986[[#This Row],[Age]],$AU$21:$AU$29)*$B$10+$AT$11*$B$10,SUMIF($AS$21:$AS$29,Tableau182986[[#This Row],[Age]],$AU$21:$AU$29)*$B$10+$AT$11*$B$10),"")</f>
        <v>9</v>
      </c>
      <c r="AM103" s="7">
        <f>IF(Tableau182986[[#This Row],[Age]]&lt;&gt;"",IF(Tableau182986[[#This Row],[Age]]=$B$11,$AT$10*$B$10,0)+Tableau182986[[#This Row],[VBO]]*$AX$21*$B$10+Tableau182986[[#This Row],[VBI]]*$AX$22*$B$10+Tableau182986[[#This Row],[VBE]]*$AX$23*$B$10,"")</f>
        <v>0</v>
      </c>
      <c r="AN103" s="7">
        <v>0.10555946350206225</v>
      </c>
      <c r="AO103" s="7">
        <v>0</v>
      </c>
      <c r="AP103" s="7">
        <f>IF(Tableau182986[[#This Row],[Age]]&lt;&gt;"",Tableau182986[[#This Row],[RA]]-Tableau182986[[#This Row],[DA]],"")</f>
        <v>-0.10555946350206225</v>
      </c>
    </row>
    <row r="104" spans="1:42" ht="15" customHeight="1" x14ac:dyDescent="0.2">
      <c r="K104" s="3">
        <v>102</v>
      </c>
      <c r="L104" s="4">
        <v>549.39999999999986</v>
      </c>
      <c r="M104" s="4">
        <v>0</v>
      </c>
      <c r="N104" s="4">
        <v>549.39999999999986</v>
      </c>
      <c r="O104" s="5">
        <f>IF(K104&lt;&gt;"",N104*$B$7*$B$8,"")</f>
        <v>257.11919999999992</v>
      </c>
      <c r="P104" s="5">
        <f>IF(K104&lt;&gt;"",IF(O104&gt;0,EXP(-1.0587+0.8836*LN(O104)+0.284),0),"")</f>
        <v>62.107910182723955</v>
      </c>
      <c r="Q104" s="5">
        <f>IF(K104&lt;&gt;"",45+25*(1-EXP(-0.0175*K104)),"")</f>
        <v>65.805073474995353</v>
      </c>
      <c r="R104" s="5">
        <v>34</v>
      </c>
      <c r="S104" s="5">
        <v>460.96957648828021</v>
      </c>
      <c r="T104" s="5">
        <f>IF(AND(K104&lt;=$E$11,K104&lt;&gt;"",K104&gt;0),IF($E$4="Embrousaillement",1*K104*$E$7*$E$8,0),"")</f>
        <v>0</v>
      </c>
      <c r="U104" s="5">
        <f>IF(AND(K104&lt;=$E$11,K104&lt;&gt;"",K104&gt;0),IF($E$4="Embrousaillement",EXP(-1.0587+0.8836*LN(T104)+0.284),0),"")</f>
        <v>0</v>
      </c>
      <c r="V104" s="5" t="str">
        <f>IF($E$4="Embrousaillement",Tableau182986[[#This Row],[SOL]],"")</f>
        <v/>
      </c>
      <c r="W104" s="5" t="str">
        <f>IF($E$4="Embrousaillement",Tableau182986[[#This Row],[L]],"")</f>
        <v/>
      </c>
      <c r="X104" s="5">
        <v>9.1666666666666661</v>
      </c>
      <c r="Y104" s="5">
        <f>IF(K104&lt;&gt;"",IF(M104&gt;0,IF($K104&gt;=$AT$7,$AU$7,IF(AND($K104&gt;=$AT$6,$K104&lt;$AT$7),$AU$6,IF(AND($K104&gt;=$AT$5,$K104&lt;$AT$6),$AU$5,IF(AND($K104&gt;=$AT$4,$K104&lt;$AT$5),$AU$4,$AU$4))))*M104,0),"")</f>
        <v>0</v>
      </c>
      <c r="Z104" s="5">
        <f>IF(K104&lt;&gt;"",IF(M104&gt;0,IF($K104&gt;=$AT$7,$AV$7,IF(AND($K104&gt;=$AT$6,$K104&lt;$AT$7),$AV$6,IF(AND($K104&gt;=$AT$5,$K104&lt;$AT$6),$AV$5,IF(AND($K104&gt;=$AT$4,$K104&lt;$AT$5),$AV$4,$AV$4))))*M104,0),"")</f>
        <v>0</v>
      </c>
      <c r="AA104" s="5">
        <f>IF(K104&lt;&gt;"",IF(M104&gt;0,IF($K104&gt;=$AT$7,$AW$7,IF(AND($K104&gt;=$AT$6,$K104&lt;$AT$7),$AW$6,IF(AND($K104&gt;=$AT$5,$K104&lt;$AT$6),$AW$5,IF(AND($K104&gt;=$AT$4,$K104&lt;$AT$5),$AW$4,$AW$4))))*M104,0),"")</f>
        <v>0</v>
      </c>
      <c r="AB104" s="5" t="s">
        <v>166</v>
      </c>
      <c r="AC104" s="5" t="s">
        <v>166</v>
      </c>
      <c r="AD104" s="5" t="str">
        <f>IF(AND(K104&lt;=30,K104&lt;&gt;"",K104&gt;0),EXP(-AC104)*IF(K104=1,0,AD103)+(((1-EXP(-AC104))/AC104)*AB104),"")</f>
        <v/>
      </c>
      <c r="AE104" s="5" t="s">
        <v>166</v>
      </c>
      <c r="AF104" s="5" t="s">
        <v>166</v>
      </c>
      <c r="AG104" s="5" t="str">
        <f>IF(AND(K104&lt;=30,K104&lt;&gt;"",K104&gt;0),EXP(-AF104)*IF(K104=1,0,AG103)+(((1-EXP(-AF104))/AF104)*AE104),"")</f>
        <v/>
      </c>
      <c r="AH104" s="5" t="s">
        <v>166</v>
      </c>
      <c r="AI104" s="5" t="s">
        <v>166</v>
      </c>
      <c r="AJ104" s="5" t="str">
        <f>IF(AND(K104&lt;=30,K104&lt;&gt;"",K104&gt;0),EXP(-AI104)*IF(K104=1,0,AJ103)+(((1-EXP(-AI104))/AI104)*AH104),"")</f>
        <v/>
      </c>
      <c r="AK104" s="5" t="str">
        <f>IF(AND(K104&lt;=30,K104&lt;&gt;""),SUM(Y104:AA104)*$B$10,"")</f>
        <v/>
      </c>
      <c r="AL104" s="7">
        <f>IF(Tableau182986[[#This Row],[Age]]&lt;&gt;"",IF(Tableau182986[[#This Row],[Age]]=0,$AT$10*$B$10+SUMIF($AS$21:$AS$29,Tableau182986[[#This Row],[Age]],$AU$21:$AU$29)*$B$10+$AT$11*$B$10,SUMIF($AS$21:$AS$29,Tableau182986[[#This Row],[Age]],$AU$21:$AU$29)*$B$10+$AT$11*$B$10),"")</f>
        <v>9</v>
      </c>
      <c r="AM104" s="7">
        <f>IF(Tableau182986[[#This Row],[Age]]&lt;&gt;"",IF(Tableau182986[[#This Row],[Age]]=$B$11,$AT$10*$B$10,0)+Tableau182986[[#This Row],[VBO]]*$AX$21*$B$10+Tableau182986[[#This Row],[VBI]]*$AX$22*$B$10+Tableau182986[[#This Row],[VBE]]*$AX$23*$B$10,"")</f>
        <v>0</v>
      </c>
      <c r="AN104" s="7">
        <v>0.1010138406718299</v>
      </c>
      <c r="AO104" s="7">
        <v>0</v>
      </c>
      <c r="AP104" s="7">
        <f>IF(Tableau182986[[#This Row],[Age]]&lt;&gt;"",Tableau182986[[#This Row],[RA]]-Tableau182986[[#This Row],[DA]],"")</f>
        <v>-0.1010138406718299</v>
      </c>
    </row>
    <row r="105" spans="1:42" ht="15" customHeight="1" x14ac:dyDescent="0.2">
      <c r="K105" s="3">
        <v>103</v>
      </c>
      <c r="L105" s="4">
        <v>559.59999999999991</v>
      </c>
      <c r="M105" s="4">
        <v>0</v>
      </c>
      <c r="N105" s="4">
        <v>559.59999999999991</v>
      </c>
      <c r="O105" s="5">
        <f>IF(K105&lt;&gt;"",N105*$B$7*$B$8,"")</f>
        <v>261.89279999999997</v>
      </c>
      <c r="P105" s="5">
        <f>IF(K105&lt;&gt;"",IF(O105&gt;0,EXP(-1.0587+0.8836*LN(O105)+0.284),0),"")</f>
        <v>63.125675939750188</v>
      </c>
      <c r="Q105" s="5">
        <f>IF(K105&lt;&gt;"",45+25*(1-EXP(-0.0175*K105)),"")</f>
        <v>65.877846071753467</v>
      </c>
      <c r="R105" s="5">
        <v>34.333333333333329</v>
      </c>
      <c r="S105" s="5">
        <v>466.75741837352484</v>
      </c>
      <c r="T105" s="5">
        <f>IF(AND(K105&lt;=$E$11,K105&lt;&gt;"",K105&gt;0),IF($E$4="Embrousaillement",1*K105*$E$7*$E$8,0),"")</f>
        <v>0</v>
      </c>
      <c r="U105" s="5">
        <f>IF(AND(K105&lt;=$E$11,K105&lt;&gt;"",K105&gt;0),IF($E$4="Embrousaillement",EXP(-1.0587+0.8836*LN(T105)+0.284),0),"")</f>
        <v>0</v>
      </c>
      <c r="V105" s="5" t="str">
        <f>IF($E$4="Embrousaillement",Tableau182986[[#This Row],[SOL]],"")</f>
        <v/>
      </c>
      <c r="W105" s="5" t="str">
        <f>IF($E$4="Embrousaillement",Tableau182986[[#This Row],[L]],"")</f>
        <v/>
      </c>
      <c r="X105" s="5">
        <v>9.1666666666666661</v>
      </c>
      <c r="Y105" s="5">
        <f>IF(K105&lt;&gt;"",IF(M105&gt;0,IF($K105&gt;=$AT$7,$AU$7,IF(AND($K105&gt;=$AT$6,$K105&lt;$AT$7),$AU$6,IF(AND($K105&gt;=$AT$5,$K105&lt;$AT$6),$AU$5,IF(AND($K105&gt;=$AT$4,$K105&lt;$AT$5),$AU$4,$AU$4))))*M105,0),"")</f>
        <v>0</v>
      </c>
      <c r="Z105" s="5">
        <f>IF(K105&lt;&gt;"",IF(M105&gt;0,IF($K105&gt;=$AT$7,$AV$7,IF(AND($K105&gt;=$AT$6,$K105&lt;$AT$7),$AV$6,IF(AND($K105&gt;=$AT$5,$K105&lt;$AT$6),$AV$5,IF(AND($K105&gt;=$AT$4,$K105&lt;$AT$5),$AV$4,$AV$4))))*M105,0),"")</f>
        <v>0</v>
      </c>
      <c r="AA105" s="5">
        <f>IF(K105&lt;&gt;"",IF(M105&gt;0,IF($K105&gt;=$AT$7,$AW$7,IF(AND($K105&gt;=$AT$6,$K105&lt;$AT$7),$AW$6,IF(AND($K105&gt;=$AT$5,$K105&lt;$AT$6),$AW$5,IF(AND($K105&gt;=$AT$4,$K105&lt;$AT$5),$AW$4,$AW$4))))*M105,0),"")</f>
        <v>0</v>
      </c>
      <c r="AB105" s="5" t="s">
        <v>166</v>
      </c>
      <c r="AC105" s="5" t="s">
        <v>166</v>
      </c>
      <c r="AD105" s="5" t="str">
        <f>IF(AND(K105&lt;=30,K105&lt;&gt;"",K105&gt;0),EXP(-AC105)*IF(K105=1,0,AD104)+(((1-EXP(-AC105))/AC105)*AB105),"")</f>
        <v/>
      </c>
      <c r="AE105" s="5" t="s">
        <v>166</v>
      </c>
      <c r="AF105" s="5" t="s">
        <v>166</v>
      </c>
      <c r="AG105" s="5" t="str">
        <f>IF(AND(K105&lt;=30,K105&lt;&gt;"",K105&gt;0),EXP(-AF105)*IF(K105=1,0,AG104)+(((1-EXP(-AF105))/AF105)*AE105),"")</f>
        <v/>
      </c>
      <c r="AH105" s="5" t="s">
        <v>166</v>
      </c>
      <c r="AI105" s="5" t="s">
        <v>166</v>
      </c>
      <c r="AJ105" s="5" t="str">
        <f>IF(AND(K105&lt;=30,K105&lt;&gt;"",K105&gt;0),EXP(-AI105)*IF(K105=1,0,AJ104)+(((1-EXP(-AI105))/AI105)*AH105),"")</f>
        <v/>
      </c>
      <c r="AK105" s="5" t="str">
        <f>IF(AND(K105&lt;=30,K105&lt;&gt;""),SUM(Y105:AA105)*$B$10,"")</f>
        <v/>
      </c>
      <c r="AL105" s="7">
        <f>IF(Tableau182986[[#This Row],[Age]]&lt;&gt;"",IF(Tableau182986[[#This Row],[Age]]=0,$AT$10*$B$10+SUMIF($AS$21:$AS$29,Tableau182986[[#This Row],[Age]],$AU$21:$AU$29)*$B$10+$AT$11*$B$10,SUMIF($AS$21:$AS$29,Tableau182986[[#This Row],[Age]],$AU$21:$AU$29)*$B$10+$AT$11*$B$10),"")</f>
        <v>9</v>
      </c>
      <c r="AM105" s="7">
        <f>IF(Tableau182986[[#This Row],[Age]]&lt;&gt;"",IF(Tableau182986[[#This Row],[Age]]=$B$11,$AT$10*$B$10,0)+Tableau182986[[#This Row],[VBO]]*$AX$21*$B$10+Tableau182986[[#This Row],[VBI]]*$AX$22*$B$10+Tableau182986[[#This Row],[VBE]]*$AX$23*$B$10,"")</f>
        <v>0</v>
      </c>
      <c r="AN105" s="7">
        <v>9.6663962365387462E-2</v>
      </c>
      <c r="AO105" s="7">
        <v>0</v>
      </c>
      <c r="AP105" s="7">
        <f>IF(Tableau182986[[#This Row],[Age]]&lt;&gt;"",Tableau182986[[#This Row],[RA]]-Tableau182986[[#This Row],[DA]],"")</f>
        <v>-9.6663962365387462E-2</v>
      </c>
    </row>
    <row r="106" spans="1:42" ht="15" customHeight="1" x14ac:dyDescent="0.2">
      <c r="K106" s="3">
        <v>104</v>
      </c>
      <c r="L106" s="4">
        <v>569.79999999999995</v>
      </c>
      <c r="M106" s="4">
        <v>0</v>
      </c>
      <c r="N106" s="4">
        <v>569.79999999999995</v>
      </c>
      <c r="O106" s="5">
        <f>IF(K106&lt;&gt;"",N106*$B$7*$B$8,"")</f>
        <v>266.66640000000001</v>
      </c>
      <c r="P106" s="5">
        <f>IF(K106&lt;&gt;"",IF(O106&gt;0,EXP(-1.0587+0.8836*LN(O106)+0.284),0),"")</f>
        <v>64.141284508389361</v>
      </c>
      <c r="Q106" s="5">
        <f>IF(K106&lt;&gt;"",45+25*(1-EXP(-0.0175*K106)),"")</f>
        <v>65.949356226652981</v>
      </c>
      <c r="R106" s="5">
        <v>34.666666666666664</v>
      </c>
      <c r="S106" s="5">
        <v>472.54106723047505</v>
      </c>
      <c r="T106" s="5">
        <f>IF(AND(K106&lt;=$E$11,K106&lt;&gt;"",K106&gt;0),IF($E$4="Embrousaillement",1*K106*$E$7*$E$8,0),"")</f>
        <v>0</v>
      </c>
      <c r="U106" s="5">
        <f>IF(AND(K106&lt;=$E$11,K106&lt;&gt;"",K106&gt;0),IF($E$4="Embrousaillement",EXP(-1.0587+0.8836*LN(T106)+0.284),0),"")</f>
        <v>0</v>
      </c>
      <c r="V106" s="5" t="str">
        <f>IF($E$4="Embrousaillement",Tableau182986[[#This Row],[SOL]],"")</f>
        <v/>
      </c>
      <c r="W106" s="5" t="str">
        <f>IF($E$4="Embrousaillement",Tableau182986[[#This Row],[L]],"")</f>
        <v/>
      </c>
      <c r="X106" s="5">
        <v>9.1666666666666661</v>
      </c>
      <c r="Y106" s="5">
        <f>IF(K106&lt;&gt;"",IF(M106&gt;0,IF($K106&gt;=$AT$7,$AU$7,IF(AND($K106&gt;=$AT$6,$K106&lt;$AT$7),$AU$6,IF(AND($K106&gt;=$AT$5,$K106&lt;$AT$6),$AU$5,IF(AND($K106&gt;=$AT$4,$K106&lt;$AT$5),$AU$4,$AU$4))))*M106,0),"")</f>
        <v>0</v>
      </c>
      <c r="Z106" s="5">
        <f>IF(K106&lt;&gt;"",IF(M106&gt;0,IF($K106&gt;=$AT$7,$AV$7,IF(AND($K106&gt;=$AT$6,$K106&lt;$AT$7),$AV$6,IF(AND($K106&gt;=$AT$5,$K106&lt;$AT$6),$AV$5,IF(AND($K106&gt;=$AT$4,$K106&lt;$AT$5),$AV$4,$AV$4))))*M106,0),"")</f>
        <v>0</v>
      </c>
      <c r="AA106" s="5">
        <f>IF(K106&lt;&gt;"",IF(M106&gt;0,IF($K106&gt;=$AT$7,$AW$7,IF(AND($K106&gt;=$AT$6,$K106&lt;$AT$7),$AW$6,IF(AND($K106&gt;=$AT$5,$K106&lt;$AT$6),$AW$5,IF(AND($K106&gt;=$AT$4,$K106&lt;$AT$5),$AW$4,$AW$4))))*M106,0),"")</f>
        <v>0</v>
      </c>
      <c r="AB106" s="5" t="s">
        <v>166</v>
      </c>
      <c r="AC106" s="5" t="s">
        <v>166</v>
      </c>
      <c r="AD106" s="5" t="str">
        <f>IF(AND(K106&lt;=30,K106&lt;&gt;"",K106&gt;0),EXP(-AC106)*IF(K106=1,0,AD105)+(((1-EXP(-AC106))/AC106)*AB106),"")</f>
        <v/>
      </c>
      <c r="AE106" s="5" t="s">
        <v>166</v>
      </c>
      <c r="AF106" s="5" t="s">
        <v>166</v>
      </c>
      <c r="AG106" s="5" t="str">
        <f>IF(AND(K106&lt;=30,K106&lt;&gt;"",K106&gt;0),EXP(-AF106)*IF(K106=1,0,AG105)+(((1-EXP(-AF106))/AF106)*AE106),"")</f>
        <v/>
      </c>
      <c r="AH106" s="5" t="s">
        <v>166</v>
      </c>
      <c r="AI106" s="5" t="s">
        <v>166</v>
      </c>
      <c r="AJ106" s="5" t="str">
        <f>IF(AND(K106&lt;=30,K106&lt;&gt;"",K106&gt;0),EXP(-AI106)*IF(K106=1,0,AJ105)+(((1-EXP(-AI106))/AI106)*AH106),"")</f>
        <v/>
      </c>
      <c r="AK106" s="5" t="str">
        <f>IF(AND(K106&lt;=30,K106&lt;&gt;""),SUM(Y106:AA106)*$B$10,"")</f>
        <v/>
      </c>
      <c r="AL106" s="7">
        <f>IF(Tableau182986[[#This Row],[Age]]&lt;&gt;"",IF(Tableau182986[[#This Row],[Age]]=0,$AT$10*$B$10+SUMIF($AS$21:$AS$29,Tableau182986[[#This Row],[Age]],$AU$21:$AU$29)*$B$10+$AT$11*$B$10,SUMIF($AS$21:$AS$29,Tableau182986[[#This Row],[Age]],$AU$21:$AU$29)*$B$10+$AT$11*$B$10),"")</f>
        <v>9</v>
      </c>
      <c r="AM106" s="7">
        <f>IF(Tableau182986[[#This Row],[Age]]&lt;&gt;"",IF(Tableau182986[[#This Row],[Age]]=$B$11,$AT$10*$B$10,0)+Tableau182986[[#This Row],[VBO]]*$AX$21*$B$10+Tableau182986[[#This Row],[VBI]]*$AX$22*$B$10+Tableau182986[[#This Row],[VBE]]*$AX$23*$B$10,"")</f>
        <v>0</v>
      </c>
      <c r="AN106" s="7">
        <v>9.2501399392715303E-2</v>
      </c>
      <c r="AO106" s="7">
        <v>0</v>
      </c>
      <c r="AP106" s="7">
        <f>IF(Tableau182986[[#This Row],[Age]]&lt;&gt;"",Tableau182986[[#This Row],[RA]]-Tableau182986[[#This Row],[DA]],"")</f>
        <v>-9.2501399392715303E-2</v>
      </c>
    </row>
    <row r="107" spans="1:42" ht="15" customHeight="1" x14ac:dyDescent="0.2">
      <c r="K107" s="3">
        <v>105</v>
      </c>
      <c r="L107" s="4">
        <v>580</v>
      </c>
      <c r="M107" s="4">
        <v>580</v>
      </c>
      <c r="N107" s="4">
        <v>0</v>
      </c>
      <c r="O107" s="5">
        <f>IF(K107&lt;&gt;"",N107*$B$7*$B$8,"")</f>
        <v>0</v>
      </c>
      <c r="P107" s="5">
        <f>IF(K107&lt;&gt;"",IF(O107&gt;0,EXP(-1.0587+0.8836*LN(O107)+0.284),0),"")</f>
        <v>0</v>
      </c>
      <c r="Q107" s="5">
        <f>IF(K107&lt;&gt;"",45+25*(1-EXP(-0.0175*K107)),"")</f>
        <v>66.019625840237751</v>
      </c>
      <c r="R107" s="5">
        <v>35</v>
      </c>
      <c r="S107" s="5">
        <v>185.2026473737692</v>
      </c>
      <c r="T107" s="5">
        <f>IF(AND(K107&lt;=$E$11,K107&lt;&gt;"",K107&gt;0),IF($E$4="Embrousaillement",1*K107*$E$7*$E$8,0),"")</f>
        <v>0</v>
      </c>
      <c r="U107" s="5">
        <f>IF(AND(K107&lt;=$E$11,K107&lt;&gt;"",K107&gt;0),IF($E$4="Embrousaillement",EXP(-1.0587+0.8836*LN(T107)+0.284),0),"")</f>
        <v>0</v>
      </c>
      <c r="V107" s="5" t="str">
        <f>IF($E$4="Embrousaillement",Tableau182986[[#This Row],[SOL]],"")</f>
        <v/>
      </c>
      <c r="W107" s="5" t="str">
        <f>IF($E$4="Embrousaillement",Tableau182986[[#This Row],[L]],"")</f>
        <v/>
      </c>
      <c r="X107" s="5">
        <v>9.1666666666666661</v>
      </c>
      <c r="Y107" s="5">
        <f>IF(K107&lt;&gt;"",IF(M107&gt;0,IF($K107&gt;=$AT$7,$AU$7,IF(AND($K107&gt;=$AT$6,$K107&lt;$AT$7),$AU$6,IF(AND($K107&gt;=$AT$5,$K107&lt;$AT$6),$AU$5,IF(AND($K107&gt;=$AT$4,$K107&lt;$AT$5),$AU$4,$AU$4))))*M107,0),"")</f>
        <v>406</v>
      </c>
      <c r="Z107" s="5">
        <f>IF(K107&lt;&gt;"",IF(M107&gt;0,IF($K107&gt;=$AT$7,$AV$7,IF(AND($K107&gt;=$AT$6,$K107&lt;$AT$7),$AV$6,IF(AND($K107&gt;=$AT$5,$K107&lt;$AT$6),$AV$5,IF(AND($K107&gt;=$AT$4,$K107&lt;$AT$5),$AV$4,$AV$4))))*M107,0),"")</f>
        <v>174</v>
      </c>
      <c r="AA107" s="5">
        <f>IF(K107&lt;&gt;"",IF(M107&gt;0,IF($K107&gt;=$AT$7,$AW$7,IF(AND($K107&gt;=$AT$6,$K107&lt;$AT$7),$AW$6,IF(AND($K107&gt;=$AT$5,$K107&lt;$AT$6),$AW$5,IF(AND($K107&gt;=$AT$4,$K107&lt;$AT$5),$AW$4,$AW$4))))*M107,0),"")</f>
        <v>0</v>
      </c>
      <c r="AB107" s="5" t="s">
        <v>166</v>
      </c>
      <c r="AC107" s="5" t="s">
        <v>166</v>
      </c>
      <c r="AD107" s="5" t="str">
        <f>IF(AND(K107&lt;=30,K107&lt;&gt;"",K107&gt;0),EXP(-AC107)*IF(K107=1,0,AD106)+(((1-EXP(-AC107))/AC107)*AB107),"")</f>
        <v/>
      </c>
      <c r="AE107" s="5" t="s">
        <v>166</v>
      </c>
      <c r="AF107" s="5" t="s">
        <v>166</v>
      </c>
      <c r="AG107" s="5" t="str">
        <f>IF(AND(K107&lt;=30,K107&lt;&gt;"",K107&gt;0),EXP(-AF107)*IF(K107=1,0,AG106)+(((1-EXP(-AF107))/AF107)*AE107),"")</f>
        <v/>
      </c>
      <c r="AH107" s="5" t="s">
        <v>166</v>
      </c>
      <c r="AI107" s="5" t="s">
        <v>166</v>
      </c>
      <c r="AJ107" s="5" t="str">
        <f>IF(AND(K107&lt;=30,K107&lt;&gt;"",K107&gt;0),EXP(-AI107)*IF(K107=1,0,AJ106)+(((1-EXP(-AI107))/AI107)*AH107),"")</f>
        <v/>
      </c>
      <c r="AK107" s="5" t="str">
        <f>IF(AND(K107&lt;=30,K107&lt;&gt;""),SUM(Y107:AA107)*$B$10,"")</f>
        <v/>
      </c>
      <c r="AL107" s="7">
        <f>IF(Tableau182986[[#This Row],[Age]]&lt;&gt;"",IF(Tableau182986[[#This Row],[Age]]=0,$AT$10*$B$10+SUMIF($AS$21:$AS$29,Tableau182986[[#This Row],[Age]],$AU$21:$AU$29)*$B$10+$AT$11*$B$10,SUMIF($AS$21:$AS$29,Tableau182986[[#This Row],[Age]],$AU$21:$AU$29)*$B$10+$AT$11*$B$10),"")</f>
        <v>9</v>
      </c>
      <c r="AM107" s="7">
        <f>IF(Tableau182986[[#This Row],[Age]]&lt;&gt;"",IF(Tableau182986[[#This Row],[Age]]=$B$11,$AT$10*$B$10,0)+Tableau182986[[#This Row],[VBO]]*$AX$21*$B$10+Tableau182986[[#This Row],[VBI]]*$AX$22*$B$10+Tableau182986[[#This Row],[VBE]]*$AX$23*$B$10,"")</f>
        <v>12615</v>
      </c>
      <c r="AN107" s="7">
        <v>8.8518085543268246E-2</v>
      </c>
      <c r="AO107" s="7">
        <v>124.07284990314766</v>
      </c>
      <c r="AP107" s="7">
        <f>IF(Tableau182986[[#This Row],[Age]]&lt;&gt;"",Tableau182986[[#This Row],[RA]]-Tableau182986[[#This Row],[DA]],"")</f>
        <v>123.98433181760439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AAFF8A-EB64-44F4-9536-3C3D3EBC4BED}">
  <dimension ref="A1:AX102"/>
  <sheetViews>
    <sheetView workbookViewId="0">
      <selection activeCell="B1" sqref="B1"/>
    </sheetView>
  </sheetViews>
  <sheetFormatPr baseColWidth="10" defaultColWidth="14" defaultRowHeight="15" x14ac:dyDescent="0.2"/>
  <cols>
    <col min="1" max="1" width="15.28515625" style="3" customWidth="1"/>
    <col min="2" max="2" width="14" style="3"/>
    <col min="3" max="3" width="7.140625" style="3" customWidth="1"/>
    <col min="4" max="5" width="14" style="3"/>
    <col min="6" max="6" width="7.140625" style="3" customWidth="1"/>
    <col min="7" max="8" width="14" style="3"/>
    <col min="9" max="9" width="7.140625" style="3" customWidth="1"/>
    <col min="10" max="10" width="11.7109375" style="3" customWidth="1"/>
    <col min="11" max="21" width="10.7109375" style="3" customWidth="1"/>
    <col min="22" max="23" width="14" style="3"/>
    <col min="24" max="24" width="10.7109375" style="3" customWidth="1"/>
    <col min="25" max="27" width="14" style="3"/>
    <col min="28" max="28" width="10.7109375" style="3" customWidth="1"/>
    <col min="29" max="29" width="14" style="3"/>
    <col min="30" max="31" width="10.7109375" style="3" customWidth="1"/>
    <col min="32" max="32" width="14" style="3"/>
    <col min="33" max="34" width="10.7109375" style="3" customWidth="1"/>
    <col min="35" max="35" width="14" style="3"/>
    <col min="36" max="42" width="10.7109375" style="3" customWidth="1"/>
    <col min="43" max="43" width="7.140625" style="3" customWidth="1"/>
    <col min="44" max="16384" width="14" style="3"/>
  </cols>
  <sheetData>
    <row r="1" spans="1:49" ht="15" customHeight="1" x14ac:dyDescent="0.25">
      <c r="A1" s="1" t="s">
        <v>0</v>
      </c>
      <c r="B1" s="2">
        <v>6</v>
      </c>
      <c r="K1" s="3" t="s">
        <v>1</v>
      </c>
      <c r="L1" s="3" t="s">
        <v>2</v>
      </c>
      <c r="M1" s="3" t="s">
        <v>3</v>
      </c>
      <c r="N1" s="3" t="s">
        <v>4</v>
      </c>
      <c r="O1" s="3" t="s">
        <v>5</v>
      </c>
      <c r="P1" s="3" t="s">
        <v>6</v>
      </c>
      <c r="Q1" s="3" t="s">
        <v>7</v>
      </c>
      <c r="R1" s="3" t="s">
        <v>8</v>
      </c>
      <c r="S1" s="3" t="s">
        <v>9</v>
      </c>
      <c r="T1" s="3" t="s">
        <v>10</v>
      </c>
      <c r="U1" s="3" t="s">
        <v>11</v>
      </c>
      <c r="V1" s="3" t="s">
        <v>12</v>
      </c>
      <c r="W1" s="3" t="s">
        <v>13</v>
      </c>
      <c r="X1" s="3" t="s">
        <v>14</v>
      </c>
      <c r="Y1" s="3" t="s">
        <v>15</v>
      </c>
      <c r="Z1" s="3" t="s">
        <v>16</v>
      </c>
      <c r="AA1" s="3" t="s">
        <v>17</v>
      </c>
      <c r="AB1" s="3" t="s">
        <v>18</v>
      </c>
      <c r="AC1" s="3" t="s">
        <v>19</v>
      </c>
      <c r="AD1" s="3" t="s">
        <v>20</v>
      </c>
      <c r="AE1" s="3" t="s">
        <v>21</v>
      </c>
      <c r="AF1" s="3" t="s">
        <v>22</v>
      </c>
      <c r="AG1" s="3" t="s">
        <v>23</v>
      </c>
      <c r="AH1" s="3" t="s">
        <v>24</v>
      </c>
      <c r="AI1" s="3" t="s">
        <v>25</v>
      </c>
      <c r="AJ1" s="3" t="s">
        <v>26</v>
      </c>
      <c r="AK1" s="3" t="s">
        <v>27</v>
      </c>
      <c r="AL1" s="3" t="s">
        <v>28</v>
      </c>
      <c r="AM1" s="3" t="s">
        <v>29</v>
      </c>
      <c r="AN1" s="3" t="s">
        <v>30</v>
      </c>
      <c r="AO1" s="3" t="s">
        <v>31</v>
      </c>
      <c r="AP1" s="3" t="s">
        <v>32</v>
      </c>
    </row>
    <row r="2" spans="1:49" ht="15" customHeight="1" x14ac:dyDescent="0.25">
      <c r="K2" s="3">
        <v>0</v>
      </c>
      <c r="L2" s="4">
        <v>0</v>
      </c>
      <c r="M2" s="4">
        <v>0</v>
      </c>
      <c r="N2" s="4">
        <v>0</v>
      </c>
      <c r="O2" s="5">
        <f t="shared" ref="O2:O65" si="0">IF(K2&lt;&gt;"",N2*$B$7*$B$8,"")</f>
        <v>0</v>
      </c>
      <c r="P2" s="5">
        <f t="shared" ref="P2:P65" si="1">IF(K2&lt;&gt;"",IF(O2&gt;0,EXP(-1.0587+0.8836*LN(O2)+0.284),0),"")</f>
        <v>0</v>
      </c>
      <c r="Q2" s="5">
        <f t="shared" ref="Q2:Q65" si="2">IF(K2&lt;&gt;"",45+25*(1-EXP(-0.0175*K2)),"")</f>
        <v>45</v>
      </c>
      <c r="R2" s="5">
        <v>0</v>
      </c>
      <c r="S2" s="5">
        <v>49.5</v>
      </c>
      <c r="T2" s="5" t="str">
        <f t="shared" ref="T2:T65" si="3">IF(AND(K2&lt;=$E$11,K2&lt;&gt;"",K2&gt;0),IF($E$4="Embrousaillement",1*K2*$E$7*$E$8,0),"")</f>
        <v/>
      </c>
      <c r="U2" s="5" t="str">
        <f t="shared" ref="U2:U65" si="4">IF(AND(K2&lt;=$E$11,K2&lt;&gt;"",K2&gt;0),IF($E$4="Embrousaillement",EXP(-1.0587+0.8836*LN(T2)+0.284),0),"")</f>
        <v/>
      </c>
      <c r="V2" s="5" t="str">
        <f>IF($E$4="Embrousaillement",Tableau182987[[#This Row],[SOL]],"")</f>
        <v/>
      </c>
      <c r="W2" s="5" t="str">
        <f>IF($E$4="Embrousaillement",Tableau182987[[#This Row],[L]],"")</f>
        <v/>
      </c>
      <c r="X2" s="5" t="s">
        <v>166</v>
      </c>
      <c r="Y2" s="5">
        <f t="shared" ref="Y2:Y65" si="5">IF(K2&lt;&gt;"",IF(M2&gt;0,IF($K2&gt;=$AT$7,$AU$7,IF(AND($K2&gt;=$AT$6,$K2&lt;$AT$7),$AU$6,IF(AND($K2&gt;=$AT$5,$K2&lt;$AT$6),$AU$5,IF(AND($K2&gt;=$AT$4,$K2&lt;$AT$5),$AU$4,$AU$4))))*M2,0),"")</f>
        <v>0</v>
      </c>
      <c r="Z2" s="5">
        <f t="shared" ref="Z2:Z65" si="6">IF(K2&lt;&gt;"",IF(M2&gt;0,IF($K2&gt;=$AT$7,$AV$7,IF(AND($K2&gt;=$AT$6,$K2&lt;$AT$7),$AV$6,IF(AND($K2&gt;=$AT$5,$K2&lt;$AT$6),$AV$5,IF(AND($K2&gt;=$AT$4,$K2&lt;$AT$5),$AV$4,$AV$4))))*M2,0),"")</f>
        <v>0</v>
      </c>
      <c r="AA2" s="5">
        <f t="shared" ref="AA2:AA65" si="7">IF(K2&lt;&gt;"",IF(M2&gt;0,IF($K2&gt;=$AT$7,$AW$7,IF(AND($K2&gt;=$AT$6,$K2&lt;$AT$7),$AW$6,IF(AND($K2&gt;=$AT$5,$K2&lt;$AT$6),$AW$5,IF(AND($K2&gt;=$AT$4,$K2&lt;$AT$5),$AW$4,$AW$4))))*M2,0),"")</f>
        <v>0</v>
      </c>
      <c r="AB2" s="5">
        <v>0</v>
      </c>
      <c r="AC2" s="5">
        <v>1.980420515885558E-2</v>
      </c>
      <c r="AD2" s="5" t="str">
        <f t="shared" ref="AD2:AD65" si="8">IF(AND(K2&lt;=30,K2&lt;&gt;"",K2&gt;0),EXP(-AC2)*IF(K2=1,0,AD1)+(((1-EXP(-AC2))/AC2)*AB2),"")</f>
        <v/>
      </c>
      <c r="AE2" s="5">
        <v>0</v>
      </c>
      <c r="AF2" s="5">
        <v>2.7725887222397813E-2</v>
      </c>
      <c r="AG2" s="5" t="str">
        <f t="shared" ref="AG2:AG65" si="9">IF(AND(K2&lt;=30,K2&lt;&gt;"",K2&gt;0),EXP(-AF2)*IF(K2=1,0,AG1)+(((1-EXP(-AF2))/AF2)*AE2),"")</f>
        <v/>
      </c>
      <c r="AH2" s="5">
        <v>0</v>
      </c>
      <c r="AI2" s="5">
        <v>0.34657359027997264</v>
      </c>
      <c r="AJ2" s="5" t="str">
        <f t="shared" ref="AJ2:AJ65" si="10">IF(AND(K2&lt;=30,K2&lt;&gt;"",K2&gt;0),EXP(-AI2)*IF(K2=1,0,AJ1)+(((1-EXP(-AI2))/AI2)*AH2),"")</f>
        <v/>
      </c>
      <c r="AK2" s="5">
        <f t="shared" ref="AK2:AK65" si="11">IF(AND(K2&lt;=30,K2&lt;&gt;""),SUM(Y2:AA2)*$B$10,"")</f>
        <v>0</v>
      </c>
      <c r="AL2" s="6">
        <f>IF(Tableau182987[[#This Row],[Age]]&lt;&gt;"",IF(Tableau182987[[#This Row],[Age]]=0,$AT$10*$B$10+SUMIF($AS$21:$AS$29,Tableau182987[[#This Row],[Age]],$AU$21:$AU$29)*$B$10+$AT$11*$B$10,SUMIF($AS$21:$AS$29,Tableau182987[[#This Row],[Age]],$AU$21:$AU$29)*$B$10+$AT$11*$B$10),"")</f>
        <v>65.400000000000006</v>
      </c>
      <c r="AM2" s="7">
        <f>IF(Tableau182987[[#This Row],[Age]]&lt;&gt;"",IF(Tableau182987[[#This Row],[Age]]=$B$11,$AT$10*$B$10,0)+Tableau182987[[#This Row],[VBO]]*$AX$21*$B$10+Tableau182987[[#This Row],[VBI]]*$AX$22*$B$10+Tableau182987[[#This Row],[VBE]]*$AX$23*$B$10,"")</f>
        <v>0</v>
      </c>
      <c r="AN2" s="7">
        <v>65.400000000000006</v>
      </c>
      <c r="AO2" s="7">
        <v>0</v>
      </c>
      <c r="AP2" s="7">
        <f>IF(Tableau182987[[#This Row],[Age]]&lt;&gt;"",Tableau182987[[#This Row],[RA]]-Tableau182987[[#This Row],[DA]],"")</f>
        <v>-65.400000000000006</v>
      </c>
      <c r="AS2" s="1" t="s">
        <v>33</v>
      </c>
    </row>
    <row r="3" spans="1:49" ht="15" customHeight="1" x14ac:dyDescent="0.25">
      <c r="A3" s="1" t="s">
        <v>34</v>
      </c>
      <c r="D3" s="1" t="s">
        <v>35</v>
      </c>
      <c r="K3" s="3">
        <v>1</v>
      </c>
      <c r="L3" s="4">
        <v>-1.0133353388985535E-4</v>
      </c>
      <c r="M3" s="4">
        <v>0</v>
      </c>
      <c r="N3" s="4">
        <v>-1.0133353388985535E-4</v>
      </c>
      <c r="O3" s="5">
        <f t="shared" si="0"/>
        <v>-6.7974534533314974E-5</v>
      </c>
      <c r="P3" s="5">
        <f t="shared" si="1"/>
        <v>0</v>
      </c>
      <c r="Q3" s="5">
        <f t="shared" si="2"/>
        <v>45.433694108373167</v>
      </c>
      <c r="R3" s="5">
        <v>0.33333333333333331</v>
      </c>
      <c r="S3" s="5">
        <v>50.343694669182852</v>
      </c>
      <c r="T3" s="5">
        <f t="shared" si="3"/>
        <v>0</v>
      </c>
      <c r="U3" s="5">
        <f t="shared" si="4"/>
        <v>0</v>
      </c>
      <c r="V3" s="5" t="str">
        <f>IF($E$4="Embrousaillement",Tableau182987[[#This Row],[SOL]],"")</f>
        <v/>
      </c>
      <c r="W3" s="5" t="str">
        <f>IF($E$4="Embrousaillement",Tableau182987[[#This Row],[L]],"")</f>
        <v/>
      </c>
      <c r="X3" s="5">
        <v>5.5</v>
      </c>
      <c r="Y3" s="5">
        <f t="shared" si="5"/>
        <v>0</v>
      </c>
      <c r="Z3" s="5">
        <f t="shared" si="6"/>
        <v>0</v>
      </c>
      <c r="AA3" s="5">
        <f t="shared" si="7"/>
        <v>0</v>
      </c>
      <c r="AB3" s="5">
        <v>0</v>
      </c>
      <c r="AC3" s="5">
        <v>1.980420515885558E-2</v>
      </c>
      <c r="AD3" s="5">
        <f t="shared" si="8"/>
        <v>0</v>
      </c>
      <c r="AE3" s="5">
        <v>0</v>
      </c>
      <c r="AF3" s="5">
        <v>2.7725887222397813E-2</v>
      </c>
      <c r="AG3" s="5">
        <f t="shared" si="9"/>
        <v>0</v>
      </c>
      <c r="AH3" s="5">
        <v>0</v>
      </c>
      <c r="AI3" s="5">
        <v>0.34657359027997264</v>
      </c>
      <c r="AJ3" s="5">
        <f t="shared" si="10"/>
        <v>0</v>
      </c>
      <c r="AK3" s="5">
        <f t="shared" si="11"/>
        <v>0</v>
      </c>
      <c r="AL3" s="6">
        <f>IF(Tableau182987[[#This Row],[Age]]&lt;&gt;"",IF(Tableau182987[[#This Row],[Age]]=0,$AT$10*$B$10+SUMIF($AS$21:$AS$29,Tableau182987[[#This Row],[Age]],$AU$21:$AU$29)*$B$10+$AT$11*$B$10,SUMIF($AS$21:$AS$29,Tableau182987[[#This Row],[Age]],$AU$21:$AU$29)*$B$10+$AT$11*$B$10),"")</f>
        <v>265.79999999999995</v>
      </c>
      <c r="AM3" s="7">
        <f>IF(Tableau182987[[#This Row],[Age]]&lt;&gt;"",IF(Tableau182987[[#This Row],[Age]]=$B$11,$AT$10*$B$10,0)+Tableau182987[[#This Row],[VBO]]*$AX$21*$B$10+Tableau182987[[#This Row],[VBI]]*$AX$22*$B$10+Tableau182987[[#This Row],[VBE]]*$AX$23*$B$10,"")</f>
        <v>0</v>
      </c>
      <c r="AN3" s="7">
        <v>254.35406698564591</v>
      </c>
      <c r="AO3" s="7">
        <v>0</v>
      </c>
      <c r="AP3" s="7">
        <f>IF(Tableau182987[[#This Row],[Age]]&lt;&gt;"",Tableau182987[[#This Row],[RA]]-Tableau182987[[#This Row],[DA]],"")</f>
        <v>-254.35406698564591</v>
      </c>
      <c r="AS3" s="8" t="s">
        <v>36</v>
      </c>
      <c r="AT3" s="8" t="s">
        <v>1</v>
      </c>
      <c r="AU3" s="8" t="s">
        <v>37</v>
      </c>
      <c r="AV3" s="8" t="s">
        <v>38</v>
      </c>
      <c r="AW3" s="8" t="s">
        <v>39</v>
      </c>
    </row>
    <row r="4" spans="1:49" ht="15" customHeight="1" x14ac:dyDescent="0.2">
      <c r="A4" s="3" t="s">
        <v>40</v>
      </c>
      <c r="B4" s="9" t="s">
        <v>165</v>
      </c>
      <c r="D4" s="3" t="s">
        <v>42</v>
      </c>
      <c r="E4" s="9" t="s">
        <v>43</v>
      </c>
      <c r="K4" s="3">
        <v>2</v>
      </c>
      <c r="L4" s="4">
        <v>3.0537429674365284E-3</v>
      </c>
      <c r="M4" s="4">
        <v>0</v>
      </c>
      <c r="N4" s="4">
        <v>3.0537429674365284E-3</v>
      </c>
      <c r="O4" s="5">
        <f t="shared" si="0"/>
        <v>2.0484507825564231E-3</v>
      </c>
      <c r="P4" s="5">
        <f t="shared" si="1"/>
        <v>1.9405626421525129E-3</v>
      </c>
      <c r="Q4" s="5">
        <f t="shared" si="2"/>
        <v>45.859864593560836</v>
      </c>
      <c r="R4" s="5">
        <v>0.66666666666666663</v>
      </c>
      <c r="S4" s="5">
        <v>51.181268645764654</v>
      </c>
      <c r="T4" s="5">
        <f t="shared" si="3"/>
        <v>0</v>
      </c>
      <c r="U4" s="5">
        <f t="shared" si="4"/>
        <v>0</v>
      </c>
      <c r="V4" s="5" t="str">
        <f>IF($E$4="Embrousaillement",Tableau182987[[#This Row],[SOL]],"")</f>
        <v/>
      </c>
      <c r="W4" s="5" t="str">
        <f>IF($E$4="Embrousaillement",Tableau182987[[#This Row],[L]],"")</f>
        <v/>
      </c>
      <c r="X4" s="5">
        <v>5.5</v>
      </c>
      <c r="Y4" s="5">
        <f t="shared" si="5"/>
        <v>0</v>
      </c>
      <c r="Z4" s="5">
        <f t="shared" si="6"/>
        <v>0</v>
      </c>
      <c r="AA4" s="5">
        <f t="shared" si="7"/>
        <v>0</v>
      </c>
      <c r="AB4" s="5">
        <v>0</v>
      </c>
      <c r="AC4" s="5">
        <v>1.980420515885558E-2</v>
      </c>
      <c r="AD4" s="5">
        <f t="shared" si="8"/>
        <v>0</v>
      </c>
      <c r="AE4" s="5">
        <v>0</v>
      </c>
      <c r="AF4" s="5">
        <v>2.7725887222397813E-2</v>
      </c>
      <c r="AG4" s="5">
        <f t="shared" si="9"/>
        <v>0</v>
      </c>
      <c r="AH4" s="5">
        <v>0</v>
      </c>
      <c r="AI4" s="5">
        <v>0.34657359027997264</v>
      </c>
      <c r="AJ4" s="5">
        <f t="shared" si="10"/>
        <v>0</v>
      </c>
      <c r="AK4" s="5">
        <f t="shared" si="11"/>
        <v>0</v>
      </c>
      <c r="AL4" s="6">
        <f>IF(Tableau182987[[#This Row],[Age]]&lt;&gt;"",IF(Tableau182987[[#This Row],[Age]]=0,$AT$10*$B$10+SUMIF($AS$21:$AS$29,Tableau182987[[#This Row],[Age]],$AU$21:$AU$29)*$B$10+$AT$11*$B$10,SUMIF($AS$21:$AS$29,Tableau182987[[#This Row],[Age]],$AU$21:$AU$29)*$B$10+$AT$11*$B$10),"")</f>
        <v>95.4</v>
      </c>
      <c r="AM4" s="7">
        <f>IF(Tableau182987[[#This Row],[Age]]&lt;&gt;"",IF(Tableau182987[[#This Row],[Age]]=$B$11,$AT$10*$B$10,0)+Tableau182987[[#This Row],[VBO]]*$AX$21*$B$10+Tableau182987[[#This Row],[VBI]]*$AX$22*$B$10+Tableau182987[[#This Row],[VBE]]*$AX$23*$B$10,"")</f>
        <v>0</v>
      </c>
      <c r="AN4" s="7">
        <v>87.360637348046083</v>
      </c>
      <c r="AO4" s="7">
        <v>0</v>
      </c>
      <c r="AP4" s="7">
        <f>IF(Tableau182987[[#This Row],[Age]]&lt;&gt;"",Tableau182987[[#This Row],[RA]]-Tableau182987[[#This Row],[DA]],"")</f>
        <v>-87.360637348046083</v>
      </c>
      <c r="AS4" s="8" t="s">
        <v>44</v>
      </c>
      <c r="AT4" s="8">
        <v>30</v>
      </c>
      <c r="AU4" s="10">
        <v>0</v>
      </c>
      <c r="AV4" s="10">
        <v>0</v>
      </c>
      <c r="AW4" s="10">
        <v>1</v>
      </c>
    </row>
    <row r="5" spans="1:49" ht="15" customHeight="1" x14ac:dyDescent="0.2">
      <c r="A5" s="3" t="s">
        <v>45</v>
      </c>
      <c r="B5" s="9" t="s">
        <v>46</v>
      </c>
      <c r="D5" s="3" t="s">
        <v>40</v>
      </c>
      <c r="E5" s="9"/>
      <c r="G5" s="3" t="s">
        <v>47</v>
      </c>
      <c r="H5" s="9">
        <v>0</v>
      </c>
      <c r="K5" s="3">
        <v>3</v>
      </c>
      <c r="L5" s="4">
        <v>1.4542067778472003E-2</v>
      </c>
      <c r="M5" s="4">
        <v>0</v>
      </c>
      <c r="N5" s="4">
        <v>1.4542067778472003E-2</v>
      </c>
      <c r="O5" s="5">
        <f t="shared" si="0"/>
        <v>9.7548190657990204E-3</v>
      </c>
      <c r="P5" s="5">
        <f t="shared" si="1"/>
        <v>7.7059496363447531E-3</v>
      </c>
      <c r="Q5" s="5">
        <f t="shared" si="2"/>
        <v>46.278641973604969</v>
      </c>
      <c r="R5" s="5">
        <v>1</v>
      </c>
      <c r="S5" s="5">
        <v>52.015629422612335</v>
      </c>
      <c r="T5" s="5">
        <f t="shared" si="3"/>
        <v>0</v>
      </c>
      <c r="U5" s="5">
        <f t="shared" si="4"/>
        <v>0</v>
      </c>
      <c r="V5" s="5" t="str">
        <f>IF($E$4="Embrousaillement",Tableau182987[[#This Row],[SOL]],"")</f>
        <v/>
      </c>
      <c r="W5" s="5" t="str">
        <f>IF($E$4="Embrousaillement",Tableau182987[[#This Row],[L]],"")</f>
        <v/>
      </c>
      <c r="X5" s="5">
        <v>5.5</v>
      </c>
      <c r="Y5" s="5">
        <f t="shared" si="5"/>
        <v>0</v>
      </c>
      <c r="Z5" s="5">
        <f t="shared" si="6"/>
        <v>0</v>
      </c>
      <c r="AA5" s="5">
        <f t="shared" si="7"/>
        <v>0</v>
      </c>
      <c r="AB5" s="5">
        <v>0</v>
      </c>
      <c r="AC5" s="5">
        <v>1.980420515885558E-2</v>
      </c>
      <c r="AD5" s="5">
        <f t="shared" si="8"/>
        <v>0</v>
      </c>
      <c r="AE5" s="5">
        <v>0</v>
      </c>
      <c r="AF5" s="5">
        <v>2.7725887222397813E-2</v>
      </c>
      <c r="AG5" s="5">
        <f t="shared" si="9"/>
        <v>0</v>
      </c>
      <c r="AH5" s="5">
        <v>0</v>
      </c>
      <c r="AI5" s="5">
        <v>0.34657359027997264</v>
      </c>
      <c r="AJ5" s="5">
        <f t="shared" si="10"/>
        <v>0</v>
      </c>
      <c r="AK5" s="5">
        <f t="shared" si="11"/>
        <v>0</v>
      </c>
      <c r="AL5" s="6">
        <f>IF(Tableau182987[[#This Row],[Age]]&lt;&gt;"",IF(Tableau182987[[#This Row],[Age]]=0,$AT$10*$B$10+SUMIF($AS$21:$AS$29,Tableau182987[[#This Row],[Age]],$AU$21:$AU$29)*$B$10+$AT$11*$B$10,SUMIF($AS$21:$AS$29,Tableau182987[[#This Row],[Age]],$AU$21:$AU$29)*$B$10+$AT$11*$B$10),"")</f>
        <v>95.4</v>
      </c>
      <c r="AM5" s="7">
        <f>IF(Tableau182987[[#This Row],[Age]]&lt;&gt;"",IF(Tableau182987[[#This Row],[Age]]=$B$11,$AT$10*$B$10,0)+Tableau182987[[#This Row],[VBO]]*$AX$21*$B$10+Tableau182987[[#This Row],[VBI]]*$AX$22*$B$10+Tableau182987[[#This Row],[VBE]]*$AX$23*$B$10,"")</f>
        <v>0</v>
      </c>
      <c r="AN5" s="7">
        <v>83.598696026838354</v>
      </c>
      <c r="AO5" s="7">
        <v>0</v>
      </c>
      <c r="AP5" s="7">
        <f>IF(Tableau182987[[#This Row],[Age]]&lt;&gt;"",Tableau182987[[#This Row],[RA]]-Tableau182987[[#This Row],[DA]],"")</f>
        <v>-83.598696026838354</v>
      </c>
      <c r="AS5" s="8" t="s">
        <v>48</v>
      </c>
      <c r="AT5" s="8">
        <v>40</v>
      </c>
      <c r="AU5" s="10">
        <v>0.3</v>
      </c>
      <c r="AV5" s="10">
        <v>0</v>
      </c>
      <c r="AW5" s="10">
        <v>0.7</v>
      </c>
    </row>
    <row r="6" spans="1:49" ht="15" customHeight="1" x14ac:dyDescent="0.2">
      <c r="A6" s="3" t="s">
        <v>49</v>
      </c>
      <c r="B6" s="3" t="s">
        <v>169</v>
      </c>
      <c r="D6" s="3" t="s">
        <v>49</v>
      </c>
      <c r="K6" s="3">
        <v>4</v>
      </c>
      <c r="L6" s="4">
        <v>3.9291442667041356E-2</v>
      </c>
      <c r="M6" s="4">
        <v>0</v>
      </c>
      <c r="N6" s="4">
        <v>3.9291442667041356E-2</v>
      </c>
      <c r="O6" s="5">
        <f t="shared" si="0"/>
        <v>2.6356699741051343E-2</v>
      </c>
      <c r="P6" s="5">
        <f t="shared" si="1"/>
        <v>1.8546047943699163E-2</v>
      </c>
      <c r="Q6" s="5">
        <f t="shared" si="2"/>
        <v>46.690154502351291</v>
      </c>
      <c r="R6" s="5">
        <v>1.3333333333333333</v>
      </c>
      <c r="S6" s="5">
        <v>52.849298304918364</v>
      </c>
      <c r="T6" s="5">
        <f t="shared" si="3"/>
        <v>0</v>
      </c>
      <c r="U6" s="5">
        <f t="shared" si="4"/>
        <v>0</v>
      </c>
      <c r="V6" s="5" t="str">
        <f>IF($E$4="Embrousaillement",Tableau182987[[#This Row],[SOL]],"")</f>
        <v/>
      </c>
      <c r="W6" s="5" t="str">
        <f>IF($E$4="Embrousaillement",Tableau182987[[#This Row],[L]],"")</f>
        <v/>
      </c>
      <c r="X6" s="5">
        <v>5.5</v>
      </c>
      <c r="Y6" s="5">
        <f t="shared" si="5"/>
        <v>0</v>
      </c>
      <c r="Z6" s="5">
        <f t="shared" si="6"/>
        <v>0</v>
      </c>
      <c r="AA6" s="5">
        <f t="shared" si="7"/>
        <v>0</v>
      </c>
      <c r="AB6" s="5">
        <v>0</v>
      </c>
      <c r="AC6" s="5">
        <v>1.980420515885558E-2</v>
      </c>
      <c r="AD6" s="5">
        <f t="shared" si="8"/>
        <v>0</v>
      </c>
      <c r="AE6" s="5">
        <v>0</v>
      </c>
      <c r="AF6" s="5">
        <v>2.7725887222397813E-2</v>
      </c>
      <c r="AG6" s="5">
        <f t="shared" si="9"/>
        <v>0</v>
      </c>
      <c r="AH6" s="5">
        <v>0</v>
      </c>
      <c r="AI6" s="5">
        <v>0.34657359027997264</v>
      </c>
      <c r="AJ6" s="5">
        <f t="shared" si="10"/>
        <v>0</v>
      </c>
      <c r="AK6" s="5">
        <f t="shared" si="11"/>
        <v>0</v>
      </c>
      <c r="AL6" s="6">
        <f>IF(Tableau182987[[#This Row],[Age]]&lt;&gt;"",IF(Tableau182987[[#This Row],[Age]]=0,$AT$10*$B$10+SUMIF($AS$21:$AS$29,Tableau182987[[#This Row],[Age]],$AU$21:$AU$29)*$B$10+$AT$11*$B$10,SUMIF($AS$21:$AS$29,Tableau182987[[#This Row],[Age]],$AU$21:$AU$29)*$B$10+$AT$11*$B$10),"")</f>
        <v>95.4</v>
      </c>
      <c r="AM6" s="7">
        <f>IF(Tableau182987[[#This Row],[Age]]&lt;&gt;"",IF(Tableau182987[[#This Row],[Age]]=$B$11,$AT$10*$B$10,0)+Tableau182987[[#This Row],[VBO]]*$AX$21*$B$10+Tableau182987[[#This Row],[VBI]]*$AX$22*$B$10+Tableau182987[[#This Row],[VBE]]*$AX$23*$B$10,"")</f>
        <v>0</v>
      </c>
      <c r="AN6" s="7">
        <v>79.998752178792699</v>
      </c>
      <c r="AO6" s="7">
        <v>0</v>
      </c>
      <c r="AP6" s="7">
        <f>IF(Tableau182987[[#This Row],[Age]]&lt;&gt;"",Tableau182987[[#This Row],[RA]]-Tableau182987[[#This Row],[DA]],"")</f>
        <v>-79.998752178792699</v>
      </c>
      <c r="AS6" s="8" t="s">
        <v>50</v>
      </c>
      <c r="AT6" s="8">
        <v>60</v>
      </c>
      <c r="AU6" s="10">
        <v>0.6</v>
      </c>
      <c r="AV6" s="10">
        <v>0</v>
      </c>
      <c r="AW6" s="10">
        <v>0.4</v>
      </c>
    </row>
    <row r="7" spans="1:49" ht="15" customHeight="1" x14ac:dyDescent="0.2">
      <c r="A7" s="3" t="s">
        <v>51</v>
      </c>
      <c r="B7" s="3">
        <v>0.43</v>
      </c>
      <c r="D7" s="3" t="s">
        <v>51</v>
      </c>
      <c r="K7" s="3">
        <v>5</v>
      </c>
      <c r="L7" s="4">
        <v>8.2080632894301231E-2</v>
      </c>
      <c r="M7" s="4">
        <v>0</v>
      </c>
      <c r="N7" s="4">
        <v>8.2080632894301231E-2</v>
      </c>
      <c r="O7" s="5">
        <f t="shared" si="0"/>
        <v>5.5059688545497268E-2</v>
      </c>
      <c r="P7" s="5">
        <f t="shared" si="1"/>
        <v>3.5559264269639748E-2</v>
      </c>
      <c r="Q7" s="5">
        <f t="shared" si="2"/>
        <v>47.094528208728065</v>
      </c>
      <c r="R7" s="5">
        <v>1.6666666666666665</v>
      </c>
      <c r="S7" s="5">
        <v>53.684662765780104</v>
      </c>
      <c r="T7" s="5">
        <f t="shared" si="3"/>
        <v>0</v>
      </c>
      <c r="U7" s="5">
        <f t="shared" si="4"/>
        <v>0</v>
      </c>
      <c r="V7" s="5" t="str">
        <f>IF($E$4="Embrousaillement",Tableau182987[[#This Row],[SOL]],"")</f>
        <v/>
      </c>
      <c r="W7" s="5" t="str">
        <f>IF($E$4="Embrousaillement",Tableau182987[[#This Row],[L]],"")</f>
        <v/>
      </c>
      <c r="X7" s="5">
        <v>5.5</v>
      </c>
      <c r="Y7" s="5">
        <f t="shared" si="5"/>
        <v>0</v>
      </c>
      <c r="Z7" s="5">
        <f t="shared" si="6"/>
        <v>0</v>
      </c>
      <c r="AA7" s="5">
        <f t="shared" si="7"/>
        <v>0</v>
      </c>
      <c r="AB7" s="5">
        <v>0</v>
      </c>
      <c r="AC7" s="5">
        <v>1.980420515885558E-2</v>
      </c>
      <c r="AD7" s="5">
        <f t="shared" si="8"/>
        <v>0</v>
      </c>
      <c r="AE7" s="5">
        <v>0</v>
      </c>
      <c r="AF7" s="5">
        <v>2.7725887222397813E-2</v>
      </c>
      <c r="AG7" s="5">
        <f t="shared" si="9"/>
        <v>0</v>
      </c>
      <c r="AH7" s="5">
        <v>0</v>
      </c>
      <c r="AI7" s="5">
        <v>0.34657359027997264</v>
      </c>
      <c r="AJ7" s="5">
        <f t="shared" si="10"/>
        <v>0</v>
      </c>
      <c r="AK7" s="5">
        <f t="shared" si="11"/>
        <v>0</v>
      </c>
      <c r="AL7" s="6">
        <f>IF(Tableau182987[[#This Row],[Age]]&lt;&gt;"",IF(Tableau182987[[#This Row],[Age]]=0,$AT$10*$B$10+SUMIF($AS$21:$AS$29,Tableau182987[[#This Row],[Age]],$AU$21:$AU$29)*$B$10+$AT$11*$B$10,SUMIF($AS$21:$AS$29,Tableau182987[[#This Row],[Age]],$AU$21:$AU$29)*$B$10+$AT$11*$B$10),"")</f>
        <v>5.3999999999999995</v>
      </c>
      <c r="AM7" s="7">
        <f>IF(Tableau182987[[#This Row],[Age]]&lt;&gt;"",IF(Tableau182987[[#This Row],[Age]]=$B$11,$AT$10*$B$10,0)+Tableau182987[[#This Row],[VBO]]*$AX$21*$B$10+Tableau182987[[#This Row],[VBI]]*$AX$22*$B$10+Tableau182987[[#This Row],[VBE]]*$AX$23*$B$10,"")</f>
        <v>0</v>
      </c>
      <c r="AN7" s="7">
        <v>4.3332356511036938</v>
      </c>
      <c r="AO7" s="7">
        <v>0</v>
      </c>
      <c r="AP7" s="7">
        <f>IF(Tableau182987[[#This Row],[Age]]&lt;&gt;"",Tableau182987[[#This Row],[RA]]-Tableau182987[[#This Row],[DA]],"")</f>
        <v>-4.3332356511036938</v>
      </c>
      <c r="AS7" s="8" t="s">
        <v>52</v>
      </c>
      <c r="AT7" s="8" t="s">
        <v>166</v>
      </c>
      <c r="AU7" s="10" t="s">
        <v>166</v>
      </c>
      <c r="AV7" s="10" t="s">
        <v>166</v>
      </c>
      <c r="AW7" s="10" t="s">
        <v>166</v>
      </c>
    </row>
    <row r="8" spans="1:49" ht="15" customHeight="1" x14ac:dyDescent="0.2">
      <c r="A8" s="3" t="s">
        <v>53</v>
      </c>
      <c r="B8" s="3">
        <v>1.56</v>
      </c>
      <c r="D8" s="3" t="s">
        <v>53</v>
      </c>
      <c r="K8" s="3">
        <v>6</v>
      </c>
      <c r="L8" s="4">
        <v>0.14753936721474029</v>
      </c>
      <c r="M8" s="4">
        <v>0</v>
      </c>
      <c r="N8" s="4">
        <v>0.14753936721474029</v>
      </c>
      <c r="O8" s="5">
        <f t="shared" si="0"/>
        <v>9.8969407527647796E-2</v>
      </c>
      <c r="P8" s="5">
        <f t="shared" si="1"/>
        <v>5.9700328704120717E-2</v>
      </c>
      <c r="Q8" s="5">
        <f t="shared" si="2"/>
        <v>47.491886935343359</v>
      </c>
      <c r="R8" s="5">
        <v>2</v>
      </c>
      <c r="S8" s="5">
        <v>54.523980566058789</v>
      </c>
      <c r="T8" s="5">
        <f t="shared" si="3"/>
        <v>0</v>
      </c>
      <c r="U8" s="5">
        <f t="shared" si="4"/>
        <v>0</v>
      </c>
      <c r="V8" s="5" t="str">
        <f>IF($E$4="Embrousaillement",Tableau182987[[#This Row],[SOL]],"")</f>
        <v/>
      </c>
      <c r="W8" s="5" t="str">
        <f>IF($E$4="Embrousaillement",Tableau182987[[#This Row],[L]],"")</f>
        <v/>
      </c>
      <c r="X8" s="5">
        <v>5.5</v>
      </c>
      <c r="Y8" s="5">
        <f t="shared" si="5"/>
        <v>0</v>
      </c>
      <c r="Z8" s="5">
        <f t="shared" si="6"/>
        <v>0</v>
      </c>
      <c r="AA8" s="5">
        <f t="shared" si="7"/>
        <v>0</v>
      </c>
      <c r="AB8" s="5">
        <v>0</v>
      </c>
      <c r="AC8" s="5">
        <v>1.980420515885558E-2</v>
      </c>
      <c r="AD8" s="5">
        <f t="shared" si="8"/>
        <v>0</v>
      </c>
      <c r="AE8" s="5">
        <v>0</v>
      </c>
      <c r="AF8" s="5">
        <v>2.7725887222397813E-2</v>
      </c>
      <c r="AG8" s="5">
        <f t="shared" si="9"/>
        <v>0</v>
      </c>
      <c r="AH8" s="5">
        <v>0</v>
      </c>
      <c r="AI8" s="5">
        <v>0.34657359027997264</v>
      </c>
      <c r="AJ8" s="5">
        <f t="shared" si="10"/>
        <v>0</v>
      </c>
      <c r="AK8" s="5">
        <f t="shared" si="11"/>
        <v>0</v>
      </c>
      <c r="AL8" s="7">
        <f>IF(Tableau182987[[#This Row],[Age]]&lt;&gt;"",IF(Tableau182987[[#This Row],[Age]]=0,$AT$10*$B$10+SUMIF($AS$21:$AS$29,Tableau182987[[#This Row],[Age]],$AU$21:$AU$29)*$B$10+$AT$11*$B$10,SUMIF($AS$21:$AS$29,Tableau182987[[#This Row],[Age]],$AU$21:$AU$29)*$B$10+$AT$11*$B$10),"")</f>
        <v>5.3999999999999995</v>
      </c>
      <c r="AM8" s="7">
        <f>IF(Tableau182987[[#This Row],[Age]]&lt;&gt;"",IF(Tableau182987[[#This Row],[Age]]=$B$11,$AT$10*$B$10,0)+Tableau182987[[#This Row],[VBO]]*$AX$21*$B$10+Tableau182987[[#This Row],[VBI]]*$AX$22*$B$10+Tableau182987[[#This Row],[VBE]]*$AX$23*$B$10,"")</f>
        <v>0</v>
      </c>
      <c r="AN8" s="7">
        <v>4.1466369867021005</v>
      </c>
      <c r="AO8" s="7">
        <v>0</v>
      </c>
      <c r="AP8" s="7">
        <f>IF(Tableau182987[[#This Row],[Age]]&lt;&gt;"",Tableau182987[[#This Row],[RA]]-Tableau182987[[#This Row],[DA]],"")</f>
        <v>-4.1466369867021005</v>
      </c>
    </row>
    <row r="9" spans="1:49" ht="15" customHeight="1" x14ac:dyDescent="0.25">
      <c r="A9" s="11" t="s">
        <v>54</v>
      </c>
      <c r="B9" s="11">
        <v>0.25</v>
      </c>
      <c r="D9" s="3" t="s">
        <v>55</v>
      </c>
      <c r="E9" s="3">
        <f>E11*1</f>
        <v>60</v>
      </c>
      <c r="K9" s="3">
        <v>7</v>
      </c>
      <c r="L9" s="4">
        <v>0.24014833787617892</v>
      </c>
      <c r="M9" s="4">
        <v>0</v>
      </c>
      <c r="N9" s="4">
        <v>0.24014833787617892</v>
      </c>
      <c r="O9" s="5">
        <f t="shared" si="0"/>
        <v>0.16109150504734082</v>
      </c>
      <c r="P9" s="5">
        <f t="shared" si="1"/>
        <v>9.1816651181897344E-2</v>
      </c>
      <c r="Q9" s="5">
        <f t="shared" si="2"/>
        <v>47.882352376412911</v>
      </c>
      <c r="R9" s="5">
        <v>2.333333333333333</v>
      </c>
      <c r="S9" s="5">
        <v>55.369398792350644</v>
      </c>
      <c r="T9" s="5">
        <f t="shared" si="3"/>
        <v>0</v>
      </c>
      <c r="U9" s="5">
        <f t="shared" si="4"/>
        <v>0</v>
      </c>
      <c r="V9" s="5" t="str">
        <f>IF($E$4="Embrousaillement",Tableau182987[[#This Row],[SOL]],"")</f>
        <v/>
      </c>
      <c r="W9" s="5" t="str">
        <f>IF($E$4="Embrousaillement",Tableau182987[[#This Row],[L]],"")</f>
        <v/>
      </c>
      <c r="X9" s="5">
        <v>5.5</v>
      </c>
      <c r="Y9" s="5">
        <f t="shared" si="5"/>
        <v>0</v>
      </c>
      <c r="Z9" s="5">
        <f t="shared" si="6"/>
        <v>0</v>
      </c>
      <c r="AA9" s="5">
        <f t="shared" si="7"/>
        <v>0</v>
      </c>
      <c r="AB9" s="5">
        <v>0</v>
      </c>
      <c r="AC9" s="5">
        <v>1.980420515885558E-2</v>
      </c>
      <c r="AD9" s="5">
        <f t="shared" si="8"/>
        <v>0</v>
      </c>
      <c r="AE9" s="5">
        <v>0</v>
      </c>
      <c r="AF9" s="5">
        <v>2.7725887222397813E-2</v>
      </c>
      <c r="AG9" s="5">
        <f t="shared" si="9"/>
        <v>0</v>
      </c>
      <c r="AH9" s="5">
        <v>0</v>
      </c>
      <c r="AI9" s="5">
        <v>0.34657359027997264</v>
      </c>
      <c r="AJ9" s="5">
        <f t="shared" si="10"/>
        <v>0</v>
      </c>
      <c r="AK9" s="5">
        <f t="shared" si="11"/>
        <v>0</v>
      </c>
      <c r="AL9" s="7">
        <f>IF(Tableau182987[[#This Row],[Age]]&lt;&gt;"",IF(Tableau182987[[#This Row],[Age]]=0,$AT$10*$B$10+SUMIF($AS$21:$AS$29,Tableau182987[[#This Row],[Age]],$AU$21:$AU$29)*$B$10+$AT$11*$B$10,SUMIF($AS$21:$AS$29,Tableau182987[[#This Row],[Age]],$AU$21:$AU$29)*$B$10+$AT$11*$B$10),"")</f>
        <v>5.3999999999999995</v>
      </c>
      <c r="AM9" s="7">
        <f>IF(Tableau182987[[#This Row],[Age]]&lt;&gt;"",IF(Tableau182987[[#This Row],[Age]]=$B$11,$AT$10*$B$10,0)+Tableau182987[[#This Row],[VBO]]*$AX$21*$B$10+Tableau182987[[#This Row],[VBI]]*$AX$22*$B$10+Tableau182987[[#This Row],[VBE]]*$AX$23*$B$10,"")</f>
        <v>0</v>
      </c>
      <c r="AN9" s="7">
        <v>3.9680736714852634</v>
      </c>
      <c r="AO9" s="7">
        <v>0</v>
      </c>
      <c r="AP9" s="7">
        <f>IF(Tableau182987[[#This Row],[Age]]&lt;&gt;"",Tableau182987[[#This Row],[RA]]-Tableau182987[[#This Row],[DA]],"")</f>
        <v>-3.9680736714852634</v>
      </c>
      <c r="AS9" s="1" t="s">
        <v>56</v>
      </c>
    </row>
    <row r="10" spans="1:49" ht="15" customHeight="1" x14ac:dyDescent="0.2">
      <c r="A10" s="3" t="s">
        <v>57</v>
      </c>
      <c r="B10" s="9">
        <v>0.3</v>
      </c>
      <c r="D10" s="11" t="s">
        <v>58</v>
      </c>
      <c r="E10" s="9"/>
      <c r="K10" s="3">
        <v>8</v>
      </c>
      <c r="L10" s="4">
        <v>0.36423920061976978</v>
      </c>
      <c r="M10" s="4">
        <v>0</v>
      </c>
      <c r="N10" s="4">
        <v>0.36423920061976978</v>
      </c>
      <c r="O10" s="5">
        <f t="shared" si="0"/>
        <v>0.24433165577574156</v>
      </c>
      <c r="P10" s="5">
        <f t="shared" si="1"/>
        <v>0.13266946000408497</v>
      </c>
      <c r="Q10" s="5">
        <f t="shared" si="2"/>
        <v>48.266044115029857</v>
      </c>
      <c r="R10" s="5">
        <v>2.6666666666666665</v>
      </c>
      <c r="S10" s="5">
        <v>56.222964942861125</v>
      </c>
      <c r="T10" s="5">
        <f t="shared" si="3"/>
        <v>0</v>
      </c>
      <c r="U10" s="5">
        <f t="shared" si="4"/>
        <v>0</v>
      </c>
      <c r="V10" s="5" t="str">
        <f>IF($E$4="Embrousaillement",Tableau182987[[#This Row],[SOL]],"")</f>
        <v/>
      </c>
      <c r="W10" s="5" t="str">
        <f>IF($E$4="Embrousaillement",Tableau182987[[#This Row],[L]],"")</f>
        <v/>
      </c>
      <c r="X10" s="5">
        <v>5.5</v>
      </c>
      <c r="Y10" s="5">
        <f t="shared" si="5"/>
        <v>0</v>
      </c>
      <c r="Z10" s="5">
        <f t="shared" si="6"/>
        <v>0</v>
      </c>
      <c r="AA10" s="5">
        <f t="shared" si="7"/>
        <v>0</v>
      </c>
      <c r="AB10" s="5">
        <v>0</v>
      </c>
      <c r="AC10" s="5">
        <v>1.980420515885558E-2</v>
      </c>
      <c r="AD10" s="5">
        <f t="shared" si="8"/>
        <v>0</v>
      </c>
      <c r="AE10" s="5">
        <v>0</v>
      </c>
      <c r="AF10" s="5">
        <v>2.7725887222397813E-2</v>
      </c>
      <c r="AG10" s="5">
        <f t="shared" si="9"/>
        <v>0</v>
      </c>
      <c r="AH10" s="5">
        <v>0</v>
      </c>
      <c r="AI10" s="5">
        <v>0.34657359027997264</v>
      </c>
      <c r="AJ10" s="5">
        <f t="shared" si="10"/>
        <v>0</v>
      </c>
      <c r="AK10" s="5">
        <f t="shared" si="11"/>
        <v>0</v>
      </c>
      <c r="AL10" s="7">
        <f>IF(Tableau182987[[#This Row],[Age]]&lt;&gt;"",IF(Tableau182987[[#This Row],[Age]]=0,$AT$10*$B$10+SUMIF($AS$21:$AS$29,Tableau182987[[#This Row],[Age]],$AU$21:$AU$29)*$B$10+$AT$11*$B$10,SUMIF($AS$21:$AS$29,Tableau182987[[#This Row],[Age]],$AU$21:$AU$29)*$B$10+$AT$11*$B$10),"")</f>
        <v>5.3999999999999995</v>
      </c>
      <c r="AM10" s="7">
        <f>IF(Tableau182987[[#This Row],[Age]]&lt;&gt;"",IF(Tableau182987[[#This Row],[Age]]=$B$11,$AT$10*$B$10,0)+Tableau182987[[#This Row],[VBO]]*$AX$21*$B$10+Tableau182987[[#This Row],[VBI]]*$AX$22*$B$10+Tableau182987[[#This Row],[VBE]]*$AX$23*$B$10,"")</f>
        <v>0</v>
      </c>
      <c r="AN10" s="7">
        <v>3.7971996856318322</v>
      </c>
      <c r="AO10" s="7">
        <v>0</v>
      </c>
      <c r="AP10" s="7">
        <f>IF(Tableau182987[[#This Row],[Age]]&lt;&gt;"",Tableau182987[[#This Row],[RA]]-Tableau182987[[#This Row],[DA]],"")</f>
        <v>-3.7971996856318322</v>
      </c>
      <c r="AS10" s="3" t="s">
        <v>59</v>
      </c>
      <c r="AT10" s="9">
        <v>0</v>
      </c>
    </row>
    <row r="11" spans="1:49" ht="15" customHeight="1" x14ac:dyDescent="0.2">
      <c r="A11" s="3" t="s">
        <v>60</v>
      </c>
      <c r="B11" s="3">
        <f>MAX(K:K)</f>
        <v>60</v>
      </c>
      <c r="D11" s="3" t="s">
        <v>61</v>
      </c>
      <c r="E11" s="9">
        <f>B11</f>
        <v>60</v>
      </c>
      <c r="K11" s="3">
        <v>9</v>
      </c>
      <c r="L11" s="4">
        <v>0.52399457467999688</v>
      </c>
      <c r="M11" s="4">
        <v>0</v>
      </c>
      <c r="N11" s="4">
        <v>0.52399457467999688</v>
      </c>
      <c r="O11" s="5">
        <f t="shared" si="0"/>
        <v>0.35149556069534188</v>
      </c>
      <c r="P11" s="5">
        <f t="shared" si="1"/>
        <v>0.18294765172078509</v>
      </c>
      <c r="Q11" s="5">
        <f t="shared" si="2"/>
        <v>48.643079659788015</v>
      </c>
      <c r="R11" s="5">
        <v>3</v>
      </c>
      <c r="S11" s="5">
        <v>57.086634204254239</v>
      </c>
      <c r="T11" s="5">
        <f t="shared" si="3"/>
        <v>0</v>
      </c>
      <c r="U11" s="5">
        <f t="shared" si="4"/>
        <v>0</v>
      </c>
      <c r="V11" s="5" t="str">
        <f>IF($E$4="Embrousaillement",Tableau182987[[#This Row],[SOL]],"")</f>
        <v/>
      </c>
      <c r="W11" s="5" t="str">
        <f>IF($E$4="Embrousaillement",Tableau182987[[#This Row],[L]],"")</f>
        <v/>
      </c>
      <c r="X11" s="5">
        <v>5.5</v>
      </c>
      <c r="Y11" s="5">
        <f t="shared" si="5"/>
        <v>0</v>
      </c>
      <c r="Z11" s="5">
        <f t="shared" si="6"/>
        <v>0</v>
      </c>
      <c r="AA11" s="5">
        <f t="shared" si="7"/>
        <v>0</v>
      </c>
      <c r="AB11" s="5">
        <v>0</v>
      </c>
      <c r="AC11" s="5">
        <v>1.980420515885558E-2</v>
      </c>
      <c r="AD11" s="5">
        <f t="shared" si="8"/>
        <v>0</v>
      </c>
      <c r="AE11" s="5">
        <v>0</v>
      </c>
      <c r="AF11" s="5">
        <v>2.7725887222397813E-2</v>
      </c>
      <c r="AG11" s="5">
        <f t="shared" si="9"/>
        <v>0</v>
      </c>
      <c r="AH11" s="5">
        <v>0</v>
      </c>
      <c r="AI11" s="5">
        <v>0.34657359027997264</v>
      </c>
      <c r="AJ11" s="5">
        <f t="shared" si="10"/>
        <v>0</v>
      </c>
      <c r="AK11" s="5">
        <f t="shared" si="11"/>
        <v>0</v>
      </c>
      <c r="AL11" s="7">
        <f>IF(Tableau182987[[#This Row],[Age]]&lt;&gt;"",IF(Tableau182987[[#This Row],[Age]]=0,$AT$10*$B$10+SUMIF($AS$21:$AS$29,Tableau182987[[#This Row],[Age]],$AU$21:$AU$29)*$B$10+$AT$11*$B$10,SUMIF($AS$21:$AS$29,Tableau182987[[#This Row],[Age]],$AU$21:$AU$29)*$B$10+$AT$11*$B$10),"")</f>
        <v>5.3999999999999995</v>
      </c>
      <c r="AM11" s="7">
        <f>IF(Tableau182987[[#This Row],[Age]]&lt;&gt;"",IF(Tableau182987[[#This Row],[Age]]=$B$11,$AT$10*$B$10,0)+Tableau182987[[#This Row],[VBO]]*$AX$21*$B$10+Tableau182987[[#This Row],[VBI]]*$AX$22*$B$10+Tableau182987[[#This Row],[VBE]]*$AX$23*$B$10,"")</f>
        <v>0</v>
      </c>
      <c r="AN11" s="7">
        <v>3.6336839096955331</v>
      </c>
      <c r="AO11" s="7">
        <v>0</v>
      </c>
      <c r="AP11" s="7">
        <f>IF(Tableau182987[[#This Row],[Age]]&lt;&gt;"",Tableau182987[[#This Row],[RA]]-Tableau182987[[#This Row],[DA]],"")</f>
        <v>-3.6336839096955331</v>
      </c>
      <c r="AS11" s="3" t="s">
        <v>62</v>
      </c>
      <c r="AT11" s="9">
        <v>18</v>
      </c>
    </row>
    <row r="12" spans="1:49" ht="15" customHeight="1" x14ac:dyDescent="0.2">
      <c r="K12" s="3">
        <v>10</v>
      </c>
      <c r="L12" s="4">
        <v>0.72344804278467645</v>
      </c>
      <c r="M12" s="4">
        <v>0</v>
      </c>
      <c r="N12" s="4">
        <v>0.72344804278467645</v>
      </c>
      <c r="O12" s="5">
        <f t="shared" si="0"/>
        <v>0.48528894709996101</v>
      </c>
      <c r="P12" s="5">
        <f t="shared" si="1"/>
        <v>0.24327754149762595</v>
      </c>
      <c r="Q12" s="5">
        <f t="shared" si="2"/>
        <v>49.013574480769819</v>
      </c>
      <c r="R12" s="5">
        <v>3.333333333333333</v>
      </c>
      <c r="S12" s="5">
        <v>57.962274585805702</v>
      </c>
      <c r="T12" s="5">
        <f t="shared" si="3"/>
        <v>0</v>
      </c>
      <c r="U12" s="5">
        <f t="shared" si="4"/>
        <v>0</v>
      </c>
      <c r="V12" s="5" t="str">
        <f>IF($E$4="Embrousaillement",Tableau182987[[#This Row],[SOL]],"")</f>
        <v/>
      </c>
      <c r="W12" s="5" t="str">
        <f>IF($E$4="Embrousaillement",Tableau182987[[#This Row],[L]],"")</f>
        <v/>
      </c>
      <c r="X12" s="5">
        <v>5.5</v>
      </c>
      <c r="Y12" s="5">
        <f t="shared" si="5"/>
        <v>0</v>
      </c>
      <c r="Z12" s="5">
        <f t="shared" si="6"/>
        <v>0</v>
      </c>
      <c r="AA12" s="5">
        <f t="shared" si="7"/>
        <v>0</v>
      </c>
      <c r="AB12" s="5">
        <v>0</v>
      </c>
      <c r="AC12" s="5">
        <v>1.980420515885558E-2</v>
      </c>
      <c r="AD12" s="5">
        <f t="shared" si="8"/>
        <v>0</v>
      </c>
      <c r="AE12" s="5">
        <v>0</v>
      </c>
      <c r="AF12" s="5">
        <v>2.7725887222397813E-2</v>
      </c>
      <c r="AG12" s="5">
        <f t="shared" si="9"/>
        <v>0</v>
      </c>
      <c r="AH12" s="5">
        <v>0</v>
      </c>
      <c r="AI12" s="5">
        <v>0.34657359027997264</v>
      </c>
      <c r="AJ12" s="5">
        <f t="shared" si="10"/>
        <v>0</v>
      </c>
      <c r="AK12" s="5">
        <f t="shared" si="11"/>
        <v>0</v>
      </c>
      <c r="AL12" s="7">
        <f>IF(Tableau182987[[#This Row],[Age]]&lt;&gt;"",IF(Tableau182987[[#This Row],[Age]]=0,$AT$10*$B$10+SUMIF($AS$21:$AS$29,Tableau182987[[#This Row],[Age]],$AU$21:$AU$29)*$B$10+$AT$11*$B$10,SUMIF($AS$21:$AS$29,Tableau182987[[#This Row],[Age]],$AU$21:$AU$29)*$B$10+$AT$11*$B$10),"")</f>
        <v>5.3999999999999995</v>
      </c>
      <c r="AM12" s="7">
        <f>IF(Tableau182987[[#This Row],[Age]]&lt;&gt;"",IF(Tableau182987[[#This Row],[Age]]=$B$11,$AT$10*$B$10,0)+Tableau182987[[#This Row],[VBO]]*$AX$21*$B$10+Tableau182987[[#This Row],[VBI]]*$AX$22*$B$10+Tableau182987[[#This Row],[VBE]]*$AX$23*$B$10,"")</f>
        <v>0</v>
      </c>
      <c r="AN12" s="7">
        <v>3.4772094829622335</v>
      </c>
      <c r="AO12" s="7">
        <v>0</v>
      </c>
      <c r="AP12" s="7">
        <f>IF(Tableau182987[[#This Row],[Age]]&lt;&gt;"",Tableau182987[[#This Row],[RA]]-Tableau182987[[#This Row],[DA]],"")</f>
        <v>-3.4772094829622335</v>
      </c>
    </row>
    <row r="13" spans="1:49" ht="15" customHeight="1" x14ac:dyDescent="0.2">
      <c r="K13" s="3">
        <v>11</v>
      </c>
      <c r="L13" s="4">
        <v>0.96648415115495701</v>
      </c>
      <c r="M13" s="4">
        <v>0</v>
      </c>
      <c r="N13" s="4">
        <v>0.96648415115495701</v>
      </c>
      <c r="O13" s="5">
        <f t="shared" si="0"/>
        <v>0.64831756859474521</v>
      </c>
      <c r="P13" s="5">
        <f t="shared" si="1"/>
        <v>0.31423008047747913</v>
      </c>
      <c r="Q13" s="5">
        <f t="shared" si="2"/>
        <v>49.377642044909919</v>
      </c>
      <c r="R13" s="5">
        <v>3.6666666666666665</v>
      </c>
      <c r="S13" s="5">
        <v>58.851670729374469</v>
      </c>
      <c r="T13" s="5">
        <f t="shared" si="3"/>
        <v>0</v>
      </c>
      <c r="U13" s="5">
        <f t="shared" si="4"/>
        <v>0</v>
      </c>
      <c r="V13" s="5" t="str">
        <f>IF($E$4="Embrousaillement",Tableau182987[[#This Row],[SOL]],"")</f>
        <v/>
      </c>
      <c r="W13" s="5" t="str">
        <f>IF($E$4="Embrousaillement",Tableau182987[[#This Row],[L]],"")</f>
        <v/>
      </c>
      <c r="X13" s="5">
        <v>5.5</v>
      </c>
      <c r="Y13" s="5">
        <f t="shared" si="5"/>
        <v>0</v>
      </c>
      <c r="Z13" s="5">
        <f t="shared" si="6"/>
        <v>0</v>
      </c>
      <c r="AA13" s="5">
        <f t="shared" si="7"/>
        <v>0</v>
      </c>
      <c r="AB13" s="5">
        <v>0</v>
      </c>
      <c r="AC13" s="5">
        <v>1.980420515885558E-2</v>
      </c>
      <c r="AD13" s="5">
        <f t="shared" si="8"/>
        <v>0</v>
      </c>
      <c r="AE13" s="5">
        <v>0</v>
      </c>
      <c r="AF13" s="5">
        <v>2.7725887222397813E-2</v>
      </c>
      <c r="AG13" s="5">
        <f t="shared" si="9"/>
        <v>0</v>
      </c>
      <c r="AH13" s="5">
        <v>0</v>
      </c>
      <c r="AI13" s="5">
        <v>0.34657359027997264</v>
      </c>
      <c r="AJ13" s="5">
        <f t="shared" si="10"/>
        <v>0</v>
      </c>
      <c r="AK13" s="5">
        <f t="shared" si="11"/>
        <v>0</v>
      </c>
      <c r="AL13" s="7">
        <f>IF(Tableau182987[[#This Row],[Age]]&lt;&gt;"",IF(Tableau182987[[#This Row],[Age]]=0,$AT$10*$B$10+SUMIF($AS$21:$AS$29,Tableau182987[[#This Row],[Age]],$AU$21:$AU$29)*$B$10+$AT$11*$B$10,SUMIF($AS$21:$AS$29,Tableau182987[[#This Row],[Age]],$AU$21:$AU$29)*$B$10+$AT$11*$B$10),"")</f>
        <v>5.3999999999999995</v>
      </c>
      <c r="AM13" s="7">
        <f>IF(Tableau182987[[#This Row],[Age]]&lt;&gt;"",IF(Tableau182987[[#This Row],[Age]]=$B$11,$AT$10*$B$10,0)+Tableau182987[[#This Row],[VBO]]*$AX$21*$B$10+Tableau182987[[#This Row],[VBI]]*$AX$22*$B$10+Tableau182987[[#This Row],[VBE]]*$AX$23*$B$10,"")</f>
        <v>0</v>
      </c>
      <c r="AN13" s="7">
        <v>3.3274731894375438</v>
      </c>
      <c r="AO13" s="7">
        <v>0</v>
      </c>
      <c r="AP13" s="7">
        <f>IF(Tableau182987[[#This Row],[Age]]&lt;&gt;"",Tableau182987[[#This Row],[RA]]-Tableau182987[[#This Row],[DA]],"")</f>
        <v>-3.3274731894375438</v>
      </c>
    </row>
    <row r="14" spans="1:49" ht="15" customHeight="1" x14ac:dyDescent="0.2">
      <c r="K14" s="3">
        <v>12</v>
      </c>
      <c r="L14" s="4">
        <v>1.2568384095053182</v>
      </c>
      <c r="M14" s="4">
        <v>0</v>
      </c>
      <c r="N14" s="4">
        <v>1.2568384095053182</v>
      </c>
      <c r="O14" s="5">
        <f t="shared" si="0"/>
        <v>0.84308720509616752</v>
      </c>
      <c r="P14" s="5">
        <f t="shared" si="1"/>
        <v>0.39632640185025764</v>
      </c>
      <c r="Q14" s="5">
        <f t="shared" si="2"/>
        <v>49.735393850745325</v>
      </c>
      <c r="R14" s="5">
        <v>4</v>
      </c>
      <c r="S14" s="5">
        <v>59.756526845449351</v>
      </c>
      <c r="T14" s="5">
        <f t="shared" si="3"/>
        <v>0</v>
      </c>
      <c r="U14" s="5">
        <f t="shared" si="4"/>
        <v>0</v>
      </c>
      <c r="V14" s="5" t="str">
        <f>IF($E$4="Embrousaillement",Tableau182987[[#This Row],[SOL]],"")</f>
        <v/>
      </c>
      <c r="W14" s="5" t="str">
        <f>IF($E$4="Embrousaillement",Tableau182987[[#This Row],[L]],"")</f>
        <v/>
      </c>
      <c r="X14" s="5">
        <v>5.5</v>
      </c>
      <c r="Y14" s="5">
        <f t="shared" si="5"/>
        <v>0</v>
      </c>
      <c r="Z14" s="5">
        <f t="shared" si="6"/>
        <v>0</v>
      </c>
      <c r="AA14" s="5">
        <f t="shared" si="7"/>
        <v>0</v>
      </c>
      <c r="AB14" s="5">
        <v>0</v>
      </c>
      <c r="AC14" s="5">
        <v>1.980420515885558E-2</v>
      </c>
      <c r="AD14" s="5">
        <f t="shared" si="8"/>
        <v>0</v>
      </c>
      <c r="AE14" s="5">
        <v>0</v>
      </c>
      <c r="AF14" s="5">
        <v>2.7725887222397813E-2</v>
      </c>
      <c r="AG14" s="5">
        <f t="shared" si="9"/>
        <v>0</v>
      </c>
      <c r="AH14" s="5">
        <v>0</v>
      </c>
      <c r="AI14" s="5">
        <v>0.34657359027997264</v>
      </c>
      <c r="AJ14" s="5">
        <f t="shared" si="10"/>
        <v>0</v>
      </c>
      <c r="AK14" s="5">
        <f t="shared" si="11"/>
        <v>0</v>
      </c>
      <c r="AL14" s="7">
        <f>IF(Tableau182987[[#This Row],[Age]]&lt;&gt;"",IF(Tableau182987[[#This Row],[Age]]=0,$AT$10*$B$10+SUMIF($AS$21:$AS$29,Tableau182987[[#This Row],[Age]],$AU$21:$AU$29)*$B$10+$AT$11*$B$10,SUMIF($AS$21:$AS$29,Tableau182987[[#This Row],[Age]],$AU$21:$AU$29)*$B$10+$AT$11*$B$10),"")</f>
        <v>5.3999999999999995</v>
      </c>
      <c r="AM14" s="7">
        <f>IF(Tableau182987[[#This Row],[Age]]&lt;&gt;"",IF(Tableau182987[[#This Row],[Age]]=$B$11,$AT$10*$B$10,0)+Tableau182987[[#This Row],[VBO]]*$AX$21*$B$10+Tableau182987[[#This Row],[VBI]]*$AX$22*$B$10+Tableau182987[[#This Row],[VBE]]*$AX$23*$B$10,"")</f>
        <v>0</v>
      </c>
      <c r="AN14" s="7">
        <v>3.1841848702751623</v>
      </c>
      <c r="AO14" s="7">
        <v>0</v>
      </c>
      <c r="AP14" s="7">
        <f>IF(Tableau182987[[#This Row],[Age]]&lt;&gt;"",Tableau182987[[#This Row],[RA]]-Tableau182987[[#This Row],[DA]],"")</f>
        <v>-3.1841848702751623</v>
      </c>
    </row>
    <row r="15" spans="1:49" ht="15" customHeight="1" x14ac:dyDescent="0.25">
      <c r="A15" s="1" t="s">
        <v>63</v>
      </c>
      <c r="B15" s="1" t="s">
        <v>64</v>
      </c>
      <c r="C15" s="1"/>
      <c r="D15" s="1"/>
      <c r="E15" s="1"/>
      <c r="F15" s="1"/>
      <c r="G15" s="1"/>
      <c r="H15" s="1"/>
      <c r="K15" s="3">
        <v>13</v>
      </c>
      <c r="L15" s="4">
        <v>1.5980972910435729</v>
      </c>
      <c r="M15" s="4">
        <v>0</v>
      </c>
      <c r="N15" s="4">
        <v>1.5980972910435729</v>
      </c>
      <c r="O15" s="5">
        <f t="shared" si="0"/>
        <v>1.0720036628320286</v>
      </c>
      <c r="P15" s="5">
        <f t="shared" si="1"/>
        <v>0.49004220842428198</v>
      </c>
      <c r="Q15" s="5">
        <f t="shared" si="2"/>
        <v>50.086939462562704</v>
      </c>
      <c r="R15" s="5">
        <v>4.333333333333333</v>
      </c>
      <c r="S15" s="5">
        <v>60.678469043217063</v>
      </c>
      <c r="T15" s="5">
        <f t="shared" si="3"/>
        <v>0</v>
      </c>
      <c r="U15" s="5">
        <f t="shared" si="4"/>
        <v>0</v>
      </c>
      <c r="V15" s="5" t="str">
        <f>IF($E$4="Embrousaillement",Tableau182987[[#This Row],[SOL]],"")</f>
        <v/>
      </c>
      <c r="W15" s="5" t="str">
        <f>IF($E$4="Embrousaillement",Tableau182987[[#This Row],[L]],"")</f>
        <v/>
      </c>
      <c r="X15" s="5">
        <v>5.5</v>
      </c>
      <c r="Y15" s="5">
        <f t="shared" si="5"/>
        <v>0</v>
      </c>
      <c r="Z15" s="5">
        <f t="shared" si="6"/>
        <v>0</v>
      </c>
      <c r="AA15" s="5">
        <f t="shared" si="7"/>
        <v>0</v>
      </c>
      <c r="AB15" s="5">
        <v>0</v>
      </c>
      <c r="AC15" s="5">
        <v>1.980420515885558E-2</v>
      </c>
      <c r="AD15" s="5">
        <f t="shared" si="8"/>
        <v>0</v>
      </c>
      <c r="AE15" s="5">
        <v>0</v>
      </c>
      <c r="AF15" s="5">
        <v>2.7725887222397813E-2</v>
      </c>
      <c r="AG15" s="5">
        <f t="shared" si="9"/>
        <v>0</v>
      </c>
      <c r="AH15" s="5">
        <v>0</v>
      </c>
      <c r="AI15" s="5">
        <v>0.34657359027997264</v>
      </c>
      <c r="AJ15" s="5">
        <f t="shared" si="10"/>
        <v>0</v>
      </c>
      <c r="AK15" s="5">
        <f t="shared" si="11"/>
        <v>0</v>
      </c>
      <c r="AL15" s="7">
        <f>IF(Tableau182987[[#This Row],[Age]]&lt;&gt;"",IF(Tableau182987[[#This Row],[Age]]=0,$AT$10*$B$10+SUMIF($AS$21:$AS$29,Tableau182987[[#This Row],[Age]],$AU$21:$AU$29)*$B$10+$AT$11*$B$10,SUMIF($AS$21:$AS$29,Tableau182987[[#This Row],[Age]],$AU$21:$AU$29)*$B$10+$AT$11*$B$10),"")</f>
        <v>5.3999999999999995</v>
      </c>
      <c r="AM15" s="7">
        <f>IF(Tableau182987[[#This Row],[Age]]&lt;&gt;"",IF(Tableau182987[[#This Row],[Age]]=$B$11,$AT$10*$B$10,0)+Tableau182987[[#This Row],[VBO]]*$AX$21*$B$10+Tableau182987[[#This Row],[VBI]]*$AX$22*$B$10+Tableau182987[[#This Row],[VBE]]*$AX$23*$B$10,"")</f>
        <v>0</v>
      </c>
      <c r="AN15" s="7">
        <v>3.0470668615073322</v>
      </c>
      <c r="AO15" s="7">
        <v>0</v>
      </c>
      <c r="AP15" s="7">
        <f>IF(Tableau182987[[#This Row],[Age]]&lt;&gt;"",Tableau182987[[#This Row],[RA]]-Tableau182987[[#This Row],[DA]],"")</f>
        <v>-3.0470668615073322</v>
      </c>
    </row>
    <row r="16" spans="1:49" ht="15" customHeight="1" x14ac:dyDescent="0.2">
      <c r="A16" s="12"/>
      <c r="B16" s="13"/>
      <c r="C16" s="13"/>
      <c r="D16" s="13"/>
      <c r="E16" s="13"/>
      <c r="F16" s="13"/>
      <c r="G16" s="13"/>
      <c r="H16" s="13"/>
      <c r="I16" s="14"/>
      <c r="K16" s="3">
        <v>14</v>
      </c>
      <c r="L16" s="4">
        <v>1.9936982324708641</v>
      </c>
      <c r="M16" s="4">
        <v>0</v>
      </c>
      <c r="N16" s="4">
        <v>1.9936982324708641</v>
      </c>
      <c r="O16" s="5">
        <f t="shared" si="0"/>
        <v>1.3373727743414556</v>
      </c>
      <c r="P16" s="5">
        <f t="shared" si="1"/>
        <v>0.5958113254610603</v>
      </c>
      <c r="Q16" s="5">
        <f t="shared" si="2"/>
        <v>50.432386543953299</v>
      </c>
      <c r="R16" s="5">
        <v>4.6666666666666661</v>
      </c>
      <c r="S16" s="5">
        <v>61.619047223828765</v>
      </c>
      <c r="T16" s="5">
        <f t="shared" si="3"/>
        <v>0</v>
      </c>
      <c r="U16" s="5">
        <f t="shared" si="4"/>
        <v>0</v>
      </c>
      <c r="V16" s="5" t="str">
        <f>IF($E$4="Embrousaillement",Tableau182987[[#This Row],[SOL]],"")</f>
        <v/>
      </c>
      <c r="W16" s="5" t="str">
        <f>IF($E$4="Embrousaillement",Tableau182987[[#This Row],[L]],"")</f>
        <v/>
      </c>
      <c r="X16" s="5">
        <v>5.5</v>
      </c>
      <c r="Y16" s="5">
        <f t="shared" si="5"/>
        <v>0</v>
      </c>
      <c r="Z16" s="5">
        <f t="shared" si="6"/>
        <v>0</v>
      </c>
      <c r="AA16" s="5">
        <f t="shared" si="7"/>
        <v>0</v>
      </c>
      <c r="AB16" s="5">
        <v>0</v>
      </c>
      <c r="AC16" s="5">
        <v>1.980420515885558E-2</v>
      </c>
      <c r="AD16" s="5">
        <f t="shared" si="8"/>
        <v>0</v>
      </c>
      <c r="AE16" s="5">
        <v>0</v>
      </c>
      <c r="AF16" s="5">
        <v>2.7725887222397813E-2</v>
      </c>
      <c r="AG16" s="5">
        <f t="shared" si="9"/>
        <v>0</v>
      </c>
      <c r="AH16" s="5">
        <v>0</v>
      </c>
      <c r="AI16" s="5">
        <v>0.34657359027997264</v>
      </c>
      <c r="AJ16" s="5">
        <f t="shared" si="10"/>
        <v>0</v>
      </c>
      <c r="AK16" s="5">
        <f t="shared" si="11"/>
        <v>0</v>
      </c>
      <c r="AL16" s="7">
        <f>IF(Tableau182987[[#This Row],[Age]]&lt;&gt;"",IF(Tableau182987[[#This Row],[Age]]=0,$AT$10*$B$10+SUMIF($AS$21:$AS$29,Tableau182987[[#This Row],[Age]],$AU$21:$AU$29)*$B$10+$AT$11*$B$10,SUMIF($AS$21:$AS$29,Tableau182987[[#This Row],[Age]],$AU$21:$AU$29)*$B$10+$AT$11*$B$10),"")</f>
        <v>5.3999999999999995</v>
      </c>
      <c r="AM16" s="7">
        <f>IF(Tableau182987[[#This Row],[Age]]&lt;&gt;"",IF(Tableau182987[[#This Row],[Age]]=$B$11,$AT$10*$B$10,0)+Tableau182987[[#This Row],[VBO]]*$AX$21*$B$10+Tableau182987[[#This Row],[VBI]]*$AX$22*$B$10+Tableau182987[[#This Row],[VBE]]*$AX$23*$B$10,"")</f>
        <v>0</v>
      </c>
      <c r="AN16" s="7">
        <v>2.9158534559878784</v>
      </c>
      <c r="AO16" s="7">
        <v>0</v>
      </c>
      <c r="AP16" s="7">
        <f>IF(Tableau182987[[#This Row],[Age]]&lt;&gt;"",Tableau182987[[#This Row],[RA]]-Tableau182987[[#This Row],[DA]],"")</f>
        <v>-2.9158534559878784</v>
      </c>
      <c r="AS16" s="3" t="s">
        <v>65</v>
      </c>
      <c r="AT16" s="9"/>
    </row>
    <row r="17" spans="1:50" ht="15" customHeight="1" x14ac:dyDescent="0.2">
      <c r="A17" s="15" t="s">
        <v>66</v>
      </c>
      <c r="B17" s="16">
        <f>AT16*B10+SUM(AP:AP)</f>
        <v>-617.09780843883243</v>
      </c>
      <c r="I17" s="17"/>
      <c r="K17" s="3">
        <v>15</v>
      </c>
      <c r="L17" s="4">
        <v>2.4469296339816671</v>
      </c>
      <c r="M17" s="4">
        <v>0</v>
      </c>
      <c r="N17" s="4">
        <v>2.4469296339816671</v>
      </c>
      <c r="O17" s="5">
        <f t="shared" si="0"/>
        <v>1.6414003984749024</v>
      </c>
      <c r="P17" s="5">
        <f t="shared" si="1"/>
        <v>0.71402863293667695</v>
      </c>
      <c r="Q17" s="5">
        <f t="shared" si="2"/>
        <v>50.771840890785739</v>
      </c>
      <c r="R17" s="5">
        <v>5</v>
      </c>
      <c r="S17" s="5">
        <v>62.579736648776851</v>
      </c>
      <c r="T17" s="5">
        <f t="shared" si="3"/>
        <v>0</v>
      </c>
      <c r="U17" s="5">
        <f t="shared" si="4"/>
        <v>0</v>
      </c>
      <c r="V17" s="5" t="str">
        <f>IF($E$4="Embrousaillement",Tableau182987[[#This Row],[SOL]],"")</f>
        <v/>
      </c>
      <c r="W17" s="5" t="str">
        <f>IF($E$4="Embrousaillement",Tableau182987[[#This Row],[L]],"")</f>
        <v/>
      </c>
      <c r="X17" s="5">
        <v>5.5</v>
      </c>
      <c r="Y17" s="5">
        <f t="shared" si="5"/>
        <v>0</v>
      </c>
      <c r="Z17" s="5">
        <f t="shared" si="6"/>
        <v>0</v>
      </c>
      <c r="AA17" s="5">
        <f t="shared" si="7"/>
        <v>0</v>
      </c>
      <c r="AB17" s="5">
        <v>0</v>
      </c>
      <c r="AC17" s="5">
        <v>1.980420515885558E-2</v>
      </c>
      <c r="AD17" s="5">
        <f t="shared" si="8"/>
        <v>0</v>
      </c>
      <c r="AE17" s="5">
        <v>0</v>
      </c>
      <c r="AF17" s="5">
        <v>2.7725887222397813E-2</v>
      </c>
      <c r="AG17" s="5">
        <f t="shared" si="9"/>
        <v>0</v>
      </c>
      <c r="AH17" s="5">
        <v>0</v>
      </c>
      <c r="AI17" s="5">
        <v>0.34657359027997264</v>
      </c>
      <c r="AJ17" s="5">
        <f t="shared" si="10"/>
        <v>0</v>
      </c>
      <c r="AK17" s="5">
        <f t="shared" si="11"/>
        <v>0</v>
      </c>
      <c r="AL17" s="7">
        <f>IF(Tableau182987[[#This Row],[Age]]&lt;&gt;"",IF(Tableau182987[[#This Row],[Age]]=0,$AT$10*$B$10+SUMIF($AS$21:$AS$29,Tableau182987[[#This Row],[Age]],$AU$21:$AU$29)*$B$10+$AT$11*$B$10,SUMIF($AS$21:$AS$29,Tableau182987[[#This Row],[Age]],$AU$21:$AU$29)*$B$10+$AT$11*$B$10),"")</f>
        <v>5.3999999999999995</v>
      </c>
      <c r="AM17" s="7">
        <f>IF(Tableau182987[[#This Row],[Age]]&lt;&gt;"",IF(Tableau182987[[#This Row],[Age]]=$B$11,$AT$10*$B$10,0)+Tableau182987[[#This Row],[VBO]]*$AX$21*$B$10+Tableau182987[[#This Row],[VBI]]*$AX$22*$B$10+Tableau182987[[#This Row],[VBE]]*$AX$23*$B$10,"")</f>
        <v>0</v>
      </c>
      <c r="AN17" s="7">
        <v>2.7902903885051464</v>
      </c>
      <c r="AO17" s="7">
        <v>0</v>
      </c>
      <c r="AP17" s="7">
        <f>IF(Tableau182987[[#This Row],[Age]]&lt;&gt;"",Tableau182987[[#This Row],[RA]]-Tableau182987[[#This Row],[DA]],"")</f>
        <v>-2.7902903885051464</v>
      </c>
      <c r="AS17" s="3" t="s">
        <v>67</v>
      </c>
    </row>
    <row r="18" spans="1:50" ht="15" customHeight="1" x14ac:dyDescent="0.2">
      <c r="A18" s="15" t="s">
        <v>68</v>
      </c>
      <c r="B18" s="16">
        <v>0</v>
      </c>
      <c r="I18" s="17"/>
      <c r="K18" s="3">
        <v>16</v>
      </c>
      <c r="L18" s="4">
        <v>2.9609308592637915</v>
      </c>
      <c r="M18" s="4">
        <v>0</v>
      </c>
      <c r="N18" s="4">
        <v>2.9609308592637915</v>
      </c>
      <c r="O18" s="5">
        <f t="shared" si="0"/>
        <v>1.9861924203941514</v>
      </c>
      <c r="P18" s="5">
        <f t="shared" si="1"/>
        <v>0.84505252435374623</v>
      </c>
      <c r="Q18" s="5">
        <f t="shared" si="2"/>
        <v>51.105406463606862</v>
      </c>
      <c r="R18" s="5">
        <v>5.333333333333333</v>
      </c>
      <c r="S18" s="5">
        <v>63.561939260264985</v>
      </c>
      <c r="T18" s="5">
        <f t="shared" si="3"/>
        <v>0</v>
      </c>
      <c r="U18" s="5">
        <f t="shared" si="4"/>
        <v>0</v>
      </c>
      <c r="V18" s="5" t="str">
        <f>IF($E$4="Embrousaillement",Tableau182987[[#This Row],[SOL]],"")</f>
        <v/>
      </c>
      <c r="W18" s="5" t="str">
        <f>IF($E$4="Embrousaillement",Tableau182987[[#This Row],[L]],"")</f>
        <v/>
      </c>
      <c r="X18" s="5">
        <v>5.5</v>
      </c>
      <c r="Y18" s="5">
        <f t="shared" si="5"/>
        <v>0</v>
      </c>
      <c r="Z18" s="5">
        <f t="shared" si="6"/>
        <v>0</v>
      </c>
      <c r="AA18" s="5">
        <f t="shared" si="7"/>
        <v>0</v>
      </c>
      <c r="AB18" s="5">
        <v>0</v>
      </c>
      <c r="AC18" s="5">
        <v>1.980420515885558E-2</v>
      </c>
      <c r="AD18" s="5">
        <f t="shared" si="8"/>
        <v>0</v>
      </c>
      <c r="AE18" s="5">
        <v>0</v>
      </c>
      <c r="AF18" s="5">
        <v>2.7725887222397813E-2</v>
      </c>
      <c r="AG18" s="5">
        <f t="shared" si="9"/>
        <v>0</v>
      </c>
      <c r="AH18" s="5">
        <v>0</v>
      </c>
      <c r="AI18" s="5">
        <v>0.34657359027997264</v>
      </c>
      <c r="AJ18" s="5">
        <f t="shared" si="10"/>
        <v>0</v>
      </c>
      <c r="AK18" s="5">
        <f t="shared" si="11"/>
        <v>0</v>
      </c>
      <c r="AL18" s="7">
        <f>IF(Tableau182987[[#This Row],[Age]]&lt;&gt;"",IF(Tableau182987[[#This Row],[Age]]=0,$AT$10*$B$10+SUMIF($AS$21:$AS$29,Tableau182987[[#This Row],[Age]],$AU$21:$AU$29)*$B$10+$AT$11*$B$10,SUMIF($AS$21:$AS$29,Tableau182987[[#This Row],[Age]],$AU$21:$AU$29)*$B$10+$AT$11*$B$10),"")</f>
        <v>5.3999999999999995</v>
      </c>
      <c r="AM18" s="7">
        <f>IF(Tableau182987[[#This Row],[Age]]&lt;&gt;"",IF(Tableau182987[[#This Row],[Age]]=$B$11,$AT$10*$B$10,0)+Tableau182987[[#This Row],[VBO]]*$AX$21*$B$10+Tableau182987[[#This Row],[VBI]]*$AX$22*$B$10+Tableau182987[[#This Row],[VBE]]*$AX$23*$B$10,"")</f>
        <v>0</v>
      </c>
      <c r="AN18" s="7">
        <v>2.6701343430671272</v>
      </c>
      <c r="AO18" s="7">
        <v>0</v>
      </c>
      <c r="AP18" s="7">
        <f>IF(Tableau182987[[#This Row],[Age]]&lt;&gt;"",Tableau182987[[#This Row],[RA]]-Tableau182987[[#This Row],[DA]],"")</f>
        <v>-2.6701343430671272</v>
      </c>
    </row>
    <row r="19" spans="1:50" ht="15" customHeight="1" x14ac:dyDescent="0.2">
      <c r="A19" s="15" t="s">
        <v>69</v>
      </c>
      <c r="B19" s="16">
        <f>B17-B18</f>
        <v>-617.09780843883243</v>
      </c>
      <c r="I19" s="17"/>
      <c r="K19" s="3">
        <v>17</v>
      </c>
      <c r="L19" s="4">
        <v>3.5386922354983743</v>
      </c>
      <c r="M19" s="4">
        <v>0</v>
      </c>
      <c r="N19" s="4">
        <v>3.5386922354983743</v>
      </c>
      <c r="O19" s="5">
        <f t="shared" si="0"/>
        <v>2.3737547515723096</v>
      </c>
      <c r="P19" s="5">
        <f t="shared" si="1"/>
        <v>0.98920699639431375</v>
      </c>
      <c r="Q19" s="5">
        <f t="shared" si="2"/>
        <v>51.433185419480445</v>
      </c>
      <c r="R19" s="5">
        <v>5.6666666666666661</v>
      </c>
      <c r="S19" s="5">
        <v>64.566984808074366</v>
      </c>
      <c r="T19" s="5">
        <f t="shared" si="3"/>
        <v>0</v>
      </c>
      <c r="U19" s="5">
        <f t="shared" si="4"/>
        <v>0</v>
      </c>
      <c r="V19" s="5" t="str">
        <f>IF($E$4="Embrousaillement",Tableau182987[[#This Row],[SOL]],"")</f>
        <v/>
      </c>
      <c r="W19" s="5" t="str">
        <f>IF($E$4="Embrousaillement",Tableau182987[[#This Row],[L]],"")</f>
        <v/>
      </c>
      <c r="X19" s="5">
        <v>5.5</v>
      </c>
      <c r="Y19" s="5">
        <f t="shared" si="5"/>
        <v>0</v>
      </c>
      <c r="Z19" s="5">
        <f t="shared" si="6"/>
        <v>0</v>
      </c>
      <c r="AA19" s="5">
        <f t="shared" si="7"/>
        <v>0</v>
      </c>
      <c r="AB19" s="5">
        <v>0</v>
      </c>
      <c r="AC19" s="5">
        <v>1.980420515885558E-2</v>
      </c>
      <c r="AD19" s="5">
        <f t="shared" si="8"/>
        <v>0</v>
      </c>
      <c r="AE19" s="5">
        <v>0</v>
      </c>
      <c r="AF19" s="5">
        <v>2.7725887222397813E-2</v>
      </c>
      <c r="AG19" s="5">
        <f t="shared" si="9"/>
        <v>0</v>
      </c>
      <c r="AH19" s="5">
        <v>0</v>
      </c>
      <c r="AI19" s="5">
        <v>0.34657359027997264</v>
      </c>
      <c r="AJ19" s="5">
        <f t="shared" si="10"/>
        <v>0</v>
      </c>
      <c r="AK19" s="5">
        <f t="shared" si="11"/>
        <v>0</v>
      </c>
      <c r="AL19" s="7">
        <f>IF(Tableau182987[[#This Row],[Age]]&lt;&gt;"",IF(Tableau182987[[#This Row],[Age]]=0,$AT$10*$B$10+SUMIF($AS$21:$AS$29,Tableau182987[[#This Row],[Age]],$AU$21:$AU$29)*$B$10+$AT$11*$B$10,SUMIF($AS$21:$AS$29,Tableau182987[[#This Row],[Age]],$AU$21:$AU$29)*$B$10+$AT$11*$B$10),"")</f>
        <v>5.3999999999999995</v>
      </c>
      <c r="AM19" s="7">
        <f>IF(Tableau182987[[#This Row],[Age]]&lt;&gt;"",IF(Tableau182987[[#This Row],[Age]]=$B$11,$AT$10*$B$10,0)+Tableau182987[[#This Row],[VBO]]*$AX$21*$B$10+Tableau182987[[#This Row],[VBI]]*$AX$22*$B$10+Tableau182987[[#This Row],[VBE]]*$AX$23*$B$10,"")</f>
        <v>0</v>
      </c>
      <c r="AN19" s="7">
        <v>2.5551524814039492</v>
      </c>
      <c r="AO19" s="7">
        <v>0</v>
      </c>
      <c r="AP19" s="7">
        <f>IF(Tableau182987[[#This Row],[Age]]&lt;&gt;"",Tableau182987[[#This Row],[RA]]-Tableau182987[[#This Row],[DA]],"")</f>
        <v>-2.5551524814039492</v>
      </c>
      <c r="AS19" s="18" t="s">
        <v>70</v>
      </c>
      <c r="AW19" s="18" t="s">
        <v>29</v>
      </c>
    </row>
    <row r="20" spans="1:50" ht="15" customHeight="1" x14ac:dyDescent="0.2">
      <c r="A20" s="19"/>
      <c r="B20" s="20"/>
      <c r="C20" s="20"/>
      <c r="D20" s="20"/>
      <c r="E20" s="20"/>
      <c r="F20" s="20"/>
      <c r="G20" s="20"/>
      <c r="H20" s="20"/>
      <c r="I20" s="21"/>
      <c r="K20" s="3">
        <v>18</v>
      </c>
      <c r="L20" s="4">
        <v>4.1830550533598894</v>
      </c>
      <c r="M20" s="4">
        <v>0</v>
      </c>
      <c r="N20" s="4">
        <v>4.1830550533598894</v>
      </c>
      <c r="O20" s="5">
        <f t="shared" si="0"/>
        <v>2.805993329793814</v>
      </c>
      <c r="P20" s="5">
        <f t="shared" si="1"/>
        <v>1.146783445324703</v>
      </c>
      <c r="Q20" s="5">
        <f t="shared" si="2"/>
        <v>51.755278143273578</v>
      </c>
      <c r="R20" s="5">
        <v>6</v>
      </c>
      <c r="S20" s="5">
        <v>65.596131822600356</v>
      </c>
      <c r="T20" s="5">
        <f t="shared" si="3"/>
        <v>0</v>
      </c>
      <c r="U20" s="5">
        <f t="shared" si="4"/>
        <v>0</v>
      </c>
      <c r="V20" s="5" t="str">
        <f>IF($E$4="Embrousaillement",Tableau182987[[#This Row],[SOL]],"")</f>
        <v/>
      </c>
      <c r="W20" s="5" t="str">
        <f>IF($E$4="Embrousaillement",Tableau182987[[#This Row],[L]],"")</f>
        <v/>
      </c>
      <c r="X20" s="5">
        <v>5.5</v>
      </c>
      <c r="Y20" s="5">
        <f t="shared" si="5"/>
        <v>0</v>
      </c>
      <c r="Z20" s="5">
        <f t="shared" si="6"/>
        <v>0</v>
      </c>
      <c r="AA20" s="5">
        <f t="shared" si="7"/>
        <v>0</v>
      </c>
      <c r="AB20" s="5">
        <v>0</v>
      </c>
      <c r="AC20" s="5">
        <v>1.980420515885558E-2</v>
      </c>
      <c r="AD20" s="5">
        <f t="shared" si="8"/>
        <v>0</v>
      </c>
      <c r="AE20" s="5">
        <v>0</v>
      </c>
      <c r="AF20" s="5">
        <v>2.7725887222397813E-2</v>
      </c>
      <c r="AG20" s="5">
        <f t="shared" si="9"/>
        <v>0</v>
      </c>
      <c r="AH20" s="5">
        <v>0</v>
      </c>
      <c r="AI20" s="5">
        <v>0.34657359027997264</v>
      </c>
      <c r="AJ20" s="5">
        <f t="shared" si="10"/>
        <v>0</v>
      </c>
      <c r="AK20" s="5">
        <f t="shared" si="11"/>
        <v>0</v>
      </c>
      <c r="AL20" s="7">
        <f>IF(Tableau182987[[#This Row],[Age]]&lt;&gt;"",IF(Tableau182987[[#This Row],[Age]]=0,$AT$10*$B$10+SUMIF($AS$21:$AS$29,Tableau182987[[#This Row],[Age]],$AU$21:$AU$29)*$B$10+$AT$11*$B$10,SUMIF($AS$21:$AS$29,Tableau182987[[#This Row],[Age]],$AU$21:$AU$29)*$B$10+$AT$11*$B$10),"")</f>
        <v>5.3999999999999995</v>
      </c>
      <c r="AM20" s="7">
        <f>IF(Tableau182987[[#This Row],[Age]]&lt;&gt;"",IF(Tableau182987[[#This Row],[Age]]=$B$11,$AT$10*$B$10,0)+Tableau182987[[#This Row],[VBO]]*$AX$21*$B$10+Tableau182987[[#This Row],[VBI]]*$AX$22*$B$10+Tableau182987[[#This Row],[VBE]]*$AX$23*$B$10,"")</f>
        <v>0</v>
      </c>
      <c r="AN20" s="7">
        <v>2.4451219917741147</v>
      </c>
      <c r="AO20" s="7">
        <v>0</v>
      </c>
      <c r="AP20" s="7">
        <f>IF(Tableau182987[[#This Row],[Age]]&lt;&gt;"",Tableau182987[[#This Row],[RA]]-Tableau182987[[#This Row],[DA]],"")</f>
        <v>-2.4451219917741147</v>
      </c>
      <c r="AS20" s="3" t="s">
        <v>71</v>
      </c>
      <c r="AT20" s="3" t="s">
        <v>72</v>
      </c>
      <c r="AU20" s="3" t="s">
        <v>73</v>
      </c>
      <c r="AW20" s="3" t="s">
        <v>49</v>
      </c>
      <c r="AX20" s="3" t="s">
        <v>74</v>
      </c>
    </row>
    <row r="21" spans="1:50" ht="15" customHeight="1" x14ac:dyDescent="0.2">
      <c r="K21" s="3">
        <v>19</v>
      </c>
      <c r="L21" s="4">
        <v>4.8967115670161387</v>
      </c>
      <c r="M21" s="4">
        <v>0</v>
      </c>
      <c r="N21" s="4">
        <v>4.8967115670161387</v>
      </c>
      <c r="O21" s="5">
        <f t="shared" si="0"/>
        <v>3.284714119154426</v>
      </c>
      <c r="P21" s="5">
        <f t="shared" si="1"/>
        <v>1.318042226673295</v>
      </c>
      <c r="Q21" s="5">
        <f t="shared" si="2"/>
        <v>52.07178327840036</v>
      </c>
      <c r="R21" s="5">
        <v>6.333333333333333</v>
      </c>
      <c r="S21" s="5">
        <v>66.650568463602042</v>
      </c>
      <c r="T21" s="5">
        <f t="shared" si="3"/>
        <v>0</v>
      </c>
      <c r="U21" s="5">
        <f t="shared" si="4"/>
        <v>0</v>
      </c>
      <c r="V21" s="5" t="str">
        <f>IF($E$4="Embrousaillement",Tableau182987[[#This Row],[SOL]],"")</f>
        <v/>
      </c>
      <c r="W21" s="5" t="str">
        <f>IF($E$4="Embrousaillement",Tableau182987[[#This Row],[L]],"")</f>
        <v/>
      </c>
      <c r="X21" s="5">
        <v>5.5</v>
      </c>
      <c r="Y21" s="5">
        <f t="shared" si="5"/>
        <v>0</v>
      </c>
      <c r="Z21" s="5">
        <f t="shared" si="6"/>
        <v>0</v>
      </c>
      <c r="AA21" s="5">
        <f t="shared" si="7"/>
        <v>0</v>
      </c>
      <c r="AB21" s="5">
        <v>0</v>
      </c>
      <c r="AC21" s="5">
        <v>1.980420515885558E-2</v>
      </c>
      <c r="AD21" s="5">
        <f t="shared" si="8"/>
        <v>0</v>
      </c>
      <c r="AE21" s="5">
        <v>0</v>
      </c>
      <c r="AF21" s="5">
        <v>2.7725887222397813E-2</v>
      </c>
      <c r="AG21" s="5">
        <f t="shared" si="9"/>
        <v>0</v>
      </c>
      <c r="AH21" s="5">
        <v>0</v>
      </c>
      <c r="AI21" s="5">
        <v>0.34657359027997264</v>
      </c>
      <c r="AJ21" s="5">
        <f t="shared" si="10"/>
        <v>0</v>
      </c>
      <c r="AK21" s="5">
        <f t="shared" si="11"/>
        <v>0</v>
      </c>
      <c r="AL21" s="7">
        <f>IF(Tableau182987[[#This Row],[Age]]&lt;&gt;"",IF(Tableau182987[[#This Row],[Age]]=0,$AT$10*$B$10+SUMIF($AS$21:$AS$29,Tableau182987[[#This Row],[Age]],$AU$21:$AU$29)*$B$10+$AT$11*$B$10,SUMIF($AS$21:$AS$29,Tableau182987[[#This Row],[Age]],$AU$21:$AU$29)*$B$10+$AT$11*$B$10),"")</f>
        <v>5.3999999999999995</v>
      </c>
      <c r="AM21" s="7">
        <f>IF(Tableau182987[[#This Row],[Age]]&lt;&gt;"",IF(Tableau182987[[#This Row],[Age]]=$B$11,$AT$10*$B$10,0)+Tableau182987[[#This Row],[VBO]]*$AX$21*$B$10+Tableau182987[[#This Row],[VBI]]*$AX$22*$B$10+Tableau182987[[#This Row],[VBE]]*$AX$23*$B$10,"")</f>
        <v>0</v>
      </c>
      <c r="AN21" s="7">
        <v>2.3398296572001098</v>
      </c>
      <c r="AO21" s="7">
        <v>0</v>
      </c>
      <c r="AP21" s="7">
        <f>IF(Tableau182987[[#This Row],[Age]]&lt;&gt;"",Tableau182987[[#This Row],[RA]]-Tableau182987[[#This Row],[DA]],"")</f>
        <v>-2.3398296572001098</v>
      </c>
      <c r="AS21" s="3">
        <v>0</v>
      </c>
      <c r="AT21" s="3" t="s">
        <v>75</v>
      </c>
      <c r="AU21" s="22">
        <v>200</v>
      </c>
      <c r="AW21" s="3" t="s">
        <v>76</v>
      </c>
      <c r="AX21" s="23">
        <v>30</v>
      </c>
    </row>
    <row r="22" spans="1:50" ht="15" customHeight="1" x14ac:dyDescent="0.2">
      <c r="K22" s="3">
        <v>20</v>
      </c>
      <c r="L22" s="4">
        <v>5.6822049941282593</v>
      </c>
      <c r="M22" s="4">
        <v>0</v>
      </c>
      <c r="N22" s="4">
        <v>5.6822049941282593</v>
      </c>
      <c r="O22" s="5">
        <f t="shared" si="0"/>
        <v>3.8116231100612366</v>
      </c>
      <c r="P22" s="5">
        <f t="shared" si="1"/>
        <v>1.5032140210994764</v>
      </c>
      <c r="Q22" s="5">
        <f t="shared" si="2"/>
        <v>52.382797757032165</v>
      </c>
      <c r="R22" s="5">
        <v>6.6666666666666661</v>
      </c>
      <c r="S22" s="5">
        <v>67.73141326710018</v>
      </c>
      <c r="T22" s="5">
        <f t="shared" si="3"/>
        <v>0</v>
      </c>
      <c r="U22" s="5">
        <f t="shared" si="4"/>
        <v>0</v>
      </c>
      <c r="V22" s="5" t="str">
        <f>IF($E$4="Embrousaillement",Tableau182987[[#This Row],[SOL]],"")</f>
        <v/>
      </c>
      <c r="W22" s="5" t="str">
        <f>IF($E$4="Embrousaillement",Tableau182987[[#This Row],[L]],"")</f>
        <v/>
      </c>
      <c r="X22" s="5">
        <v>5.5</v>
      </c>
      <c r="Y22" s="5">
        <f t="shared" si="5"/>
        <v>0</v>
      </c>
      <c r="Z22" s="5">
        <f t="shared" si="6"/>
        <v>0</v>
      </c>
      <c r="AA22" s="5">
        <f t="shared" si="7"/>
        <v>0</v>
      </c>
      <c r="AB22" s="5">
        <v>0</v>
      </c>
      <c r="AC22" s="5">
        <v>1.980420515885558E-2</v>
      </c>
      <c r="AD22" s="5">
        <f t="shared" si="8"/>
        <v>0</v>
      </c>
      <c r="AE22" s="5">
        <v>0</v>
      </c>
      <c r="AF22" s="5">
        <v>2.7725887222397813E-2</v>
      </c>
      <c r="AG22" s="5">
        <f t="shared" si="9"/>
        <v>0</v>
      </c>
      <c r="AH22" s="5">
        <v>0</v>
      </c>
      <c r="AI22" s="5">
        <v>0.34657359027997264</v>
      </c>
      <c r="AJ22" s="5">
        <f t="shared" si="10"/>
        <v>0</v>
      </c>
      <c r="AK22" s="5">
        <f t="shared" si="11"/>
        <v>0</v>
      </c>
      <c r="AL22" s="7">
        <f>IF(Tableau182987[[#This Row],[Age]]&lt;&gt;"",IF(Tableau182987[[#This Row],[Age]]=0,$AT$10*$B$10+SUMIF($AS$21:$AS$29,Tableau182987[[#This Row],[Age]],$AU$21:$AU$29)*$B$10+$AT$11*$B$10,SUMIF($AS$21:$AS$29,Tableau182987[[#This Row],[Age]],$AU$21:$AU$29)*$B$10+$AT$11*$B$10),"")</f>
        <v>5.3999999999999995</v>
      </c>
      <c r="AM22" s="7">
        <f>IF(Tableau182987[[#This Row],[Age]]&lt;&gt;"",IF(Tableau182987[[#This Row],[Age]]=$B$11,$AT$10*$B$10,0)+Tableau182987[[#This Row],[VBO]]*$AX$21*$B$10+Tableau182987[[#This Row],[VBI]]*$AX$22*$B$10+Tableau182987[[#This Row],[VBE]]*$AX$23*$B$10,"")</f>
        <v>0</v>
      </c>
      <c r="AN22" s="7">
        <v>2.2390714422967561</v>
      </c>
      <c r="AO22" s="7">
        <v>0</v>
      </c>
      <c r="AP22" s="7">
        <f>IF(Tableau182987[[#This Row],[Age]]&lt;&gt;"",Tableau182987[[#This Row],[RA]]-Tableau182987[[#This Row],[DA]],"")</f>
        <v>-2.2390714422967561</v>
      </c>
      <c r="AS22" s="3">
        <v>1</v>
      </c>
      <c r="AT22" s="3" t="s">
        <v>77</v>
      </c>
      <c r="AU22" s="22">
        <v>400</v>
      </c>
      <c r="AW22" s="3" t="s">
        <v>78</v>
      </c>
      <c r="AX22" s="23">
        <v>5</v>
      </c>
    </row>
    <row r="23" spans="1:50" ht="15" customHeight="1" x14ac:dyDescent="0.2">
      <c r="K23" s="3">
        <v>21</v>
      </c>
      <c r="L23" s="4">
        <v>6.5419295158507182</v>
      </c>
      <c r="M23" s="4">
        <v>0</v>
      </c>
      <c r="N23" s="4">
        <v>6.5419295158507182</v>
      </c>
      <c r="O23" s="5">
        <f t="shared" si="0"/>
        <v>4.3883263192326618</v>
      </c>
      <c r="P23" s="5">
        <f t="shared" si="1"/>
        <v>1.702501039607434</v>
      </c>
      <c r="Q23" s="5">
        <f t="shared" si="2"/>
        <v>52.688416829783918</v>
      </c>
      <c r="R23" s="5">
        <v>7</v>
      </c>
      <c r="S23" s="5">
        <v>68.839715807756249</v>
      </c>
      <c r="T23" s="5">
        <f t="shared" si="3"/>
        <v>0</v>
      </c>
      <c r="U23" s="5">
        <f t="shared" si="4"/>
        <v>0</v>
      </c>
      <c r="V23" s="5" t="str">
        <f>IF($E$4="Embrousaillement",Tableau182987[[#This Row],[SOL]],"")</f>
        <v/>
      </c>
      <c r="W23" s="5" t="str">
        <f>IF($E$4="Embrousaillement",Tableau182987[[#This Row],[L]],"")</f>
        <v/>
      </c>
      <c r="X23" s="5">
        <v>5.5</v>
      </c>
      <c r="Y23" s="5">
        <f t="shared" si="5"/>
        <v>0</v>
      </c>
      <c r="Z23" s="5">
        <f t="shared" si="6"/>
        <v>0</v>
      </c>
      <c r="AA23" s="5">
        <f t="shared" si="7"/>
        <v>0</v>
      </c>
      <c r="AB23" s="5">
        <v>0</v>
      </c>
      <c r="AC23" s="5">
        <v>1.980420515885558E-2</v>
      </c>
      <c r="AD23" s="5">
        <f t="shared" si="8"/>
        <v>0</v>
      </c>
      <c r="AE23" s="5">
        <v>0</v>
      </c>
      <c r="AF23" s="5">
        <v>2.7725887222397813E-2</v>
      </c>
      <c r="AG23" s="5">
        <f t="shared" si="9"/>
        <v>0</v>
      </c>
      <c r="AH23" s="5">
        <v>0</v>
      </c>
      <c r="AI23" s="5">
        <v>0.34657359027997264</v>
      </c>
      <c r="AJ23" s="5">
        <f t="shared" si="10"/>
        <v>0</v>
      </c>
      <c r="AK23" s="5">
        <f t="shared" si="11"/>
        <v>0</v>
      </c>
      <c r="AL23" s="7">
        <f>IF(Tableau182987[[#This Row],[Age]]&lt;&gt;"",IF(Tableau182987[[#This Row],[Age]]=0,$AT$10*$B$10+SUMIF($AS$21:$AS$29,Tableau182987[[#This Row],[Age]],$AU$21:$AU$29)*$B$10+$AT$11*$B$10,SUMIF($AS$21:$AS$29,Tableau182987[[#This Row],[Age]],$AU$21:$AU$29)*$B$10+$AT$11*$B$10),"")</f>
        <v>5.3999999999999995</v>
      </c>
      <c r="AM23" s="7">
        <f>IF(Tableau182987[[#This Row],[Age]]&lt;&gt;"",IF(Tableau182987[[#This Row],[Age]]=$B$11,$AT$10*$B$10,0)+Tableau182987[[#This Row],[VBO]]*$AX$21*$B$10+Tableau182987[[#This Row],[VBI]]*$AX$22*$B$10+Tableau182987[[#This Row],[VBE]]*$AX$23*$B$10,"")</f>
        <v>0</v>
      </c>
      <c r="AN23" s="7">
        <v>2.1426520978916326</v>
      </c>
      <c r="AO23" s="7">
        <v>0</v>
      </c>
      <c r="AP23" s="7">
        <f>IF(Tableau182987[[#This Row],[Age]]&lt;&gt;"",Tableau182987[[#This Row],[RA]]-Tableau182987[[#This Row],[DA]],"")</f>
        <v>-2.1426520978916326</v>
      </c>
      <c r="AS23" s="3">
        <v>1</v>
      </c>
      <c r="AT23" s="3" t="s">
        <v>79</v>
      </c>
      <c r="AU23" s="22">
        <v>308</v>
      </c>
      <c r="AW23" s="3" t="s">
        <v>80</v>
      </c>
      <c r="AX23" s="23">
        <v>5</v>
      </c>
    </row>
    <row r="24" spans="1:50" ht="15" customHeight="1" x14ac:dyDescent="0.25">
      <c r="A24" s="1" t="s">
        <v>81</v>
      </c>
      <c r="B24" s="1" t="s">
        <v>82</v>
      </c>
      <c r="K24" s="3">
        <v>22</v>
      </c>
      <c r="L24" s="4">
        <v>7.47813027683131</v>
      </c>
      <c r="M24" s="4">
        <v>0</v>
      </c>
      <c r="N24" s="4">
        <v>7.47813027683131</v>
      </c>
      <c r="O24" s="5">
        <f t="shared" si="0"/>
        <v>5.0163297896984425</v>
      </c>
      <c r="P24" s="5">
        <f t="shared" si="1"/>
        <v>1.9160780941064113</v>
      </c>
      <c r="Q24" s="5">
        <f t="shared" si="2"/>
        <v>52.988734094885309</v>
      </c>
      <c r="R24" s="5">
        <v>7.333333333333333</v>
      </c>
      <c r="S24" s="5">
        <v>69.976457290328554</v>
      </c>
      <c r="T24" s="5">
        <f t="shared" si="3"/>
        <v>0</v>
      </c>
      <c r="U24" s="5">
        <f t="shared" si="4"/>
        <v>0</v>
      </c>
      <c r="V24" s="5" t="str">
        <f>IF($E$4="Embrousaillement",Tableau182987[[#This Row],[SOL]],"")</f>
        <v/>
      </c>
      <c r="W24" s="5" t="str">
        <f>IF($E$4="Embrousaillement",Tableau182987[[#This Row],[L]],"")</f>
        <v/>
      </c>
      <c r="X24" s="5">
        <v>5.5</v>
      </c>
      <c r="Y24" s="5">
        <f t="shared" si="5"/>
        <v>0</v>
      </c>
      <c r="Z24" s="5">
        <f t="shared" si="6"/>
        <v>0</v>
      </c>
      <c r="AA24" s="5">
        <f t="shared" si="7"/>
        <v>0</v>
      </c>
      <c r="AB24" s="5">
        <v>0</v>
      </c>
      <c r="AC24" s="5">
        <v>1.980420515885558E-2</v>
      </c>
      <c r="AD24" s="5">
        <f t="shared" si="8"/>
        <v>0</v>
      </c>
      <c r="AE24" s="5">
        <v>0</v>
      </c>
      <c r="AF24" s="5">
        <v>2.7725887222397813E-2</v>
      </c>
      <c r="AG24" s="5">
        <f t="shared" si="9"/>
        <v>0</v>
      </c>
      <c r="AH24" s="5">
        <v>0</v>
      </c>
      <c r="AI24" s="5">
        <v>0.34657359027997264</v>
      </c>
      <c r="AJ24" s="5">
        <f t="shared" si="10"/>
        <v>0</v>
      </c>
      <c r="AK24" s="5">
        <f t="shared" si="11"/>
        <v>0</v>
      </c>
      <c r="AL24" s="7">
        <f>IF(Tableau182987[[#This Row],[Age]]&lt;&gt;"",IF(Tableau182987[[#This Row],[Age]]=0,$AT$10*$B$10+SUMIF($AS$21:$AS$29,Tableau182987[[#This Row],[Age]],$AU$21:$AU$29)*$B$10+$AT$11*$B$10,SUMIF($AS$21:$AS$29,Tableau182987[[#This Row],[Age]],$AU$21:$AU$29)*$B$10+$AT$11*$B$10),"")</f>
        <v>5.3999999999999995</v>
      </c>
      <c r="AM24" s="7">
        <f>IF(Tableau182987[[#This Row],[Age]]&lt;&gt;"",IF(Tableau182987[[#This Row],[Age]]=$B$11,$AT$10*$B$10,0)+Tableau182987[[#This Row],[VBO]]*$AX$21*$B$10+Tableau182987[[#This Row],[VBI]]*$AX$22*$B$10+Tableau182987[[#This Row],[VBE]]*$AX$23*$B$10,"")</f>
        <v>0</v>
      </c>
      <c r="AN24" s="7">
        <v>2.0503847826714194</v>
      </c>
      <c r="AO24" s="7">
        <v>0</v>
      </c>
      <c r="AP24" s="7">
        <f>IF(Tableau182987[[#This Row],[Age]]&lt;&gt;"",Tableau182987[[#This Row],[RA]]-Tableau182987[[#This Row],[DA]],"")</f>
        <v>-2.0503847826714194</v>
      </c>
      <c r="AS24" s="3">
        <v>1</v>
      </c>
      <c r="AT24" s="3" t="s">
        <v>83</v>
      </c>
      <c r="AU24" s="22">
        <v>160</v>
      </c>
    </row>
    <row r="25" spans="1:50" ht="15" customHeight="1" x14ac:dyDescent="0.2">
      <c r="A25" s="12"/>
      <c r="B25" s="13"/>
      <c r="C25" s="13"/>
      <c r="D25" s="13"/>
      <c r="E25" s="13"/>
      <c r="F25" s="13"/>
      <c r="G25" s="13"/>
      <c r="H25" s="13"/>
      <c r="I25" s="14"/>
      <c r="K25" s="3">
        <v>23</v>
      </c>
      <c r="L25" s="4">
        <v>8.492903385211175</v>
      </c>
      <c r="M25" s="4">
        <v>0</v>
      </c>
      <c r="N25" s="4">
        <v>8.492903385211175</v>
      </c>
      <c r="O25" s="5">
        <f t="shared" si="0"/>
        <v>5.6970395907996565</v>
      </c>
      <c r="P25" s="5">
        <f t="shared" si="1"/>
        <v>2.1440935539861283</v>
      </c>
      <c r="Q25" s="5">
        <f t="shared" si="2"/>
        <v>53.283841526846018</v>
      </c>
      <c r="R25" s="5">
        <v>7.6666666666666661</v>
      </c>
      <c r="S25" s="5">
        <v>71.142551081014517</v>
      </c>
      <c r="T25" s="5">
        <f t="shared" si="3"/>
        <v>0</v>
      </c>
      <c r="U25" s="5">
        <f t="shared" si="4"/>
        <v>0</v>
      </c>
      <c r="V25" s="5" t="str">
        <f>IF($E$4="Embrousaillement",Tableau182987[[#This Row],[SOL]],"")</f>
        <v/>
      </c>
      <c r="W25" s="5" t="str">
        <f>IF($E$4="Embrousaillement",Tableau182987[[#This Row],[L]],"")</f>
        <v/>
      </c>
      <c r="X25" s="5">
        <v>5.5</v>
      </c>
      <c r="Y25" s="5">
        <f t="shared" si="5"/>
        <v>0</v>
      </c>
      <c r="Z25" s="5">
        <f t="shared" si="6"/>
        <v>0</v>
      </c>
      <c r="AA25" s="5">
        <f t="shared" si="7"/>
        <v>0</v>
      </c>
      <c r="AB25" s="5">
        <v>0</v>
      </c>
      <c r="AC25" s="5">
        <v>1.980420515885558E-2</v>
      </c>
      <c r="AD25" s="5">
        <f t="shared" si="8"/>
        <v>0</v>
      </c>
      <c r="AE25" s="5">
        <v>0</v>
      </c>
      <c r="AF25" s="5">
        <v>2.7725887222397813E-2</v>
      </c>
      <c r="AG25" s="5">
        <f t="shared" si="9"/>
        <v>0</v>
      </c>
      <c r="AH25" s="5">
        <v>0</v>
      </c>
      <c r="AI25" s="5">
        <v>0.34657359027997264</v>
      </c>
      <c r="AJ25" s="5">
        <f t="shared" si="10"/>
        <v>0</v>
      </c>
      <c r="AK25" s="5">
        <f t="shared" si="11"/>
        <v>0</v>
      </c>
      <c r="AL25" s="7">
        <f>IF(Tableau182987[[#This Row],[Age]]&lt;&gt;"",IF(Tableau182987[[#This Row],[Age]]=0,$AT$10*$B$10+SUMIF($AS$21:$AS$29,Tableau182987[[#This Row],[Age]],$AU$21:$AU$29)*$B$10+$AT$11*$B$10,SUMIF($AS$21:$AS$29,Tableau182987[[#This Row],[Age]],$AU$21:$AU$29)*$B$10+$AT$11*$B$10),"")</f>
        <v>5.3999999999999995</v>
      </c>
      <c r="AM25" s="7">
        <f>IF(Tableau182987[[#This Row],[Age]]&lt;&gt;"",IF(Tableau182987[[#This Row],[Age]]=$B$11,$AT$10*$B$10,0)+Tableau182987[[#This Row],[VBO]]*$AX$21*$B$10+Tableau182987[[#This Row],[VBI]]*$AX$22*$B$10+Tableau182987[[#This Row],[VBE]]*$AX$23*$B$10,"")</f>
        <v>0</v>
      </c>
      <c r="AN25" s="7">
        <v>1.9620907011209754</v>
      </c>
      <c r="AO25" s="7">
        <v>0</v>
      </c>
      <c r="AP25" s="7">
        <f>IF(Tableau182987[[#This Row],[Age]]&lt;&gt;"",Tableau182987[[#This Row],[RA]]-Tableau182987[[#This Row],[DA]],"")</f>
        <v>-1.9620907011209754</v>
      </c>
      <c r="AS25" s="3">
        <v>2</v>
      </c>
      <c r="AT25" s="3" t="s">
        <v>84</v>
      </c>
      <c r="AU25" s="22">
        <v>300</v>
      </c>
    </row>
    <row r="26" spans="1:50" ht="15" customHeight="1" x14ac:dyDescent="0.25">
      <c r="A26" s="24" t="s">
        <v>85</v>
      </c>
      <c r="D26" s="1" t="s">
        <v>86</v>
      </c>
      <c r="G26" s="1" t="s">
        <v>87</v>
      </c>
      <c r="I26" s="17"/>
      <c r="K26" s="3">
        <v>24</v>
      </c>
      <c r="L26" s="4">
        <v>9.5881959126247658</v>
      </c>
      <c r="M26" s="4">
        <v>0</v>
      </c>
      <c r="N26" s="4">
        <v>9.5881959126247658</v>
      </c>
      <c r="O26" s="5">
        <f t="shared" si="0"/>
        <v>6.4317618181886926</v>
      </c>
      <c r="P26" s="5">
        <f t="shared" si="1"/>
        <v>2.3866702053357574</v>
      </c>
      <c r="Q26" s="5">
        <f t="shared" si="2"/>
        <v>53.573829504623582</v>
      </c>
      <c r="R26" s="5">
        <v>8</v>
      </c>
      <c r="S26" s="5">
        <v>72.338843187377449</v>
      </c>
      <c r="T26" s="5">
        <f t="shared" si="3"/>
        <v>0</v>
      </c>
      <c r="U26" s="5">
        <f t="shared" si="4"/>
        <v>0</v>
      </c>
      <c r="V26" s="5" t="str">
        <f>IF($E$4="Embrousaillement",Tableau182987[[#This Row],[SOL]],"")</f>
        <v/>
      </c>
      <c r="W26" s="5" t="str">
        <f>IF($E$4="Embrousaillement",Tableau182987[[#This Row],[L]],"")</f>
        <v/>
      </c>
      <c r="X26" s="5">
        <v>5.5</v>
      </c>
      <c r="Y26" s="5">
        <f t="shared" si="5"/>
        <v>0</v>
      </c>
      <c r="Z26" s="5">
        <f t="shared" si="6"/>
        <v>0</v>
      </c>
      <c r="AA26" s="5">
        <f t="shared" si="7"/>
        <v>0</v>
      </c>
      <c r="AB26" s="5">
        <v>0</v>
      </c>
      <c r="AC26" s="5">
        <v>1.980420515885558E-2</v>
      </c>
      <c r="AD26" s="5">
        <f t="shared" si="8"/>
        <v>0</v>
      </c>
      <c r="AE26" s="5">
        <v>0</v>
      </c>
      <c r="AF26" s="5">
        <v>2.7725887222397813E-2</v>
      </c>
      <c r="AG26" s="5">
        <f t="shared" si="9"/>
        <v>0</v>
      </c>
      <c r="AH26" s="5">
        <v>0</v>
      </c>
      <c r="AI26" s="5">
        <v>0.34657359027997264</v>
      </c>
      <c r="AJ26" s="5">
        <f t="shared" si="10"/>
        <v>0</v>
      </c>
      <c r="AK26" s="5">
        <f t="shared" si="11"/>
        <v>0</v>
      </c>
      <c r="AL26" s="7">
        <f>IF(Tableau182987[[#This Row],[Age]]&lt;&gt;"",IF(Tableau182987[[#This Row],[Age]]=0,$AT$10*$B$10+SUMIF($AS$21:$AS$29,Tableau182987[[#This Row],[Age]],$AU$21:$AU$29)*$B$10+$AT$11*$B$10,SUMIF($AS$21:$AS$29,Tableau182987[[#This Row],[Age]],$AU$21:$AU$29)*$B$10+$AT$11*$B$10),"")</f>
        <v>5.3999999999999995</v>
      </c>
      <c r="AM26" s="7">
        <f>IF(Tableau182987[[#This Row],[Age]]&lt;&gt;"",IF(Tableau182987[[#This Row],[Age]]=$B$11,$AT$10*$B$10,0)+Tableau182987[[#This Row],[VBO]]*$AX$21*$B$10+Tableau182987[[#This Row],[VBI]]*$AX$22*$B$10+Tableau182987[[#This Row],[VBE]]*$AX$23*$B$10,"")</f>
        <v>0</v>
      </c>
      <c r="AN26" s="7">
        <v>1.8775987570535655</v>
      </c>
      <c r="AO26" s="7">
        <v>0</v>
      </c>
      <c r="AP26" s="7">
        <f>IF(Tableau182987[[#This Row],[Age]]&lt;&gt;"",Tableau182987[[#This Row],[RA]]-Tableau182987[[#This Row],[DA]],"")</f>
        <v>-1.8775987570535655</v>
      </c>
      <c r="AS26" s="3">
        <v>3</v>
      </c>
      <c r="AT26" s="3" t="s">
        <v>88</v>
      </c>
      <c r="AU26" s="22">
        <v>300</v>
      </c>
    </row>
    <row r="27" spans="1:50" ht="15" customHeight="1" x14ac:dyDescent="0.2">
      <c r="A27" s="15" t="s">
        <v>89</v>
      </c>
      <c r="B27" s="25">
        <f>S32</f>
        <v>80.189751911202364</v>
      </c>
      <c r="D27" s="3" t="s">
        <v>90</v>
      </c>
      <c r="E27" s="25">
        <f>SUM(AD2:AD32)</f>
        <v>0</v>
      </c>
      <c r="G27" s="3" t="s">
        <v>91</v>
      </c>
      <c r="H27" s="25">
        <f>SUM(AK2:AK32)</f>
        <v>0</v>
      </c>
      <c r="I27" s="17"/>
      <c r="K27" s="3">
        <v>25</v>
      </c>
      <c r="L27" s="4">
        <v>10.765805894199886</v>
      </c>
      <c r="M27" s="4">
        <v>0</v>
      </c>
      <c r="N27" s="4">
        <v>10.765805894199886</v>
      </c>
      <c r="O27" s="5">
        <f t="shared" si="0"/>
        <v>7.2217025938292831</v>
      </c>
      <c r="P27" s="5">
        <f t="shared" si="1"/>
        <v>2.6439060263298573</v>
      </c>
      <c r="Q27" s="5">
        <f t="shared" si="2"/>
        <v>53.858786839302695</v>
      </c>
      <c r="R27" s="5">
        <v>8.3333333333333321</v>
      </c>
      <c r="S27" s="5">
        <v>73.566112693932766</v>
      </c>
      <c r="T27" s="5">
        <f t="shared" si="3"/>
        <v>0</v>
      </c>
      <c r="U27" s="5">
        <f t="shared" si="4"/>
        <v>0</v>
      </c>
      <c r="V27" s="5" t="str">
        <f>IF($E$4="Embrousaillement",Tableau182987[[#This Row],[SOL]],"")</f>
        <v/>
      </c>
      <c r="W27" s="5" t="str">
        <f>IF($E$4="Embrousaillement",Tableau182987[[#This Row],[L]],"")</f>
        <v/>
      </c>
      <c r="X27" s="5">
        <v>5.5</v>
      </c>
      <c r="Y27" s="5">
        <f t="shared" si="5"/>
        <v>0</v>
      </c>
      <c r="Z27" s="5">
        <f t="shared" si="6"/>
        <v>0</v>
      </c>
      <c r="AA27" s="5">
        <f t="shared" si="7"/>
        <v>0</v>
      </c>
      <c r="AB27" s="5">
        <v>0</v>
      </c>
      <c r="AC27" s="5">
        <v>1.980420515885558E-2</v>
      </c>
      <c r="AD27" s="5">
        <f t="shared" si="8"/>
        <v>0</v>
      </c>
      <c r="AE27" s="5">
        <v>0</v>
      </c>
      <c r="AF27" s="5">
        <v>2.7725887222397813E-2</v>
      </c>
      <c r="AG27" s="5">
        <f t="shared" si="9"/>
        <v>0</v>
      </c>
      <c r="AH27" s="5">
        <v>0</v>
      </c>
      <c r="AI27" s="5">
        <v>0.34657359027997264</v>
      </c>
      <c r="AJ27" s="5">
        <f t="shared" si="10"/>
        <v>0</v>
      </c>
      <c r="AK27" s="5">
        <f t="shared" si="11"/>
        <v>0</v>
      </c>
      <c r="AL27" s="7">
        <f>IF(Tableau182987[[#This Row],[Age]]&lt;&gt;"",IF(Tableau182987[[#This Row],[Age]]=0,$AT$10*$B$10+SUMIF($AS$21:$AS$29,Tableau182987[[#This Row],[Age]],$AU$21:$AU$29)*$B$10+$AT$11*$B$10,SUMIF($AS$21:$AS$29,Tableau182987[[#This Row],[Age]],$AU$21:$AU$29)*$B$10+$AT$11*$B$10),"")</f>
        <v>5.3999999999999995</v>
      </c>
      <c r="AM27" s="7">
        <f>IF(Tableau182987[[#This Row],[Age]]&lt;&gt;"",IF(Tableau182987[[#This Row],[Age]]=$B$11,$AT$10*$B$10,0)+Tableau182987[[#This Row],[VBO]]*$AX$21*$B$10+Tableau182987[[#This Row],[VBI]]*$AX$22*$B$10+Tableau182987[[#This Row],[VBE]]*$AX$23*$B$10,"")</f>
        <v>0</v>
      </c>
      <c r="AN27" s="7">
        <v>1.7967452220608282</v>
      </c>
      <c r="AO27" s="7">
        <v>0</v>
      </c>
      <c r="AP27" s="7">
        <f>IF(Tableau182987[[#This Row],[Age]]&lt;&gt;"",Tableau182987[[#This Row],[RA]]-Tableau182987[[#This Row],[DA]],"")</f>
        <v>-1.7967452220608282</v>
      </c>
      <c r="AS27" s="3">
        <v>4</v>
      </c>
      <c r="AT27" s="3" t="s">
        <v>92</v>
      </c>
      <c r="AU27" s="22">
        <v>300</v>
      </c>
    </row>
    <row r="28" spans="1:50" ht="15" customHeight="1" x14ac:dyDescent="0.2">
      <c r="A28" s="15" t="s">
        <v>93</v>
      </c>
      <c r="B28" s="25">
        <f>SUM(S:S)/$B$11</f>
        <v>85.650429134498836</v>
      </c>
      <c r="D28" s="3" t="s">
        <v>94</v>
      </c>
      <c r="E28" s="25">
        <f>SUM(AG2:AG32)</f>
        <v>0</v>
      </c>
      <c r="G28" s="3" t="s">
        <v>95</v>
      </c>
      <c r="H28" s="25">
        <f>IF(OR($E$6="Résineux lents",$E$6="Résineux rapides"),$B$10*20,0)</f>
        <v>0</v>
      </c>
      <c r="I28" s="17"/>
      <c r="K28" s="3">
        <v>26</v>
      </c>
      <c r="L28" s="4">
        <v>12.027382328557659</v>
      </c>
      <c r="M28" s="4">
        <v>0</v>
      </c>
      <c r="N28" s="4">
        <v>12.027382328557659</v>
      </c>
      <c r="O28" s="5">
        <f t="shared" si="0"/>
        <v>8.0679680659964781</v>
      </c>
      <c r="P28" s="5">
        <f t="shared" si="1"/>
        <v>2.9158748898872955</v>
      </c>
      <c r="Q28" s="5">
        <f t="shared" si="2"/>
        <v>54.138800801294295</v>
      </c>
      <c r="R28" s="5">
        <v>8.6666666666666661</v>
      </c>
      <c r="S28" s="5">
        <v>74.825072159206329</v>
      </c>
      <c r="T28" s="5">
        <f t="shared" si="3"/>
        <v>0</v>
      </c>
      <c r="U28" s="5">
        <f t="shared" si="4"/>
        <v>0</v>
      </c>
      <c r="V28" s="5" t="str">
        <f>IF($E$4="Embrousaillement",Tableau182987[[#This Row],[SOL]],"")</f>
        <v/>
      </c>
      <c r="W28" s="5" t="str">
        <f>IF($E$4="Embrousaillement",Tableau182987[[#This Row],[L]],"")</f>
        <v/>
      </c>
      <c r="X28" s="5">
        <v>5.5</v>
      </c>
      <c r="Y28" s="5">
        <f t="shared" si="5"/>
        <v>0</v>
      </c>
      <c r="Z28" s="5">
        <f t="shared" si="6"/>
        <v>0</v>
      </c>
      <c r="AA28" s="5">
        <f t="shared" si="7"/>
        <v>0</v>
      </c>
      <c r="AB28" s="5">
        <v>0</v>
      </c>
      <c r="AC28" s="5">
        <v>1.980420515885558E-2</v>
      </c>
      <c r="AD28" s="5">
        <f t="shared" si="8"/>
        <v>0</v>
      </c>
      <c r="AE28" s="5">
        <v>0</v>
      </c>
      <c r="AF28" s="5">
        <v>2.7725887222397813E-2</v>
      </c>
      <c r="AG28" s="5">
        <f t="shared" si="9"/>
        <v>0</v>
      </c>
      <c r="AH28" s="5">
        <v>0</v>
      </c>
      <c r="AI28" s="5">
        <v>0.34657359027997264</v>
      </c>
      <c r="AJ28" s="5">
        <f t="shared" si="10"/>
        <v>0</v>
      </c>
      <c r="AK28" s="5">
        <f t="shared" si="11"/>
        <v>0</v>
      </c>
      <c r="AL28" s="7">
        <f>IF(Tableau182987[[#This Row],[Age]]&lt;&gt;"",IF(Tableau182987[[#This Row],[Age]]=0,$AT$10*$B$10+SUMIF($AS$21:$AS$29,Tableau182987[[#This Row],[Age]],$AU$21:$AU$29)*$B$10+$AT$11*$B$10,SUMIF($AS$21:$AS$29,Tableau182987[[#This Row],[Age]],$AU$21:$AU$29)*$B$10+$AT$11*$B$10),"")</f>
        <v>5.3999999999999995</v>
      </c>
      <c r="AM28" s="7">
        <f>IF(Tableau182987[[#This Row],[Age]]&lt;&gt;"",IF(Tableau182987[[#This Row],[Age]]=$B$11,$AT$10*$B$10,0)+Tableau182987[[#This Row],[VBO]]*$AX$21*$B$10+Tableau182987[[#This Row],[VBI]]*$AX$22*$B$10+Tableau182987[[#This Row],[VBE]]*$AX$23*$B$10,"")</f>
        <v>0</v>
      </c>
      <c r="AN28" s="7">
        <v>1.7193734182400275</v>
      </c>
      <c r="AO28" s="7">
        <v>0</v>
      </c>
      <c r="AP28" s="7">
        <f>IF(Tableau182987[[#This Row],[Age]]&lt;&gt;"",Tableau182987[[#This Row],[RA]]-Tableau182987[[#This Row],[DA]],"")</f>
        <v>-1.7193734182400275</v>
      </c>
      <c r="AT28" s="3" t="s">
        <v>96</v>
      </c>
      <c r="AU28" s="22"/>
    </row>
    <row r="29" spans="1:50" ht="15" customHeight="1" x14ac:dyDescent="0.2">
      <c r="A29" s="15" t="s">
        <v>97</v>
      </c>
      <c r="B29" s="25">
        <f>X32</f>
        <v>5.5</v>
      </c>
      <c r="D29" s="3" t="s">
        <v>98</v>
      </c>
      <c r="E29" s="25">
        <f>SUM(AJ2:AJ32)</f>
        <v>0</v>
      </c>
      <c r="H29" s="25"/>
      <c r="I29" s="17"/>
      <c r="K29" s="3">
        <v>27</v>
      </c>
      <c r="L29" s="4">
        <v>13.37442517781254</v>
      </c>
      <c r="M29" s="4">
        <v>0</v>
      </c>
      <c r="N29" s="4">
        <v>13.37442517781254</v>
      </c>
      <c r="O29" s="5">
        <f t="shared" si="0"/>
        <v>8.9715644092766524</v>
      </c>
      <c r="P29" s="5">
        <f t="shared" si="1"/>
        <v>3.202627202805167</v>
      </c>
      <c r="Q29" s="5">
        <f t="shared" si="2"/>
        <v>54.413957147062774</v>
      </c>
      <c r="R29" s="5">
        <v>9</v>
      </c>
      <c r="S29" s="5">
        <v>76.116367979081801</v>
      </c>
      <c r="T29" s="5">
        <f t="shared" si="3"/>
        <v>0</v>
      </c>
      <c r="U29" s="5">
        <f t="shared" si="4"/>
        <v>0</v>
      </c>
      <c r="V29" s="5" t="str">
        <f>IF($E$4="Embrousaillement",Tableau182987[[#This Row],[SOL]],"")</f>
        <v/>
      </c>
      <c r="W29" s="5" t="str">
        <f>IF($E$4="Embrousaillement",Tableau182987[[#This Row],[L]],"")</f>
        <v/>
      </c>
      <c r="X29" s="5">
        <v>5.5</v>
      </c>
      <c r="Y29" s="5">
        <f t="shared" si="5"/>
        <v>0</v>
      </c>
      <c r="Z29" s="5">
        <f t="shared" si="6"/>
        <v>0</v>
      </c>
      <c r="AA29" s="5">
        <f t="shared" si="7"/>
        <v>0</v>
      </c>
      <c r="AB29" s="5">
        <v>0</v>
      </c>
      <c r="AC29" s="5">
        <v>1.980420515885558E-2</v>
      </c>
      <c r="AD29" s="5">
        <f t="shared" si="8"/>
        <v>0</v>
      </c>
      <c r="AE29" s="5">
        <v>0</v>
      </c>
      <c r="AF29" s="5">
        <v>2.7725887222397813E-2</v>
      </c>
      <c r="AG29" s="5">
        <f t="shared" si="9"/>
        <v>0</v>
      </c>
      <c r="AH29" s="5">
        <v>0</v>
      </c>
      <c r="AI29" s="5">
        <v>0.34657359027997264</v>
      </c>
      <c r="AJ29" s="5">
        <f t="shared" si="10"/>
        <v>0</v>
      </c>
      <c r="AK29" s="5">
        <f t="shared" si="11"/>
        <v>0</v>
      </c>
      <c r="AL29" s="7">
        <f>IF(Tableau182987[[#This Row],[Age]]&lt;&gt;"",IF(Tableau182987[[#This Row],[Age]]=0,$AT$10*$B$10+SUMIF($AS$21:$AS$29,Tableau182987[[#This Row],[Age]],$AU$21:$AU$29)*$B$10+$AT$11*$B$10,SUMIF($AS$21:$AS$29,Tableau182987[[#This Row],[Age]],$AU$21:$AU$29)*$B$10+$AT$11*$B$10),"")</f>
        <v>5.3999999999999995</v>
      </c>
      <c r="AM29" s="7">
        <f>IF(Tableau182987[[#This Row],[Age]]&lt;&gt;"",IF(Tableau182987[[#This Row],[Age]]=$B$11,$AT$10*$B$10,0)+Tableau182987[[#This Row],[VBO]]*$AX$21*$B$10+Tableau182987[[#This Row],[VBI]]*$AX$22*$B$10+Tableau182987[[#This Row],[VBE]]*$AX$23*$B$10,"")</f>
        <v>0</v>
      </c>
      <c r="AN29" s="7">
        <v>1.6453334145837584</v>
      </c>
      <c r="AO29" s="7">
        <v>0</v>
      </c>
      <c r="AP29" s="7">
        <f>IF(Tableau182987[[#This Row],[Age]]&lt;&gt;"",Tableau182987[[#This Row],[RA]]-Tableau182987[[#This Row],[DA]],"")</f>
        <v>-1.6453334145837584</v>
      </c>
      <c r="AT29" s="3" t="s">
        <v>99</v>
      </c>
      <c r="AU29" s="22"/>
    </row>
    <row r="30" spans="1:50" ht="15" customHeight="1" x14ac:dyDescent="0.2">
      <c r="A30" s="15" t="s">
        <v>100</v>
      </c>
      <c r="B30" s="25">
        <f>SUM(X:X)/$E$11</f>
        <v>5.5</v>
      </c>
      <c r="D30" s="3" t="s">
        <v>101</v>
      </c>
      <c r="E30" s="25">
        <v>0</v>
      </c>
      <c r="H30" s="25"/>
      <c r="I30" s="17"/>
      <c r="K30" s="3">
        <v>28</v>
      </c>
      <c r="L30" s="4">
        <v>14.808285367572321</v>
      </c>
      <c r="M30" s="4">
        <v>0</v>
      </c>
      <c r="N30" s="4">
        <v>14.808285367572321</v>
      </c>
      <c r="O30" s="5">
        <f t="shared" si="0"/>
        <v>9.9333978245675123</v>
      </c>
      <c r="P30" s="5">
        <f t="shared" si="1"/>
        <v>3.5041904890536966</v>
      </c>
      <c r="Q30" s="5">
        <f t="shared" si="2"/>
        <v>54.684340145389598</v>
      </c>
      <c r="R30" s="5">
        <v>9.3333333333333321</v>
      </c>
      <c r="S30" s="5">
        <v>77.440580720462307</v>
      </c>
      <c r="T30" s="5">
        <f t="shared" si="3"/>
        <v>0</v>
      </c>
      <c r="U30" s="5">
        <f t="shared" si="4"/>
        <v>0</v>
      </c>
      <c r="V30" s="5" t="str">
        <f>IF($E$4="Embrousaillement",Tableau182987[[#This Row],[SOL]],"")</f>
        <v/>
      </c>
      <c r="W30" s="5" t="str">
        <f>IF($E$4="Embrousaillement",Tableau182987[[#This Row],[L]],"")</f>
        <v/>
      </c>
      <c r="X30" s="5">
        <v>5.5</v>
      </c>
      <c r="Y30" s="5">
        <f t="shared" si="5"/>
        <v>0</v>
      </c>
      <c r="Z30" s="5">
        <f t="shared" si="6"/>
        <v>0</v>
      </c>
      <c r="AA30" s="5">
        <f t="shared" si="7"/>
        <v>0</v>
      </c>
      <c r="AB30" s="5">
        <v>0</v>
      </c>
      <c r="AC30" s="5">
        <v>1.980420515885558E-2</v>
      </c>
      <c r="AD30" s="5">
        <f t="shared" si="8"/>
        <v>0</v>
      </c>
      <c r="AE30" s="5">
        <v>0</v>
      </c>
      <c r="AF30" s="5">
        <v>2.7725887222397813E-2</v>
      </c>
      <c r="AG30" s="5">
        <f t="shared" si="9"/>
        <v>0</v>
      </c>
      <c r="AH30" s="5">
        <v>0</v>
      </c>
      <c r="AI30" s="5">
        <v>0.34657359027997264</v>
      </c>
      <c r="AJ30" s="5">
        <f t="shared" si="10"/>
        <v>0</v>
      </c>
      <c r="AK30" s="5">
        <f t="shared" si="11"/>
        <v>0</v>
      </c>
      <c r="AL30" s="7">
        <f>IF(Tableau182987[[#This Row],[Age]]&lt;&gt;"",IF(Tableau182987[[#This Row],[Age]]=0,$AT$10*$B$10+SUMIF($AS$21:$AS$29,Tableau182987[[#This Row],[Age]],$AU$21:$AU$29)*$B$10+$AT$11*$B$10,SUMIF($AS$21:$AS$29,Tableau182987[[#This Row],[Age]],$AU$21:$AU$29)*$B$10+$AT$11*$B$10),"")</f>
        <v>5.3999999999999995</v>
      </c>
      <c r="AM30" s="7">
        <f>IF(Tableau182987[[#This Row],[Age]]&lt;&gt;"",IF(Tableau182987[[#This Row],[Age]]=$B$11,$AT$10*$B$10,0)+Tableau182987[[#This Row],[VBO]]*$AX$21*$B$10+Tableau182987[[#This Row],[VBI]]*$AX$22*$B$10+Tableau182987[[#This Row],[VBE]]*$AX$23*$B$10,"")</f>
        <v>0</v>
      </c>
      <c r="AN30" s="7">
        <v>1.5744817364437882</v>
      </c>
      <c r="AO30" s="7">
        <v>0</v>
      </c>
      <c r="AP30" s="7">
        <f>IF(Tableau182987[[#This Row],[Age]]&lt;&gt;"",Tableau182987[[#This Row],[RA]]-Tableau182987[[#This Row],[DA]],"")</f>
        <v>-1.5744817364437882</v>
      </c>
      <c r="AT30" s="3" t="s">
        <v>102</v>
      </c>
    </row>
    <row r="31" spans="1:50" ht="15" customHeight="1" x14ac:dyDescent="0.2">
      <c r="A31" s="15"/>
      <c r="B31" s="25"/>
      <c r="E31" s="25"/>
      <c r="H31" s="25"/>
      <c r="I31" s="17"/>
      <c r="K31" s="3">
        <v>29</v>
      </c>
      <c r="L31" s="4">
        <v>16.330164786938134</v>
      </c>
      <c r="M31" s="4">
        <v>0</v>
      </c>
      <c r="N31" s="4">
        <v>16.330164786938134</v>
      </c>
      <c r="O31" s="5">
        <f t="shared" si="0"/>
        <v>10.954274539078101</v>
      </c>
      <c r="P31" s="5">
        <f t="shared" si="1"/>
        <v>3.8205699236992983</v>
      </c>
      <c r="Q31" s="5">
        <f t="shared" si="2"/>
        <v>54.950032603181285</v>
      </c>
      <c r="R31" s="5">
        <v>9.6666666666666661</v>
      </c>
      <c r="S31" s="5">
        <v>78.798225428633941</v>
      </c>
      <c r="T31" s="5">
        <f t="shared" si="3"/>
        <v>0</v>
      </c>
      <c r="U31" s="5">
        <f t="shared" si="4"/>
        <v>0</v>
      </c>
      <c r="V31" s="5" t="str">
        <f>IF($E$4="Embrousaillement",Tableau182987[[#This Row],[SOL]],"")</f>
        <v/>
      </c>
      <c r="W31" s="5" t="str">
        <f>IF($E$4="Embrousaillement",Tableau182987[[#This Row],[L]],"")</f>
        <v/>
      </c>
      <c r="X31" s="5">
        <v>5.5</v>
      </c>
      <c r="Y31" s="5">
        <f t="shared" si="5"/>
        <v>0</v>
      </c>
      <c r="Z31" s="5">
        <f t="shared" si="6"/>
        <v>0</v>
      </c>
      <c r="AA31" s="5">
        <f t="shared" si="7"/>
        <v>0</v>
      </c>
      <c r="AB31" s="5">
        <v>0</v>
      </c>
      <c r="AC31" s="5">
        <v>1.980420515885558E-2</v>
      </c>
      <c r="AD31" s="5">
        <f t="shared" si="8"/>
        <v>0</v>
      </c>
      <c r="AE31" s="5">
        <v>0</v>
      </c>
      <c r="AF31" s="5">
        <v>2.7725887222397813E-2</v>
      </c>
      <c r="AG31" s="5">
        <f t="shared" si="9"/>
        <v>0</v>
      </c>
      <c r="AH31" s="5">
        <v>0</v>
      </c>
      <c r="AI31" s="5">
        <v>0.34657359027997264</v>
      </c>
      <c r="AJ31" s="5">
        <f t="shared" si="10"/>
        <v>0</v>
      </c>
      <c r="AK31" s="5">
        <f t="shared" si="11"/>
        <v>0</v>
      </c>
      <c r="AL31" s="7">
        <f>IF(Tableau182987[[#This Row],[Age]]&lt;&gt;"",IF(Tableau182987[[#This Row],[Age]]=0,$AT$10*$B$10+SUMIF($AS$21:$AS$29,Tableau182987[[#This Row],[Age]],$AU$21:$AU$29)*$B$10+$AT$11*$B$10,SUMIF($AS$21:$AS$29,Tableau182987[[#This Row],[Age]],$AU$21:$AU$29)*$B$10+$AT$11*$B$10),"")</f>
        <v>5.3999999999999995</v>
      </c>
      <c r="AM31" s="7">
        <f>IF(Tableau182987[[#This Row],[Age]]&lt;&gt;"",IF(Tableau182987[[#This Row],[Age]]=$B$11,$AT$10*$B$10,0)+Tableau182987[[#This Row],[VBO]]*$AX$21*$B$10+Tableau182987[[#This Row],[VBI]]*$AX$22*$B$10+Tableau182987[[#This Row],[VBE]]*$AX$23*$B$10,"")</f>
        <v>0</v>
      </c>
      <c r="AN31" s="7">
        <v>1.5066810875060173</v>
      </c>
      <c r="AO31" s="7">
        <v>0</v>
      </c>
      <c r="AP31" s="7">
        <f>IF(Tableau182987[[#This Row],[Age]]&lt;&gt;"",Tableau182987[[#This Row],[RA]]-Tableau182987[[#This Row],[DA]],"")</f>
        <v>-1.5066810875060173</v>
      </c>
    </row>
    <row r="32" spans="1:50" ht="15" customHeight="1" x14ac:dyDescent="0.2">
      <c r="A32" s="15" t="s">
        <v>103</v>
      </c>
      <c r="B32" s="25">
        <f>IF(B11&gt;=30,B27-B29,"")</f>
        <v>74.689751911202364</v>
      </c>
      <c r="E32" s="25"/>
      <c r="H32" s="25"/>
      <c r="I32" s="17"/>
      <c r="K32" s="26">
        <v>30</v>
      </c>
      <c r="L32" s="27">
        <v>17.941116288504418</v>
      </c>
      <c r="M32" s="27">
        <v>0</v>
      </c>
      <c r="N32" s="27">
        <v>17.941116288504418</v>
      </c>
      <c r="O32" s="27">
        <f t="shared" si="0"/>
        <v>12.034900806328762</v>
      </c>
      <c r="P32" s="27">
        <f t="shared" si="1"/>
        <v>4.1517488229339774</v>
      </c>
      <c r="Q32" s="27">
        <f t="shared" si="2"/>
        <v>55.211115890829625</v>
      </c>
      <c r="R32" s="27">
        <v>10</v>
      </c>
      <c r="S32" s="27">
        <v>80.189751911202364</v>
      </c>
      <c r="T32" s="27">
        <f t="shared" si="3"/>
        <v>0</v>
      </c>
      <c r="U32" s="27">
        <f t="shared" si="4"/>
        <v>0</v>
      </c>
      <c r="V32" s="27" t="str">
        <f>IF($E$4="Embrousaillement",Tableau182987[[#This Row],[SOL]],"")</f>
        <v/>
      </c>
      <c r="W32" s="27" t="str">
        <f>IF($E$4="Embrousaillement",Tableau182987[[#This Row],[L]],"")</f>
        <v/>
      </c>
      <c r="X32" s="27">
        <v>5.5</v>
      </c>
      <c r="Y32" s="27">
        <f t="shared" si="5"/>
        <v>0</v>
      </c>
      <c r="Z32" s="27">
        <f t="shared" si="6"/>
        <v>0</v>
      </c>
      <c r="AA32" s="27">
        <f t="shared" si="7"/>
        <v>0</v>
      </c>
      <c r="AB32" s="27">
        <v>0</v>
      </c>
      <c r="AC32" s="27">
        <v>1.980420515885558E-2</v>
      </c>
      <c r="AD32" s="27">
        <f t="shared" si="8"/>
        <v>0</v>
      </c>
      <c r="AE32" s="27">
        <v>0</v>
      </c>
      <c r="AF32" s="27">
        <v>2.7725887222397813E-2</v>
      </c>
      <c r="AG32" s="27">
        <f t="shared" si="9"/>
        <v>0</v>
      </c>
      <c r="AH32" s="27">
        <v>0</v>
      </c>
      <c r="AI32" s="27">
        <v>0.34657359027997264</v>
      </c>
      <c r="AJ32" s="27">
        <f t="shared" si="10"/>
        <v>0</v>
      </c>
      <c r="AK32" s="27">
        <f t="shared" si="11"/>
        <v>0</v>
      </c>
      <c r="AL32" s="28">
        <f>IF(Tableau182987[[#This Row],[Age]]&lt;&gt;"",IF(Tableau182987[[#This Row],[Age]]=0,$AT$10*$B$10+SUMIF($AS$21:$AS$29,Tableau182987[[#This Row],[Age]],$AU$21:$AU$29)*$B$10+$AT$11*$B$10,SUMIF($AS$21:$AS$29,Tableau182987[[#This Row],[Age]],$AU$21:$AU$29)*$B$10+$AT$11*$B$10),"")</f>
        <v>5.3999999999999995</v>
      </c>
      <c r="AM32" s="28">
        <f>IF(Tableau182987[[#This Row],[Age]]&lt;&gt;"",IF(Tableau182987[[#This Row],[Age]]=$B$11,$AT$10*$B$10,0)+Tableau182987[[#This Row],[VBO]]*$AX$21*$B$10+Tableau182987[[#This Row],[VBI]]*$AX$22*$B$10+Tableau182987[[#This Row],[VBE]]*$AX$23*$B$10,"")</f>
        <v>0</v>
      </c>
      <c r="AN32" s="28">
        <v>1.441800083737816</v>
      </c>
      <c r="AO32" s="28">
        <v>0</v>
      </c>
      <c r="AP32" s="28">
        <f>IF(Tableau182987[[#This Row],[Age]]&lt;&gt;"",Tableau182987[[#This Row],[RA]]-Tableau182987[[#This Row],[DA]],"")</f>
        <v>-1.441800083737816</v>
      </c>
      <c r="AS32" s="3" t="s">
        <v>70</v>
      </c>
      <c r="AT32" s="29">
        <f>SUM(AL2:AL7)</f>
        <v>622.79999999999984</v>
      </c>
    </row>
    <row r="33" spans="1:42" ht="15" customHeight="1" x14ac:dyDescent="0.2">
      <c r="A33" s="15" t="s">
        <v>104</v>
      </c>
      <c r="B33" s="25">
        <f>B28-B30</f>
        <v>80.150429134498836</v>
      </c>
      <c r="E33" s="25"/>
      <c r="H33" s="25"/>
      <c r="I33" s="17"/>
      <c r="K33" s="3">
        <v>31</v>
      </c>
      <c r="L33" s="4">
        <v>19.642043688358974</v>
      </c>
      <c r="M33" s="4">
        <v>0</v>
      </c>
      <c r="N33" s="4">
        <v>19.642043688358974</v>
      </c>
      <c r="O33" s="5">
        <f t="shared" si="0"/>
        <v>13.175882906151202</v>
      </c>
      <c r="P33" s="5">
        <f t="shared" si="1"/>
        <v>4.4976890948804193</v>
      </c>
      <c r="Q33" s="5">
        <f t="shared" si="2"/>
        <v>55.467669967132053</v>
      </c>
      <c r="R33" s="5">
        <v>10.333333333333332</v>
      </c>
      <c r="S33" s="5">
        <v>81.615545001050947</v>
      </c>
      <c r="T33" s="5">
        <f t="shared" si="3"/>
        <v>0</v>
      </c>
      <c r="U33" s="5">
        <f t="shared" si="4"/>
        <v>0</v>
      </c>
      <c r="V33" s="5" t="str">
        <f>IF($E$4="Embrousaillement",Tableau182987[[#This Row],[SOL]],"")</f>
        <v/>
      </c>
      <c r="W33" s="5" t="str">
        <f>IF($E$4="Embrousaillement",Tableau182987[[#This Row],[L]],"")</f>
        <v/>
      </c>
      <c r="X33" s="5">
        <v>5.5</v>
      </c>
      <c r="Y33" s="5">
        <f t="shared" si="5"/>
        <v>0</v>
      </c>
      <c r="Z33" s="5">
        <f t="shared" si="6"/>
        <v>0</v>
      </c>
      <c r="AA33" s="5">
        <f t="shared" si="7"/>
        <v>0</v>
      </c>
      <c r="AB33" s="5" t="s">
        <v>166</v>
      </c>
      <c r="AC33" s="5" t="s">
        <v>166</v>
      </c>
      <c r="AD33" s="5" t="str">
        <f t="shared" si="8"/>
        <v/>
      </c>
      <c r="AE33" s="5" t="s">
        <v>166</v>
      </c>
      <c r="AF33" s="5" t="s">
        <v>166</v>
      </c>
      <c r="AG33" s="5" t="str">
        <f t="shared" si="9"/>
        <v/>
      </c>
      <c r="AH33" s="5" t="s">
        <v>166</v>
      </c>
      <c r="AI33" s="5" t="s">
        <v>166</v>
      </c>
      <c r="AJ33" s="5" t="str">
        <f t="shared" si="10"/>
        <v/>
      </c>
      <c r="AK33" s="5" t="str">
        <f t="shared" si="11"/>
        <v/>
      </c>
      <c r="AL33" s="7">
        <f>IF(Tableau182987[[#This Row],[Age]]&lt;&gt;"",IF(Tableau182987[[#This Row],[Age]]=0,$AT$10*$B$10+SUMIF($AS$21:$AS$29,Tableau182987[[#This Row],[Age]],$AU$21:$AU$29)*$B$10+$AT$11*$B$10,SUMIF($AS$21:$AS$29,Tableau182987[[#This Row],[Age]],$AU$21:$AU$29)*$B$10+$AT$11*$B$10),"")</f>
        <v>5.3999999999999995</v>
      </c>
      <c r="AM33" s="7">
        <f>IF(Tableau182987[[#This Row],[Age]]&lt;&gt;"",IF(Tableau182987[[#This Row],[Age]]=$B$11,$AT$10*$B$10,0)+Tableau182987[[#This Row],[VBO]]*$AX$21*$B$10+Tableau182987[[#This Row],[VBI]]*$AX$22*$B$10+Tableau182987[[#This Row],[VBE]]*$AX$23*$B$10,"")</f>
        <v>0</v>
      </c>
      <c r="AN33" s="7">
        <v>1.3797129987921681</v>
      </c>
      <c r="AO33" s="7">
        <v>0</v>
      </c>
      <c r="AP33" s="7">
        <f>IF(Tableau182987[[#This Row],[Age]]&lt;&gt;"",Tableau182987[[#This Row],[RA]]-Tableau182987[[#This Row],[DA]],"")</f>
        <v>-1.3797129987921681</v>
      </c>
    </row>
    <row r="34" spans="1:42" ht="15" customHeight="1" x14ac:dyDescent="0.2">
      <c r="A34" s="15"/>
      <c r="B34" s="25"/>
      <c r="E34" s="25"/>
      <c r="H34" s="25"/>
      <c r="I34" s="17"/>
      <c r="K34" s="3">
        <v>32</v>
      </c>
      <c r="L34" s="4">
        <v>21.433701766082915</v>
      </c>
      <c r="M34" s="4">
        <v>0</v>
      </c>
      <c r="N34" s="4">
        <v>21.433701766082915</v>
      </c>
      <c r="O34" s="5">
        <f t="shared" si="0"/>
        <v>14.37772714468842</v>
      </c>
      <c r="P34" s="5">
        <f t="shared" si="1"/>
        <v>4.8583316551748288</v>
      </c>
      <c r="Q34" s="5">
        <f t="shared" si="2"/>
        <v>55.719773403779627</v>
      </c>
      <c r="R34" s="5">
        <v>10.666666666666666</v>
      </c>
      <c r="S34" s="5">
        <v>83.075924800419472</v>
      </c>
      <c r="T34" s="5">
        <f t="shared" si="3"/>
        <v>0</v>
      </c>
      <c r="U34" s="5">
        <f t="shared" si="4"/>
        <v>0</v>
      </c>
      <c r="V34" s="5" t="str">
        <f>IF($E$4="Embrousaillement",Tableau182987[[#This Row],[SOL]],"")</f>
        <v/>
      </c>
      <c r="W34" s="5" t="str">
        <f>IF($E$4="Embrousaillement",Tableau182987[[#This Row],[L]],"")</f>
        <v/>
      </c>
      <c r="X34" s="5">
        <v>5.5</v>
      </c>
      <c r="Y34" s="5">
        <f t="shared" si="5"/>
        <v>0</v>
      </c>
      <c r="Z34" s="5">
        <f t="shared" si="6"/>
        <v>0</v>
      </c>
      <c r="AA34" s="5">
        <f t="shared" si="7"/>
        <v>0</v>
      </c>
      <c r="AB34" s="5" t="s">
        <v>166</v>
      </c>
      <c r="AC34" s="5" t="s">
        <v>166</v>
      </c>
      <c r="AD34" s="5" t="str">
        <f t="shared" si="8"/>
        <v/>
      </c>
      <c r="AE34" s="5" t="s">
        <v>166</v>
      </c>
      <c r="AF34" s="5" t="s">
        <v>166</v>
      </c>
      <c r="AG34" s="5" t="str">
        <f t="shared" si="9"/>
        <v/>
      </c>
      <c r="AH34" s="5" t="s">
        <v>166</v>
      </c>
      <c r="AI34" s="5" t="s">
        <v>166</v>
      </c>
      <c r="AJ34" s="5" t="str">
        <f t="shared" si="10"/>
        <v/>
      </c>
      <c r="AK34" s="5" t="str">
        <f t="shared" si="11"/>
        <v/>
      </c>
      <c r="AL34" s="7">
        <f>IF(Tableau182987[[#This Row],[Age]]&lt;&gt;"",IF(Tableau182987[[#This Row],[Age]]=0,$AT$10*$B$10+SUMIF($AS$21:$AS$29,Tableau182987[[#This Row],[Age]],$AU$21:$AU$29)*$B$10+$AT$11*$B$10,SUMIF($AS$21:$AS$29,Tableau182987[[#This Row],[Age]],$AU$21:$AU$29)*$B$10+$AT$11*$B$10),"")</f>
        <v>5.3999999999999995</v>
      </c>
      <c r="AM34" s="7">
        <f>IF(Tableau182987[[#This Row],[Age]]&lt;&gt;"",IF(Tableau182987[[#This Row],[Age]]=$B$11,$AT$10*$B$10,0)+Tableau182987[[#This Row],[VBO]]*$AX$21*$B$10+Tableau182987[[#This Row],[VBI]]*$AX$22*$B$10+Tableau182987[[#This Row],[VBE]]*$AX$23*$B$10,"")</f>
        <v>0</v>
      </c>
      <c r="AN34" s="7">
        <v>1.3202995203752812</v>
      </c>
      <c r="AO34" s="7">
        <v>0</v>
      </c>
      <c r="AP34" s="7">
        <f>IF(Tableau182987[[#This Row],[Age]]&lt;&gt;"",Tableau182987[[#This Row],[RA]]-Tableau182987[[#This Row],[DA]],"")</f>
        <v>-1.3202995203752812</v>
      </c>
    </row>
    <row r="35" spans="1:42" ht="15" customHeight="1" x14ac:dyDescent="0.2">
      <c r="A35" s="15" t="s">
        <v>105</v>
      </c>
      <c r="B35" s="25">
        <f>IF(ISERROR(MIN(B32:B33)),0,IF(B11&gt;=30,MIN(B32:B33),B33))</f>
        <v>74.689751911202364</v>
      </c>
      <c r="D35" s="3" t="s">
        <v>106</v>
      </c>
      <c r="E35" s="25">
        <f>IF(ISNA((SUM(E27:E29)-E30)/30),0,(SUM(E27:E29)-E30)/30)</f>
        <v>0</v>
      </c>
      <c r="G35" s="3" t="s">
        <v>107</v>
      </c>
      <c r="H35" s="25">
        <f>IF(ISNA((H27-H28)*$B$9),0,(H27-H28)*$B$9)</f>
        <v>0</v>
      </c>
      <c r="I35" s="17"/>
      <c r="K35" s="3">
        <v>33</v>
      </c>
      <c r="L35" s="4">
        <v>23.316696264750686</v>
      </c>
      <c r="M35" s="4">
        <v>0</v>
      </c>
      <c r="N35" s="4">
        <v>23.316696264750686</v>
      </c>
      <c r="O35" s="5">
        <f t="shared" si="0"/>
        <v>15.640839854394759</v>
      </c>
      <c r="P35" s="5">
        <f t="shared" si="1"/>
        <v>5.2335968107758326</v>
      </c>
      <c r="Q35" s="5">
        <f t="shared" si="2"/>
        <v>55.96750340942021</v>
      </c>
      <c r="R35" s="5">
        <v>11</v>
      </c>
      <c r="S35" s="5">
        <v>84.571146907913857</v>
      </c>
      <c r="T35" s="5">
        <f t="shared" si="3"/>
        <v>0</v>
      </c>
      <c r="U35" s="5">
        <f t="shared" si="4"/>
        <v>0</v>
      </c>
      <c r="V35" s="5" t="str">
        <f>IF($E$4="Embrousaillement",Tableau182987[[#This Row],[SOL]],"")</f>
        <v/>
      </c>
      <c r="W35" s="5" t="str">
        <f>IF($E$4="Embrousaillement",Tableau182987[[#This Row],[L]],"")</f>
        <v/>
      </c>
      <c r="X35" s="5">
        <v>5.5</v>
      </c>
      <c r="Y35" s="5">
        <f t="shared" si="5"/>
        <v>0</v>
      </c>
      <c r="Z35" s="5">
        <f t="shared" si="6"/>
        <v>0</v>
      </c>
      <c r="AA35" s="5">
        <f t="shared" si="7"/>
        <v>0</v>
      </c>
      <c r="AB35" s="5" t="s">
        <v>166</v>
      </c>
      <c r="AC35" s="5" t="s">
        <v>166</v>
      </c>
      <c r="AD35" s="5" t="str">
        <f t="shared" si="8"/>
        <v/>
      </c>
      <c r="AE35" s="5" t="s">
        <v>166</v>
      </c>
      <c r="AF35" s="5" t="s">
        <v>166</v>
      </c>
      <c r="AG35" s="5" t="str">
        <f t="shared" si="9"/>
        <v/>
      </c>
      <c r="AH35" s="5" t="s">
        <v>166</v>
      </c>
      <c r="AI35" s="5" t="s">
        <v>166</v>
      </c>
      <c r="AJ35" s="5" t="str">
        <f t="shared" si="10"/>
        <v/>
      </c>
      <c r="AK35" s="5" t="str">
        <f t="shared" si="11"/>
        <v/>
      </c>
      <c r="AL35" s="7">
        <f>IF(Tableau182987[[#This Row],[Age]]&lt;&gt;"",IF(Tableau182987[[#This Row],[Age]]=0,$AT$10*$B$10+SUMIF($AS$21:$AS$29,Tableau182987[[#This Row],[Age]],$AU$21:$AU$29)*$B$10+$AT$11*$B$10,SUMIF($AS$21:$AS$29,Tableau182987[[#This Row],[Age]],$AU$21:$AU$29)*$B$10+$AT$11*$B$10),"")</f>
        <v>5.3999999999999995</v>
      </c>
      <c r="AM35" s="7">
        <f>IF(Tableau182987[[#This Row],[Age]]&lt;&gt;"",IF(Tableau182987[[#This Row],[Age]]=$B$11,$AT$10*$B$10,0)+Tableau182987[[#This Row],[VBO]]*$AX$21*$B$10+Tableau182987[[#This Row],[VBI]]*$AX$22*$B$10+Tableau182987[[#This Row],[VBE]]*$AX$23*$B$10,"")</f>
        <v>0</v>
      </c>
      <c r="AN35" s="7">
        <v>1.2634445171055326</v>
      </c>
      <c r="AO35" s="7">
        <v>0</v>
      </c>
      <c r="AP35" s="7">
        <f>IF(Tableau182987[[#This Row],[Age]]&lt;&gt;"",Tableau182987[[#This Row],[RA]]-Tableau182987[[#This Row],[DA]],"")</f>
        <v>-1.2634445171055326</v>
      </c>
    </row>
    <row r="36" spans="1:42" ht="15" customHeight="1" x14ac:dyDescent="0.2">
      <c r="A36" s="19"/>
      <c r="B36" s="20"/>
      <c r="C36" s="20"/>
      <c r="D36" s="20"/>
      <c r="E36" s="20"/>
      <c r="F36" s="20"/>
      <c r="G36" s="20"/>
      <c r="H36" s="20"/>
      <c r="I36" s="21"/>
      <c r="K36" s="3">
        <v>34</v>
      </c>
      <c r="L36" s="4">
        <v>25.291483890930071</v>
      </c>
      <c r="M36" s="4">
        <v>0</v>
      </c>
      <c r="N36" s="4">
        <v>25.291483890930071</v>
      </c>
      <c r="O36" s="5">
        <f t="shared" si="0"/>
        <v>16.965527394035892</v>
      </c>
      <c r="P36" s="5">
        <f t="shared" si="1"/>
        <v>5.6233846149844204</v>
      </c>
      <c r="Q36" s="5">
        <f t="shared" si="2"/>
        <v>56.210935853304257</v>
      </c>
      <c r="R36" s="5">
        <v>11.333333333333332</v>
      </c>
      <c r="S36" s="5">
        <v>86.101402630014448</v>
      </c>
      <c r="T36" s="5">
        <f t="shared" si="3"/>
        <v>0</v>
      </c>
      <c r="U36" s="5">
        <f t="shared" si="4"/>
        <v>0</v>
      </c>
      <c r="V36" s="5" t="str">
        <f>IF($E$4="Embrousaillement",Tableau182987[[#This Row],[SOL]],"")</f>
        <v/>
      </c>
      <c r="W36" s="5" t="str">
        <f>IF($E$4="Embrousaillement",Tableau182987[[#This Row],[L]],"")</f>
        <v/>
      </c>
      <c r="X36" s="5">
        <v>5.5</v>
      </c>
      <c r="Y36" s="5">
        <f t="shared" si="5"/>
        <v>0</v>
      </c>
      <c r="Z36" s="5">
        <f t="shared" si="6"/>
        <v>0</v>
      </c>
      <c r="AA36" s="5">
        <f t="shared" si="7"/>
        <v>0</v>
      </c>
      <c r="AB36" s="5" t="s">
        <v>166</v>
      </c>
      <c r="AC36" s="5" t="s">
        <v>166</v>
      </c>
      <c r="AD36" s="5" t="str">
        <f t="shared" si="8"/>
        <v/>
      </c>
      <c r="AE36" s="5" t="s">
        <v>166</v>
      </c>
      <c r="AF36" s="5" t="s">
        <v>166</v>
      </c>
      <c r="AG36" s="5" t="str">
        <f t="shared" si="9"/>
        <v/>
      </c>
      <c r="AH36" s="5" t="s">
        <v>166</v>
      </c>
      <c r="AI36" s="5" t="s">
        <v>166</v>
      </c>
      <c r="AJ36" s="5" t="str">
        <f t="shared" si="10"/>
        <v/>
      </c>
      <c r="AK36" s="5" t="str">
        <f t="shared" si="11"/>
        <v/>
      </c>
      <c r="AL36" s="7">
        <f>IF(Tableau182987[[#This Row],[Age]]&lt;&gt;"",IF(Tableau182987[[#This Row],[Age]]=0,$AT$10*$B$10+SUMIF($AS$21:$AS$29,Tableau182987[[#This Row],[Age]],$AU$21:$AU$29)*$B$10+$AT$11*$B$10,SUMIF($AS$21:$AS$29,Tableau182987[[#This Row],[Age]],$AU$21:$AU$29)*$B$10+$AT$11*$B$10),"")</f>
        <v>5.3999999999999995</v>
      </c>
      <c r="AM36" s="7">
        <f>IF(Tableau182987[[#This Row],[Age]]&lt;&gt;"",IF(Tableau182987[[#This Row],[Age]]=$B$11,$AT$10*$B$10,0)+Tableau182987[[#This Row],[VBO]]*$AX$21*$B$10+Tableau182987[[#This Row],[VBI]]*$AX$22*$B$10+Tableau182987[[#This Row],[VBE]]*$AX$23*$B$10,"")</f>
        <v>0</v>
      </c>
      <c r="AN36" s="7">
        <v>1.209037815411993</v>
      </c>
      <c r="AO36" s="7">
        <v>0</v>
      </c>
      <c r="AP36" s="7">
        <f>IF(Tableau182987[[#This Row],[Age]]&lt;&gt;"",Tableau182987[[#This Row],[RA]]-Tableau182987[[#This Row],[DA]],"")</f>
        <v>-1.209037815411993</v>
      </c>
    </row>
    <row r="37" spans="1:42" ht="15" customHeight="1" x14ac:dyDescent="0.2">
      <c r="K37" s="3">
        <v>35</v>
      </c>
      <c r="L37" s="4">
        <v>27.358372314682189</v>
      </c>
      <c r="M37" s="4">
        <v>0</v>
      </c>
      <c r="N37" s="4">
        <v>27.358372314682189</v>
      </c>
      <c r="O37" s="5">
        <f t="shared" si="0"/>
        <v>18.351996148688812</v>
      </c>
      <c r="P37" s="5">
        <f t="shared" si="1"/>
        <v>6.0275751962702415</v>
      </c>
      <c r="Q37" s="5">
        <f t="shared" si="2"/>
        <v>56.450145288520318</v>
      </c>
      <c r="R37" s="5">
        <v>11.666666666666666</v>
      </c>
      <c r="S37" s="5">
        <v>87.666819178446787</v>
      </c>
      <c r="T37" s="5">
        <f t="shared" si="3"/>
        <v>0</v>
      </c>
      <c r="U37" s="5">
        <f t="shared" si="4"/>
        <v>0</v>
      </c>
      <c r="V37" s="5" t="str">
        <f>IF($E$4="Embrousaillement",Tableau182987[[#This Row],[SOL]],"")</f>
        <v/>
      </c>
      <c r="W37" s="5" t="str">
        <f>IF($E$4="Embrousaillement",Tableau182987[[#This Row],[L]],"")</f>
        <v/>
      </c>
      <c r="X37" s="5">
        <v>5.5</v>
      </c>
      <c r="Y37" s="5">
        <f t="shared" si="5"/>
        <v>0</v>
      </c>
      <c r="Z37" s="5">
        <f t="shared" si="6"/>
        <v>0</v>
      </c>
      <c r="AA37" s="5">
        <f t="shared" si="7"/>
        <v>0</v>
      </c>
      <c r="AB37" s="5" t="s">
        <v>166</v>
      </c>
      <c r="AC37" s="5" t="s">
        <v>166</v>
      </c>
      <c r="AD37" s="5" t="str">
        <f t="shared" si="8"/>
        <v/>
      </c>
      <c r="AE37" s="5" t="s">
        <v>166</v>
      </c>
      <c r="AF37" s="5" t="s">
        <v>166</v>
      </c>
      <c r="AG37" s="5" t="str">
        <f t="shared" si="9"/>
        <v/>
      </c>
      <c r="AH37" s="5" t="s">
        <v>166</v>
      </c>
      <c r="AI37" s="5" t="s">
        <v>166</v>
      </c>
      <c r="AJ37" s="5" t="str">
        <f t="shared" si="10"/>
        <v/>
      </c>
      <c r="AK37" s="5" t="str">
        <f t="shared" si="11"/>
        <v/>
      </c>
      <c r="AL37" s="7">
        <f>IF(Tableau182987[[#This Row],[Age]]&lt;&gt;"",IF(Tableau182987[[#This Row],[Age]]=0,$AT$10*$B$10+SUMIF($AS$21:$AS$29,Tableau182987[[#This Row],[Age]],$AU$21:$AU$29)*$B$10+$AT$11*$B$10,SUMIF($AS$21:$AS$29,Tableau182987[[#This Row],[Age]],$AU$21:$AU$29)*$B$10+$AT$11*$B$10),"")</f>
        <v>5.3999999999999995</v>
      </c>
      <c r="AM37" s="7">
        <f>IF(Tableau182987[[#This Row],[Age]]&lt;&gt;"",IF(Tableau182987[[#This Row],[Age]]=$B$11,$AT$10*$B$10,0)+Tableau182987[[#This Row],[VBO]]*$AX$21*$B$10+Tableau182987[[#This Row],[VBI]]*$AX$22*$B$10+Tableau182987[[#This Row],[VBE]]*$AX$23*$B$10,"")</f>
        <v>0</v>
      </c>
      <c r="AN37" s="7">
        <v>1.1569739860401846</v>
      </c>
      <c r="AO37" s="7">
        <v>0</v>
      </c>
      <c r="AP37" s="7">
        <f>IF(Tableau182987[[#This Row],[Age]]&lt;&gt;"",Tableau182987[[#This Row],[RA]]-Tableau182987[[#This Row],[DA]],"")</f>
        <v>-1.1569739860401846</v>
      </c>
    </row>
    <row r="38" spans="1:42" ht="15" customHeight="1" x14ac:dyDescent="0.2">
      <c r="K38" s="3">
        <v>36</v>
      </c>
      <c r="L38" s="4">
        <v>29.517520169561479</v>
      </c>
      <c r="M38" s="4">
        <v>0</v>
      </c>
      <c r="N38" s="4">
        <v>29.517520169561479</v>
      </c>
      <c r="O38" s="5">
        <f t="shared" si="0"/>
        <v>19.80035252974184</v>
      </c>
      <c r="P38" s="5">
        <f t="shared" si="1"/>
        <v>6.4460290631695676</v>
      </c>
      <c r="Q38" s="5">
        <f t="shared" si="2"/>
        <v>56.68520497482757</v>
      </c>
      <c r="R38" s="5">
        <v>12</v>
      </c>
      <c r="S38" s="5">
        <v>89.267459854606543</v>
      </c>
      <c r="T38" s="5">
        <f t="shared" si="3"/>
        <v>0</v>
      </c>
      <c r="U38" s="5">
        <f t="shared" si="4"/>
        <v>0</v>
      </c>
      <c r="V38" s="5" t="str">
        <f>IF($E$4="Embrousaillement",Tableau182987[[#This Row],[SOL]],"")</f>
        <v/>
      </c>
      <c r="W38" s="5" t="str">
        <f>IF($E$4="Embrousaillement",Tableau182987[[#This Row],[L]],"")</f>
        <v/>
      </c>
      <c r="X38" s="5">
        <v>5.5</v>
      </c>
      <c r="Y38" s="5">
        <f t="shared" si="5"/>
        <v>0</v>
      </c>
      <c r="Z38" s="5">
        <f t="shared" si="6"/>
        <v>0</v>
      </c>
      <c r="AA38" s="5">
        <f t="shared" si="7"/>
        <v>0</v>
      </c>
      <c r="AB38" s="5" t="s">
        <v>166</v>
      </c>
      <c r="AC38" s="5" t="s">
        <v>166</v>
      </c>
      <c r="AD38" s="5" t="str">
        <f t="shared" si="8"/>
        <v/>
      </c>
      <c r="AE38" s="5" t="s">
        <v>166</v>
      </c>
      <c r="AF38" s="5" t="s">
        <v>166</v>
      </c>
      <c r="AG38" s="5" t="str">
        <f t="shared" si="9"/>
        <v/>
      </c>
      <c r="AH38" s="5" t="s">
        <v>166</v>
      </c>
      <c r="AI38" s="5" t="s">
        <v>166</v>
      </c>
      <c r="AJ38" s="5" t="str">
        <f t="shared" si="10"/>
        <v/>
      </c>
      <c r="AK38" s="5" t="str">
        <f t="shared" si="11"/>
        <v/>
      </c>
      <c r="AL38" s="7">
        <f>IF(Tableau182987[[#This Row],[Age]]&lt;&gt;"",IF(Tableau182987[[#This Row],[Age]]=0,$AT$10*$B$10+SUMIF($AS$21:$AS$29,Tableau182987[[#This Row],[Age]],$AU$21:$AU$29)*$B$10+$AT$11*$B$10,SUMIF($AS$21:$AS$29,Tableau182987[[#This Row],[Age]],$AU$21:$AU$29)*$B$10+$AT$11*$B$10),"")</f>
        <v>5.3999999999999995</v>
      </c>
      <c r="AM38" s="7">
        <f>IF(Tableau182987[[#This Row],[Age]]&lt;&gt;"",IF(Tableau182987[[#This Row],[Age]]=$B$11,$AT$10*$B$10,0)+Tableau182987[[#This Row],[VBO]]*$AX$21*$B$10+Tableau182987[[#This Row],[VBI]]*$AX$22*$B$10+Tableau182987[[#This Row],[VBE]]*$AX$23*$B$10,"")</f>
        <v>0</v>
      </c>
      <c r="AN38" s="7">
        <v>1.1071521397513731</v>
      </c>
      <c r="AO38" s="7">
        <v>0</v>
      </c>
      <c r="AP38" s="7">
        <f>IF(Tableau182987[[#This Row],[Age]]&lt;&gt;"",Tableau182987[[#This Row],[RA]]-Tableau182987[[#This Row],[DA]],"")</f>
        <v>-1.1071521397513731</v>
      </c>
    </row>
    <row r="39" spans="1:42" ht="15" customHeight="1" x14ac:dyDescent="0.2">
      <c r="K39" s="3">
        <v>37</v>
      </c>
      <c r="L39" s="4">
        <v>31.768937052615737</v>
      </c>
      <c r="M39" s="4">
        <v>0</v>
      </c>
      <c r="N39" s="4">
        <v>31.768937052615737</v>
      </c>
      <c r="O39" s="5">
        <f t="shared" si="0"/>
        <v>21.310602974894636</v>
      </c>
      <c r="P39" s="5">
        <f t="shared" si="1"/>
        <v>6.8785873872393761</v>
      </c>
      <c r="Q39" s="5">
        <f t="shared" si="2"/>
        <v>56.916186901092118</v>
      </c>
      <c r="R39" s="5">
        <v>12.333333333333332</v>
      </c>
      <c r="S39" s="5">
        <v>90.903324222083015</v>
      </c>
      <c r="T39" s="5">
        <f t="shared" si="3"/>
        <v>0</v>
      </c>
      <c r="U39" s="5">
        <f t="shared" si="4"/>
        <v>0</v>
      </c>
      <c r="V39" s="5" t="str">
        <f>IF($E$4="Embrousaillement",Tableau182987[[#This Row],[SOL]],"")</f>
        <v/>
      </c>
      <c r="W39" s="5" t="str">
        <f>IF($E$4="Embrousaillement",Tableau182987[[#This Row],[L]],"")</f>
        <v/>
      </c>
      <c r="X39" s="5">
        <v>5.5</v>
      </c>
      <c r="Y39" s="5">
        <f t="shared" si="5"/>
        <v>0</v>
      </c>
      <c r="Z39" s="5">
        <f t="shared" si="6"/>
        <v>0</v>
      </c>
      <c r="AA39" s="5">
        <f t="shared" si="7"/>
        <v>0</v>
      </c>
      <c r="AB39" s="5" t="s">
        <v>166</v>
      </c>
      <c r="AC39" s="5" t="s">
        <v>166</v>
      </c>
      <c r="AD39" s="5" t="str">
        <f t="shared" si="8"/>
        <v/>
      </c>
      <c r="AE39" s="5" t="s">
        <v>166</v>
      </c>
      <c r="AF39" s="5" t="s">
        <v>166</v>
      </c>
      <c r="AG39" s="5" t="str">
        <f t="shared" si="9"/>
        <v/>
      </c>
      <c r="AH39" s="5" t="s">
        <v>166</v>
      </c>
      <c r="AI39" s="5" t="s">
        <v>166</v>
      </c>
      <c r="AJ39" s="5" t="str">
        <f t="shared" si="10"/>
        <v/>
      </c>
      <c r="AK39" s="5" t="str">
        <f t="shared" si="11"/>
        <v/>
      </c>
      <c r="AL39" s="7">
        <f>IF(Tableau182987[[#This Row],[Age]]&lt;&gt;"",IF(Tableau182987[[#This Row],[Age]]=0,$AT$10*$B$10+SUMIF($AS$21:$AS$29,Tableau182987[[#This Row],[Age]],$AU$21:$AU$29)*$B$10+$AT$11*$B$10,SUMIF($AS$21:$AS$29,Tableau182987[[#This Row],[Age]],$AU$21:$AU$29)*$B$10+$AT$11*$B$10),"")</f>
        <v>5.3999999999999995</v>
      </c>
      <c r="AM39" s="7">
        <f>IF(Tableau182987[[#This Row],[Age]]&lt;&gt;"",IF(Tableau182987[[#This Row],[Age]]=$B$11,$AT$10*$B$10,0)+Tableau182987[[#This Row],[VBO]]*$AX$21*$B$10+Tableau182987[[#This Row],[VBI]]*$AX$22*$B$10+Tableau182987[[#This Row],[VBE]]*$AX$23*$B$10,"")</f>
        <v>0</v>
      </c>
      <c r="AN39" s="7">
        <v>1.0594757318194958</v>
      </c>
      <c r="AO39" s="7">
        <v>0</v>
      </c>
      <c r="AP39" s="7">
        <f>IF(Tableau182987[[#This Row],[Age]]&lt;&gt;"",Tableau182987[[#This Row],[RA]]-Tableau182987[[#This Row],[DA]],"")</f>
        <v>-1.0594757318194958</v>
      </c>
    </row>
    <row r="40" spans="1:42" ht="15" customHeight="1" x14ac:dyDescent="0.2">
      <c r="K40" s="3">
        <v>38</v>
      </c>
      <c r="L40" s="4">
        <v>34.112483524386036</v>
      </c>
      <c r="M40" s="4">
        <v>0</v>
      </c>
      <c r="N40" s="4">
        <v>34.112483524386036</v>
      </c>
      <c r="O40" s="5">
        <f t="shared" si="0"/>
        <v>22.882653948158151</v>
      </c>
      <c r="P40" s="5">
        <f t="shared" si="1"/>
        <v>7.3250722658114338</v>
      </c>
      <c r="Q40" s="5">
        <f t="shared" si="2"/>
        <v>57.143161807334202</v>
      </c>
      <c r="R40" s="5">
        <v>12.666666666666666</v>
      </c>
      <c r="S40" s="5">
        <v>92.574348268200055</v>
      </c>
      <c r="T40" s="5">
        <f t="shared" si="3"/>
        <v>0</v>
      </c>
      <c r="U40" s="5">
        <f t="shared" si="4"/>
        <v>0</v>
      </c>
      <c r="V40" s="5" t="str">
        <f>IF($E$4="Embrousaillement",Tableau182987[[#This Row],[SOL]],"")</f>
        <v/>
      </c>
      <c r="W40" s="5" t="str">
        <f>IF($E$4="Embrousaillement",Tableau182987[[#This Row],[L]],"")</f>
        <v/>
      </c>
      <c r="X40" s="5">
        <v>5.5</v>
      </c>
      <c r="Y40" s="5">
        <f t="shared" si="5"/>
        <v>0</v>
      </c>
      <c r="Z40" s="5">
        <f t="shared" si="6"/>
        <v>0</v>
      </c>
      <c r="AA40" s="5">
        <f t="shared" si="7"/>
        <v>0</v>
      </c>
      <c r="AB40" s="5" t="s">
        <v>166</v>
      </c>
      <c r="AC40" s="5" t="s">
        <v>166</v>
      </c>
      <c r="AD40" s="5" t="str">
        <f t="shared" si="8"/>
        <v/>
      </c>
      <c r="AE40" s="5" t="s">
        <v>166</v>
      </c>
      <c r="AF40" s="5" t="s">
        <v>166</v>
      </c>
      <c r="AG40" s="5" t="str">
        <f t="shared" si="9"/>
        <v/>
      </c>
      <c r="AH40" s="5" t="s">
        <v>166</v>
      </c>
      <c r="AI40" s="5" t="s">
        <v>166</v>
      </c>
      <c r="AJ40" s="5" t="str">
        <f t="shared" si="10"/>
        <v/>
      </c>
      <c r="AK40" s="5" t="str">
        <f t="shared" si="11"/>
        <v/>
      </c>
      <c r="AL40" s="7">
        <f>IF(Tableau182987[[#This Row],[Age]]&lt;&gt;"",IF(Tableau182987[[#This Row],[Age]]=0,$AT$10*$B$10+SUMIF($AS$21:$AS$29,Tableau182987[[#This Row],[Age]],$AU$21:$AU$29)*$B$10+$AT$11*$B$10,SUMIF($AS$21:$AS$29,Tableau182987[[#This Row],[Age]],$AU$21:$AU$29)*$B$10+$AT$11*$B$10),"")</f>
        <v>5.3999999999999995</v>
      </c>
      <c r="AM40" s="7">
        <f>IF(Tableau182987[[#This Row],[Age]]&lt;&gt;"",IF(Tableau182987[[#This Row],[Age]]=$B$11,$AT$10*$B$10,0)+Tableau182987[[#This Row],[VBO]]*$AX$21*$B$10+Tableau182987[[#This Row],[VBI]]*$AX$22*$B$10+Tableau182987[[#This Row],[VBE]]*$AX$23*$B$10,"")</f>
        <v>0</v>
      </c>
      <c r="AN40" s="7">
        <v>1.0138523749468862</v>
      </c>
      <c r="AO40" s="7">
        <v>0</v>
      </c>
      <c r="AP40" s="7">
        <f>IF(Tableau182987[[#This Row],[Age]]&lt;&gt;"",Tableau182987[[#This Row],[RA]]-Tableau182987[[#This Row],[DA]],"")</f>
        <v>-1.0138523749468862</v>
      </c>
    </row>
    <row r="41" spans="1:42" ht="15" customHeight="1" x14ac:dyDescent="0.2">
      <c r="K41" s="3">
        <v>39</v>
      </c>
      <c r="L41" s="4">
        <v>36.547871108906854</v>
      </c>
      <c r="M41" s="4">
        <v>0</v>
      </c>
      <c r="N41" s="4">
        <v>36.547871108906854</v>
      </c>
      <c r="O41" s="5">
        <f t="shared" si="0"/>
        <v>24.516311939854717</v>
      </c>
      <c r="P41" s="5">
        <f t="shared" si="1"/>
        <v>7.7852869660835644</v>
      </c>
      <c r="Q41" s="5">
        <f t="shared" si="2"/>
        <v>57.366199206392857</v>
      </c>
      <c r="R41" s="5">
        <v>13</v>
      </c>
      <c r="S41" s="5">
        <v>94.280404555384877</v>
      </c>
      <c r="T41" s="5">
        <f t="shared" si="3"/>
        <v>0</v>
      </c>
      <c r="U41" s="5">
        <f t="shared" si="4"/>
        <v>0</v>
      </c>
      <c r="V41" s="5" t="str">
        <f>IF($E$4="Embrousaillement",Tableau182987[[#This Row],[SOL]],"")</f>
        <v/>
      </c>
      <c r="W41" s="5" t="str">
        <f>IF($E$4="Embrousaillement",Tableau182987[[#This Row],[L]],"")</f>
        <v/>
      </c>
      <c r="X41" s="5">
        <v>5.5</v>
      </c>
      <c r="Y41" s="5">
        <f t="shared" si="5"/>
        <v>0</v>
      </c>
      <c r="Z41" s="5">
        <f t="shared" si="6"/>
        <v>0</v>
      </c>
      <c r="AA41" s="5">
        <f t="shared" si="7"/>
        <v>0</v>
      </c>
      <c r="AB41" s="5" t="s">
        <v>166</v>
      </c>
      <c r="AC41" s="5" t="s">
        <v>166</v>
      </c>
      <c r="AD41" s="5" t="str">
        <f t="shared" si="8"/>
        <v/>
      </c>
      <c r="AE41" s="5" t="s">
        <v>166</v>
      </c>
      <c r="AF41" s="5" t="s">
        <v>166</v>
      </c>
      <c r="AG41" s="5" t="str">
        <f t="shared" si="9"/>
        <v/>
      </c>
      <c r="AH41" s="5" t="s">
        <v>166</v>
      </c>
      <c r="AI41" s="5" t="s">
        <v>166</v>
      </c>
      <c r="AJ41" s="5" t="str">
        <f t="shared" si="10"/>
        <v/>
      </c>
      <c r="AK41" s="5" t="str">
        <f t="shared" si="11"/>
        <v/>
      </c>
      <c r="AL41" s="7">
        <f>IF(Tableau182987[[#This Row],[Age]]&lt;&gt;"",IF(Tableau182987[[#This Row],[Age]]=0,$AT$10*$B$10+SUMIF($AS$21:$AS$29,Tableau182987[[#This Row],[Age]],$AU$21:$AU$29)*$B$10+$AT$11*$B$10,SUMIF($AS$21:$AS$29,Tableau182987[[#This Row],[Age]],$AU$21:$AU$29)*$B$10+$AT$11*$B$10),"")</f>
        <v>5.3999999999999995</v>
      </c>
      <c r="AM41" s="7">
        <f>IF(Tableau182987[[#This Row],[Age]]&lt;&gt;"",IF(Tableau182987[[#This Row],[Age]]=$B$11,$AT$10*$B$10,0)+Tableau182987[[#This Row],[VBO]]*$AX$21*$B$10+Tableau182987[[#This Row],[VBI]]*$AX$22*$B$10+Tableau182987[[#This Row],[VBE]]*$AX$23*$B$10,"")</f>
        <v>0</v>
      </c>
      <c r="AN41" s="7">
        <v>0.97019366023625475</v>
      </c>
      <c r="AO41" s="7">
        <v>0</v>
      </c>
      <c r="AP41" s="7">
        <f>IF(Tableau182987[[#This Row],[Age]]&lt;&gt;"",Tableau182987[[#This Row],[RA]]-Tableau182987[[#This Row],[DA]],"")</f>
        <v>-0.97019366023625475</v>
      </c>
    </row>
    <row r="42" spans="1:42" ht="15" customHeight="1" x14ac:dyDescent="0.2">
      <c r="K42" s="3">
        <v>40</v>
      </c>
      <c r="L42" s="4">
        <v>39.074662293705941</v>
      </c>
      <c r="M42" s="4">
        <v>0</v>
      </c>
      <c r="N42" s="4">
        <v>39.074662293705941</v>
      </c>
      <c r="O42" s="5">
        <f t="shared" si="0"/>
        <v>26.211283466617946</v>
      </c>
      <c r="P42" s="5">
        <f t="shared" si="1"/>
        <v>8.259016151906005</v>
      </c>
      <c r="Q42" s="5">
        <f t="shared" si="2"/>
        <v>57.585367405214768</v>
      </c>
      <c r="R42" s="5">
        <v>13.333333333333332</v>
      </c>
      <c r="S42" s="5">
        <v>96.021302363081674</v>
      </c>
      <c r="T42" s="5">
        <f t="shared" si="3"/>
        <v>0</v>
      </c>
      <c r="U42" s="5">
        <f t="shared" si="4"/>
        <v>0</v>
      </c>
      <c r="V42" s="5" t="str">
        <f>IF($E$4="Embrousaillement",Tableau182987[[#This Row],[SOL]],"")</f>
        <v/>
      </c>
      <c r="W42" s="5" t="str">
        <f>IF($E$4="Embrousaillement",Tableau182987[[#This Row],[L]],"")</f>
        <v/>
      </c>
      <c r="X42" s="5">
        <v>5.5</v>
      </c>
      <c r="Y42" s="5">
        <f t="shared" si="5"/>
        <v>0</v>
      </c>
      <c r="Z42" s="5">
        <f t="shared" si="6"/>
        <v>0</v>
      </c>
      <c r="AA42" s="5">
        <f t="shared" si="7"/>
        <v>0</v>
      </c>
      <c r="AB42" s="5" t="s">
        <v>166</v>
      </c>
      <c r="AC42" s="5" t="s">
        <v>166</v>
      </c>
      <c r="AD42" s="5" t="str">
        <f t="shared" si="8"/>
        <v/>
      </c>
      <c r="AE42" s="5" t="s">
        <v>166</v>
      </c>
      <c r="AF42" s="5" t="s">
        <v>166</v>
      </c>
      <c r="AG42" s="5" t="str">
        <f t="shared" si="9"/>
        <v/>
      </c>
      <c r="AH42" s="5" t="s">
        <v>166</v>
      </c>
      <c r="AI42" s="5" t="s">
        <v>166</v>
      </c>
      <c r="AJ42" s="5" t="str">
        <f t="shared" si="10"/>
        <v/>
      </c>
      <c r="AK42" s="5" t="str">
        <f t="shared" si="11"/>
        <v/>
      </c>
      <c r="AL42" s="7">
        <f>IF(Tableau182987[[#This Row],[Age]]&lt;&gt;"",IF(Tableau182987[[#This Row],[Age]]=0,$AT$10*$B$10+SUMIF($AS$21:$AS$29,Tableau182987[[#This Row],[Age]],$AU$21:$AU$29)*$B$10+$AT$11*$B$10,SUMIF($AS$21:$AS$29,Tableau182987[[#This Row],[Age]],$AU$21:$AU$29)*$B$10+$AT$11*$B$10),"")</f>
        <v>5.3999999999999995</v>
      </c>
      <c r="AM42" s="7">
        <f>IF(Tableau182987[[#This Row],[Age]]&lt;&gt;"",IF(Tableau182987[[#This Row],[Age]]=$B$11,$AT$10*$B$10,0)+Tableau182987[[#This Row],[VBO]]*$AX$21*$B$10+Tableau182987[[#This Row],[VBI]]*$AX$22*$B$10+Tableau182987[[#This Row],[VBE]]*$AX$23*$B$10,"")</f>
        <v>0</v>
      </c>
      <c r="AN42" s="7">
        <v>0.92841498587201432</v>
      </c>
      <c r="AO42" s="7">
        <v>0</v>
      </c>
      <c r="AP42" s="7">
        <f>IF(Tableau182987[[#This Row],[Age]]&lt;&gt;"",Tableau182987[[#This Row],[RA]]-Tableau182987[[#This Row],[DA]],"")</f>
        <v>-0.92841498587201432</v>
      </c>
    </row>
    <row r="43" spans="1:42" ht="15" customHeight="1" x14ac:dyDescent="0.2">
      <c r="K43" s="3">
        <v>41</v>
      </c>
      <c r="L43" s="4">
        <v>41.692270529804446</v>
      </c>
      <c r="M43" s="4">
        <v>0</v>
      </c>
      <c r="N43" s="4">
        <v>41.692270529804446</v>
      </c>
      <c r="O43" s="5">
        <f t="shared" si="0"/>
        <v>27.967175071392827</v>
      </c>
      <c r="P43" s="5">
        <f t="shared" si="1"/>
        <v>8.7460260944655737</v>
      </c>
      <c r="Q43" s="5">
        <f t="shared" si="2"/>
        <v>57.800733525773801</v>
      </c>
      <c r="R43" s="5">
        <v>13.666666666666666</v>
      </c>
      <c r="S43" s="5">
        <v>97.796787820845523</v>
      </c>
      <c r="T43" s="5">
        <f t="shared" si="3"/>
        <v>0</v>
      </c>
      <c r="U43" s="5">
        <f t="shared" si="4"/>
        <v>0</v>
      </c>
      <c r="V43" s="5" t="str">
        <f>IF($E$4="Embrousaillement",Tableau182987[[#This Row],[SOL]],"")</f>
        <v/>
      </c>
      <c r="W43" s="5" t="str">
        <f>IF($E$4="Embrousaillement",Tableau182987[[#This Row],[L]],"")</f>
        <v/>
      </c>
      <c r="X43" s="5">
        <v>5.5</v>
      </c>
      <c r="Y43" s="5">
        <f t="shared" si="5"/>
        <v>0</v>
      </c>
      <c r="Z43" s="5">
        <f t="shared" si="6"/>
        <v>0</v>
      </c>
      <c r="AA43" s="5">
        <f t="shared" si="7"/>
        <v>0</v>
      </c>
      <c r="AB43" s="5" t="s">
        <v>166</v>
      </c>
      <c r="AC43" s="5" t="s">
        <v>166</v>
      </c>
      <c r="AD43" s="5" t="str">
        <f t="shared" si="8"/>
        <v/>
      </c>
      <c r="AE43" s="5" t="s">
        <v>166</v>
      </c>
      <c r="AF43" s="5" t="s">
        <v>166</v>
      </c>
      <c r="AG43" s="5" t="str">
        <f t="shared" si="9"/>
        <v/>
      </c>
      <c r="AH43" s="5" t="s">
        <v>166</v>
      </c>
      <c r="AI43" s="5" t="s">
        <v>166</v>
      </c>
      <c r="AJ43" s="5" t="str">
        <f t="shared" si="10"/>
        <v/>
      </c>
      <c r="AK43" s="5" t="str">
        <f t="shared" si="11"/>
        <v/>
      </c>
      <c r="AL43" s="7">
        <f>IF(Tableau182987[[#This Row],[Age]]&lt;&gt;"",IF(Tableau182987[[#This Row],[Age]]=0,$AT$10*$B$10+SUMIF($AS$21:$AS$29,Tableau182987[[#This Row],[Age]],$AU$21:$AU$29)*$B$10+$AT$11*$B$10,SUMIF($AS$21:$AS$29,Tableau182987[[#This Row],[Age]],$AU$21:$AU$29)*$B$10+$AT$11*$B$10),"")</f>
        <v>5.3999999999999995</v>
      </c>
      <c r="AM43" s="7">
        <f>IF(Tableau182987[[#This Row],[Age]]&lt;&gt;"",IF(Tableau182987[[#This Row],[Age]]=$B$11,$AT$10*$B$10,0)+Tableau182987[[#This Row],[VBO]]*$AX$21*$B$10+Tableau182987[[#This Row],[VBI]]*$AX$22*$B$10+Tableau182987[[#This Row],[VBE]]*$AX$23*$B$10,"")</f>
        <v>0</v>
      </c>
      <c r="AN43" s="7">
        <v>0.88843539317896114</v>
      </c>
      <c r="AO43" s="7">
        <v>0</v>
      </c>
      <c r="AP43" s="7">
        <f>IF(Tableau182987[[#This Row],[Age]]&lt;&gt;"",Tableau182987[[#This Row],[RA]]-Tableau182987[[#This Row],[DA]],"")</f>
        <v>-0.88843539317896114</v>
      </c>
    </row>
    <row r="44" spans="1:42" ht="15" customHeight="1" x14ac:dyDescent="0.2">
      <c r="K44" s="3">
        <v>42</v>
      </c>
      <c r="L44" s="4">
        <v>44.399960231716726</v>
      </c>
      <c r="M44" s="4">
        <v>0</v>
      </c>
      <c r="N44" s="4">
        <v>44.399960231716726</v>
      </c>
      <c r="O44" s="5">
        <f t="shared" si="0"/>
        <v>29.783493323435582</v>
      </c>
      <c r="P44" s="5">
        <f t="shared" si="1"/>
        <v>9.2460648679342459</v>
      </c>
      <c r="Q44" s="5">
        <f t="shared" si="2"/>
        <v>58.012363525627649</v>
      </c>
      <c r="R44" s="5">
        <v>14</v>
      </c>
      <c r="S44" s="5">
        <v>99.606544033181137</v>
      </c>
      <c r="T44" s="5">
        <f t="shared" si="3"/>
        <v>0</v>
      </c>
      <c r="U44" s="5">
        <f t="shared" si="4"/>
        <v>0</v>
      </c>
      <c r="V44" s="5" t="str">
        <f>IF($E$4="Embrousaillement",Tableau182987[[#This Row],[SOL]],"")</f>
        <v/>
      </c>
      <c r="W44" s="5" t="str">
        <f>IF($E$4="Embrousaillement",Tableau182987[[#This Row],[L]],"")</f>
        <v/>
      </c>
      <c r="X44" s="5">
        <v>5.5</v>
      </c>
      <c r="Y44" s="5">
        <f t="shared" si="5"/>
        <v>0</v>
      </c>
      <c r="Z44" s="5">
        <f t="shared" si="6"/>
        <v>0</v>
      </c>
      <c r="AA44" s="5">
        <f t="shared" si="7"/>
        <v>0</v>
      </c>
      <c r="AB44" s="5" t="s">
        <v>166</v>
      </c>
      <c r="AC44" s="5" t="s">
        <v>166</v>
      </c>
      <c r="AD44" s="5" t="str">
        <f t="shared" si="8"/>
        <v/>
      </c>
      <c r="AE44" s="5" t="s">
        <v>166</v>
      </c>
      <c r="AF44" s="5" t="s">
        <v>166</v>
      </c>
      <c r="AG44" s="5" t="str">
        <f t="shared" si="9"/>
        <v/>
      </c>
      <c r="AH44" s="5" t="s">
        <v>166</v>
      </c>
      <c r="AI44" s="5" t="s">
        <v>166</v>
      </c>
      <c r="AJ44" s="5" t="str">
        <f t="shared" si="10"/>
        <v/>
      </c>
      <c r="AK44" s="5" t="str">
        <f t="shared" si="11"/>
        <v/>
      </c>
      <c r="AL44" s="7">
        <f>IF(Tableau182987[[#This Row],[Age]]&lt;&gt;"",IF(Tableau182987[[#This Row],[Age]]=0,$AT$10*$B$10+SUMIF($AS$21:$AS$29,Tableau182987[[#This Row],[Age]],$AU$21:$AU$29)*$B$10+$AT$11*$B$10,SUMIF($AS$21:$AS$29,Tableau182987[[#This Row],[Age]],$AU$21:$AU$29)*$B$10+$AT$11*$B$10),"")</f>
        <v>5.3999999999999995</v>
      </c>
      <c r="AM44" s="7">
        <f>IF(Tableau182987[[#This Row],[Age]]&lt;&gt;"",IF(Tableau182987[[#This Row],[Age]]=$B$11,$AT$10*$B$10,0)+Tableau182987[[#This Row],[VBO]]*$AX$21*$B$10+Tableau182987[[#This Row],[VBI]]*$AX$22*$B$10+Tableau182987[[#This Row],[VBE]]*$AX$23*$B$10,"")</f>
        <v>0</v>
      </c>
      <c r="AN44" s="7">
        <v>0.85017740974063283</v>
      </c>
      <c r="AO44" s="7">
        <v>0</v>
      </c>
      <c r="AP44" s="7">
        <f>IF(Tableau182987[[#This Row],[Age]]&lt;&gt;"",Tableau182987[[#This Row],[RA]]-Tableau182987[[#This Row],[DA]],"")</f>
        <v>-0.85017740974063283</v>
      </c>
    </row>
    <row r="45" spans="1:42" ht="15" customHeight="1" x14ac:dyDescent="0.2">
      <c r="K45" s="3">
        <v>43</v>
      </c>
      <c r="L45" s="4">
        <v>47.196846777450624</v>
      </c>
      <c r="M45" s="4">
        <v>0</v>
      </c>
      <c r="N45" s="4">
        <v>47.196846777450624</v>
      </c>
      <c r="O45" s="5">
        <f t="shared" si="0"/>
        <v>31.659644818313879</v>
      </c>
      <c r="P45" s="5">
        <f t="shared" si="1"/>
        <v>9.7588625310299548</v>
      </c>
      <c r="Q45" s="5">
        <f t="shared" si="2"/>
        <v>58.220322218117829</v>
      </c>
      <c r="R45" s="5">
        <v>14.333333333333332</v>
      </c>
      <c r="S45" s="5">
        <v>101.45019119662841</v>
      </c>
      <c r="T45" s="5">
        <f t="shared" si="3"/>
        <v>0</v>
      </c>
      <c r="U45" s="5">
        <f t="shared" si="4"/>
        <v>0</v>
      </c>
      <c r="V45" s="5" t="str">
        <f>IF($E$4="Embrousaillement",Tableau182987[[#This Row],[SOL]],"")</f>
        <v/>
      </c>
      <c r="W45" s="5" t="str">
        <f>IF($E$4="Embrousaillement",Tableau182987[[#This Row],[L]],"")</f>
        <v/>
      </c>
      <c r="X45" s="5">
        <v>5.5</v>
      </c>
      <c r="Y45" s="5">
        <f t="shared" si="5"/>
        <v>0</v>
      </c>
      <c r="Z45" s="5">
        <f t="shared" si="6"/>
        <v>0</v>
      </c>
      <c r="AA45" s="5">
        <f t="shared" si="7"/>
        <v>0</v>
      </c>
      <c r="AB45" s="5" t="s">
        <v>166</v>
      </c>
      <c r="AC45" s="5" t="s">
        <v>166</v>
      </c>
      <c r="AD45" s="5" t="str">
        <f t="shared" si="8"/>
        <v/>
      </c>
      <c r="AE45" s="5" t="s">
        <v>166</v>
      </c>
      <c r="AF45" s="5" t="s">
        <v>166</v>
      </c>
      <c r="AG45" s="5" t="str">
        <f t="shared" si="9"/>
        <v/>
      </c>
      <c r="AH45" s="5" t="s">
        <v>166</v>
      </c>
      <c r="AI45" s="5" t="s">
        <v>166</v>
      </c>
      <c r="AJ45" s="5" t="str">
        <f t="shared" si="10"/>
        <v/>
      </c>
      <c r="AK45" s="5" t="str">
        <f t="shared" si="11"/>
        <v/>
      </c>
      <c r="AL45" s="7">
        <f>IF(Tableau182987[[#This Row],[Age]]&lt;&gt;"",IF(Tableau182987[[#This Row],[Age]]=0,$AT$10*$B$10+SUMIF($AS$21:$AS$29,Tableau182987[[#This Row],[Age]],$AU$21:$AU$29)*$B$10+$AT$11*$B$10,SUMIF($AS$21:$AS$29,Tableau182987[[#This Row],[Age]],$AU$21:$AU$29)*$B$10+$AT$11*$B$10),"")</f>
        <v>5.3999999999999995</v>
      </c>
      <c r="AM45" s="7">
        <f>IF(Tableau182987[[#This Row],[Age]]&lt;&gt;"",IF(Tableau182987[[#This Row],[Age]]=$B$11,$AT$10*$B$10,0)+Tableau182987[[#This Row],[VBO]]*$AX$21*$B$10+Tableau182987[[#This Row],[VBI]]*$AX$22*$B$10+Tableau182987[[#This Row],[VBE]]*$AX$23*$B$10,"")</f>
        <v>0</v>
      </c>
      <c r="AN45" s="7">
        <v>0.81356689927333281</v>
      </c>
      <c r="AO45" s="7">
        <v>0</v>
      </c>
      <c r="AP45" s="7">
        <f>IF(Tableau182987[[#This Row],[Age]]&lt;&gt;"",Tableau182987[[#This Row],[RA]]-Tableau182987[[#This Row],[DA]],"")</f>
        <v>-0.81356689927333281</v>
      </c>
    </row>
    <row r="46" spans="1:42" ht="15" customHeight="1" x14ac:dyDescent="0.2">
      <c r="K46" s="3">
        <v>44</v>
      </c>
      <c r="L46" s="4">
        <v>50.081896508507207</v>
      </c>
      <c r="M46" s="4">
        <v>0</v>
      </c>
      <c r="N46" s="4">
        <v>50.081896508507207</v>
      </c>
      <c r="O46" s="5">
        <f t="shared" si="0"/>
        <v>33.594936177906632</v>
      </c>
      <c r="P46" s="5">
        <f t="shared" si="1"/>
        <v>10.28413129533196</v>
      </c>
      <c r="Q46" s="5">
        <f t="shared" si="2"/>
        <v>58.424673292219296</v>
      </c>
      <c r="R46" s="5">
        <v>14.666666666666666</v>
      </c>
      <c r="S46" s="5">
        <v>103.32728670954172</v>
      </c>
      <c r="T46" s="5">
        <f t="shared" si="3"/>
        <v>0</v>
      </c>
      <c r="U46" s="5">
        <f t="shared" si="4"/>
        <v>0</v>
      </c>
      <c r="V46" s="5" t="str">
        <f>IF($E$4="Embrousaillement",Tableau182987[[#This Row],[SOL]],"")</f>
        <v/>
      </c>
      <c r="W46" s="5" t="str">
        <f>IF($E$4="Embrousaillement",Tableau182987[[#This Row],[L]],"")</f>
        <v/>
      </c>
      <c r="X46" s="5">
        <v>5.5</v>
      </c>
      <c r="Y46" s="5">
        <f t="shared" si="5"/>
        <v>0</v>
      </c>
      <c r="Z46" s="5">
        <f t="shared" si="6"/>
        <v>0</v>
      </c>
      <c r="AA46" s="5">
        <f t="shared" si="7"/>
        <v>0</v>
      </c>
      <c r="AB46" s="5" t="s">
        <v>166</v>
      </c>
      <c r="AC46" s="5" t="s">
        <v>166</v>
      </c>
      <c r="AD46" s="5" t="str">
        <f t="shared" si="8"/>
        <v/>
      </c>
      <c r="AE46" s="5" t="s">
        <v>166</v>
      </c>
      <c r="AF46" s="5" t="s">
        <v>166</v>
      </c>
      <c r="AG46" s="5" t="str">
        <f t="shared" si="9"/>
        <v/>
      </c>
      <c r="AH46" s="5" t="s">
        <v>166</v>
      </c>
      <c r="AI46" s="5" t="s">
        <v>166</v>
      </c>
      <c r="AJ46" s="5" t="str">
        <f t="shared" si="10"/>
        <v/>
      </c>
      <c r="AK46" s="5" t="str">
        <f t="shared" si="11"/>
        <v/>
      </c>
      <c r="AL46" s="7">
        <f>IF(Tableau182987[[#This Row],[Age]]&lt;&gt;"",IF(Tableau182987[[#This Row],[Age]]=0,$AT$10*$B$10+SUMIF($AS$21:$AS$29,Tableau182987[[#This Row],[Age]],$AU$21:$AU$29)*$B$10+$AT$11*$B$10,SUMIF($AS$21:$AS$29,Tableau182987[[#This Row],[Age]],$AU$21:$AU$29)*$B$10+$AT$11*$B$10),"")</f>
        <v>5.3999999999999995</v>
      </c>
      <c r="AM46" s="7">
        <f>IF(Tableau182987[[#This Row],[Age]]&lt;&gt;"",IF(Tableau182987[[#This Row],[Age]]=$B$11,$AT$10*$B$10,0)+Tableau182987[[#This Row],[VBO]]*$AX$21*$B$10+Tableau182987[[#This Row],[VBI]]*$AX$22*$B$10+Tableau182987[[#This Row],[VBE]]*$AX$23*$B$10,"")</f>
        <v>0</v>
      </c>
      <c r="AN46" s="7">
        <v>0.77853291796491197</v>
      </c>
      <c r="AO46" s="7">
        <v>0</v>
      </c>
      <c r="AP46" s="7">
        <f>IF(Tableau182987[[#This Row],[Age]]&lt;&gt;"",Tableau182987[[#This Row],[RA]]-Tableau182987[[#This Row],[DA]],"")</f>
        <v>-0.77853291796491197</v>
      </c>
    </row>
    <row r="47" spans="1:42" ht="15" customHeight="1" x14ac:dyDescent="0.2">
      <c r="K47" s="3">
        <v>45</v>
      </c>
      <c r="L47" s="4">
        <v>53.053926729880921</v>
      </c>
      <c r="M47" s="4">
        <v>0</v>
      </c>
      <c r="N47" s="4">
        <v>53.053926729880921</v>
      </c>
      <c r="O47" s="5">
        <f t="shared" si="0"/>
        <v>35.588574050404119</v>
      </c>
      <c r="P47" s="5">
        <f t="shared" si="1"/>
        <v>10.821565681100564</v>
      </c>
      <c r="Q47" s="5">
        <f t="shared" si="2"/>
        <v>58.625479332045664</v>
      </c>
      <c r="R47" s="5">
        <v>15</v>
      </c>
      <c r="S47" s="5">
        <v>105.23732527496141</v>
      </c>
      <c r="T47" s="5">
        <f t="shared" si="3"/>
        <v>0</v>
      </c>
      <c r="U47" s="5">
        <f t="shared" si="4"/>
        <v>0</v>
      </c>
      <c r="V47" s="5" t="str">
        <f>IF($E$4="Embrousaillement",Tableau182987[[#This Row],[SOL]],"")</f>
        <v/>
      </c>
      <c r="W47" s="5" t="str">
        <f>IF($E$4="Embrousaillement",Tableau182987[[#This Row],[L]],"")</f>
        <v/>
      </c>
      <c r="X47" s="5">
        <v>5.5</v>
      </c>
      <c r="Y47" s="5">
        <f t="shared" si="5"/>
        <v>0</v>
      </c>
      <c r="Z47" s="5">
        <f t="shared" si="6"/>
        <v>0</v>
      </c>
      <c r="AA47" s="5">
        <f t="shared" si="7"/>
        <v>0</v>
      </c>
      <c r="AB47" s="5" t="s">
        <v>166</v>
      </c>
      <c r="AC47" s="5" t="s">
        <v>166</v>
      </c>
      <c r="AD47" s="5" t="str">
        <f t="shared" si="8"/>
        <v/>
      </c>
      <c r="AE47" s="5" t="s">
        <v>166</v>
      </c>
      <c r="AF47" s="5" t="s">
        <v>166</v>
      </c>
      <c r="AG47" s="5" t="str">
        <f t="shared" si="9"/>
        <v/>
      </c>
      <c r="AH47" s="5" t="s">
        <v>166</v>
      </c>
      <c r="AI47" s="5" t="s">
        <v>166</v>
      </c>
      <c r="AJ47" s="5" t="str">
        <f t="shared" si="10"/>
        <v/>
      </c>
      <c r="AK47" s="5" t="str">
        <f t="shared" si="11"/>
        <v/>
      </c>
      <c r="AL47" s="7">
        <f>IF(Tableau182987[[#This Row],[Age]]&lt;&gt;"",IF(Tableau182987[[#This Row],[Age]]=0,$AT$10*$B$10+SUMIF($AS$21:$AS$29,Tableau182987[[#This Row],[Age]],$AU$21:$AU$29)*$B$10+$AT$11*$B$10,SUMIF($AS$21:$AS$29,Tableau182987[[#This Row],[Age]],$AU$21:$AU$29)*$B$10+$AT$11*$B$10),"")</f>
        <v>5.3999999999999995</v>
      </c>
      <c r="AM47" s="7">
        <f>IF(Tableau182987[[#This Row],[Age]]&lt;&gt;"",IF(Tableau182987[[#This Row],[Age]]=$B$11,$AT$10*$B$10,0)+Tableau182987[[#This Row],[VBO]]*$AX$21*$B$10+Tableau182987[[#This Row],[VBI]]*$AX$22*$B$10+Tableau182987[[#This Row],[VBE]]*$AX$23*$B$10,"")</f>
        <v>0</v>
      </c>
      <c r="AN47" s="7">
        <v>0.74500757699991571</v>
      </c>
      <c r="AO47" s="7">
        <v>0</v>
      </c>
      <c r="AP47" s="7">
        <f>IF(Tableau182987[[#This Row],[Age]]&lt;&gt;"",Tableau182987[[#This Row],[RA]]-Tableau182987[[#This Row],[DA]],"")</f>
        <v>-0.74500757699991571</v>
      </c>
    </row>
    <row r="48" spans="1:42" ht="15" customHeight="1" x14ac:dyDescent="0.2">
      <c r="K48" s="3">
        <v>46</v>
      </c>
      <c r="L48" s="4">
        <v>56.111605710059521</v>
      </c>
      <c r="M48" s="4">
        <v>0</v>
      </c>
      <c r="N48" s="4">
        <v>56.111605710059521</v>
      </c>
      <c r="O48" s="5">
        <f t="shared" si="0"/>
        <v>37.639665110307931</v>
      </c>
      <c r="P48" s="5">
        <f t="shared" si="1"/>
        <v>11.370842661267936</v>
      </c>
      <c r="Q48" s="5">
        <f t="shared" si="2"/>
        <v>58.82280183601609</v>
      </c>
      <c r="R48" s="5">
        <v>15.333333333333332</v>
      </c>
      <c r="S48" s="5">
        <v>107.17973899693273</v>
      </c>
      <c r="T48" s="5">
        <f t="shared" si="3"/>
        <v>0</v>
      </c>
      <c r="U48" s="5">
        <f t="shared" si="4"/>
        <v>0</v>
      </c>
      <c r="V48" s="5" t="str">
        <f>IF($E$4="Embrousaillement",Tableau182987[[#This Row],[SOL]],"")</f>
        <v/>
      </c>
      <c r="W48" s="5" t="str">
        <f>IF($E$4="Embrousaillement",Tableau182987[[#This Row],[L]],"")</f>
        <v/>
      </c>
      <c r="X48" s="5">
        <v>5.5</v>
      </c>
      <c r="Y48" s="5">
        <f t="shared" si="5"/>
        <v>0</v>
      </c>
      <c r="Z48" s="5">
        <f t="shared" si="6"/>
        <v>0</v>
      </c>
      <c r="AA48" s="5">
        <f t="shared" si="7"/>
        <v>0</v>
      </c>
      <c r="AB48" s="5" t="s">
        <v>166</v>
      </c>
      <c r="AC48" s="5" t="s">
        <v>166</v>
      </c>
      <c r="AD48" s="5" t="str">
        <f t="shared" si="8"/>
        <v/>
      </c>
      <c r="AE48" s="5" t="s">
        <v>166</v>
      </c>
      <c r="AF48" s="5" t="s">
        <v>166</v>
      </c>
      <c r="AG48" s="5" t="str">
        <f t="shared" si="9"/>
        <v/>
      </c>
      <c r="AH48" s="5" t="s">
        <v>166</v>
      </c>
      <c r="AI48" s="5" t="s">
        <v>166</v>
      </c>
      <c r="AJ48" s="5" t="str">
        <f t="shared" si="10"/>
        <v/>
      </c>
      <c r="AK48" s="5" t="str">
        <f t="shared" si="11"/>
        <v/>
      </c>
      <c r="AL48" s="7">
        <f>IF(Tableau182987[[#This Row],[Age]]&lt;&gt;"",IF(Tableau182987[[#This Row],[Age]]=0,$AT$10*$B$10+SUMIF($AS$21:$AS$29,Tableau182987[[#This Row],[Age]],$AU$21:$AU$29)*$B$10+$AT$11*$B$10,SUMIF($AS$21:$AS$29,Tableau182987[[#This Row],[Age]],$AU$21:$AU$29)*$B$10+$AT$11*$B$10),"")</f>
        <v>5.3999999999999995</v>
      </c>
      <c r="AM48" s="7">
        <f>IF(Tableau182987[[#This Row],[Age]]&lt;&gt;"",IF(Tableau182987[[#This Row],[Age]]=$B$11,$AT$10*$B$10,0)+Tableau182987[[#This Row],[VBO]]*$AX$21*$B$10+Tableau182987[[#This Row],[VBI]]*$AX$22*$B$10+Tableau182987[[#This Row],[VBE]]*$AX$23*$B$10,"")</f>
        <v>0</v>
      </c>
      <c r="AN48" s="7">
        <v>0.71292591100470415</v>
      </c>
      <c r="AO48" s="7">
        <v>0</v>
      </c>
      <c r="AP48" s="7">
        <f>IF(Tableau182987[[#This Row],[Age]]&lt;&gt;"",Tableau182987[[#This Row],[RA]]-Tableau182987[[#This Row],[DA]],"")</f>
        <v>-0.71292591100470415</v>
      </c>
    </row>
    <row r="49" spans="11:42" ht="15" customHeight="1" x14ac:dyDescent="0.2">
      <c r="K49" s="3">
        <v>47</v>
      </c>
      <c r="L49" s="4">
        <v>59.253452681024122</v>
      </c>
      <c r="M49" s="4">
        <v>0</v>
      </c>
      <c r="N49" s="4">
        <v>59.253452681024122</v>
      </c>
      <c r="O49" s="5">
        <f t="shared" si="0"/>
        <v>39.747216058430979</v>
      </c>
      <c r="P49" s="5">
        <f t="shared" si="1"/>
        <v>11.931621794192971</v>
      </c>
      <c r="Q49" s="5">
        <f t="shared" si="2"/>
        <v>59.016701235689659</v>
      </c>
      <c r="R49" s="5">
        <v>15.666666666666666</v>
      </c>
      <c r="S49" s="5">
        <v>109.15389747058796</v>
      </c>
      <c r="T49" s="5">
        <f t="shared" si="3"/>
        <v>0</v>
      </c>
      <c r="U49" s="5">
        <f t="shared" si="4"/>
        <v>0</v>
      </c>
      <c r="V49" s="5" t="str">
        <f>IF($E$4="Embrousaillement",Tableau182987[[#This Row],[SOL]],"")</f>
        <v/>
      </c>
      <c r="W49" s="5" t="str">
        <f>IF($E$4="Embrousaillement",Tableau182987[[#This Row],[L]],"")</f>
        <v/>
      </c>
      <c r="X49" s="5">
        <v>5.5</v>
      </c>
      <c r="Y49" s="5">
        <f t="shared" si="5"/>
        <v>0</v>
      </c>
      <c r="Z49" s="5">
        <f t="shared" si="6"/>
        <v>0</v>
      </c>
      <c r="AA49" s="5">
        <f t="shared" si="7"/>
        <v>0</v>
      </c>
      <c r="AB49" s="5" t="s">
        <v>166</v>
      </c>
      <c r="AC49" s="5" t="s">
        <v>166</v>
      </c>
      <c r="AD49" s="5" t="str">
        <f t="shared" si="8"/>
        <v/>
      </c>
      <c r="AE49" s="5" t="s">
        <v>166</v>
      </c>
      <c r="AF49" s="5" t="s">
        <v>166</v>
      </c>
      <c r="AG49" s="5" t="str">
        <f t="shared" si="9"/>
        <v/>
      </c>
      <c r="AH49" s="5" t="s">
        <v>166</v>
      </c>
      <c r="AI49" s="5" t="s">
        <v>166</v>
      </c>
      <c r="AJ49" s="5" t="str">
        <f t="shared" si="10"/>
        <v/>
      </c>
      <c r="AK49" s="5" t="str">
        <f t="shared" si="11"/>
        <v/>
      </c>
      <c r="AL49" s="7">
        <f>IF(Tableau182987[[#This Row],[Age]]&lt;&gt;"",IF(Tableau182987[[#This Row],[Age]]=0,$AT$10*$B$10+SUMIF($AS$21:$AS$29,Tableau182987[[#This Row],[Age]],$AU$21:$AU$29)*$B$10+$AT$11*$B$10,SUMIF($AS$21:$AS$29,Tableau182987[[#This Row],[Age]],$AU$21:$AU$29)*$B$10+$AT$11*$B$10),"")</f>
        <v>5.3999999999999995</v>
      </c>
      <c r="AM49" s="7">
        <f>IF(Tableau182987[[#This Row],[Age]]&lt;&gt;"",IF(Tableau182987[[#This Row],[Age]]=$B$11,$AT$10*$B$10,0)+Tableau182987[[#This Row],[VBO]]*$AX$21*$B$10+Tableau182987[[#This Row],[VBI]]*$AX$22*$B$10+Tableau182987[[#This Row],[VBE]]*$AX$23*$B$10,"")</f>
        <v>0</v>
      </c>
      <c r="AN49" s="7">
        <v>0.68222575215761161</v>
      </c>
      <c r="AO49" s="7">
        <v>0</v>
      </c>
      <c r="AP49" s="7">
        <f>IF(Tableau182987[[#This Row],[Age]]&lt;&gt;"",Tableau182987[[#This Row],[RA]]-Tableau182987[[#This Row],[DA]],"")</f>
        <v>-0.68222575215761161</v>
      </c>
    </row>
    <row r="50" spans="11:42" ht="15" customHeight="1" x14ac:dyDescent="0.2">
      <c r="K50" s="3">
        <v>48</v>
      </c>
      <c r="L50" s="4">
        <v>62.477837838249116</v>
      </c>
      <c r="M50" s="4">
        <v>0</v>
      </c>
      <c r="N50" s="4">
        <v>62.477837838249116</v>
      </c>
      <c r="O50" s="5">
        <f t="shared" si="0"/>
        <v>41.910133621897508</v>
      </c>
      <c r="P50" s="5">
        <f t="shared" si="1"/>
        <v>12.503545345706552</v>
      </c>
      <c r="Q50" s="5">
        <f t="shared" si="2"/>
        <v>59.207236914273011</v>
      </c>
      <c r="R50" s="5">
        <v>16</v>
      </c>
      <c r="S50" s="5">
        <v>111.15910786627342</v>
      </c>
      <c r="T50" s="5">
        <f t="shared" si="3"/>
        <v>0</v>
      </c>
      <c r="U50" s="5">
        <f t="shared" si="4"/>
        <v>0</v>
      </c>
      <c r="V50" s="5" t="str">
        <f>IF($E$4="Embrousaillement",Tableau182987[[#This Row],[SOL]],"")</f>
        <v/>
      </c>
      <c r="W50" s="5" t="str">
        <f>IF($E$4="Embrousaillement",Tableau182987[[#This Row],[L]],"")</f>
        <v/>
      </c>
      <c r="X50" s="5">
        <v>5.5</v>
      </c>
      <c r="Y50" s="5">
        <f t="shared" si="5"/>
        <v>0</v>
      </c>
      <c r="Z50" s="5">
        <f t="shared" si="6"/>
        <v>0</v>
      </c>
      <c r="AA50" s="5">
        <f t="shared" si="7"/>
        <v>0</v>
      </c>
      <c r="AB50" s="5" t="s">
        <v>166</v>
      </c>
      <c r="AC50" s="5" t="s">
        <v>166</v>
      </c>
      <c r="AD50" s="5" t="str">
        <f t="shared" si="8"/>
        <v/>
      </c>
      <c r="AE50" s="5" t="s">
        <v>166</v>
      </c>
      <c r="AF50" s="5" t="s">
        <v>166</v>
      </c>
      <c r="AG50" s="5" t="str">
        <f t="shared" si="9"/>
        <v/>
      </c>
      <c r="AH50" s="5" t="s">
        <v>166</v>
      </c>
      <c r="AI50" s="5" t="s">
        <v>166</v>
      </c>
      <c r="AJ50" s="5" t="str">
        <f t="shared" si="10"/>
        <v/>
      </c>
      <c r="AK50" s="5" t="str">
        <f t="shared" si="11"/>
        <v/>
      </c>
      <c r="AL50" s="7">
        <f>IF(Tableau182987[[#This Row],[Age]]&lt;&gt;"",IF(Tableau182987[[#This Row],[Age]]=0,$AT$10*$B$10+SUMIF($AS$21:$AS$29,Tableau182987[[#This Row],[Age]],$AU$21:$AU$29)*$B$10+$AT$11*$B$10,SUMIF($AS$21:$AS$29,Tableau182987[[#This Row],[Age]],$AU$21:$AU$29)*$B$10+$AT$11*$B$10),"")</f>
        <v>5.3999999999999995</v>
      </c>
      <c r="AM50" s="7">
        <f>IF(Tableau182987[[#This Row],[Age]]&lt;&gt;"",IF(Tableau182987[[#This Row],[Age]]=$B$11,$AT$10*$B$10,0)+Tableau182987[[#This Row],[VBO]]*$AX$21*$B$10+Tableau182987[[#This Row],[VBI]]*$AX$22*$B$10+Tableau182987[[#This Row],[VBE]]*$AX$23*$B$10,"")</f>
        <v>0</v>
      </c>
      <c r="AN50" s="7">
        <v>0.65284760972020273</v>
      </c>
      <c r="AO50" s="7">
        <v>0</v>
      </c>
      <c r="AP50" s="7">
        <f>IF(Tableau182987[[#This Row],[Age]]&lt;&gt;"",Tableau182987[[#This Row],[RA]]-Tableau182987[[#This Row],[DA]],"")</f>
        <v>-0.65284760972020273</v>
      </c>
    </row>
    <row r="51" spans="11:42" ht="15" customHeight="1" x14ac:dyDescent="0.2">
      <c r="K51" s="3">
        <v>49</v>
      </c>
      <c r="L51" s="4">
        <v>65.782982340702318</v>
      </c>
      <c r="M51" s="4">
        <v>0</v>
      </c>
      <c r="N51" s="4">
        <v>65.782982340702318</v>
      </c>
      <c r="O51" s="5">
        <f t="shared" si="0"/>
        <v>44.127224554143112</v>
      </c>
      <c r="P51" s="5">
        <f t="shared" si="1"/>
        <v>13.08623840091369</v>
      </c>
      <c r="Q51" s="5">
        <f t="shared" si="2"/>
        <v>59.394467224806895</v>
      </c>
      <c r="R51" s="5">
        <v>16.333333333333332</v>
      </c>
      <c r="S51" s="5">
        <v>113.19461500797141</v>
      </c>
      <c r="T51" s="5">
        <f t="shared" si="3"/>
        <v>0</v>
      </c>
      <c r="U51" s="5">
        <f t="shared" si="4"/>
        <v>0</v>
      </c>
      <c r="V51" s="5" t="str">
        <f>IF($E$4="Embrousaillement",Tableau182987[[#This Row],[SOL]],"")</f>
        <v/>
      </c>
      <c r="W51" s="5" t="str">
        <f>IF($E$4="Embrousaillement",Tableau182987[[#This Row],[L]],"")</f>
        <v/>
      </c>
      <c r="X51" s="5">
        <v>5.5</v>
      </c>
      <c r="Y51" s="5">
        <f t="shared" si="5"/>
        <v>0</v>
      </c>
      <c r="Z51" s="5">
        <f t="shared" si="6"/>
        <v>0</v>
      </c>
      <c r="AA51" s="5">
        <f t="shared" si="7"/>
        <v>0</v>
      </c>
      <c r="AB51" s="5" t="s">
        <v>166</v>
      </c>
      <c r="AC51" s="5" t="s">
        <v>166</v>
      </c>
      <c r="AD51" s="5" t="str">
        <f t="shared" si="8"/>
        <v/>
      </c>
      <c r="AE51" s="5" t="s">
        <v>166</v>
      </c>
      <c r="AF51" s="5" t="s">
        <v>166</v>
      </c>
      <c r="AG51" s="5" t="str">
        <f t="shared" si="9"/>
        <v/>
      </c>
      <c r="AH51" s="5" t="s">
        <v>166</v>
      </c>
      <c r="AI51" s="5" t="s">
        <v>166</v>
      </c>
      <c r="AJ51" s="5" t="str">
        <f t="shared" si="10"/>
        <v/>
      </c>
      <c r="AK51" s="5" t="str">
        <f t="shared" si="11"/>
        <v/>
      </c>
      <c r="AL51" s="7">
        <f>IF(Tableau182987[[#This Row],[Age]]&lt;&gt;"",IF(Tableau182987[[#This Row],[Age]]=0,$AT$10*$B$10+SUMIF($AS$21:$AS$29,Tableau182987[[#This Row],[Age]],$AU$21:$AU$29)*$B$10+$AT$11*$B$10,SUMIF($AS$21:$AS$29,Tableau182987[[#This Row],[Age]],$AU$21:$AU$29)*$B$10+$AT$11*$B$10),"")</f>
        <v>5.3999999999999995</v>
      </c>
      <c r="AM51" s="7">
        <f>IF(Tableau182987[[#This Row],[Age]]&lt;&gt;"",IF(Tableau182987[[#This Row],[Age]]=$B$11,$AT$10*$B$10,0)+Tableau182987[[#This Row],[VBO]]*$AX$21*$B$10+Tableau182987[[#This Row],[VBI]]*$AX$22*$B$10+Tableau182987[[#This Row],[VBE]]*$AX$23*$B$10,"")</f>
        <v>0</v>
      </c>
      <c r="AN51" s="7">
        <v>0.6247345547561749</v>
      </c>
      <c r="AO51" s="7">
        <v>0</v>
      </c>
      <c r="AP51" s="7">
        <f>IF(Tableau182987[[#This Row],[Age]]&lt;&gt;"",Tableau182987[[#This Row],[RA]]-Tableau182987[[#This Row],[DA]],"")</f>
        <v>-0.6247345547561749</v>
      </c>
    </row>
    <row r="52" spans="11:42" ht="15" customHeight="1" x14ac:dyDescent="0.2">
      <c r="K52" s="3">
        <v>50</v>
      </c>
      <c r="L52" s="4">
        <v>69.166958310844777</v>
      </c>
      <c r="M52" s="4">
        <v>0</v>
      </c>
      <c r="N52" s="4">
        <v>69.166958310844777</v>
      </c>
      <c r="O52" s="5">
        <f t="shared" si="0"/>
        <v>46.397195634914681</v>
      </c>
      <c r="P52" s="5">
        <f t="shared" si="1"/>
        <v>13.679308966164445</v>
      </c>
      <c r="Q52" s="5">
        <f t="shared" si="2"/>
        <v>59.578449508037295</v>
      </c>
      <c r="R52" s="5">
        <v>16.666666666666664</v>
      </c>
      <c r="S52" s="5">
        <v>115.25960144623819</v>
      </c>
      <c r="T52" s="5">
        <f t="shared" si="3"/>
        <v>0</v>
      </c>
      <c r="U52" s="5">
        <f t="shared" si="4"/>
        <v>0</v>
      </c>
      <c r="V52" s="5" t="str">
        <f>IF($E$4="Embrousaillement",Tableau182987[[#This Row],[SOL]],"")</f>
        <v/>
      </c>
      <c r="W52" s="5" t="str">
        <f>IF($E$4="Embrousaillement",Tableau182987[[#This Row],[L]],"")</f>
        <v/>
      </c>
      <c r="X52" s="5">
        <v>5.5</v>
      </c>
      <c r="Y52" s="5">
        <f t="shared" si="5"/>
        <v>0</v>
      </c>
      <c r="Z52" s="5">
        <f t="shared" si="6"/>
        <v>0</v>
      </c>
      <c r="AA52" s="5">
        <f t="shared" si="7"/>
        <v>0</v>
      </c>
      <c r="AB52" s="5" t="s">
        <v>166</v>
      </c>
      <c r="AC52" s="5" t="s">
        <v>166</v>
      </c>
      <c r="AD52" s="5" t="str">
        <f t="shared" si="8"/>
        <v/>
      </c>
      <c r="AE52" s="5" t="s">
        <v>166</v>
      </c>
      <c r="AF52" s="5" t="s">
        <v>166</v>
      </c>
      <c r="AG52" s="5" t="str">
        <f t="shared" si="9"/>
        <v/>
      </c>
      <c r="AH52" s="5" t="s">
        <v>166</v>
      </c>
      <c r="AI52" s="5" t="s">
        <v>166</v>
      </c>
      <c r="AJ52" s="5" t="str">
        <f t="shared" si="10"/>
        <v/>
      </c>
      <c r="AK52" s="5" t="str">
        <f t="shared" si="11"/>
        <v/>
      </c>
      <c r="AL52" s="7">
        <f>IF(Tableau182987[[#This Row],[Age]]&lt;&gt;"",IF(Tableau182987[[#This Row],[Age]]=0,$AT$10*$B$10+SUMIF($AS$21:$AS$29,Tableau182987[[#This Row],[Age]],$AU$21:$AU$29)*$B$10+$AT$11*$B$10,SUMIF($AS$21:$AS$29,Tableau182987[[#This Row],[Age]],$AU$21:$AU$29)*$B$10+$AT$11*$B$10),"")</f>
        <v>5.3999999999999995</v>
      </c>
      <c r="AM52" s="7">
        <f>IF(Tableau182987[[#This Row],[Age]]&lt;&gt;"",IF(Tableau182987[[#This Row],[Age]]=$B$11,$AT$10*$B$10,0)+Tableau182987[[#This Row],[VBO]]*$AX$21*$B$10+Tableau182987[[#This Row],[VBI]]*$AX$22*$B$10+Tableau182987[[#This Row],[VBE]]*$AX$23*$B$10,"")</f>
        <v>0</v>
      </c>
      <c r="AN52" s="7">
        <v>0.59783210981452151</v>
      </c>
      <c r="AO52" s="7">
        <v>0</v>
      </c>
      <c r="AP52" s="7">
        <f>IF(Tableau182987[[#This Row],[Age]]&lt;&gt;"",Tableau182987[[#This Row],[RA]]-Tableau182987[[#This Row],[DA]],"")</f>
        <v>-0.59783210981452151</v>
      </c>
    </row>
    <row r="53" spans="11:42" ht="15" customHeight="1" x14ac:dyDescent="0.2">
      <c r="K53" s="3">
        <v>51</v>
      </c>
      <c r="L53" s="4">
        <v>72.627688834630916</v>
      </c>
      <c r="M53" s="4">
        <v>0</v>
      </c>
      <c r="N53" s="4">
        <v>72.627688834630916</v>
      </c>
      <c r="O53" s="5">
        <f t="shared" si="0"/>
        <v>48.71865367027042</v>
      </c>
      <c r="P53" s="5">
        <f t="shared" si="1"/>
        <v>14.282348061555989</v>
      </c>
      <c r="Q53" s="5">
        <f t="shared" si="2"/>
        <v>59.759240109976403</v>
      </c>
      <c r="R53" s="5">
        <v>17</v>
      </c>
      <c r="S53" s="5">
        <v>117.35318752585334</v>
      </c>
      <c r="T53" s="5">
        <f t="shared" si="3"/>
        <v>0</v>
      </c>
      <c r="U53" s="5">
        <f t="shared" si="4"/>
        <v>0</v>
      </c>
      <c r="V53" s="5" t="str">
        <f>IF($E$4="Embrousaillement",Tableau182987[[#This Row],[SOL]],"")</f>
        <v/>
      </c>
      <c r="W53" s="5" t="str">
        <f>IF($E$4="Embrousaillement",Tableau182987[[#This Row],[L]],"")</f>
        <v/>
      </c>
      <c r="X53" s="5">
        <v>5.5</v>
      </c>
      <c r="Y53" s="5">
        <f t="shared" si="5"/>
        <v>0</v>
      </c>
      <c r="Z53" s="5">
        <f t="shared" si="6"/>
        <v>0</v>
      </c>
      <c r="AA53" s="5">
        <f t="shared" si="7"/>
        <v>0</v>
      </c>
      <c r="AB53" s="5" t="s">
        <v>166</v>
      </c>
      <c r="AC53" s="5" t="s">
        <v>166</v>
      </c>
      <c r="AD53" s="5" t="str">
        <f t="shared" si="8"/>
        <v/>
      </c>
      <c r="AE53" s="5" t="s">
        <v>166</v>
      </c>
      <c r="AF53" s="5" t="s">
        <v>166</v>
      </c>
      <c r="AG53" s="5" t="str">
        <f t="shared" si="9"/>
        <v/>
      </c>
      <c r="AH53" s="5" t="s">
        <v>166</v>
      </c>
      <c r="AI53" s="5" t="s">
        <v>166</v>
      </c>
      <c r="AJ53" s="5" t="str">
        <f t="shared" si="10"/>
        <v/>
      </c>
      <c r="AK53" s="5" t="str">
        <f t="shared" si="11"/>
        <v/>
      </c>
      <c r="AL53" s="7">
        <f>IF(Tableau182987[[#This Row],[Age]]&lt;&gt;"",IF(Tableau182987[[#This Row],[Age]]=0,$AT$10*$B$10+SUMIF($AS$21:$AS$29,Tableau182987[[#This Row],[Age]],$AU$21:$AU$29)*$B$10+$AT$11*$B$10,SUMIF($AS$21:$AS$29,Tableau182987[[#This Row],[Age]],$AU$21:$AU$29)*$B$10+$AT$11*$B$10),"")</f>
        <v>5.3999999999999995</v>
      </c>
      <c r="AM53" s="7">
        <f>IF(Tableau182987[[#This Row],[Age]]&lt;&gt;"",IF(Tableau182987[[#This Row],[Age]]=$B$11,$AT$10*$B$10,0)+Tableau182987[[#This Row],[VBO]]*$AX$21*$B$10+Tableau182987[[#This Row],[VBI]]*$AX$22*$B$10+Tableau182987[[#This Row],[VBE]]*$AX$23*$B$10,"")</f>
        <v>0</v>
      </c>
      <c r="AN53" s="7">
        <v>0.57208814336317848</v>
      </c>
      <c r="AO53" s="7">
        <v>0</v>
      </c>
      <c r="AP53" s="7">
        <f>IF(Tableau182987[[#This Row],[Age]]&lt;&gt;"",Tableau182987[[#This Row],[RA]]-Tableau182987[[#This Row],[DA]],"")</f>
        <v>-0.57208814336317848</v>
      </c>
    </row>
    <row r="54" spans="11:42" ht="15" customHeight="1" x14ac:dyDescent="0.2">
      <c r="K54" s="3">
        <v>52</v>
      </c>
      <c r="L54" s="4">
        <v>76.162947961508522</v>
      </c>
      <c r="M54" s="4">
        <v>0</v>
      </c>
      <c r="N54" s="4">
        <v>76.162947961508522</v>
      </c>
      <c r="O54" s="5">
        <f t="shared" si="0"/>
        <v>51.090105492579916</v>
      </c>
      <c r="P54" s="5">
        <f t="shared" si="1"/>
        <v>14.894929804282269</v>
      </c>
      <c r="Q54" s="5">
        <f t="shared" si="2"/>
        <v>59.936894399159101</v>
      </c>
      <c r="R54" s="5">
        <v>17.333333333333332</v>
      </c>
      <c r="S54" s="5">
        <v>119.47443144835214</v>
      </c>
      <c r="T54" s="5">
        <f t="shared" si="3"/>
        <v>0</v>
      </c>
      <c r="U54" s="5">
        <f t="shared" si="4"/>
        <v>0</v>
      </c>
      <c r="V54" s="5" t="str">
        <f>IF($E$4="Embrousaillement",Tableau182987[[#This Row],[SOL]],"")</f>
        <v/>
      </c>
      <c r="W54" s="5" t="str">
        <f>IF($E$4="Embrousaillement",Tableau182987[[#This Row],[L]],"")</f>
        <v/>
      </c>
      <c r="X54" s="5">
        <v>5.5</v>
      </c>
      <c r="Y54" s="5">
        <f t="shared" si="5"/>
        <v>0</v>
      </c>
      <c r="Z54" s="5">
        <f t="shared" si="6"/>
        <v>0</v>
      </c>
      <c r="AA54" s="5">
        <f t="shared" si="7"/>
        <v>0</v>
      </c>
      <c r="AB54" s="5" t="s">
        <v>166</v>
      </c>
      <c r="AC54" s="5" t="s">
        <v>166</v>
      </c>
      <c r="AD54" s="5" t="str">
        <f t="shared" si="8"/>
        <v/>
      </c>
      <c r="AE54" s="5" t="s">
        <v>166</v>
      </c>
      <c r="AF54" s="5" t="s">
        <v>166</v>
      </c>
      <c r="AG54" s="5" t="str">
        <f t="shared" si="9"/>
        <v/>
      </c>
      <c r="AH54" s="5" t="s">
        <v>166</v>
      </c>
      <c r="AI54" s="5" t="s">
        <v>166</v>
      </c>
      <c r="AJ54" s="5" t="str">
        <f t="shared" si="10"/>
        <v/>
      </c>
      <c r="AK54" s="5" t="str">
        <f t="shared" si="11"/>
        <v/>
      </c>
      <c r="AL54" s="7">
        <f>IF(Tableau182987[[#This Row],[Age]]&lt;&gt;"",IF(Tableau182987[[#This Row],[Age]]=0,$AT$10*$B$10+SUMIF($AS$21:$AS$29,Tableau182987[[#This Row],[Age]],$AU$21:$AU$29)*$B$10+$AT$11*$B$10,SUMIF($AS$21:$AS$29,Tableau182987[[#This Row],[Age]],$AU$21:$AU$29)*$B$10+$AT$11*$B$10),"")</f>
        <v>5.3999999999999995</v>
      </c>
      <c r="AM54" s="7">
        <f>IF(Tableau182987[[#This Row],[Age]]&lt;&gt;"",IF(Tableau182987[[#This Row],[Age]]=$B$11,$AT$10*$B$10,0)+Tableau182987[[#This Row],[VBO]]*$AX$21*$B$10+Tableau182987[[#This Row],[VBI]]*$AX$22*$B$10+Tableau182987[[#This Row],[VBE]]*$AX$23*$B$10,"")</f>
        <v>0</v>
      </c>
      <c r="AN54" s="7">
        <v>0.54745276876859195</v>
      </c>
      <c r="AO54" s="7">
        <v>0</v>
      </c>
      <c r="AP54" s="7">
        <f>IF(Tableau182987[[#This Row],[Age]]&lt;&gt;"",Tableau182987[[#This Row],[RA]]-Tableau182987[[#This Row],[DA]],"")</f>
        <v>-0.54745276876859195</v>
      </c>
    </row>
    <row r="55" spans="11:42" ht="15" customHeight="1" x14ac:dyDescent="0.2">
      <c r="K55" s="3">
        <v>53</v>
      </c>
      <c r="L55" s="4">
        <v>79.77036070441865</v>
      </c>
      <c r="M55" s="4">
        <v>0</v>
      </c>
      <c r="N55" s="4">
        <v>79.77036070441865</v>
      </c>
      <c r="O55" s="5">
        <f t="shared" si="0"/>
        <v>53.509957960524034</v>
      </c>
      <c r="P55" s="5">
        <f t="shared" si="1"/>
        <v>15.516611483105832</v>
      </c>
      <c r="Q55" s="5">
        <f t="shared" si="2"/>
        <v>60.111466783599973</v>
      </c>
      <c r="R55" s="5">
        <v>17.666666666666664</v>
      </c>
      <c r="S55" s="5">
        <v>121.62232932958987</v>
      </c>
      <c r="T55" s="5">
        <f t="shared" si="3"/>
        <v>0</v>
      </c>
      <c r="U55" s="5">
        <f t="shared" si="4"/>
        <v>0</v>
      </c>
      <c r="V55" s="5" t="str">
        <f>IF($E$4="Embrousaillement",Tableau182987[[#This Row],[SOL]],"")</f>
        <v/>
      </c>
      <c r="W55" s="5" t="str">
        <f>IF($E$4="Embrousaillement",Tableau182987[[#This Row],[L]],"")</f>
        <v/>
      </c>
      <c r="X55" s="5">
        <v>5.5</v>
      </c>
      <c r="Y55" s="5">
        <f t="shared" si="5"/>
        <v>0</v>
      </c>
      <c r="Z55" s="5">
        <f t="shared" si="6"/>
        <v>0</v>
      </c>
      <c r="AA55" s="5">
        <f t="shared" si="7"/>
        <v>0</v>
      </c>
      <c r="AB55" s="5" t="s">
        <v>166</v>
      </c>
      <c r="AC55" s="5" t="s">
        <v>166</v>
      </c>
      <c r="AD55" s="5" t="str">
        <f t="shared" si="8"/>
        <v/>
      </c>
      <c r="AE55" s="5" t="s">
        <v>166</v>
      </c>
      <c r="AF55" s="5" t="s">
        <v>166</v>
      </c>
      <c r="AG55" s="5" t="str">
        <f t="shared" si="9"/>
        <v/>
      </c>
      <c r="AH55" s="5" t="s">
        <v>166</v>
      </c>
      <c r="AI55" s="5" t="s">
        <v>166</v>
      </c>
      <c r="AJ55" s="5" t="str">
        <f t="shared" si="10"/>
        <v/>
      </c>
      <c r="AK55" s="5" t="str">
        <f t="shared" si="11"/>
        <v/>
      </c>
      <c r="AL55" s="7">
        <f>IF(Tableau182987[[#This Row],[Age]]&lt;&gt;"",IF(Tableau182987[[#This Row],[Age]]=0,$AT$10*$B$10+SUMIF($AS$21:$AS$29,Tableau182987[[#This Row],[Age]],$AU$21:$AU$29)*$B$10+$AT$11*$B$10,SUMIF($AS$21:$AS$29,Tableau182987[[#This Row],[Age]],$AU$21:$AU$29)*$B$10+$AT$11*$B$10),"")</f>
        <v>5.3999999999999995</v>
      </c>
      <c r="AM55" s="7">
        <f>IF(Tableau182987[[#This Row],[Age]]&lt;&gt;"",IF(Tableau182987[[#This Row],[Age]]=$B$11,$AT$10*$B$10,0)+Tableau182987[[#This Row],[VBO]]*$AX$21*$B$10+Tableau182987[[#This Row],[VBI]]*$AX$22*$B$10+Tableau182987[[#This Row],[VBE]]*$AX$23*$B$10,"")</f>
        <v>0</v>
      </c>
      <c r="AN55" s="7">
        <v>0.52387824762544688</v>
      </c>
      <c r="AO55" s="7">
        <v>0</v>
      </c>
      <c r="AP55" s="7">
        <f>IF(Tableau182987[[#This Row],[Age]]&lt;&gt;"",Tableau182987[[#This Row],[RA]]-Tableau182987[[#This Row],[DA]],"")</f>
        <v>-0.52387824762544688</v>
      </c>
    </row>
    <row r="56" spans="11:42" ht="15" customHeight="1" x14ac:dyDescent="0.2">
      <c r="K56" s="3">
        <v>54</v>
      </c>
      <c r="L56" s="4">
        <v>83.447403039795759</v>
      </c>
      <c r="M56" s="4">
        <v>0</v>
      </c>
      <c r="N56" s="4">
        <v>83.447403039795759</v>
      </c>
      <c r="O56" s="5">
        <f t="shared" si="0"/>
        <v>55.976517959094998</v>
      </c>
      <c r="P56" s="5">
        <f t="shared" si="1"/>
        <v>16.146933624187099</v>
      </c>
      <c r="Q56" s="5">
        <f t="shared" si="2"/>
        <v>60.283010727456173</v>
      </c>
      <c r="R56" s="5">
        <v>18</v>
      </c>
      <c r="S56" s="5">
        <v>123.79581525246667</v>
      </c>
      <c r="T56" s="5">
        <f t="shared" si="3"/>
        <v>0</v>
      </c>
      <c r="U56" s="5">
        <f t="shared" si="4"/>
        <v>0</v>
      </c>
      <c r="V56" s="5" t="str">
        <f>IF($E$4="Embrousaillement",Tableau182987[[#This Row],[SOL]],"")</f>
        <v/>
      </c>
      <c r="W56" s="5" t="str">
        <f>IF($E$4="Embrousaillement",Tableau182987[[#This Row],[L]],"")</f>
        <v/>
      </c>
      <c r="X56" s="5">
        <v>5.5</v>
      </c>
      <c r="Y56" s="5">
        <f t="shared" si="5"/>
        <v>0</v>
      </c>
      <c r="Z56" s="5">
        <f t="shared" si="6"/>
        <v>0</v>
      </c>
      <c r="AA56" s="5">
        <f t="shared" si="7"/>
        <v>0</v>
      </c>
      <c r="AB56" s="5" t="s">
        <v>166</v>
      </c>
      <c r="AC56" s="5" t="s">
        <v>166</v>
      </c>
      <c r="AD56" s="5" t="str">
        <f t="shared" si="8"/>
        <v/>
      </c>
      <c r="AE56" s="5" t="s">
        <v>166</v>
      </c>
      <c r="AF56" s="5" t="s">
        <v>166</v>
      </c>
      <c r="AG56" s="5" t="str">
        <f t="shared" si="9"/>
        <v/>
      </c>
      <c r="AH56" s="5" t="s">
        <v>166</v>
      </c>
      <c r="AI56" s="5" t="s">
        <v>166</v>
      </c>
      <c r="AJ56" s="5" t="str">
        <f t="shared" si="10"/>
        <v/>
      </c>
      <c r="AK56" s="5" t="str">
        <f t="shared" si="11"/>
        <v/>
      </c>
      <c r="AL56" s="7">
        <f>IF(Tableau182987[[#This Row],[Age]]&lt;&gt;"",IF(Tableau182987[[#This Row],[Age]]=0,$AT$10*$B$10+SUMIF($AS$21:$AS$29,Tableau182987[[#This Row],[Age]],$AU$21:$AU$29)*$B$10+$AT$11*$B$10,SUMIF($AS$21:$AS$29,Tableau182987[[#This Row],[Age]],$AU$21:$AU$29)*$B$10+$AT$11*$B$10),"")</f>
        <v>5.3999999999999995</v>
      </c>
      <c r="AM56" s="7">
        <f>IF(Tableau182987[[#This Row],[Age]]&lt;&gt;"",IF(Tableau182987[[#This Row],[Age]]=$B$11,$AT$10*$B$10,0)+Tableau182987[[#This Row],[VBO]]*$AX$21*$B$10+Tableau182987[[#This Row],[VBI]]*$AX$22*$B$10+Tableau182987[[#This Row],[VBE]]*$AX$23*$B$10,"")</f>
        <v>0</v>
      </c>
      <c r="AN56" s="7">
        <v>0.50131889724923162</v>
      </c>
      <c r="AO56" s="7">
        <v>0</v>
      </c>
      <c r="AP56" s="7">
        <f>IF(Tableau182987[[#This Row],[Age]]&lt;&gt;"",Tableau182987[[#This Row],[RA]]-Tableau182987[[#This Row],[DA]],"")</f>
        <v>-0.50131889724923162</v>
      </c>
    </row>
    <row r="57" spans="11:42" ht="15" customHeight="1" x14ac:dyDescent="0.2">
      <c r="K57" s="3">
        <v>55</v>
      </c>
      <c r="L57" s="4">
        <v>87.191401907567595</v>
      </c>
      <c r="M57" s="4">
        <v>0</v>
      </c>
      <c r="N57" s="4">
        <v>87.191401907567595</v>
      </c>
      <c r="O57" s="5">
        <f t="shared" si="0"/>
        <v>58.487992399596351</v>
      </c>
      <c r="P57" s="5">
        <f t="shared" si="1"/>
        <v>16.785420048469639</v>
      </c>
      <c r="Q57" s="5">
        <f t="shared" si="2"/>
        <v>60.45157876740128</v>
      </c>
      <c r="R57" s="5">
        <v>18.333333333333332</v>
      </c>
      <c r="S57" s="5">
        <v>125.99376131492254</v>
      </c>
      <c r="T57" s="5">
        <f t="shared" si="3"/>
        <v>0</v>
      </c>
      <c r="U57" s="5">
        <f t="shared" si="4"/>
        <v>0</v>
      </c>
      <c r="V57" s="5" t="str">
        <f>IF($E$4="Embrousaillement",Tableau182987[[#This Row],[SOL]],"")</f>
        <v/>
      </c>
      <c r="W57" s="5" t="str">
        <f>IF($E$4="Embrousaillement",Tableau182987[[#This Row],[L]],"")</f>
        <v/>
      </c>
      <c r="X57" s="5">
        <v>5.5</v>
      </c>
      <c r="Y57" s="5">
        <f t="shared" si="5"/>
        <v>0</v>
      </c>
      <c r="Z57" s="5">
        <f t="shared" si="6"/>
        <v>0</v>
      </c>
      <c r="AA57" s="5">
        <f t="shared" si="7"/>
        <v>0</v>
      </c>
      <c r="AB57" s="5" t="s">
        <v>166</v>
      </c>
      <c r="AC57" s="5" t="s">
        <v>166</v>
      </c>
      <c r="AD57" s="5" t="str">
        <f t="shared" si="8"/>
        <v/>
      </c>
      <c r="AE57" s="5" t="s">
        <v>166</v>
      </c>
      <c r="AF57" s="5" t="s">
        <v>166</v>
      </c>
      <c r="AG57" s="5" t="str">
        <f t="shared" si="9"/>
        <v/>
      </c>
      <c r="AH57" s="5" t="s">
        <v>166</v>
      </c>
      <c r="AI57" s="5" t="s">
        <v>166</v>
      </c>
      <c r="AJ57" s="5" t="str">
        <f t="shared" si="10"/>
        <v/>
      </c>
      <c r="AK57" s="5" t="str">
        <f t="shared" si="11"/>
        <v/>
      </c>
      <c r="AL57" s="7">
        <f>IF(Tableau182987[[#This Row],[Age]]&lt;&gt;"",IF(Tableau182987[[#This Row],[Age]]=0,$AT$10*$B$10+SUMIF($AS$21:$AS$29,Tableau182987[[#This Row],[Age]],$AU$21:$AU$29)*$B$10+$AT$11*$B$10,SUMIF($AS$21:$AS$29,Tableau182987[[#This Row],[Age]],$AU$21:$AU$29)*$B$10+$AT$11*$B$10),"")</f>
        <v>5.3999999999999995</v>
      </c>
      <c r="AM57" s="7">
        <f>IF(Tableau182987[[#This Row],[Age]]&lt;&gt;"",IF(Tableau182987[[#This Row],[Age]]=$B$11,$AT$10*$B$10,0)+Tableau182987[[#This Row],[VBO]]*$AX$21*$B$10+Tableau182987[[#This Row],[VBI]]*$AX$22*$B$10+Tableau182987[[#This Row],[VBE]]*$AX$23*$B$10,"")</f>
        <v>0</v>
      </c>
      <c r="AN57" s="7">
        <v>0.47973100215237474</v>
      </c>
      <c r="AO57" s="7">
        <v>0</v>
      </c>
      <c r="AP57" s="7">
        <f>IF(Tableau182987[[#This Row],[Age]]&lt;&gt;"",Tableau182987[[#This Row],[RA]]-Tableau182987[[#This Row],[DA]],"")</f>
        <v>-0.47973100215237474</v>
      </c>
    </row>
    <row r="58" spans="11:42" ht="15" customHeight="1" x14ac:dyDescent="0.2">
      <c r="K58" s="3">
        <v>56</v>
      </c>
      <c r="L58" s="4">
        <v>90.999535211155163</v>
      </c>
      <c r="M58" s="4">
        <v>0</v>
      </c>
      <c r="N58" s="4">
        <v>90.999535211155163</v>
      </c>
      <c r="O58" s="5">
        <f t="shared" si="0"/>
        <v>61.042488219642884</v>
      </c>
      <c r="P58" s="5">
        <f t="shared" si="1"/>
        <v>17.431577920785447</v>
      </c>
      <c r="Q58" s="5">
        <f t="shared" si="2"/>
        <v>60.617222528715011</v>
      </c>
      <c r="R58" s="5">
        <v>18.666666666666664</v>
      </c>
      <c r="S58" s="5">
        <v>128.21497767329362</v>
      </c>
      <c r="T58" s="5">
        <f t="shared" si="3"/>
        <v>0</v>
      </c>
      <c r="U58" s="5">
        <f t="shared" si="4"/>
        <v>0</v>
      </c>
      <c r="V58" s="5" t="str">
        <f>IF($E$4="Embrousaillement",Tableau182987[[#This Row],[SOL]],"")</f>
        <v/>
      </c>
      <c r="W58" s="5" t="str">
        <f>IF($E$4="Embrousaillement",Tableau182987[[#This Row],[L]],"")</f>
        <v/>
      </c>
      <c r="X58" s="5">
        <v>5.5</v>
      </c>
      <c r="Y58" s="5">
        <f t="shared" si="5"/>
        <v>0</v>
      </c>
      <c r="Z58" s="5">
        <f t="shared" si="6"/>
        <v>0</v>
      </c>
      <c r="AA58" s="5">
        <f t="shared" si="7"/>
        <v>0</v>
      </c>
      <c r="AB58" s="5" t="s">
        <v>166</v>
      </c>
      <c r="AC58" s="5" t="s">
        <v>166</v>
      </c>
      <c r="AD58" s="5" t="str">
        <f t="shared" si="8"/>
        <v/>
      </c>
      <c r="AE58" s="5" t="s">
        <v>166</v>
      </c>
      <c r="AF58" s="5" t="s">
        <v>166</v>
      </c>
      <c r="AG58" s="5" t="str">
        <f t="shared" si="9"/>
        <v/>
      </c>
      <c r="AH58" s="5" t="s">
        <v>166</v>
      </c>
      <c r="AI58" s="5" t="s">
        <v>166</v>
      </c>
      <c r="AJ58" s="5" t="str">
        <f t="shared" si="10"/>
        <v/>
      </c>
      <c r="AK58" s="5" t="str">
        <f t="shared" si="11"/>
        <v/>
      </c>
      <c r="AL58" s="7">
        <f>IF(Tableau182987[[#This Row],[Age]]&lt;&gt;"",IF(Tableau182987[[#This Row],[Age]]=0,$AT$10*$B$10+SUMIF($AS$21:$AS$29,Tableau182987[[#This Row],[Age]],$AU$21:$AU$29)*$B$10+$AT$11*$B$10,SUMIF($AS$21:$AS$29,Tableau182987[[#This Row],[Age]],$AU$21:$AU$29)*$B$10+$AT$11*$B$10),"")</f>
        <v>5.3999999999999995</v>
      </c>
      <c r="AM58" s="7">
        <f>IF(Tableau182987[[#This Row],[Age]]&lt;&gt;"",IF(Tableau182987[[#This Row],[Age]]=$B$11,$AT$10*$B$10,0)+Tableau182987[[#This Row],[VBO]]*$AX$21*$B$10+Tableau182987[[#This Row],[VBI]]*$AX$22*$B$10+Tableau182987[[#This Row],[VBE]]*$AX$23*$B$10,"")</f>
        <v>0</v>
      </c>
      <c r="AN58" s="7">
        <v>0.45907272933241611</v>
      </c>
      <c r="AO58" s="7">
        <v>0</v>
      </c>
      <c r="AP58" s="7">
        <f>IF(Tableau182987[[#This Row],[Age]]&lt;&gt;"",Tableau182987[[#This Row],[RA]]-Tableau182987[[#This Row],[DA]],"")</f>
        <v>-0.45907272933241611</v>
      </c>
    </row>
    <row r="59" spans="11:42" ht="15" customHeight="1" x14ac:dyDescent="0.2">
      <c r="K59" s="3">
        <v>57</v>
      </c>
      <c r="L59" s="4">
        <v>94.868831817473023</v>
      </c>
      <c r="M59" s="4">
        <v>0</v>
      </c>
      <c r="N59" s="4">
        <v>94.868831817473023</v>
      </c>
      <c r="O59" s="5">
        <f t="shared" si="0"/>
        <v>63.638012383160898</v>
      </c>
      <c r="P59" s="5">
        <f t="shared" si="1"/>
        <v>18.084897790811727</v>
      </c>
      <c r="Q59" s="5">
        <f t="shared" si="2"/>
        <v>60.77999274109392</v>
      </c>
      <c r="R59" s="5">
        <v>19</v>
      </c>
      <c r="S59" s="5">
        <v>130.45821258110399</v>
      </c>
      <c r="T59" s="5">
        <f t="shared" si="3"/>
        <v>0</v>
      </c>
      <c r="U59" s="5">
        <f t="shared" si="4"/>
        <v>0</v>
      </c>
      <c r="V59" s="5" t="str">
        <f>IF($E$4="Embrousaillement",Tableau182987[[#This Row],[SOL]],"")</f>
        <v/>
      </c>
      <c r="W59" s="5" t="str">
        <f>IF($E$4="Embrousaillement",Tableau182987[[#This Row],[L]],"")</f>
        <v/>
      </c>
      <c r="X59" s="5">
        <v>5.5</v>
      </c>
      <c r="Y59" s="5">
        <f t="shared" si="5"/>
        <v>0</v>
      </c>
      <c r="Z59" s="5">
        <f t="shared" si="6"/>
        <v>0</v>
      </c>
      <c r="AA59" s="5">
        <f t="shared" si="7"/>
        <v>0</v>
      </c>
      <c r="AB59" s="5" t="s">
        <v>166</v>
      </c>
      <c r="AC59" s="5" t="s">
        <v>166</v>
      </c>
      <c r="AD59" s="5" t="str">
        <f t="shared" si="8"/>
        <v/>
      </c>
      <c r="AE59" s="5" t="s">
        <v>166</v>
      </c>
      <c r="AF59" s="5" t="s">
        <v>166</v>
      </c>
      <c r="AG59" s="5" t="str">
        <f t="shared" si="9"/>
        <v/>
      </c>
      <c r="AH59" s="5" t="s">
        <v>166</v>
      </c>
      <c r="AI59" s="5" t="s">
        <v>166</v>
      </c>
      <c r="AJ59" s="5" t="str">
        <f t="shared" si="10"/>
        <v/>
      </c>
      <c r="AK59" s="5" t="str">
        <f t="shared" si="11"/>
        <v/>
      </c>
      <c r="AL59" s="7">
        <f>IF(Tableau182987[[#This Row],[Age]]&lt;&gt;"",IF(Tableau182987[[#This Row],[Age]]=0,$AT$10*$B$10+SUMIF($AS$21:$AS$29,Tableau182987[[#This Row],[Age]],$AU$21:$AU$29)*$B$10+$AT$11*$B$10,SUMIF($AS$21:$AS$29,Tableau182987[[#This Row],[Age]],$AU$21:$AU$29)*$B$10+$AT$11*$B$10),"")</f>
        <v>5.3999999999999995</v>
      </c>
      <c r="AM59" s="7">
        <f>IF(Tableau182987[[#This Row],[Age]]&lt;&gt;"",IF(Tableau182987[[#This Row],[Age]]=$B$11,$AT$10*$B$10,0)+Tableau182987[[#This Row],[VBO]]*$AX$21*$B$10+Tableau182987[[#This Row],[VBI]]*$AX$22*$B$10+Tableau182987[[#This Row],[VBE]]*$AX$23*$B$10,"")</f>
        <v>0</v>
      </c>
      <c r="AN59" s="7">
        <v>0.43930404720805377</v>
      </c>
      <c r="AO59" s="7">
        <v>0</v>
      </c>
      <c r="AP59" s="7">
        <f>IF(Tableau182987[[#This Row],[Age]]&lt;&gt;"",Tableau182987[[#This Row],[RA]]-Tableau182987[[#This Row],[DA]],"")</f>
        <v>-0.43930404720805377</v>
      </c>
    </row>
    <row r="60" spans="11:42" ht="15" customHeight="1" x14ac:dyDescent="0.2">
      <c r="K60" s="3">
        <v>58</v>
      </c>
      <c r="L60" s="4">
        <v>98.796171556928797</v>
      </c>
      <c r="M60" s="4">
        <v>0</v>
      </c>
      <c r="N60" s="4">
        <v>98.796171556928797</v>
      </c>
      <c r="O60" s="5">
        <f t="shared" si="0"/>
        <v>66.27247188038784</v>
      </c>
      <c r="P60" s="5">
        <f t="shared" si="1"/>
        <v>18.744853625978525</v>
      </c>
      <c r="Q60" s="5">
        <f t="shared" si="2"/>
        <v>60.939939254187742</v>
      </c>
      <c r="R60" s="5">
        <v>19.333333333333332</v>
      </c>
      <c r="S60" s="5">
        <v>132.7221524233496</v>
      </c>
      <c r="T60" s="5">
        <f t="shared" si="3"/>
        <v>0</v>
      </c>
      <c r="U60" s="5">
        <f t="shared" si="4"/>
        <v>0</v>
      </c>
      <c r="V60" s="5" t="str">
        <f>IF($E$4="Embrousaillement",Tableau182987[[#This Row],[SOL]],"")</f>
        <v/>
      </c>
      <c r="W60" s="5" t="str">
        <f>IF($E$4="Embrousaillement",Tableau182987[[#This Row],[L]],"")</f>
        <v/>
      </c>
      <c r="X60" s="5">
        <v>5.5</v>
      </c>
      <c r="Y60" s="5">
        <f t="shared" si="5"/>
        <v>0</v>
      </c>
      <c r="Z60" s="5">
        <f t="shared" si="6"/>
        <v>0</v>
      </c>
      <c r="AA60" s="5">
        <f t="shared" si="7"/>
        <v>0</v>
      </c>
      <c r="AB60" s="5" t="s">
        <v>166</v>
      </c>
      <c r="AC60" s="5" t="s">
        <v>166</v>
      </c>
      <c r="AD60" s="5" t="str">
        <f t="shared" si="8"/>
        <v/>
      </c>
      <c r="AE60" s="5" t="s">
        <v>166</v>
      </c>
      <c r="AF60" s="5" t="s">
        <v>166</v>
      </c>
      <c r="AG60" s="5" t="str">
        <f t="shared" si="9"/>
        <v/>
      </c>
      <c r="AH60" s="5" t="s">
        <v>166</v>
      </c>
      <c r="AI60" s="5" t="s">
        <v>166</v>
      </c>
      <c r="AJ60" s="5" t="str">
        <f t="shared" si="10"/>
        <v/>
      </c>
      <c r="AK60" s="5" t="str">
        <f t="shared" si="11"/>
        <v/>
      </c>
      <c r="AL60" s="7">
        <f>IF(Tableau182987[[#This Row],[Age]]&lt;&gt;"",IF(Tableau182987[[#This Row],[Age]]=0,$AT$10*$B$10+SUMIF($AS$21:$AS$29,Tableau182987[[#This Row],[Age]],$AU$21:$AU$29)*$B$10+$AT$11*$B$10,SUMIF($AS$21:$AS$29,Tableau182987[[#This Row],[Age]],$AU$21:$AU$29)*$B$10+$AT$11*$B$10),"")</f>
        <v>5.3999999999999995</v>
      </c>
      <c r="AM60" s="7">
        <f>IF(Tableau182987[[#This Row],[Age]]&lt;&gt;"",IF(Tableau182987[[#This Row],[Age]]=$B$11,$AT$10*$B$10,0)+Tableau182987[[#This Row],[VBO]]*$AX$21*$B$10+Tableau182987[[#This Row],[VBI]]*$AX$22*$B$10+Tableau182987[[#This Row],[VBE]]*$AX$23*$B$10,"")</f>
        <v>0</v>
      </c>
      <c r="AN60" s="7">
        <v>0.42038664804598452</v>
      </c>
      <c r="AO60" s="7">
        <v>0</v>
      </c>
      <c r="AP60" s="7">
        <f>IF(Tableau182987[[#This Row],[Age]]&lt;&gt;"",Tableau182987[[#This Row],[RA]]-Tableau182987[[#This Row],[DA]],"")</f>
        <v>-0.42038664804598452</v>
      </c>
    </row>
    <row r="61" spans="11:42" ht="15" customHeight="1" x14ac:dyDescent="0.2">
      <c r="K61" s="3">
        <v>59</v>
      </c>
      <c r="L61" s="4">
        <v>102.77828522342367</v>
      </c>
      <c r="M61" s="4">
        <v>0</v>
      </c>
      <c r="N61" s="4">
        <v>102.77828522342367</v>
      </c>
      <c r="O61" s="5">
        <f t="shared" si="0"/>
        <v>68.943673727872593</v>
      </c>
      <c r="P61" s="5">
        <f t="shared" si="1"/>
        <v>19.410902836397163</v>
      </c>
      <c r="Q61" s="5">
        <f t="shared" si="2"/>
        <v>61.097111052866211</v>
      </c>
      <c r="R61" s="5">
        <v>19.666666666666664</v>
      </c>
      <c r="S61" s="5">
        <v>135.0054217463171</v>
      </c>
      <c r="T61" s="5">
        <f t="shared" si="3"/>
        <v>0</v>
      </c>
      <c r="U61" s="5">
        <f t="shared" si="4"/>
        <v>0</v>
      </c>
      <c r="V61" s="5" t="str">
        <f>IF($E$4="Embrousaillement",Tableau182987[[#This Row],[SOL]],"")</f>
        <v/>
      </c>
      <c r="W61" s="5" t="str">
        <f>IF($E$4="Embrousaillement",Tableau182987[[#This Row],[L]],"")</f>
        <v/>
      </c>
      <c r="X61" s="5">
        <v>5.5</v>
      </c>
      <c r="Y61" s="5">
        <f t="shared" si="5"/>
        <v>0</v>
      </c>
      <c r="Z61" s="5">
        <f t="shared" si="6"/>
        <v>0</v>
      </c>
      <c r="AA61" s="5">
        <f t="shared" si="7"/>
        <v>0</v>
      </c>
      <c r="AB61" s="5" t="s">
        <v>166</v>
      </c>
      <c r="AC61" s="5" t="s">
        <v>166</v>
      </c>
      <c r="AD61" s="5" t="str">
        <f t="shared" si="8"/>
        <v/>
      </c>
      <c r="AE61" s="5" t="s">
        <v>166</v>
      </c>
      <c r="AF61" s="5" t="s">
        <v>166</v>
      </c>
      <c r="AG61" s="5" t="str">
        <f t="shared" si="9"/>
        <v/>
      </c>
      <c r="AH61" s="5" t="s">
        <v>166</v>
      </c>
      <c r="AI61" s="5" t="s">
        <v>166</v>
      </c>
      <c r="AJ61" s="5" t="str">
        <f t="shared" si="10"/>
        <v/>
      </c>
      <c r="AK61" s="5" t="str">
        <f t="shared" si="11"/>
        <v/>
      </c>
      <c r="AL61" s="7">
        <f>IF(Tableau182987[[#This Row],[Age]]&lt;&gt;"",IF(Tableau182987[[#This Row],[Age]]=0,$AT$10*$B$10+SUMIF($AS$21:$AS$29,Tableau182987[[#This Row],[Age]],$AU$21:$AU$29)*$B$10+$AT$11*$B$10,SUMIF($AS$21:$AS$29,Tableau182987[[#This Row],[Age]],$AU$21:$AU$29)*$B$10+$AT$11*$B$10),"")</f>
        <v>5.3999999999999995</v>
      </c>
      <c r="AM61" s="7">
        <f>IF(Tableau182987[[#This Row],[Age]]&lt;&gt;"",IF(Tableau182987[[#This Row],[Age]]=$B$11,$AT$10*$B$10,0)+Tableau182987[[#This Row],[VBO]]*$AX$21*$B$10+Tableau182987[[#This Row],[VBI]]*$AX$22*$B$10+Tableau182987[[#This Row],[VBE]]*$AX$23*$B$10,"")</f>
        <v>0</v>
      </c>
      <c r="AN61" s="7">
        <v>0.40228387372821489</v>
      </c>
      <c r="AO61" s="7">
        <v>0</v>
      </c>
      <c r="AP61" s="7">
        <f>IF(Tableau182987[[#This Row],[Age]]&lt;&gt;"",Tableau182987[[#This Row],[RA]]-Tableau182987[[#This Row],[DA]],"")</f>
        <v>-0.40228387372821489</v>
      </c>
    </row>
    <row r="62" spans="11:42" ht="15" customHeight="1" x14ac:dyDescent="0.2">
      <c r="K62" s="3">
        <v>60</v>
      </c>
      <c r="L62" s="4">
        <v>106.81175457435191</v>
      </c>
      <c r="M62" s="4">
        <v>106.81175457435191</v>
      </c>
      <c r="N62" s="4">
        <v>0</v>
      </c>
      <c r="O62" s="5">
        <f t="shared" si="0"/>
        <v>0</v>
      </c>
      <c r="P62" s="5">
        <f t="shared" si="1"/>
        <v>0</v>
      </c>
      <c r="Q62" s="5">
        <f t="shared" si="2"/>
        <v>61.251556272221123</v>
      </c>
      <c r="R62" s="5">
        <v>20</v>
      </c>
      <c r="S62" s="5">
        <v>89.376711899443237</v>
      </c>
      <c r="T62" s="5">
        <f t="shared" si="3"/>
        <v>0</v>
      </c>
      <c r="U62" s="5">
        <f t="shared" si="4"/>
        <v>0</v>
      </c>
      <c r="V62" s="5" t="str">
        <f>IF($E$4="Embrousaillement",Tableau182987[[#This Row],[SOL]],"")</f>
        <v/>
      </c>
      <c r="W62" s="5" t="str">
        <f>IF($E$4="Embrousaillement",Tableau182987[[#This Row],[L]],"")</f>
        <v/>
      </c>
      <c r="X62" s="5">
        <v>5.5</v>
      </c>
      <c r="Y62" s="5">
        <f t="shared" si="5"/>
        <v>64.087052744611142</v>
      </c>
      <c r="Z62" s="5">
        <f t="shared" si="6"/>
        <v>0</v>
      </c>
      <c r="AA62" s="5">
        <f t="shared" si="7"/>
        <v>42.724701829740766</v>
      </c>
      <c r="AB62" s="5" t="s">
        <v>166</v>
      </c>
      <c r="AC62" s="5" t="s">
        <v>166</v>
      </c>
      <c r="AD62" s="5" t="str">
        <f t="shared" si="8"/>
        <v/>
      </c>
      <c r="AE62" s="5" t="s">
        <v>166</v>
      </c>
      <c r="AF62" s="5" t="s">
        <v>166</v>
      </c>
      <c r="AG62" s="5" t="str">
        <f t="shared" si="9"/>
        <v/>
      </c>
      <c r="AH62" s="5" t="s">
        <v>166</v>
      </c>
      <c r="AI62" s="5" t="s">
        <v>166</v>
      </c>
      <c r="AJ62" s="5" t="str">
        <f t="shared" si="10"/>
        <v/>
      </c>
      <c r="AK62" s="5" t="str">
        <f t="shared" si="11"/>
        <v/>
      </c>
      <c r="AL62" s="7">
        <f>IF(Tableau182987[[#This Row],[Age]]&lt;&gt;"",IF(Tableau182987[[#This Row],[Age]]=0,$AT$10*$B$10+SUMIF($AS$21:$AS$29,Tableau182987[[#This Row],[Age]],$AU$21:$AU$29)*$B$10+$AT$11*$B$10,SUMIF($AS$21:$AS$29,Tableau182987[[#This Row],[Age]],$AU$21:$AU$29)*$B$10+$AT$11*$B$10),"")</f>
        <v>5.3999999999999995</v>
      </c>
      <c r="AM62" s="7">
        <f>IF(Tableau182987[[#This Row],[Age]]&lt;&gt;"",IF(Tableau182987[[#This Row],[Age]]=$B$11,$AT$10*$B$10,0)+Tableau182987[[#This Row],[VBO]]*$AX$21*$B$10+Tableau182987[[#This Row],[VBI]]*$AX$22*$B$10+Tableau182987[[#This Row],[VBE]]*$AX$23*$B$10,"")</f>
        <v>640.8705274461114</v>
      </c>
      <c r="AN62" s="7">
        <v>0.38496064471599517</v>
      </c>
      <c r="AO62" s="7">
        <v>45.68702433798795</v>
      </c>
      <c r="AP62" s="7">
        <f>IF(Tableau182987[[#This Row],[Age]]&lt;&gt;"",Tableau182987[[#This Row],[RA]]-Tableau182987[[#This Row],[DA]],"")</f>
        <v>45.302063693271954</v>
      </c>
    </row>
    <row r="63" spans="11:42" ht="15" customHeight="1" x14ac:dyDescent="0.2">
      <c r="L63" s="4"/>
      <c r="M63" s="4"/>
      <c r="N63" s="4"/>
      <c r="O63" s="5" t="str">
        <f t="shared" si="0"/>
        <v/>
      </c>
      <c r="P63" s="5" t="str">
        <f t="shared" si="1"/>
        <v/>
      </c>
      <c r="Q63" s="5" t="str">
        <f t="shared" si="2"/>
        <v/>
      </c>
      <c r="R63" s="5" t="s">
        <v>166</v>
      </c>
      <c r="S63" s="5" t="s">
        <v>166</v>
      </c>
      <c r="T63" s="5" t="str">
        <f t="shared" si="3"/>
        <v/>
      </c>
      <c r="U63" s="5" t="str">
        <f t="shared" si="4"/>
        <v/>
      </c>
      <c r="V63" s="5" t="str">
        <f>IF($E$4="Embrousaillement",Tableau182987[[#This Row],[SOL]],"")</f>
        <v/>
      </c>
      <c r="W63" s="5" t="str">
        <f>IF($E$4="Embrousaillement",Tableau182987[[#This Row],[L]],"")</f>
        <v/>
      </c>
      <c r="X63" s="5" t="s">
        <v>166</v>
      </c>
      <c r="Y63" s="5" t="str">
        <f t="shared" si="5"/>
        <v/>
      </c>
      <c r="Z63" s="5" t="str">
        <f t="shared" si="6"/>
        <v/>
      </c>
      <c r="AA63" s="5" t="str">
        <f t="shared" si="7"/>
        <v/>
      </c>
      <c r="AB63" s="5" t="s">
        <v>166</v>
      </c>
      <c r="AC63" s="5" t="s">
        <v>166</v>
      </c>
      <c r="AD63" s="5" t="str">
        <f t="shared" si="8"/>
        <v/>
      </c>
      <c r="AE63" s="5" t="s">
        <v>166</v>
      </c>
      <c r="AF63" s="5" t="s">
        <v>166</v>
      </c>
      <c r="AG63" s="5" t="str">
        <f t="shared" si="9"/>
        <v/>
      </c>
      <c r="AH63" s="5" t="s">
        <v>166</v>
      </c>
      <c r="AI63" s="5" t="s">
        <v>166</v>
      </c>
      <c r="AJ63" s="5" t="str">
        <f t="shared" si="10"/>
        <v/>
      </c>
      <c r="AK63" s="5" t="str">
        <f t="shared" si="11"/>
        <v/>
      </c>
      <c r="AL63" s="7" t="str">
        <f>IF(Tableau182987[[#This Row],[Age]]&lt;&gt;"",IF(Tableau182987[[#This Row],[Age]]=0,$AT$10*$B$10+SUMIF($AS$21:$AS$29,Tableau182987[[#This Row],[Age]],$AU$21:$AU$29)*$B$10+$AT$11*$B$10,SUMIF($AS$21:$AS$29,Tableau182987[[#This Row],[Age]],$AU$21:$AU$29)*$B$10+$AT$11*$B$10),"")</f>
        <v/>
      </c>
      <c r="AM63" s="7" t="str">
        <f>IF(Tableau182987[[#This Row],[Age]]&lt;&gt;"",IF(Tableau182987[[#This Row],[Age]]=$B$11,$AT$10*$B$10,0)+Tableau182987[[#This Row],[VBO]]*$AX$21*$B$10+Tableau182987[[#This Row],[VBI]]*$AX$22*$B$10+Tableau182987[[#This Row],[VBE]]*$AX$23*$B$10,"")</f>
        <v/>
      </c>
      <c r="AN63" s="7" t="s">
        <v>166</v>
      </c>
      <c r="AO63" s="7" t="s">
        <v>166</v>
      </c>
      <c r="AP63" s="7" t="str">
        <f>IF(Tableau182987[[#This Row],[Age]]&lt;&gt;"",Tableau182987[[#This Row],[RA]]-Tableau182987[[#This Row],[DA]],"")</f>
        <v/>
      </c>
    </row>
    <row r="64" spans="11:42" ht="15" customHeight="1" x14ac:dyDescent="0.2">
      <c r="L64" s="4"/>
      <c r="M64" s="4"/>
      <c r="N64" s="4"/>
      <c r="O64" s="5" t="str">
        <f t="shared" si="0"/>
        <v/>
      </c>
      <c r="P64" s="5" t="str">
        <f t="shared" si="1"/>
        <v/>
      </c>
      <c r="Q64" s="5" t="str">
        <f t="shared" si="2"/>
        <v/>
      </c>
      <c r="R64" s="5" t="s">
        <v>166</v>
      </c>
      <c r="S64" s="5" t="s">
        <v>166</v>
      </c>
      <c r="T64" s="5" t="str">
        <f t="shared" si="3"/>
        <v/>
      </c>
      <c r="U64" s="5" t="str">
        <f t="shared" si="4"/>
        <v/>
      </c>
      <c r="V64" s="5" t="str">
        <f>IF($E$4="Embrousaillement",Tableau182987[[#This Row],[SOL]],"")</f>
        <v/>
      </c>
      <c r="W64" s="5" t="str">
        <f>IF($E$4="Embrousaillement",Tableau182987[[#This Row],[L]],"")</f>
        <v/>
      </c>
      <c r="X64" s="5" t="s">
        <v>166</v>
      </c>
      <c r="Y64" s="5" t="str">
        <f t="shared" si="5"/>
        <v/>
      </c>
      <c r="Z64" s="5" t="str">
        <f t="shared" si="6"/>
        <v/>
      </c>
      <c r="AA64" s="5" t="str">
        <f t="shared" si="7"/>
        <v/>
      </c>
      <c r="AB64" s="5" t="s">
        <v>166</v>
      </c>
      <c r="AC64" s="5" t="s">
        <v>166</v>
      </c>
      <c r="AD64" s="5" t="str">
        <f t="shared" si="8"/>
        <v/>
      </c>
      <c r="AE64" s="5" t="s">
        <v>166</v>
      </c>
      <c r="AF64" s="5" t="s">
        <v>166</v>
      </c>
      <c r="AG64" s="5" t="str">
        <f t="shared" si="9"/>
        <v/>
      </c>
      <c r="AH64" s="5" t="s">
        <v>166</v>
      </c>
      <c r="AI64" s="5" t="s">
        <v>166</v>
      </c>
      <c r="AJ64" s="5" t="str">
        <f t="shared" si="10"/>
        <v/>
      </c>
      <c r="AK64" s="5" t="str">
        <f t="shared" si="11"/>
        <v/>
      </c>
      <c r="AL64" s="7" t="str">
        <f>IF(Tableau182987[[#This Row],[Age]]&lt;&gt;"",IF(Tableau182987[[#This Row],[Age]]=0,$AT$10*$B$10+SUMIF($AS$21:$AS$29,Tableau182987[[#This Row],[Age]],$AU$21:$AU$29)*$B$10+$AT$11*$B$10,SUMIF($AS$21:$AS$29,Tableau182987[[#This Row],[Age]],$AU$21:$AU$29)*$B$10+$AT$11*$B$10),"")</f>
        <v/>
      </c>
      <c r="AM64" s="7" t="str">
        <f>IF(Tableau182987[[#This Row],[Age]]&lt;&gt;"",IF(Tableau182987[[#This Row],[Age]]=$B$11,$AT$10*$B$10,0)+Tableau182987[[#This Row],[VBO]]*$AX$21*$B$10+Tableau182987[[#This Row],[VBI]]*$AX$22*$B$10+Tableau182987[[#This Row],[VBE]]*$AX$23*$B$10,"")</f>
        <v/>
      </c>
      <c r="AN64" s="7" t="s">
        <v>166</v>
      </c>
      <c r="AO64" s="7" t="s">
        <v>166</v>
      </c>
      <c r="AP64" s="7" t="str">
        <f>IF(Tableau182987[[#This Row],[Age]]&lt;&gt;"",Tableau182987[[#This Row],[RA]]-Tableau182987[[#This Row],[DA]],"")</f>
        <v/>
      </c>
    </row>
    <row r="65" spans="1:42" ht="15" customHeight="1" x14ac:dyDescent="0.2">
      <c r="A65" s="30" t="s">
        <v>108</v>
      </c>
      <c r="B65" s="30" t="s">
        <v>109</v>
      </c>
      <c r="C65" s="30" t="s">
        <v>110</v>
      </c>
      <c r="L65" s="4"/>
      <c r="M65" s="4"/>
      <c r="N65" s="4"/>
      <c r="O65" s="5" t="str">
        <f t="shared" si="0"/>
        <v/>
      </c>
      <c r="P65" s="5" t="str">
        <f t="shared" si="1"/>
        <v/>
      </c>
      <c r="Q65" s="5" t="str">
        <f t="shared" si="2"/>
        <v/>
      </c>
      <c r="R65" s="5" t="s">
        <v>166</v>
      </c>
      <c r="S65" s="5" t="s">
        <v>166</v>
      </c>
      <c r="T65" s="5" t="str">
        <f t="shared" si="3"/>
        <v/>
      </c>
      <c r="U65" s="5" t="str">
        <f t="shared" si="4"/>
        <v/>
      </c>
      <c r="V65" s="5" t="str">
        <f>IF($E$4="Embrousaillement",Tableau182987[[#This Row],[SOL]],"")</f>
        <v/>
      </c>
      <c r="W65" s="5" t="str">
        <f>IF($E$4="Embrousaillement",Tableau182987[[#This Row],[L]],"")</f>
        <v/>
      </c>
      <c r="X65" s="5" t="s">
        <v>166</v>
      </c>
      <c r="Y65" s="5" t="str">
        <f t="shared" si="5"/>
        <v/>
      </c>
      <c r="Z65" s="5" t="str">
        <f t="shared" si="6"/>
        <v/>
      </c>
      <c r="AA65" s="5" t="str">
        <f t="shared" si="7"/>
        <v/>
      </c>
      <c r="AB65" s="5" t="s">
        <v>166</v>
      </c>
      <c r="AC65" s="5" t="s">
        <v>166</v>
      </c>
      <c r="AD65" s="5" t="str">
        <f t="shared" si="8"/>
        <v/>
      </c>
      <c r="AE65" s="5" t="s">
        <v>166</v>
      </c>
      <c r="AF65" s="5" t="s">
        <v>166</v>
      </c>
      <c r="AG65" s="5" t="str">
        <f t="shared" si="9"/>
        <v/>
      </c>
      <c r="AH65" s="5" t="s">
        <v>166</v>
      </c>
      <c r="AI65" s="5" t="s">
        <v>166</v>
      </c>
      <c r="AJ65" s="5" t="str">
        <f t="shared" si="10"/>
        <v/>
      </c>
      <c r="AK65" s="5" t="str">
        <f t="shared" si="11"/>
        <v/>
      </c>
      <c r="AL65" s="7" t="str">
        <f>IF(Tableau182987[[#This Row],[Age]]&lt;&gt;"",IF(Tableau182987[[#This Row],[Age]]=0,$AT$10*$B$10+SUMIF($AS$21:$AS$29,Tableau182987[[#This Row],[Age]],$AU$21:$AU$29)*$B$10+$AT$11*$B$10,SUMIF($AS$21:$AS$29,Tableau182987[[#This Row],[Age]],$AU$21:$AU$29)*$B$10+$AT$11*$B$10),"")</f>
        <v/>
      </c>
      <c r="AM65" s="7" t="str">
        <f>IF(Tableau182987[[#This Row],[Age]]&lt;&gt;"",IF(Tableau182987[[#This Row],[Age]]=$B$11,$AT$10*$B$10,0)+Tableau182987[[#This Row],[VBO]]*$AX$21*$B$10+Tableau182987[[#This Row],[VBI]]*$AX$22*$B$10+Tableau182987[[#This Row],[VBE]]*$AX$23*$B$10,"")</f>
        <v/>
      </c>
      <c r="AN65" s="7" t="s">
        <v>166</v>
      </c>
      <c r="AO65" s="7" t="s">
        <v>166</v>
      </c>
      <c r="AP65" s="7" t="str">
        <f>IF(Tableau182987[[#This Row],[Age]]&lt;&gt;"",Tableau182987[[#This Row],[RA]]-Tableau182987[[#This Row],[DA]],"")</f>
        <v/>
      </c>
    </row>
    <row r="66" spans="1:42" ht="15" customHeight="1" x14ac:dyDescent="0.2">
      <c r="A66" s="3" t="s">
        <v>1</v>
      </c>
      <c r="B66" s="3" t="s">
        <v>111</v>
      </c>
      <c r="C66" s="3" t="s">
        <v>112</v>
      </c>
      <c r="L66" s="4"/>
      <c r="M66" s="4"/>
      <c r="N66" s="4"/>
      <c r="O66" s="5" t="str">
        <f t="shared" ref="O66:O102" si="12">IF(K66&lt;&gt;"",N66*$B$7*$B$8,"")</f>
        <v/>
      </c>
      <c r="P66" s="5" t="str">
        <f t="shared" ref="P66:P102" si="13">IF(K66&lt;&gt;"",IF(O66&gt;0,EXP(-1.0587+0.8836*LN(O66)+0.284),0),"")</f>
        <v/>
      </c>
      <c r="Q66" s="5" t="str">
        <f t="shared" ref="Q66:Q102" si="14">IF(K66&lt;&gt;"",45+25*(1-EXP(-0.0175*K66)),"")</f>
        <v/>
      </c>
      <c r="R66" s="5" t="s">
        <v>166</v>
      </c>
      <c r="S66" s="5" t="s">
        <v>166</v>
      </c>
      <c r="T66" s="5" t="str">
        <f t="shared" ref="T66:T102" si="15">IF(AND(K66&lt;=$E$11,K66&lt;&gt;"",K66&gt;0),IF($E$4="Embrousaillement",1*K66*$E$7*$E$8,0),"")</f>
        <v/>
      </c>
      <c r="U66" s="5" t="str">
        <f t="shared" ref="U66:U102" si="16">IF(AND(K66&lt;=$E$11,K66&lt;&gt;"",K66&gt;0),IF($E$4="Embrousaillement",EXP(-1.0587+0.8836*LN(T66)+0.284),0),"")</f>
        <v/>
      </c>
      <c r="V66" s="5" t="str">
        <f>IF($E$4="Embrousaillement",Tableau182987[[#This Row],[SOL]],"")</f>
        <v/>
      </c>
      <c r="W66" s="5" t="str">
        <f>IF($E$4="Embrousaillement",Tableau182987[[#This Row],[L]],"")</f>
        <v/>
      </c>
      <c r="X66" s="5" t="s">
        <v>166</v>
      </c>
      <c r="Y66" s="5" t="str">
        <f t="shared" ref="Y66:Y102" si="17">IF(K66&lt;&gt;"",IF(M66&gt;0,IF($K66&gt;=$AT$7,$AU$7,IF(AND($K66&gt;=$AT$6,$K66&lt;$AT$7),$AU$6,IF(AND($K66&gt;=$AT$5,$K66&lt;$AT$6),$AU$5,IF(AND($K66&gt;=$AT$4,$K66&lt;$AT$5),$AU$4,$AU$4))))*M66,0),"")</f>
        <v/>
      </c>
      <c r="Z66" s="5" t="str">
        <f t="shared" ref="Z66:Z102" si="18">IF(K66&lt;&gt;"",IF(M66&gt;0,IF($K66&gt;=$AT$7,$AV$7,IF(AND($K66&gt;=$AT$6,$K66&lt;$AT$7),$AV$6,IF(AND($K66&gt;=$AT$5,$K66&lt;$AT$6),$AV$5,IF(AND($K66&gt;=$AT$4,$K66&lt;$AT$5),$AV$4,$AV$4))))*M66,0),"")</f>
        <v/>
      </c>
      <c r="AA66" s="5" t="str">
        <f t="shared" ref="AA66:AA102" si="19">IF(K66&lt;&gt;"",IF(M66&gt;0,IF($K66&gt;=$AT$7,$AW$7,IF(AND($K66&gt;=$AT$6,$K66&lt;$AT$7),$AW$6,IF(AND($K66&gt;=$AT$5,$K66&lt;$AT$6),$AW$5,IF(AND($K66&gt;=$AT$4,$K66&lt;$AT$5),$AW$4,$AW$4))))*M66,0),"")</f>
        <v/>
      </c>
      <c r="AB66" s="5" t="s">
        <v>166</v>
      </c>
      <c r="AC66" s="5" t="s">
        <v>166</v>
      </c>
      <c r="AD66" s="5" t="str">
        <f t="shared" ref="AD66:AD102" si="20">IF(AND(K66&lt;=30,K66&lt;&gt;"",K66&gt;0),EXP(-AC66)*IF(K66=1,0,AD65)+(((1-EXP(-AC66))/AC66)*AB66),"")</f>
        <v/>
      </c>
      <c r="AE66" s="5" t="s">
        <v>166</v>
      </c>
      <c r="AF66" s="5" t="s">
        <v>166</v>
      </c>
      <c r="AG66" s="5" t="str">
        <f t="shared" ref="AG66:AG102" si="21">IF(AND(K66&lt;=30,K66&lt;&gt;"",K66&gt;0),EXP(-AF66)*IF(K66=1,0,AG65)+(((1-EXP(-AF66))/AF66)*AE66),"")</f>
        <v/>
      </c>
      <c r="AH66" s="5" t="s">
        <v>166</v>
      </c>
      <c r="AI66" s="5" t="s">
        <v>166</v>
      </c>
      <c r="AJ66" s="5" t="str">
        <f t="shared" ref="AJ66:AJ102" si="22">IF(AND(K66&lt;=30,K66&lt;&gt;"",K66&gt;0),EXP(-AI66)*IF(K66=1,0,AJ65)+(((1-EXP(-AI66))/AI66)*AH66),"")</f>
        <v/>
      </c>
      <c r="AK66" s="5" t="str">
        <f t="shared" ref="AK66:AK102" si="23">IF(AND(K66&lt;=30,K66&lt;&gt;""),SUM(Y66:AA66)*$B$10,"")</f>
        <v/>
      </c>
      <c r="AL66" s="7" t="str">
        <f>IF(Tableau182987[[#This Row],[Age]]&lt;&gt;"",IF(Tableau182987[[#This Row],[Age]]=0,$AT$10*$B$10+SUMIF($AS$21:$AS$29,Tableau182987[[#This Row],[Age]],$AU$21:$AU$29)*$B$10+$AT$11*$B$10,SUMIF($AS$21:$AS$29,Tableau182987[[#This Row],[Age]],$AU$21:$AU$29)*$B$10+$AT$11*$B$10),"")</f>
        <v/>
      </c>
      <c r="AM66" s="7" t="str">
        <f>IF(Tableau182987[[#This Row],[Age]]&lt;&gt;"",IF(Tableau182987[[#This Row],[Age]]=$B$11,$AT$10*$B$10,0)+Tableau182987[[#This Row],[VBO]]*$AX$21*$B$10+Tableau182987[[#This Row],[VBI]]*$AX$22*$B$10+Tableau182987[[#This Row],[VBE]]*$AX$23*$B$10,"")</f>
        <v/>
      </c>
      <c r="AN66" s="7" t="s">
        <v>166</v>
      </c>
      <c r="AO66" s="7" t="s">
        <v>166</v>
      </c>
      <c r="AP66" s="7" t="str">
        <f>IF(Tableau182987[[#This Row],[Age]]&lt;&gt;"",Tableau182987[[#This Row],[RA]]-Tableau182987[[#This Row],[DA]],"")</f>
        <v/>
      </c>
    </row>
    <row r="67" spans="1:42" ht="15" customHeight="1" x14ac:dyDescent="0.2">
      <c r="A67" s="3" t="s">
        <v>2</v>
      </c>
      <c r="B67" s="3" t="s">
        <v>113</v>
      </c>
      <c r="C67" s="3" t="s">
        <v>114</v>
      </c>
      <c r="L67" s="4"/>
      <c r="M67" s="4"/>
      <c r="N67" s="4"/>
      <c r="O67" s="5" t="str">
        <f t="shared" si="12"/>
        <v/>
      </c>
      <c r="P67" s="5" t="str">
        <f t="shared" si="13"/>
        <v/>
      </c>
      <c r="Q67" s="5" t="str">
        <f t="shared" si="14"/>
        <v/>
      </c>
      <c r="R67" s="5" t="s">
        <v>166</v>
      </c>
      <c r="S67" s="5" t="s">
        <v>166</v>
      </c>
      <c r="T67" s="5" t="str">
        <f t="shared" si="15"/>
        <v/>
      </c>
      <c r="U67" s="5" t="str">
        <f t="shared" si="16"/>
        <v/>
      </c>
      <c r="V67" s="5" t="str">
        <f>IF($E$4="Embrousaillement",Tableau182987[[#This Row],[SOL]],"")</f>
        <v/>
      </c>
      <c r="W67" s="5" t="str">
        <f>IF($E$4="Embrousaillement",Tableau182987[[#This Row],[L]],"")</f>
        <v/>
      </c>
      <c r="X67" s="5" t="s">
        <v>166</v>
      </c>
      <c r="Y67" s="5" t="str">
        <f t="shared" si="17"/>
        <v/>
      </c>
      <c r="Z67" s="5" t="str">
        <f t="shared" si="18"/>
        <v/>
      </c>
      <c r="AA67" s="5" t="str">
        <f t="shared" si="19"/>
        <v/>
      </c>
      <c r="AB67" s="5" t="s">
        <v>166</v>
      </c>
      <c r="AC67" s="5" t="s">
        <v>166</v>
      </c>
      <c r="AD67" s="5" t="str">
        <f t="shared" si="20"/>
        <v/>
      </c>
      <c r="AE67" s="5" t="s">
        <v>166</v>
      </c>
      <c r="AF67" s="5" t="s">
        <v>166</v>
      </c>
      <c r="AG67" s="5" t="str">
        <f t="shared" si="21"/>
        <v/>
      </c>
      <c r="AH67" s="5" t="s">
        <v>166</v>
      </c>
      <c r="AI67" s="5" t="s">
        <v>166</v>
      </c>
      <c r="AJ67" s="5" t="str">
        <f t="shared" si="22"/>
        <v/>
      </c>
      <c r="AK67" s="5" t="str">
        <f t="shared" si="23"/>
        <v/>
      </c>
      <c r="AL67" s="7" t="str">
        <f>IF(Tableau182987[[#This Row],[Age]]&lt;&gt;"",IF(Tableau182987[[#This Row],[Age]]=0,$AT$10*$B$10+SUMIF($AS$21:$AS$29,Tableau182987[[#This Row],[Age]],$AU$21:$AU$29)*$B$10+$AT$11*$B$10,SUMIF($AS$21:$AS$29,Tableau182987[[#This Row],[Age]],$AU$21:$AU$29)*$B$10+$AT$11*$B$10),"")</f>
        <v/>
      </c>
      <c r="AM67" s="7" t="str">
        <f>IF(Tableau182987[[#This Row],[Age]]&lt;&gt;"",IF(Tableau182987[[#This Row],[Age]]=$B$11,$AT$10*$B$10,0)+Tableau182987[[#This Row],[VBO]]*$AX$21*$B$10+Tableau182987[[#This Row],[VBI]]*$AX$22*$B$10+Tableau182987[[#This Row],[VBE]]*$AX$23*$B$10,"")</f>
        <v/>
      </c>
      <c r="AN67" s="7" t="s">
        <v>166</v>
      </c>
      <c r="AO67" s="7" t="s">
        <v>166</v>
      </c>
      <c r="AP67" s="7" t="str">
        <f>IF(Tableau182987[[#This Row],[Age]]&lt;&gt;"",Tableau182987[[#This Row],[RA]]-Tableau182987[[#This Row],[DA]],"")</f>
        <v/>
      </c>
    </row>
    <row r="68" spans="1:42" ht="15" customHeight="1" x14ac:dyDescent="0.2">
      <c r="A68" s="3" t="s">
        <v>3</v>
      </c>
      <c r="B68" s="3" t="s">
        <v>113</v>
      </c>
      <c r="C68" s="3" t="s">
        <v>115</v>
      </c>
      <c r="L68" s="4"/>
      <c r="M68" s="4"/>
      <c r="N68" s="4"/>
      <c r="O68" s="5" t="str">
        <f t="shared" si="12"/>
        <v/>
      </c>
      <c r="P68" s="5" t="str">
        <f t="shared" si="13"/>
        <v/>
      </c>
      <c r="Q68" s="5" t="str">
        <f t="shared" si="14"/>
        <v/>
      </c>
      <c r="R68" s="5" t="s">
        <v>166</v>
      </c>
      <c r="S68" s="5" t="s">
        <v>166</v>
      </c>
      <c r="T68" s="5" t="str">
        <f t="shared" si="15"/>
        <v/>
      </c>
      <c r="U68" s="5" t="str">
        <f t="shared" si="16"/>
        <v/>
      </c>
      <c r="V68" s="5" t="str">
        <f>IF($E$4="Embrousaillement",Tableau182987[[#This Row],[SOL]],"")</f>
        <v/>
      </c>
      <c r="W68" s="5" t="str">
        <f>IF($E$4="Embrousaillement",Tableau182987[[#This Row],[L]],"")</f>
        <v/>
      </c>
      <c r="X68" s="5" t="s">
        <v>166</v>
      </c>
      <c r="Y68" s="5" t="str">
        <f t="shared" si="17"/>
        <v/>
      </c>
      <c r="Z68" s="5" t="str">
        <f t="shared" si="18"/>
        <v/>
      </c>
      <c r="AA68" s="5" t="str">
        <f t="shared" si="19"/>
        <v/>
      </c>
      <c r="AB68" s="5" t="s">
        <v>166</v>
      </c>
      <c r="AC68" s="5" t="s">
        <v>166</v>
      </c>
      <c r="AD68" s="5" t="str">
        <f t="shared" si="20"/>
        <v/>
      </c>
      <c r="AE68" s="5" t="s">
        <v>166</v>
      </c>
      <c r="AF68" s="5" t="s">
        <v>166</v>
      </c>
      <c r="AG68" s="5" t="str">
        <f t="shared" si="21"/>
        <v/>
      </c>
      <c r="AH68" s="5" t="s">
        <v>166</v>
      </c>
      <c r="AI68" s="5" t="s">
        <v>166</v>
      </c>
      <c r="AJ68" s="5" t="str">
        <f t="shared" si="22"/>
        <v/>
      </c>
      <c r="AK68" s="5" t="str">
        <f t="shared" si="23"/>
        <v/>
      </c>
      <c r="AL68" s="7" t="str">
        <f>IF(Tableau182987[[#This Row],[Age]]&lt;&gt;"",IF(Tableau182987[[#This Row],[Age]]=0,$AT$10*$B$10+SUMIF($AS$21:$AS$29,Tableau182987[[#This Row],[Age]],$AU$21:$AU$29)*$B$10+$AT$11*$B$10,SUMIF($AS$21:$AS$29,Tableau182987[[#This Row],[Age]],$AU$21:$AU$29)*$B$10+$AT$11*$B$10),"")</f>
        <v/>
      </c>
      <c r="AM68" s="7" t="str">
        <f>IF(Tableau182987[[#This Row],[Age]]&lt;&gt;"",IF(Tableau182987[[#This Row],[Age]]=$B$11,$AT$10*$B$10,0)+Tableau182987[[#This Row],[VBO]]*$AX$21*$B$10+Tableau182987[[#This Row],[VBI]]*$AX$22*$B$10+Tableau182987[[#This Row],[VBE]]*$AX$23*$B$10,"")</f>
        <v/>
      </c>
      <c r="AN68" s="7" t="s">
        <v>166</v>
      </c>
      <c r="AO68" s="7" t="s">
        <v>166</v>
      </c>
      <c r="AP68" s="7" t="str">
        <f>IF(Tableau182987[[#This Row],[Age]]&lt;&gt;"",Tableau182987[[#This Row],[RA]]-Tableau182987[[#This Row],[DA]],"")</f>
        <v/>
      </c>
    </row>
    <row r="69" spans="1:42" ht="15" customHeight="1" x14ac:dyDescent="0.2">
      <c r="A69" s="3" t="s">
        <v>4</v>
      </c>
      <c r="B69" s="3" t="s">
        <v>113</v>
      </c>
      <c r="C69" s="3" t="s">
        <v>116</v>
      </c>
      <c r="L69" s="4"/>
      <c r="M69" s="4"/>
      <c r="N69" s="4"/>
      <c r="O69" s="5" t="str">
        <f t="shared" si="12"/>
        <v/>
      </c>
      <c r="P69" s="5" t="str">
        <f t="shared" si="13"/>
        <v/>
      </c>
      <c r="Q69" s="5" t="str">
        <f t="shared" si="14"/>
        <v/>
      </c>
      <c r="R69" s="5" t="s">
        <v>166</v>
      </c>
      <c r="S69" s="5" t="s">
        <v>166</v>
      </c>
      <c r="T69" s="5" t="str">
        <f t="shared" si="15"/>
        <v/>
      </c>
      <c r="U69" s="5" t="str">
        <f t="shared" si="16"/>
        <v/>
      </c>
      <c r="V69" s="5" t="str">
        <f>IF($E$4="Embrousaillement",Tableau182987[[#This Row],[SOL]],"")</f>
        <v/>
      </c>
      <c r="W69" s="5" t="str">
        <f>IF($E$4="Embrousaillement",Tableau182987[[#This Row],[L]],"")</f>
        <v/>
      </c>
      <c r="X69" s="5" t="s">
        <v>166</v>
      </c>
      <c r="Y69" s="5" t="str">
        <f t="shared" si="17"/>
        <v/>
      </c>
      <c r="Z69" s="5" t="str">
        <f t="shared" si="18"/>
        <v/>
      </c>
      <c r="AA69" s="5" t="str">
        <f t="shared" si="19"/>
        <v/>
      </c>
      <c r="AB69" s="5" t="s">
        <v>166</v>
      </c>
      <c r="AC69" s="5" t="s">
        <v>166</v>
      </c>
      <c r="AD69" s="5" t="str">
        <f t="shared" si="20"/>
        <v/>
      </c>
      <c r="AE69" s="5" t="s">
        <v>166</v>
      </c>
      <c r="AF69" s="5" t="s">
        <v>166</v>
      </c>
      <c r="AG69" s="5" t="str">
        <f t="shared" si="21"/>
        <v/>
      </c>
      <c r="AH69" s="5" t="s">
        <v>166</v>
      </c>
      <c r="AI69" s="5" t="s">
        <v>166</v>
      </c>
      <c r="AJ69" s="5" t="str">
        <f t="shared" si="22"/>
        <v/>
      </c>
      <c r="AK69" s="5" t="str">
        <f t="shared" si="23"/>
        <v/>
      </c>
      <c r="AL69" s="7" t="str">
        <f>IF(Tableau182987[[#This Row],[Age]]&lt;&gt;"",IF(Tableau182987[[#This Row],[Age]]=0,$AT$10*$B$10+SUMIF($AS$21:$AS$29,Tableau182987[[#This Row],[Age]],$AU$21:$AU$29)*$B$10+$AT$11*$B$10,SUMIF($AS$21:$AS$29,Tableau182987[[#This Row],[Age]],$AU$21:$AU$29)*$B$10+$AT$11*$B$10),"")</f>
        <v/>
      </c>
      <c r="AM69" s="7" t="str">
        <f>IF(Tableau182987[[#This Row],[Age]]&lt;&gt;"",IF(Tableau182987[[#This Row],[Age]]=$B$11,$AT$10*$B$10,0)+Tableau182987[[#This Row],[VBO]]*$AX$21*$B$10+Tableau182987[[#This Row],[VBI]]*$AX$22*$B$10+Tableau182987[[#This Row],[VBE]]*$AX$23*$B$10,"")</f>
        <v/>
      </c>
      <c r="AN69" s="7" t="s">
        <v>166</v>
      </c>
      <c r="AO69" s="7" t="s">
        <v>166</v>
      </c>
      <c r="AP69" s="7" t="str">
        <f>IF(Tableau182987[[#This Row],[Age]]&lt;&gt;"",Tableau182987[[#This Row],[RA]]-Tableau182987[[#This Row],[DA]],"")</f>
        <v/>
      </c>
    </row>
    <row r="70" spans="1:42" ht="15" customHeight="1" x14ac:dyDescent="0.2">
      <c r="A70" s="3" t="s">
        <v>5</v>
      </c>
      <c r="B70" s="3" t="s">
        <v>117</v>
      </c>
      <c r="C70" s="3" t="s">
        <v>118</v>
      </c>
      <c r="L70" s="4"/>
      <c r="M70" s="4"/>
      <c r="N70" s="4"/>
      <c r="O70" s="5" t="str">
        <f t="shared" si="12"/>
        <v/>
      </c>
      <c r="P70" s="5" t="str">
        <f t="shared" si="13"/>
        <v/>
      </c>
      <c r="Q70" s="5" t="str">
        <f t="shared" si="14"/>
        <v/>
      </c>
      <c r="R70" s="5" t="s">
        <v>166</v>
      </c>
      <c r="S70" s="5" t="s">
        <v>166</v>
      </c>
      <c r="T70" s="5" t="str">
        <f t="shared" si="15"/>
        <v/>
      </c>
      <c r="U70" s="5" t="str">
        <f t="shared" si="16"/>
        <v/>
      </c>
      <c r="V70" s="5" t="str">
        <f>IF($E$4="Embrousaillement",Tableau182987[[#This Row],[SOL]],"")</f>
        <v/>
      </c>
      <c r="W70" s="5" t="str">
        <f>IF($E$4="Embrousaillement",Tableau182987[[#This Row],[L]],"")</f>
        <v/>
      </c>
      <c r="X70" s="5" t="s">
        <v>166</v>
      </c>
      <c r="Y70" s="5" t="str">
        <f t="shared" si="17"/>
        <v/>
      </c>
      <c r="Z70" s="5" t="str">
        <f t="shared" si="18"/>
        <v/>
      </c>
      <c r="AA70" s="5" t="str">
        <f t="shared" si="19"/>
        <v/>
      </c>
      <c r="AB70" s="5" t="s">
        <v>166</v>
      </c>
      <c r="AC70" s="5" t="s">
        <v>166</v>
      </c>
      <c r="AD70" s="5" t="str">
        <f t="shared" si="20"/>
        <v/>
      </c>
      <c r="AE70" s="5" t="s">
        <v>166</v>
      </c>
      <c r="AF70" s="5" t="s">
        <v>166</v>
      </c>
      <c r="AG70" s="5" t="str">
        <f t="shared" si="21"/>
        <v/>
      </c>
      <c r="AH70" s="5" t="s">
        <v>166</v>
      </c>
      <c r="AI70" s="5" t="s">
        <v>166</v>
      </c>
      <c r="AJ70" s="5" t="str">
        <f t="shared" si="22"/>
        <v/>
      </c>
      <c r="AK70" s="5" t="str">
        <f t="shared" si="23"/>
        <v/>
      </c>
      <c r="AL70" s="7" t="str">
        <f>IF(Tableau182987[[#This Row],[Age]]&lt;&gt;"",IF(Tableau182987[[#This Row],[Age]]=0,$AT$10*$B$10+SUMIF($AS$21:$AS$29,Tableau182987[[#This Row],[Age]],$AU$21:$AU$29)*$B$10+$AT$11*$B$10,SUMIF($AS$21:$AS$29,Tableau182987[[#This Row],[Age]],$AU$21:$AU$29)*$B$10+$AT$11*$B$10),"")</f>
        <v/>
      </c>
      <c r="AM70" s="7" t="str">
        <f>IF(Tableau182987[[#This Row],[Age]]&lt;&gt;"",IF(Tableau182987[[#This Row],[Age]]=$B$11,$AT$10*$B$10,0)+Tableau182987[[#This Row],[VBO]]*$AX$21*$B$10+Tableau182987[[#This Row],[VBI]]*$AX$22*$B$10+Tableau182987[[#This Row],[VBE]]*$AX$23*$B$10,"")</f>
        <v/>
      </c>
      <c r="AN70" s="7" t="s">
        <v>166</v>
      </c>
      <c r="AO70" s="7" t="s">
        <v>166</v>
      </c>
      <c r="AP70" s="7" t="str">
        <f>IF(Tableau182987[[#This Row],[Age]]&lt;&gt;"",Tableau182987[[#This Row],[RA]]-Tableau182987[[#This Row],[DA]],"")</f>
        <v/>
      </c>
    </row>
    <row r="71" spans="1:42" ht="15" customHeight="1" x14ac:dyDescent="0.2">
      <c r="A71" s="3" t="s">
        <v>6</v>
      </c>
      <c r="B71" s="3" t="s">
        <v>117</v>
      </c>
      <c r="C71" s="3" t="s">
        <v>119</v>
      </c>
      <c r="L71" s="4"/>
      <c r="M71" s="4"/>
      <c r="N71" s="4"/>
      <c r="O71" s="5" t="str">
        <f t="shared" si="12"/>
        <v/>
      </c>
      <c r="P71" s="5" t="str">
        <f t="shared" si="13"/>
        <v/>
      </c>
      <c r="Q71" s="5" t="str">
        <f t="shared" si="14"/>
        <v/>
      </c>
      <c r="R71" s="5" t="s">
        <v>166</v>
      </c>
      <c r="S71" s="5" t="s">
        <v>166</v>
      </c>
      <c r="T71" s="5" t="str">
        <f t="shared" si="15"/>
        <v/>
      </c>
      <c r="U71" s="5" t="str">
        <f t="shared" si="16"/>
        <v/>
      </c>
      <c r="V71" s="5" t="str">
        <f>IF($E$4="Embrousaillement",Tableau182987[[#This Row],[SOL]],"")</f>
        <v/>
      </c>
      <c r="W71" s="5" t="str">
        <f>IF($E$4="Embrousaillement",Tableau182987[[#This Row],[L]],"")</f>
        <v/>
      </c>
      <c r="X71" s="5" t="s">
        <v>166</v>
      </c>
      <c r="Y71" s="5" t="str">
        <f t="shared" si="17"/>
        <v/>
      </c>
      <c r="Z71" s="5" t="str">
        <f t="shared" si="18"/>
        <v/>
      </c>
      <c r="AA71" s="5" t="str">
        <f t="shared" si="19"/>
        <v/>
      </c>
      <c r="AB71" s="5" t="s">
        <v>166</v>
      </c>
      <c r="AC71" s="5" t="s">
        <v>166</v>
      </c>
      <c r="AD71" s="5" t="str">
        <f t="shared" si="20"/>
        <v/>
      </c>
      <c r="AE71" s="5" t="s">
        <v>166</v>
      </c>
      <c r="AF71" s="5" t="s">
        <v>166</v>
      </c>
      <c r="AG71" s="5" t="str">
        <f t="shared" si="21"/>
        <v/>
      </c>
      <c r="AH71" s="5" t="s">
        <v>166</v>
      </c>
      <c r="AI71" s="5" t="s">
        <v>166</v>
      </c>
      <c r="AJ71" s="5" t="str">
        <f t="shared" si="22"/>
        <v/>
      </c>
      <c r="AK71" s="5" t="str">
        <f t="shared" si="23"/>
        <v/>
      </c>
      <c r="AL71" s="7" t="str">
        <f>IF(Tableau182987[[#This Row],[Age]]&lt;&gt;"",IF(Tableau182987[[#This Row],[Age]]=0,$AT$10*$B$10+SUMIF($AS$21:$AS$29,Tableau182987[[#This Row],[Age]],$AU$21:$AU$29)*$B$10+$AT$11*$B$10,SUMIF($AS$21:$AS$29,Tableau182987[[#This Row],[Age]],$AU$21:$AU$29)*$B$10+$AT$11*$B$10),"")</f>
        <v/>
      </c>
      <c r="AM71" s="7" t="str">
        <f>IF(Tableau182987[[#This Row],[Age]]&lt;&gt;"",IF(Tableau182987[[#This Row],[Age]]=$B$11,$AT$10*$B$10,0)+Tableau182987[[#This Row],[VBO]]*$AX$21*$B$10+Tableau182987[[#This Row],[VBI]]*$AX$22*$B$10+Tableau182987[[#This Row],[VBE]]*$AX$23*$B$10,"")</f>
        <v/>
      </c>
      <c r="AN71" s="7" t="s">
        <v>166</v>
      </c>
      <c r="AO71" s="7" t="s">
        <v>166</v>
      </c>
      <c r="AP71" s="7" t="str">
        <f>IF(Tableau182987[[#This Row],[Age]]&lt;&gt;"",Tableau182987[[#This Row],[RA]]-Tableau182987[[#This Row],[DA]],"")</f>
        <v/>
      </c>
    </row>
    <row r="72" spans="1:42" ht="15" customHeight="1" x14ac:dyDescent="0.2">
      <c r="A72" s="3" t="s">
        <v>7</v>
      </c>
      <c r="B72" s="3" t="s">
        <v>120</v>
      </c>
      <c r="C72" s="3" t="s">
        <v>121</v>
      </c>
      <c r="L72" s="4"/>
      <c r="M72" s="4"/>
      <c r="N72" s="4"/>
      <c r="O72" s="5" t="str">
        <f t="shared" si="12"/>
        <v/>
      </c>
      <c r="P72" s="5" t="str">
        <f t="shared" si="13"/>
        <v/>
      </c>
      <c r="Q72" s="5" t="str">
        <f t="shared" si="14"/>
        <v/>
      </c>
      <c r="R72" s="5" t="s">
        <v>166</v>
      </c>
      <c r="S72" s="5" t="s">
        <v>166</v>
      </c>
      <c r="T72" s="5" t="str">
        <f t="shared" si="15"/>
        <v/>
      </c>
      <c r="U72" s="5" t="str">
        <f t="shared" si="16"/>
        <v/>
      </c>
      <c r="V72" s="5" t="str">
        <f>IF($E$4="Embrousaillement",Tableau182987[[#This Row],[SOL]],"")</f>
        <v/>
      </c>
      <c r="W72" s="5" t="str">
        <f>IF($E$4="Embrousaillement",Tableau182987[[#This Row],[L]],"")</f>
        <v/>
      </c>
      <c r="X72" s="5" t="s">
        <v>166</v>
      </c>
      <c r="Y72" s="5" t="str">
        <f t="shared" si="17"/>
        <v/>
      </c>
      <c r="Z72" s="5" t="str">
        <f t="shared" si="18"/>
        <v/>
      </c>
      <c r="AA72" s="5" t="str">
        <f t="shared" si="19"/>
        <v/>
      </c>
      <c r="AB72" s="5" t="s">
        <v>166</v>
      </c>
      <c r="AC72" s="5" t="s">
        <v>166</v>
      </c>
      <c r="AD72" s="5" t="str">
        <f t="shared" si="20"/>
        <v/>
      </c>
      <c r="AE72" s="5" t="s">
        <v>166</v>
      </c>
      <c r="AF72" s="5" t="s">
        <v>166</v>
      </c>
      <c r="AG72" s="5" t="str">
        <f t="shared" si="21"/>
        <v/>
      </c>
      <c r="AH72" s="5" t="s">
        <v>166</v>
      </c>
      <c r="AI72" s="5" t="s">
        <v>166</v>
      </c>
      <c r="AJ72" s="5" t="str">
        <f t="shared" si="22"/>
        <v/>
      </c>
      <c r="AK72" s="5" t="str">
        <f t="shared" si="23"/>
        <v/>
      </c>
      <c r="AL72" s="7" t="str">
        <f>IF(Tableau182987[[#This Row],[Age]]&lt;&gt;"",IF(Tableau182987[[#This Row],[Age]]=0,$AT$10*$B$10+SUMIF($AS$21:$AS$29,Tableau182987[[#This Row],[Age]],$AU$21:$AU$29)*$B$10+$AT$11*$B$10,SUMIF($AS$21:$AS$29,Tableau182987[[#This Row],[Age]],$AU$21:$AU$29)*$B$10+$AT$11*$B$10),"")</f>
        <v/>
      </c>
      <c r="AM72" s="7" t="str">
        <f>IF(Tableau182987[[#This Row],[Age]]&lt;&gt;"",IF(Tableau182987[[#This Row],[Age]]=$B$11,$AT$10*$B$10,0)+Tableau182987[[#This Row],[VBO]]*$AX$21*$B$10+Tableau182987[[#This Row],[VBI]]*$AX$22*$B$10+Tableau182987[[#This Row],[VBE]]*$AX$23*$B$10,"")</f>
        <v/>
      </c>
      <c r="AN72" s="7" t="s">
        <v>166</v>
      </c>
      <c r="AO72" s="7" t="s">
        <v>166</v>
      </c>
      <c r="AP72" s="7" t="str">
        <f>IF(Tableau182987[[#This Row],[Age]]&lt;&gt;"",Tableau182987[[#This Row],[RA]]-Tableau182987[[#This Row],[DA]],"")</f>
        <v/>
      </c>
    </row>
    <row r="73" spans="1:42" ht="15" customHeight="1" x14ac:dyDescent="0.2">
      <c r="A73" s="3" t="s">
        <v>8</v>
      </c>
      <c r="B73" s="3" t="s">
        <v>120</v>
      </c>
      <c r="C73" s="3" t="s">
        <v>122</v>
      </c>
      <c r="L73" s="4"/>
      <c r="M73" s="4"/>
      <c r="N73" s="4"/>
      <c r="O73" s="5" t="str">
        <f t="shared" si="12"/>
        <v/>
      </c>
      <c r="P73" s="5" t="str">
        <f t="shared" si="13"/>
        <v/>
      </c>
      <c r="Q73" s="5" t="str">
        <f t="shared" si="14"/>
        <v/>
      </c>
      <c r="R73" s="5" t="s">
        <v>166</v>
      </c>
      <c r="S73" s="5" t="s">
        <v>166</v>
      </c>
      <c r="T73" s="5" t="str">
        <f t="shared" si="15"/>
        <v/>
      </c>
      <c r="U73" s="5" t="str">
        <f t="shared" si="16"/>
        <v/>
      </c>
      <c r="V73" s="5" t="str">
        <f>IF($E$4="Embrousaillement",Tableau182987[[#This Row],[SOL]],"")</f>
        <v/>
      </c>
      <c r="W73" s="5" t="str">
        <f>IF($E$4="Embrousaillement",Tableau182987[[#This Row],[L]],"")</f>
        <v/>
      </c>
      <c r="X73" s="5" t="s">
        <v>166</v>
      </c>
      <c r="Y73" s="5" t="str">
        <f t="shared" si="17"/>
        <v/>
      </c>
      <c r="Z73" s="5" t="str">
        <f t="shared" si="18"/>
        <v/>
      </c>
      <c r="AA73" s="5" t="str">
        <f t="shared" si="19"/>
        <v/>
      </c>
      <c r="AB73" s="5" t="s">
        <v>166</v>
      </c>
      <c r="AC73" s="5" t="s">
        <v>166</v>
      </c>
      <c r="AD73" s="5" t="str">
        <f t="shared" si="20"/>
        <v/>
      </c>
      <c r="AE73" s="5" t="s">
        <v>166</v>
      </c>
      <c r="AF73" s="5" t="s">
        <v>166</v>
      </c>
      <c r="AG73" s="5" t="str">
        <f t="shared" si="21"/>
        <v/>
      </c>
      <c r="AH73" s="5" t="s">
        <v>166</v>
      </c>
      <c r="AI73" s="5" t="s">
        <v>166</v>
      </c>
      <c r="AJ73" s="5" t="str">
        <f t="shared" si="22"/>
        <v/>
      </c>
      <c r="AK73" s="5" t="str">
        <f t="shared" si="23"/>
        <v/>
      </c>
      <c r="AL73" s="7" t="str">
        <f>IF(Tableau182987[[#This Row],[Age]]&lt;&gt;"",IF(Tableau182987[[#This Row],[Age]]=0,$AT$10*$B$10+SUMIF($AS$21:$AS$29,Tableau182987[[#This Row],[Age]],$AU$21:$AU$29)*$B$10+$AT$11*$B$10,SUMIF($AS$21:$AS$29,Tableau182987[[#This Row],[Age]],$AU$21:$AU$29)*$B$10+$AT$11*$B$10),"")</f>
        <v/>
      </c>
      <c r="AM73" s="7" t="str">
        <f>IF(Tableau182987[[#This Row],[Age]]&lt;&gt;"",IF(Tableau182987[[#This Row],[Age]]=$B$11,$AT$10*$B$10,0)+Tableau182987[[#This Row],[VBO]]*$AX$21*$B$10+Tableau182987[[#This Row],[VBI]]*$AX$22*$B$10+Tableau182987[[#This Row],[VBE]]*$AX$23*$B$10,"")</f>
        <v/>
      </c>
      <c r="AN73" s="7" t="s">
        <v>166</v>
      </c>
      <c r="AO73" s="7" t="s">
        <v>166</v>
      </c>
      <c r="AP73" s="7" t="str">
        <f>IF(Tableau182987[[#This Row],[Age]]&lt;&gt;"",Tableau182987[[#This Row],[RA]]-Tableau182987[[#This Row],[DA]],"")</f>
        <v/>
      </c>
    </row>
    <row r="74" spans="1:42" ht="15" customHeight="1" x14ac:dyDescent="0.2">
      <c r="A74" s="3" t="s">
        <v>9</v>
      </c>
      <c r="B74" s="3" t="s">
        <v>123</v>
      </c>
      <c r="C74" s="3" t="s">
        <v>124</v>
      </c>
      <c r="L74" s="4"/>
      <c r="M74" s="4"/>
      <c r="N74" s="4"/>
      <c r="O74" s="5" t="str">
        <f t="shared" si="12"/>
        <v/>
      </c>
      <c r="P74" s="5" t="str">
        <f t="shared" si="13"/>
        <v/>
      </c>
      <c r="Q74" s="5" t="str">
        <f t="shared" si="14"/>
        <v/>
      </c>
      <c r="R74" s="5" t="s">
        <v>166</v>
      </c>
      <c r="S74" s="5" t="s">
        <v>166</v>
      </c>
      <c r="T74" s="5" t="str">
        <f t="shared" si="15"/>
        <v/>
      </c>
      <c r="U74" s="5" t="str">
        <f t="shared" si="16"/>
        <v/>
      </c>
      <c r="V74" s="5" t="str">
        <f>IF($E$4="Embrousaillement",Tableau182987[[#This Row],[SOL]],"")</f>
        <v/>
      </c>
      <c r="W74" s="5" t="str">
        <f>IF($E$4="Embrousaillement",Tableau182987[[#This Row],[L]],"")</f>
        <v/>
      </c>
      <c r="X74" s="5" t="s">
        <v>166</v>
      </c>
      <c r="Y74" s="5" t="str">
        <f t="shared" si="17"/>
        <v/>
      </c>
      <c r="Z74" s="5" t="str">
        <f t="shared" si="18"/>
        <v/>
      </c>
      <c r="AA74" s="5" t="str">
        <f t="shared" si="19"/>
        <v/>
      </c>
      <c r="AB74" s="5" t="s">
        <v>166</v>
      </c>
      <c r="AC74" s="5" t="s">
        <v>166</v>
      </c>
      <c r="AD74" s="5" t="str">
        <f t="shared" si="20"/>
        <v/>
      </c>
      <c r="AE74" s="5" t="s">
        <v>166</v>
      </c>
      <c r="AF74" s="5" t="s">
        <v>166</v>
      </c>
      <c r="AG74" s="5" t="str">
        <f t="shared" si="21"/>
        <v/>
      </c>
      <c r="AH74" s="5" t="s">
        <v>166</v>
      </c>
      <c r="AI74" s="5" t="s">
        <v>166</v>
      </c>
      <c r="AJ74" s="5" t="str">
        <f t="shared" si="22"/>
        <v/>
      </c>
      <c r="AK74" s="5" t="str">
        <f t="shared" si="23"/>
        <v/>
      </c>
      <c r="AL74" s="7" t="str">
        <f>IF(Tableau182987[[#This Row],[Age]]&lt;&gt;"",IF(Tableau182987[[#This Row],[Age]]=0,$AT$10*$B$10+SUMIF($AS$21:$AS$29,Tableau182987[[#This Row],[Age]],$AU$21:$AU$29)*$B$10+$AT$11*$B$10,SUMIF($AS$21:$AS$29,Tableau182987[[#This Row],[Age]],$AU$21:$AU$29)*$B$10+$AT$11*$B$10),"")</f>
        <v/>
      </c>
      <c r="AM74" s="7" t="str">
        <f>IF(Tableau182987[[#This Row],[Age]]&lt;&gt;"",IF(Tableau182987[[#This Row],[Age]]=$B$11,$AT$10*$B$10,0)+Tableau182987[[#This Row],[VBO]]*$AX$21*$B$10+Tableau182987[[#This Row],[VBI]]*$AX$22*$B$10+Tableau182987[[#This Row],[VBE]]*$AX$23*$B$10,"")</f>
        <v/>
      </c>
      <c r="AN74" s="7" t="s">
        <v>166</v>
      </c>
      <c r="AO74" s="7" t="s">
        <v>166</v>
      </c>
      <c r="AP74" s="7" t="str">
        <f>IF(Tableau182987[[#This Row],[Age]]&lt;&gt;"",Tableau182987[[#This Row],[RA]]-Tableau182987[[#This Row],[DA]],"")</f>
        <v/>
      </c>
    </row>
    <row r="75" spans="1:42" ht="15" customHeight="1" x14ac:dyDescent="0.2">
      <c r="A75" s="3" t="s">
        <v>10</v>
      </c>
      <c r="B75" s="3" t="s">
        <v>117</v>
      </c>
      <c r="C75" s="3" t="s">
        <v>125</v>
      </c>
      <c r="L75" s="4"/>
      <c r="M75" s="4"/>
      <c r="N75" s="4"/>
      <c r="O75" s="5" t="str">
        <f t="shared" si="12"/>
        <v/>
      </c>
      <c r="P75" s="5" t="str">
        <f t="shared" si="13"/>
        <v/>
      </c>
      <c r="Q75" s="5" t="str">
        <f t="shared" si="14"/>
        <v/>
      </c>
      <c r="R75" s="5" t="s">
        <v>166</v>
      </c>
      <c r="S75" s="5" t="s">
        <v>166</v>
      </c>
      <c r="T75" s="5" t="str">
        <f t="shared" si="15"/>
        <v/>
      </c>
      <c r="U75" s="5" t="str">
        <f t="shared" si="16"/>
        <v/>
      </c>
      <c r="V75" s="5" t="str">
        <f>IF($E$4="Embrousaillement",Tableau182987[[#This Row],[SOL]],"")</f>
        <v/>
      </c>
      <c r="W75" s="5" t="str">
        <f>IF($E$4="Embrousaillement",Tableau182987[[#This Row],[L]],"")</f>
        <v/>
      </c>
      <c r="X75" s="5" t="s">
        <v>166</v>
      </c>
      <c r="Y75" s="5" t="str">
        <f t="shared" si="17"/>
        <v/>
      </c>
      <c r="Z75" s="5" t="str">
        <f t="shared" si="18"/>
        <v/>
      </c>
      <c r="AA75" s="5" t="str">
        <f t="shared" si="19"/>
        <v/>
      </c>
      <c r="AB75" s="5" t="s">
        <v>166</v>
      </c>
      <c r="AC75" s="5" t="s">
        <v>166</v>
      </c>
      <c r="AD75" s="5" t="str">
        <f t="shared" si="20"/>
        <v/>
      </c>
      <c r="AE75" s="5" t="s">
        <v>166</v>
      </c>
      <c r="AF75" s="5" t="s">
        <v>166</v>
      </c>
      <c r="AG75" s="5" t="str">
        <f t="shared" si="21"/>
        <v/>
      </c>
      <c r="AH75" s="5" t="s">
        <v>166</v>
      </c>
      <c r="AI75" s="5" t="s">
        <v>166</v>
      </c>
      <c r="AJ75" s="5" t="str">
        <f t="shared" si="22"/>
        <v/>
      </c>
      <c r="AK75" s="5" t="str">
        <f t="shared" si="23"/>
        <v/>
      </c>
      <c r="AL75" s="7" t="str">
        <f>IF(Tableau182987[[#This Row],[Age]]&lt;&gt;"",IF(Tableau182987[[#This Row],[Age]]=0,$AT$10*$B$10+SUMIF($AS$21:$AS$29,Tableau182987[[#This Row],[Age]],$AU$21:$AU$29)*$B$10+$AT$11*$B$10,SUMIF($AS$21:$AS$29,Tableau182987[[#This Row],[Age]],$AU$21:$AU$29)*$B$10+$AT$11*$B$10),"")</f>
        <v/>
      </c>
      <c r="AM75" s="7" t="str">
        <f>IF(Tableau182987[[#This Row],[Age]]&lt;&gt;"",IF(Tableau182987[[#This Row],[Age]]=$B$11,$AT$10*$B$10,0)+Tableau182987[[#This Row],[VBO]]*$AX$21*$B$10+Tableau182987[[#This Row],[VBI]]*$AX$22*$B$10+Tableau182987[[#This Row],[VBE]]*$AX$23*$B$10,"")</f>
        <v/>
      </c>
      <c r="AN75" s="7" t="s">
        <v>166</v>
      </c>
      <c r="AO75" s="7" t="s">
        <v>166</v>
      </c>
      <c r="AP75" s="7" t="str">
        <f>IF(Tableau182987[[#This Row],[Age]]&lt;&gt;"",Tableau182987[[#This Row],[RA]]-Tableau182987[[#This Row],[DA]],"")</f>
        <v/>
      </c>
    </row>
    <row r="76" spans="1:42" ht="15" customHeight="1" x14ac:dyDescent="0.2">
      <c r="A76" s="3" t="s">
        <v>11</v>
      </c>
      <c r="B76" s="3" t="s">
        <v>117</v>
      </c>
      <c r="C76" s="3" t="s">
        <v>126</v>
      </c>
      <c r="L76" s="4"/>
      <c r="M76" s="4"/>
      <c r="N76" s="4"/>
      <c r="O76" s="5" t="str">
        <f t="shared" si="12"/>
        <v/>
      </c>
      <c r="P76" s="5" t="str">
        <f t="shared" si="13"/>
        <v/>
      </c>
      <c r="Q76" s="5" t="str">
        <f t="shared" si="14"/>
        <v/>
      </c>
      <c r="R76" s="5" t="s">
        <v>166</v>
      </c>
      <c r="S76" s="5" t="s">
        <v>166</v>
      </c>
      <c r="T76" s="5" t="str">
        <f t="shared" si="15"/>
        <v/>
      </c>
      <c r="U76" s="5" t="str">
        <f t="shared" si="16"/>
        <v/>
      </c>
      <c r="V76" s="5" t="str">
        <f>IF($E$4="Embrousaillement",Tableau182987[[#This Row],[SOL]],"")</f>
        <v/>
      </c>
      <c r="W76" s="5" t="str">
        <f>IF($E$4="Embrousaillement",Tableau182987[[#This Row],[L]],"")</f>
        <v/>
      </c>
      <c r="X76" s="5" t="s">
        <v>166</v>
      </c>
      <c r="Y76" s="5" t="str">
        <f t="shared" si="17"/>
        <v/>
      </c>
      <c r="Z76" s="5" t="str">
        <f t="shared" si="18"/>
        <v/>
      </c>
      <c r="AA76" s="5" t="str">
        <f t="shared" si="19"/>
        <v/>
      </c>
      <c r="AB76" s="5" t="s">
        <v>166</v>
      </c>
      <c r="AC76" s="5" t="s">
        <v>166</v>
      </c>
      <c r="AD76" s="5" t="str">
        <f t="shared" si="20"/>
        <v/>
      </c>
      <c r="AE76" s="5" t="s">
        <v>166</v>
      </c>
      <c r="AF76" s="5" t="s">
        <v>166</v>
      </c>
      <c r="AG76" s="5" t="str">
        <f t="shared" si="21"/>
        <v/>
      </c>
      <c r="AH76" s="5" t="s">
        <v>166</v>
      </c>
      <c r="AI76" s="5" t="s">
        <v>166</v>
      </c>
      <c r="AJ76" s="5" t="str">
        <f t="shared" si="22"/>
        <v/>
      </c>
      <c r="AK76" s="5" t="str">
        <f t="shared" si="23"/>
        <v/>
      </c>
      <c r="AL76" s="7" t="str">
        <f>IF(Tableau182987[[#This Row],[Age]]&lt;&gt;"",IF(Tableau182987[[#This Row],[Age]]=0,$AT$10*$B$10+SUMIF($AS$21:$AS$29,Tableau182987[[#This Row],[Age]],$AU$21:$AU$29)*$B$10+$AT$11*$B$10,SUMIF($AS$21:$AS$29,Tableau182987[[#This Row],[Age]],$AU$21:$AU$29)*$B$10+$AT$11*$B$10),"")</f>
        <v/>
      </c>
      <c r="AM76" s="7" t="str">
        <f>IF(Tableau182987[[#This Row],[Age]]&lt;&gt;"",IF(Tableau182987[[#This Row],[Age]]=$B$11,$AT$10*$B$10,0)+Tableau182987[[#This Row],[VBO]]*$AX$21*$B$10+Tableau182987[[#This Row],[VBI]]*$AX$22*$B$10+Tableau182987[[#This Row],[VBE]]*$AX$23*$B$10,"")</f>
        <v/>
      </c>
      <c r="AN76" s="7" t="s">
        <v>166</v>
      </c>
      <c r="AO76" s="7" t="s">
        <v>166</v>
      </c>
      <c r="AP76" s="7" t="str">
        <f>IF(Tableau182987[[#This Row],[Age]]&lt;&gt;"",Tableau182987[[#This Row],[RA]]-Tableau182987[[#This Row],[DA]],"")</f>
        <v/>
      </c>
    </row>
    <row r="77" spans="1:42" ht="15" customHeight="1" x14ac:dyDescent="0.2">
      <c r="A77" s="3" t="s">
        <v>12</v>
      </c>
      <c r="B77" s="3" t="s">
        <v>120</v>
      </c>
      <c r="C77" s="3" t="s">
        <v>127</v>
      </c>
      <c r="L77" s="4"/>
      <c r="M77" s="4"/>
      <c r="N77" s="4"/>
      <c r="O77" s="5" t="str">
        <f t="shared" si="12"/>
        <v/>
      </c>
      <c r="P77" s="5" t="str">
        <f t="shared" si="13"/>
        <v/>
      </c>
      <c r="Q77" s="5" t="str">
        <f t="shared" si="14"/>
        <v/>
      </c>
      <c r="R77" s="5" t="s">
        <v>166</v>
      </c>
      <c r="S77" s="5" t="s">
        <v>166</v>
      </c>
      <c r="T77" s="5" t="str">
        <f t="shared" si="15"/>
        <v/>
      </c>
      <c r="U77" s="5" t="str">
        <f t="shared" si="16"/>
        <v/>
      </c>
      <c r="V77" s="5" t="str">
        <f>IF($E$4="Embrousaillement",Tableau182987[[#This Row],[SOL]],"")</f>
        <v/>
      </c>
      <c r="W77" s="5" t="str">
        <f>IF($E$4="Embrousaillement",Tableau182987[[#This Row],[L]],"")</f>
        <v/>
      </c>
      <c r="X77" s="5" t="s">
        <v>166</v>
      </c>
      <c r="Y77" s="5" t="str">
        <f t="shared" si="17"/>
        <v/>
      </c>
      <c r="Z77" s="5" t="str">
        <f t="shared" si="18"/>
        <v/>
      </c>
      <c r="AA77" s="5" t="str">
        <f t="shared" si="19"/>
        <v/>
      </c>
      <c r="AB77" s="5" t="s">
        <v>166</v>
      </c>
      <c r="AC77" s="5" t="s">
        <v>166</v>
      </c>
      <c r="AD77" s="5" t="str">
        <f t="shared" si="20"/>
        <v/>
      </c>
      <c r="AE77" s="5" t="s">
        <v>166</v>
      </c>
      <c r="AF77" s="5" t="s">
        <v>166</v>
      </c>
      <c r="AG77" s="5" t="str">
        <f t="shared" si="21"/>
        <v/>
      </c>
      <c r="AH77" s="5" t="s">
        <v>166</v>
      </c>
      <c r="AI77" s="5" t="s">
        <v>166</v>
      </c>
      <c r="AJ77" s="5" t="str">
        <f t="shared" si="22"/>
        <v/>
      </c>
      <c r="AK77" s="5" t="str">
        <f t="shared" si="23"/>
        <v/>
      </c>
      <c r="AL77" s="7" t="str">
        <f>IF(Tableau182987[[#This Row],[Age]]&lt;&gt;"",IF(Tableau182987[[#This Row],[Age]]=0,$AT$10*$B$10+SUMIF($AS$21:$AS$29,Tableau182987[[#This Row],[Age]],$AU$21:$AU$29)*$B$10+$AT$11*$B$10,SUMIF($AS$21:$AS$29,Tableau182987[[#This Row],[Age]],$AU$21:$AU$29)*$B$10+$AT$11*$B$10),"")</f>
        <v/>
      </c>
      <c r="AM77" s="7" t="str">
        <f>IF(Tableau182987[[#This Row],[Age]]&lt;&gt;"",IF(Tableau182987[[#This Row],[Age]]=$B$11,$AT$10*$B$10,0)+Tableau182987[[#This Row],[VBO]]*$AX$21*$B$10+Tableau182987[[#This Row],[VBI]]*$AX$22*$B$10+Tableau182987[[#This Row],[VBE]]*$AX$23*$B$10,"")</f>
        <v/>
      </c>
      <c r="AN77" s="7" t="s">
        <v>166</v>
      </c>
      <c r="AO77" s="7" t="s">
        <v>166</v>
      </c>
      <c r="AP77" s="7" t="str">
        <f>IF(Tableau182987[[#This Row],[Age]]&lt;&gt;"",Tableau182987[[#This Row],[RA]]-Tableau182987[[#This Row],[DA]],"")</f>
        <v/>
      </c>
    </row>
    <row r="78" spans="1:42" ht="15" customHeight="1" x14ac:dyDescent="0.2">
      <c r="A78" s="3" t="s">
        <v>13</v>
      </c>
      <c r="B78" s="3" t="s">
        <v>120</v>
      </c>
      <c r="C78" s="3" t="s">
        <v>128</v>
      </c>
      <c r="L78" s="4"/>
      <c r="M78" s="4"/>
      <c r="N78" s="4"/>
      <c r="O78" s="5" t="str">
        <f t="shared" si="12"/>
        <v/>
      </c>
      <c r="P78" s="5" t="str">
        <f t="shared" si="13"/>
        <v/>
      </c>
      <c r="Q78" s="5" t="str">
        <f t="shared" si="14"/>
        <v/>
      </c>
      <c r="R78" s="5" t="s">
        <v>166</v>
      </c>
      <c r="S78" s="5" t="s">
        <v>166</v>
      </c>
      <c r="T78" s="5" t="str">
        <f t="shared" si="15"/>
        <v/>
      </c>
      <c r="U78" s="5" t="str">
        <f t="shared" si="16"/>
        <v/>
      </c>
      <c r="V78" s="5" t="str">
        <f>IF($E$4="Embrousaillement",Tableau182987[[#This Row],[SOL]],"")</f>
        <v/>
      </c>
      <c r="W78" s="5" t="str">
        <f>IF($E$4="Embrousaillement",Tableau182987[[#This Row],[L]],"")</f>
        <v/>
      </c>
      <c r="X78" s="5" t="s">
        <v>166</v>
      </c>
      <c r="Y78" s="5" t="str">
        <f t="shared" si="17"/>
        <v/>
      </c>
      <c r="Z78" s="5" t="str">
        <f t="shared" si="18"/>
        <v/>
      </c>
      <c r="AA78" s="5" t="str">
        <f t="shared" si="19"/>
        <v/>
      </c>
      <c r="AB78" s="5" t="s">
        <v>166</v>
      </c>
      <c r="AC78" s="5" t="s">
        <v>166</v>
      </c>
      <c r="AD78" s="5" t="str">
        <f t="shared" si="20"/>
        <v/>
      </c>
      <c r="AE78" s="5" t="s">
        <v>166</v>
      </c>
      <c r="AF78" s="5" t="s">
        <v>166</v>
      </c>
      <c r="AG78" s="5" t="str">
        <f t="shared" si="21"/>
        <v/>
      </c>
      <c r="AH78" s="5" t="s">
        <v>166</v>
      </c>
      <c r="AI78" s="5" t="s">
        <v>166</v>
      </c>
      <c r="AJ78" s="5" t="str">
        <f t="shared" si="22"/>
        <v/>
      </c>
      <c r="AK78" s="5" t="str">
        <f t="shared" si="23"/>
        <v/>
      </c>
      <c r="AL78" s="7" t="str">
        <f>IF(Tableau182987[[#This Row],[Age]]&lt;&gt;"",IF(Tableau182987[[#This Row],[Age]]=0,$AT$10*$B$10+SUMIF($AS$21:$AS$29,Tableau182987[[#This Row],[Age]],$AU$21:$AU$29)*$B$10+$AT$11*$B$10,SUMIF($AS$21:$AS$29,Tableau182987[[#This Row],[Age]],$AU$21:$AU$29)*$B$10+$AT$11*$B$10),"")</f>
        <v/>
      </c>
      <c r="AM78" s="7" t="str">
        <f>IF(Tableau182987[[#This Row],[Age]]&lt;&gt;"",IF(Tableau182987[[#This Row],[Age]]=$B$11,$AT$10*$B$10,0)+Tableau182987[[#This Row],[VBO]]*$AX$21*$B$10+Tableau182987[[#This Row],[VBI]]*$AX$22*$B$10+Tableau182987[[#This Row],[VBE]]*$AX$23*$B$10,"")</f>
        <v/>
      </c>
      <c r="AN78" s="7" t="s">
        <v>166</v>
      </c>
      <c r="AO78" s="7" t="s">
        <v>166</v>
      </c>
      <c r="AP78" s="7" t="str">
        <f>IF(Tableau182987[[#This Row],[Age]]&lt;&gt;"",Tableau182987[[#This Row],[RA]]-Tableau182987[[#This Row],[DA]],"")</f>
        <v/>
      </c>
    </row>
    <row r="79" spans="1:42" ht="15" customHeight="1" x14ac:dyDescent="0.2">
      <c r="A79" s="3" t="s">
        <v>14</v>
      </c>
      <c r="B79" s="3" t="s">
        <v>123</v>
      </c>
      <c r="C79" s="3" t="s">
        <v>129</v>
      </c>
      <c r="L79" s="4"/>
      <c r="M79" s="4"/>
      <c r="N79" s="4"/>
      <c r="O79" s="5" t="str">
        <f t="shared" si="12"/>
        <v/>
      </c>
      <c r="P79" s="5" t="str">
        <f t="shared" si="13"/>
        <v/>
      </c>
      <c r="Q79" s="5" t="str">
        <f t="shared" si="14"/>
        <v/>
      </c>
      <c r="R79" s="5" t="s">
        <v>166</v>
      </c>
      <c r="S79" s="5" t="s">
        <v>166</v>
      </c>
      <c r="T79" s="5" t="str">
        <f t="shared" si="15"/>
        <v/>
      </c>
      <c r="U79" s="5" t="str">
        <f t="shared" si="16"/>
        <v/>
      </c>
      <c r="V79" s="5" t="str">
        <f>IF($E$4="Embrousaillement",Tableau182987[[#This Row],[SOL]],"")</f>
        <v/>
      </c>
      <c r="W79" s="5" t="str">
        <f>IF($E$4="Embrousaillement",Tableau182987[[#This Row],[L]],"")</f>
        <v/>
      </c>
      <c r="X79" s="5" t="s">
        <v>166</v>
      </c>
      <c r="Y79" s="5" t="str">
        <f t="shared" si="17"/>
        <v/>
      </c>
      <c r="Z79" s="5" t="str">
        <f t="shared" si="18"/>
        <v/>
      </c>
      <c r="AA79" s="5" t="str">
        <f t="shared" si="19"/>
        <v/>
      </c>
      <c r="AB79" s="5" t="s">
        <v>166</v>
      </c>
      <c r="AC79" s="5" t="s">
        <v>166</v>
      </c>
      <c r="AD79" s="5" t="str">
        <f t="shared" si="20"/>
        <v/>
      </c>
      <c r="AE79" s="5" t="s">
        <v>166</v>
      </c>
      <c r="AF79" s="5" t="s">
        <v>166</v>
      </c>
      <c r="AG79" s="5" t="str">
        <f t="shared" si="21"/>
        <v/>
      </c>
      <c r="AH79" s="5" t="s">
        <v>166</v>
      </c>
      <c r="AI79" s="5" t="s">
        <v>166</v>
      </c>
      <c r="AJ79" s="5" t="str">
        <f t="shared" si="22"/>
        <v/>
      </c>
      <c r="AK79" s="5" t="str">
        <f t="shared" si="23"/>
        <v/>
      </c>
      <c r="AL79" s="7" t="str">
        <f>IF(Tableau182987[[#This Row],[Age]]&lt;&gt;"",IF(Tableau182987[[#This Row],[Age]]=0,$AT$10*$B$10+SUMIF($AS$21:$AS$29,Tableau182987[[#This Row],[Age]],$AU$21:$AU$29)*$B$10+$AT$11*$B$10,SUMIF($AS$21:$AS$29,Tableau182987[[#This Row],[Age]],$AU$21:$AU$29)*$B$10+$AT$11*$B$10),"")</f>
        <v/>
      </c>
      <c r="AM79" s="7" t="str">
        <f>IF(Tableau182987[[#This Row],[Age]]&lt;&gt;"",IF(Tableau182987[[#This Row],[Age]]=$B$11,$AT$10*$B$10,0)+Tableau182987[[#This Row],[VBO]]*$AX$21*$B$10+Tableau182987[[#This Row],[VBI]]*$AX$22*$B$10+Tableau182987[[#This Row],[VBE]]*$AX$23*$B$10,"")</f>
        <v/>
      </c>
      <c r="AN79" s="7" t="s">
        <v>166</v>
      </c>
      <c r="AO79" s="7" t="s">
        <v>166</v>
      </c>
      <c r="AP79" s="7" t="str">
        <f>IF(Tableau182987[[#This Row],[Age]]&lt;&gt;"",Tableau182987[[#This Row],[RA]]-Tableau182987[[#This Row],[DA]],"")</f>
        <v/>
      </c>
    </row>
    <row r="80" spans="1:42" ht="15" customHeight="1" x14ac:dyDescent="0.2">
      <c r="A80" s="3" t="s">
        <v>15</v>
      </c>
      <c r="B80" s="3" t="s">
        <v>113</v>
      </c>
      <c r="C80" s="3" t="s">
        <v>130</v>
      </c>
      <c r="L80" s="4"/>
      <c r="M80" s="4"/>
      <c r="N80" s="4"/>
      <c r="O80" s="5" t="str">
        <f t="shared" si="12"/>
        <v/>
      </c>
      <c r="P80" s="5" t="str">
        <f t="shared" si="13"/>
        <v/>
      </c>
      <c r="Q80" s="5" t="str">
        <f t="shared" si="14"/>
        <v/>
      </c>
      <c r="R80" s="5" t="s">
        <v>166</v>
      </c>
      <c r="S80" s="5" t="s">
        <v>166</v>
      </c>
      <c r="T80" s="5" t="str">
        <f t="shared" si="15"/>
        <v/>
      </c>
      <c r="U80" s="5" t="str">
        <f t="shared" si="16"/>
        <v/>
      </c>
      <c r="V80" s="5" t="str">
        <f>IF($E$4="Embrousaillement",Tableau182987[[#This Row],[SOL]],"")</f>
        <v/>
      </c>
      <c r="W80" s="5" t="str">
        <f>IF($E$4="Embrousaillement",Tableau182987[[#This Row],[L]],"")</f>
        <v/>
      </c>
      <c r="X80" s="5" t="s">
        <v>166</v>
      </c>
      <c r="Y80" s="5" t="str">
        <f t="shared" si="17"/>
        <v/>
      </c>
      <c r="Z80" s="5" t="str">
        <f t="shared" si="18"/>
        <v/>
      </c>
      <c r="AA80" s="5" t="str">
        <f t="shared" si="19"/>
        <v/>
      </c>
      <c r="AB80" s="5" t="s">
        <v>166</v>
      </c>
      <c r="AC80" s="5" t="s">
        <v>166</v>
      </c>
      <c r="AD80" s="5" t="str">
        <f t="shared" si="20"/>
        <v/>
      </c>
      <c r="AE80" s="5" t="s">
        <v>166</v>
      </c>
      <c r="AF80" s="5" t="s">
        <v>166</v>
      </c>
      <c r="AG80" s="5" t="str">
        <f t="shared" si="21"/>
        <v/>
      </c>
      <c r="AH80" s="5" t="s">
        <v>166</v>
      </c>
      <c r="AI80" s="5" t="s">
        <v>166</v>
      </c>
      <c r="AJ80" s="5" t="str">
        <f t="shared" si="22"/>
        <v/>
      </c>
      <c r="AK80" s="5" t="str">
        <f t="shared" si="23"/>
        <v/>
      </c>
      <c r="AL80" s="7" t="str">
        <f>IF(Tableau182987[[#This Row],[Age]]&lt;&gt;"",IF(Tableau182987[[#This Row],[Age]]=0,$AT$10*$B$10+SUMIF($AS$21:$AS$29,Tableau182987[[#This Row],[Age]],$AU$21:$AU$29)*$B$10+$AT$11*$B$10,SUMIF($AS$21:$AS$29,Tableau182987[[#This Row],[Age]],$AU$21:$AU$29)*$B$10+$AT$11*$B$10),"")</f>
        <v/>
      </c>
      <c r="AM80" s="7" t="str">
        <f>IF(Tableau182987[[#This Row],[Age]]&lt;&gt;"",IF(Tableau182987[[#This Row],[Age]]=$B$11,$AT$10*$B$10,0)+Tableau182987[[#This Row],[VBO]]*$AX$21*$B$10+Tableau182987[[#This Row],[VBI]]*$AX$22*$B$10+Tableau182987[[#This Row],[VBE]]*$AX$23*$B$10,"")</f>
        <v/>
      </c>
      <c r="AN80" s="7" t="s">
        <v>166</v>
      </c>
      <c r="AO80" s="7" t="s">
        <v>166</v>
      </c>
      <c r="AP80" s="7" t="str">
        <f>IF(Tableau182987[[#This Row],[Age]]&lt;&gt;"",Tableau182987[[#This Row],[RA]]-Tableau182987[[#This Row],[DA]],"")</f>
        <v/>
      </c>
    </row>
    <row r="81" spans="1:42" ht="15" customHeight="1" x14ac:dyDescent="0.2">
      <c r="A81" s="3" t="s">
        <v>16</v>
      </c>
      <c r="B81" s="3" t="s">
        <v>113</v>
      </c>
      <c r="C81" s="3" t="s">
        <v>131</v>
      </c>
      <c r="L81" s="4"/>
      <c r="M81" s="4"/>
      <c r="N81" s="4"/>
      <c r="O81" s="5" t="str">
        <f t="shared" si="12"/>
        <v/>
      </c>
      <c r="P81" s="5" t="str">
        <f t="shared" si="13"/>
        <v/>
      </c>
      <c r="Q81" s="5" t="str">
        <f t="shared" si="14"/>
        <v/>
      </c>
      <c r="R81" s="5" t="s">
        <v>166</v>
      </c>
      <c r="S81" s="5" t="s">
        <v>166</v>
      </c>
      <c r="T81" s="5" t="str">
        <f t="shared" si="15"/>
        <v/>
      </c>
      <c r="U81" s="5" t="str">
        <f t="shared" si="16"/>
        <v/>
      </c>
      <c r="V81" s="5" t="str">
        <f>IF($E$4="Embrousaillement",Tableau182987[[#This Row],[SOL]],"")</f>
        <v/>
      </c>
      <c r="W81" s="5" t="str">
        <f>IF($E$4="Embrousaillement",Tableau182987[[#This Row],[L]],"")</f>
        <v/>
      </c>
      <c r="X81" s="5" t="s">
        <v>166</v>
      </c>
      <c r="Y81" s="5" t="str">
        <f t="shared" si="17"/>
        <v/>
      </c>
      <c r="Z81" s="5" t="str">
        <f t="shared" si="18"/>
        <v/>
      </c>
      <c r="AA81" s="5" t="str">
        <f t="shared" si="19"/>
        <v/>
      </c>
      <c r="AB81" s="5" t="s">
        <v>166</v>
      </c>
      <c r="AC81" s="5" t="s">
        <v>166</v>
      </c>
      <c r="AD81" s="5" t="str">
        <f t="shared" si="20"/>
        <v/>
      </c>
      <c r="AE81" s="5" t="s">
        <v>166</v>
      </c>
      <c r="AF81" s="5" t="s">
        <v>166</v>
      </c>
      <c r="AG81" s="5" t="str">
        <f t="shared" si="21"/>
        <v/>
      </c>
      <c r="AH81" s="5" t="s">
        <v>166</v>
      </c>
      <c r="AI81" s="5" t="s">
        <v>166</v>
      </c>
      <c r="AJ81" s="5" t="str">
        <f t="shared" si="22"/>
        <v/>
      </c>
      <c r="AK81" s="5" t="str">
        <f t="shared" si="23"/>
        <v/>
      </c>
      <c r="AL81" s="7" t="str">
        <f>IF(Tableau182987[[#This Row],[Age]]&lt;&gt;"",IF(Tableau182987[[#This Row],[Age]]=0,$AT$10*$B$10+SUMIF($AS$21:$AS$29,Tableau182987[[#This Row],[Age]],$AU$21:$AU$29)*$B$10+$AT$11*$B$10,SUMIF($AS$21:$AS$29,Tableau182987[[#This Row],[Age]],$AU$21:$AU$29)*$B$10+$AT$11*$B$10),"")</f>
        <v/>
      </c>
      <c r="AM81" s="7" t="str">
        <f>IF(Tableau182987[[#This Row],[Age]]&lt;&gt;"",IF(Tableau182987[[#This Row],[Age]]=$B$11,$AT$10*$B$10,0)+Tableau182987[[#This Row],[VBO]]*$AX$21*$B$10+Tableau182987[[#This Row],[VBI]]*$AX$22*$B$10+Tableau182987[[#This Row],[VBE]]*$AX$23*$B$10,"")</f>
        <v/>
      </c>
      <c r="AN81" s="7" t="s">
        <v>166</v>
      </c>
      <c r="AO81" s="7" t="s">
        <v>166</v>
      </c>
      <c r="AP81" s="7" t="str">
        <f>IF(Tableau182987[[#This Row],[Age]]&lt;&gt;"",Tableau182987[[#This Row],[RA]]-Tableau182987[[#This Row],[DA]],"")</f>
        <v/>
      </c>
    </row>
    <row r="82" spans="1:42" ht="15" customHeight="1" x14ac:dyDescent="0.2">
      <c r="A82" s="3" t="s">
        <v>17</v>
      </c>
      <c r="B82" s="3" t="s">
        <v>113</v>
      </c>
      <c r="C82" s="3" t="s">
        <v>132</v>
      </c>
      <c r="L82" s="4"/>
      <c r="M82" s="4"/>
      <c r="N82" s="4"/>
      <c r="O82" s="5" t="str">
        <f t="shared" si="12"/>
        <v/>
      </c>
      <c r="P82" s="5" t="str">
        <f t="shared" si="13"/>
        <v/>
      </c>
      <c r="Q82" s="5" t="str">
        <f t="shared" si="14"/>
        <v/>
      </c>
      <c r="R82" s="5" t="s">
        <v>166</v>
      </c>
      <c r="S82" s="5" t="s">
        <v>166</v>
      </c>
      <c r="T82" s="5" t="str">
        <f t="shared" si="15"/>
        <v/>
      </c>
      <c r="U82" s="5" t="str">
        <f t="shared" si="16"/>
        <v/>
      </c>
      <c r="V82" s="5" t="str">
        <f>IF($E$4="Embrousaillement",Tableau182987[[#This Row],[SOL]],"")</f>
        <v/>
      </c>
      <c r="W82" s="5" t="str">
        <f>IF($E$4="Embrousaillement",Tableau182987[[#This Row],[L]],"")</f>
        <v/>
      </c>
      <c r="X82" s="5" t="s">
        <v>166</v>
      </c>
      <c r="Y82" s="5" t="str">
        <f t="shared" si="17"/>
        <v/>
      </c>
      <c r="Z82" s="5" t="str">
        <f t="shared" si="18"/>
        <v/>
      </c>
      <c r="AA82" s="5" t="str">
        <f t="shared" si="19"/>
        <v/>
      </c>
      <c r="AB82" s="5" t="s">
        <v>166</v>
      </c>
      <c r="AC82" s="5" t="s">
        <v>166</v>
      </c>
      <c r="AD82" s="5" t="str">
        <f t="shared" si="20"/>
        <v/>
      </c>
      <c r="AE82" s="5" t="s">
        <v>166</v>
      </c>
      <c r="AF82" s="5" t="s">
        <v>166</v>
      </c>
      <c r="AG82" s="5" t="str">
        <f t="shared" si="21"/>
        <v/>
      </c>
      <c r="AH82" s="5" t="s">
        <v>166</v>
      </c>
      <c r="AI82" s="5" t="s">
        <v>166</v>
      </c>
      <c r="AJ82" s="5" t="str">
        <f t="shared" si="22"/>
        <v/>
      </c>
      <c r="AK82" s="5" t="str">
        <f t="shared" si="23"/>
        <v/>
      </c>
      <c r="AL82" s="7" t="str">
        <f>IF(Tableau182987[[#This Row],[Age]]&lt;&gt;"",IF(Tableau182987[[#This Row],[Age]]=0,$AT$10*$B$10+SUMIF($AS$21:$AS$29,Tableau182987[[#This Row],[Age]],$AU$21:$AU$29)*$B$10+$AT$11*$B$10,SUMIF($AS$21:$AS$29,Tableau182987[[#This Row],[Age]],$AU$21:$AU$29)*$B$10+$AT$11*$B$10),"")</f>
        <v/>
      </c>
      <c r="AM82" s="7" t="str">
        <f>IF(Tableau182987[[#This Row],[Age]]&lt;&gt;"",IF(Tableau182987[[#This Row],[Age]]=$B$11,$AT$10*$B$10,0)+Tableau182987[[#This Row],[VBO]]*$AX$21*$B$10+Tableau182987[[#This Row],[VBI]]*$AX$22*$B$10+Tableau182987[[#This Row],[VBE]]*$AX$23*$B$10,"")</f>
        <v/>
      </c>
      <c r="AN82" s="7" t="s">
        <v>166</v>
      </c>
      <c r="AO82" s="7" t="s">
        <v>166</v>
      </c>
      <c r="AP82" s="7" t="str">
        <f>IF(Tableau182987[[#This Row],[Age]]&lt;&gt;"",Tableau182987[[#This Row],[RA]]-Tableau182987[[#This Row],[DA]],"")</f>
        <v/>
      </c>
    </row>
    <row r="83" spans="1:42" ht="15" customHeight="1" x14ac:dyDescent="0.2">
      <c r="A83" s="3" t="s">
        <v>18</v>
      </c>
      <c r="B83" s="3" t="s">
        <v>123</v>
      </c>
      <c r="C83" s="3" t="s">
        <v>133</v>
      </c>
      <c r="L83" s="4"/>
      <c r="M83" s="4"/>
      <c r="N83" s="4"/>
      <c r="O83" s="5" t="str">
        <f t="shared" si="12"/>
        <v/>
      </c>
      <c r="P83" s="5" t="str">
        <f t="shared" si="13"/>
        <v/>
      </c>
      <c r="Q83" s="5" t="str">
        <f t="shared" si="14"/>
        <v/>
      </c>
      <c r="R83" s="5" t="s">
        <v>166</v>
      </c>
      <c r="S83" s="5" t="s">
        <v>166</v>
      </c>
      <c r="T83" s="5" t="str">
        <f t="shared" si="15"/>
        <v/>
      </c>
      <c r="U83" s="5" t="str">
        <f t="shared" si="16"/>
        <v/>
      </c>
      <c r="V83" s="5" t="str">
        <f>IF($E$4="Embrousaillement",Tableau182987[[#This Row],[SOL]],"")</f>
        <v/>
      </c>
      <c r="W83" s="5" t="str">
        <f>IF($E$4="Embrousaillement",Tableau182987[[#This Row],[L]],"")</f>
        <v/>
      </c>
      <c r="X83" s="5" t="s">
        <v>166</v>
      </c>
      <c r="Y83" s="5" t="str">
        <f t="shared" si="17"/>
        <v/>
      </c>
      <c r="Z83" s="5" t="str">
        <f t="shared" si="18"/>
        <v/>
      </c>
      <c r="AA83" s="5" t="str">
        <f t="shared" si="19"/>
        <v/>
      </c>
      <c r="AB83" s="5" t="s">
        <v>166</v>
      </c>
      <c r="AC83" s="5" t="s">
        <v>166</v>
      </c>
      <c r="AD83" s="5" t="str">
        <f t="shared" si="20"/>
        <v/>
      </c>
      <c r="AE83" s="5" t="s">
        <v>166</v>
      </c>
      <c r="AF83" s="5" t="s">
        <v>166</v>
      </c>
      <c r="AG83" s="5" t="str">
        <f t="shared" si="21"/>
        <v/>
      </c>
      <c r="AH83" s="5" t="s">
        <v>166</v>
      </c>
      <c r="AI83" s="5" t="s">
        <v>166</v>
      </c>
      <c r="AJ83" s="5" t="str">
        <f t="shared" si="22"/>
        <v/>
      </c>
      <c r="AK83" s="5" t="str">
        <f t="shared" si="23"/>
        <v/>
      </c>
      <c r="AL83" s="7" t="str">
        <f>IF(Tableau182987[[#This Row],[Age]]&lt;&gt;"",IF(Tableau182987[[#This Row],[Age]]=0,$AT$10*$B$10+SUMIF($AS$21:$AS$29,Tableau182987[[#This Row],[Age]],$AU$21:$AU$29)*$B$10+$AT$11*$B$10,SUMIF($AS$21:$AS$29,Tableau182987[[#This Row],[Age]],$AU$21:$AU$29)*$B$10+$AT$11*$B$10),"")</f>
        <v/>
      </c>
      <c r="AM83" s="7" t="str">
        <f>IF(Tableau182987[[#This Row],[Age]]&lt;&gt;"",IF(Tableau182987[[#This Row],[Age]]=$B$11,$AT$10*$B$10,0)+Tableau182987[[#This Row],[VBO]]*$AX$21*$B$10+Tableau182987[[#This Row],[VBI]]*$AX$22*$B$10+Tableau182987[[#This Row],[VBE]]*$AX$23*$B$10,"")</f>
        <v/>
      </c>
      <c r="AN83" s="7" t="s">
        <v>166</v>
      </c>
      <c r="AO83" s="7" t="s">
        <v>166</v>
      </c>
      <c r="AP83" s="7" t="str">
        <f>IF(Tableau182987[[#This Row],[Age]]&lt;&gt;"",Tableau182987[[#This Row],[RA]]-Tableau182987[[#This Row],[DA]],"")</f>
        <v/>
      </c>
    </row>
    <row r="84" spans="1:42" ht="15" customHeight="1" x14ac:dyDescent="0.2">
      <c r="A84" s="3" t="s">
        <v>19</v>
      </c>
      <c r="B84" s="3" t="s">
        <v>134</v>
      </c>
      <c r="C84" s="3" t="s">
        <v>135</v>
      </c>
      <c r="L84" s="4"/>
      <c r="M84" s="4"/>
      <c r="N84" s="4"/>
      <c r="O84" s="5" t="str">
        <f t="shared" si="12"/>
        <v/>
      </c>
      <c r="P84" s="5" t="str">
        <f t="shared" si="13"/>
        <v/>
      </c>
      <c r="Q84" s="5" t="str">
        <f t="shared" si="14"/>
        <v/>
      </c>
      <c r="R84" s="5" t="s">
        <v>166</v>
      </c>
      <c r="S84" s="5" t="s">
        <v>166</v>
      </c>
      <c r="T84" s="5" t="str">
        <f t="shared" si="15"/>
        <v/>
      </c>
      <c r="U84" s="5" t="str">
        <f t="shared" si="16"/>
        <v/>
      </c>
      <c r="V84" s="5" t="str">
        <f>IF($E$4="Embrousaillement",Tableau182987[[#This Row],[SOL]],"")</f>
        <v/>
      </c>
      <c r="W84" s="5" t="str">
        <f>IF($E$4="Embrousaillement",Tableau182987[[#This Row],[L]],"")</f>
        <v/>
      </c>
      <c r="X84" s="5" t="s">
        <v>166</v>
      </c>
      <c r="Y84" s="5" t="str">
        <f t="shared" si="17"/>
        <v/>
      </c>
      <c r="Z84" s="5" t="str">
        <f t="shared" si="18"/>
        <v/>
      </c>
      <c r="AA84" s="5" t="str">
        <f t="shared" si="19"/>
        <v/>
      </c>
      <c r="AB84" s="5" t="s">
        <v>166</v>
      </c>
      <c r="AC84" s="5" t="s">
        <v>166</v>
      </c>
      <c r="AD84" s="5" t="str">
        <f t="shared" si="20"/>
        <v/>
      </c>
      <c r="AE84" s="5" t="s">
        <v>166</v>
      </c>
      <c r="AF84" s="5" t="s">
        <v>166</v>
      </c>
      <c r="AG84" s="5" t="str">
        <f t="shared" si="21"/>
        <v/>
      </c>
      <c r="AH84" s="5" t="s">
        <v>166</v>
      </c>
      <c r="AI84" s="5" t="s">
        <v>166</v>
      </c>
      <c r="AJ84" s="5" t="str">
        <f t="shared" si="22"/>
        <v/>
      </c>
      <c r="AK84" s="5" t="str">
        <f t="shared" si="23"/>
        <v/>
      </c>
      <c r="AL84" s="7" t="str">
        <f>IF(Tableau182987[[#This Row],[Age]]&lt;&gt;"",IF(Tableau182987[[#This Row],[Age]]=0,$AT$10*$B$10+SUMIF($AS$21:$AS$29,Tableau182987[[#This Row],[Age]],$AU$21:$AU$29)*$B$10+$AT$11*$B$10,SUMIF($AS$21:$AS$29,Tableau182987[[#This Row],[Age]],$AU$21:$AU$29)*$B$10+$AT$11*$B$10),"")</f>
        <v/>
      </c>
      <c r="AM84" s="7" t="str">
        <f>IF(Tableau182987[[#This Row],[Age]]&lt;&gt;"",IF(Tableau182987[[#This Row],[Age]]=$B$11,$AT$10*$B$10,0)+Tableau182987[[#This Row],[VBO]]*$AX$21*$B$10+Tableau182987[[#This Row],[VBI]]*$AX$22*$B$10+Tableau182987[[#This Row],[VBE]]*$AX$23*$B$10,"")</f>
        <v/>
      </c>
      <c r="AN84" s="7" t="s">
        <v>166</v>
      </c>
      <c r="AO84" s="7" t="s">
        <v>166</v>
      </c>
      <c r="AP84" s="7" t="str">
        <f>IF(Tableau182987[[#This Row],[Age]]&lt;&gt;"",Tableau182987[[#This Row],[RA]]-Tableau182987[[#This Row],[DA]],"")</f>
        <v/>
      </c>
    </row>
    <row r="85" spans="1:42" ht="15" customHeight="1" x14ac:dyDescent="0.2">
      <c r="A85" s="3" t="s">
        <v>20</v>
      </c>
      <c r="B85" s="3" t="s">
        <v>123</v>
      </c>
      <c r="C85" s="3" t="s">
        <v>136</v>
      </c>
      <c r="L85" s="4"/>
      <c r="M85" s="4"/>
      <c r="N85" s="4"/>
      <c r="O85" s="5" t="str">
        <f t="shared" si="12"/>
        <v/>
      </c>
      <c r="P85" s="5" t="str">
        <f t="shared" si="13"/>
        <v/>
      </c>
      <c r="Q85" s="5" t="str">
        <f t="shared" si="14"/>
        <v/>
      </c>
      <c r="R85" s="5" t="s">
        <v>166</v>
      </c>
      <c r="S85" s="5" t="s">
        <v>166</v>
      </c>
      <c r="T85" s="5" t="str">
        <f t="shared" si="15"/>
        <v/>
      </c>
      <c r="U85" s="5" t="str">
        <f t="shared" si="16"/>
        <v/>
      </c>
      <c r="V85" s="5" t="str">
        <f>IF($E$4="Embrousaillement",Tableau182987[[#This Row],[SOL]],"")</f>
        <v/>
      </c>
      <c r="W85" s="5" t="str">
        <f>IF($E$4="Embrousaillement",Tableau182987[[#This Row],[L]],"")</f>
        <v/>
      </c>
      <c r="X85" s="5" t="s">
        <v>166</v>
      </c>
      <c r="Y85" s="5" t="str">
        <f t="shared" si="17"/>
        <v/>
      </c>
      <c r="Z85" s="5" t="str">
        <f t="shared" si="18"/>
        <v/>
      </c>
      <c r="AA85" s="5" t="str">
        <f t="shared" si="19"/>
        <v/>
      </c>
      <c r="AB85" s="5" t="s">
        <v>166</v>
      </c>
      <c r="AC85" s="5" t="s">
        <v>166</v>
      </c>
      <c r="AD85" s="5" t="str">
        <f t="shared" si="20"/>
        <v/>
      </c>
      <c r="AE85" s="5" t="s">
        <v>166</v>
      </c>
      <c r="AF85" s="5" t="s">
        <v>166</v>
      </c>
      <c r="AG85" s="5" t="str">
        <f t="shared" si="21"/>
        <v/>
      </c>
      <c r="AH85" s="5" t="s">
        <v>166</v>
      </c>
      <c r="AI85" s="5" t="s">
        <v>166</v>
      </c>
      <c r="AJ85" s="5" t="str">
        <f t="shared" si="22"/>
        <v/>
      </c>
      <c r="AK85" s="5" t="str">
        <f t="shared" si="23"/>
        <v/>
      </c>
      <c r="AL85" s="7" t="str">
        <f>IF(Tableau182987[[#This Row],[Age]]&lt;&gt;"",IF(Tableau182987[[#This Row],[Age]]=0,$AT$10*$B$10+SUMIF($AS$21:$AS$29,Tableau182987[[#This Row],[Age]],$AU$21:$AU$29)*$B$10+$AT$11*$B$10,SUMIF($AS$21:$AS$29,Tableau182987[[#This Row],[Age]],$AU$21:$AU$29)*$B$10+$AT$11*$B$10),"")</f>
        <v/>
      </c>
      <c r="AM85" s="7" t="str">
        <f>IF(Tableau182987[[#This Row],[Age]]&lt;&gt;"",IF(Tableau182987[[#This Row],[Age]]=$B$11,$AT$10*$B$10,0)+Tableau182987[[#This Row],[VBO]]*$AX$21*$B$10+Tableau182987[[#This Row],[VBI]]*$AX$22*$B$10+Tableau182987[[#This Row],[VBE]]*$AX$23*$B$10,"")</f>
        <v/>
      </c>
      <c r="AN85" s="7" t="s">
        <v>166</v>
      </c>
      <c r="AO85" s="7" t="s">
        <v>166</v>
      </c>
      <c r="AP85" s="7" t="str">
        <f>IF(Tableau182987[[#This Row],[Age]]&lt;&gt;"",Tableau182987[[#This Row],[RA]]-Tableau182987[[#This Row],[DA]],"")</f>
        <v/>
      </c>
    </row>
    <row r="86" spans="1:42" ht="15" customHeight="1" x14ac:dyDescent="0.2">
      <c r="A86" s="3" t="s">
        <v>21</v>
      </c>
      <c r="B86" s="3" t="s">
        <v>123</v>
      </c>
      <c r="C86" s="3" t="s">
        <v>137</v>
      </c>
      <c r="L86" s="4"/>
      <c r="M86" s="4"/>
      <c r="N86" s="4"/>
      <c r="O86" s="5" t="str">
        <f t="shared" si="12"/>
        <v/>
      </c>
      <c r="P86" s="5" t="str">
        <f t="shared" si="13"/>
        <v/>
      </c>
      <c r="Q86" s="5" t="str">
        <f t="shared" si="14"/>
        <v/>
      </c>
      <c r="R86" s="5" t="s">
        <v>166</v>
      </c>
      <c r="S86" s="5" t="s">
        <v>166</v>
      </c>
      <c r="T86" s="5" t="str">
        <f t="shared" si="15"/>
        <v/>
      </c>
      <c r="U86" s="5" t="str">
        <f t="shared" si="16"/>
        <v/>
      </c>
      <c r="V86" s="5" t="str">
        <f>IF($E$4="Embrousaillement",Tableau182987[[#This Row],[SOL]],"")</f>
        <v/>
      </c>
      <c r="W86" s="5" t="str">
        <f>IF($E$4="Embrousaillement",Tableau182987[[#This Row],[L]],"")</f>
        <v/>
      </c>
      <c r="X86" s="5" t="s">
        <v>166</v>
      </c>
      <c r="Y86" s="5" t="str">
        <f t="shared" si="17"/>
        <v/>
      </c>
      <c r="Z86" s="5" t="str">
        <f t="shared" si="18"/>
        <v/>
      </c>
      <c r="AA86" s="5" t="str">
        <f t="shared" si="19"/>
        <v/>
      </c>
      <c r="AB86" s="5" t="s">
        <v>166</v>
      </c>
      <c r="AC86" s="5" t="s">
        <v>166</v>
      </c>
      <c r="AD86" s="5" t="str">
        <f t="shared" si="20"/>
        <v/>
      </c>
      <c r="AE86" s="5" t="s">
        <v>166</v>
      </c>
      <c r="AF86" s="5" t="s">
        <v>166</v>
      </c>
      <c r="AG86" s="5" t="str">
        <f t="shared" si="21"/>
        <v/>
      </c>
      <c r="AH86" s="5" t="s">
        <v>166</v>
      </c>
      <c r="AI86" s="5" t="s">
        <v>166</v>
      </c>
      <c r="AJ86" s="5" t="str">
        <f t="shared" si="22"/>
        <v/>
      </c>
      <c r="AK86" s="5" t="str">
        <f t="shared" si="23"/>
        <v/>
      </c>
      <c r="AL86" s="7" t="str">
        <f>IF(Tableau182987[[#This Row],[Age]]&lt;&gt;"",IF(Tableau182987[[#This Row],[Age]]=0,$AT$10*$B$10+SUMIF($AS$21:$AS$29,Tableau182987[[#This Row],[Age]],$AU$21:$AU$29)*$B$10+$AT$11*$B$10,SUMIF($AS$21:$AS$29,Tableau182987[[#This Row],[Age]],$AU$21:$AU$29)*$B$10+$AT$11*$B$10),"")</f>
        <v/>
      </c>
      <c r="AM86" s="7" t="str">
        <f>IF(Tableau182987[[#This Row],[Age]]&lt;&gt;"",IF(Tableau182987[[#This Row],[Age]]=$B$11,$AT$10*$B$10,0)+Tableau182987[[#This Row],[VBO]]*$AX$21*$B$10+Tableau182987[[#This Row],[VBI]]*$AX$22*$B$10+Tableau182987[[#This Row],[VBE]]*$AX$23*$B$10,"")</f>
        <v/>
      </c>
      <c r="AN86" s="7" t="s">
        <v>166</v>
      </c>
      <c r="AO86" s="7" t="s">
        <v>166</v>
      </c>
      <c r="AP86" s="7" t="str">
        <f>IF(Tableau182987[[#This Row],[Age]]&lt;&gt;"",Tableau182987[[#This Row],[RA]]-Tableau182987[[#This Row],[DA]],"")</f>
        <v/>
      </c>
    </row>
    <row r="87" spans="1:42" ht="15" customHeight="1" x14ac:dyDescent="0.2">
      <c r="A87" s="3" t="s">
        <v>22</v>
      </c>
      <c r="B87" s="3" t="s">
        <v>134</v>
      </c>
      <c r="C87" s="3" t="s">
        <v>138</v>
      </c>
      <c r="L87" s="4"/>
      <c r="M87" s="4"/>
      <c r="N87" s="4"/>
      <c r="O87" s="5" t="str">
        <f t="shared" si="12"/>
        <v/>
      </c>
      <c r="P87" s="5" t="str">
        <f t="shared" si="13"/>
        <v/>
      </c>
      <c r="Q87" s="5" t="str">
        <f t="shared" si="14"/>
        <v/>
      </c>
      <c r="R87" s="5" t="s">
        <v>166</v>
      </c>
      <c r="S87" s="5" t="s">
        <v>166</v>
      </c>
      <c r="T87" s="5" t="str">
        <f t="shared" si="15"/>
        <v/>
      </c>
      <c r="U87" s="5" t="str">
        <f t="shared" si="16"/>
        <v/>
      </c>
      <c r="V87" s="5" t="str">
        <f>IF($E$4="Embrousaillement",Tableau182987[[#This Row],[SOL]],"")</f>
        <v/>
      </c>
      <c r="W87" s="5" t="str">
        <f>IF($E$4="Embrousaillement",Tableau182987[[#This Row],[L]],"")</f>
        <v/>
      </c>
      <c r="X87" s="5" t="s">
        <v>166</v>
      </c>
      <c r="Y87" s="5" t="str">
        <f t="shared" si="17"/>
        <v/>
      </c>
      <c r="Z87" s="5" t="str">
        <f t="shared" si="18"/>
        <v/>
      </c>
      <c r="AA87" s="5" t="str">
        <f t="shared" si="19"/>
        <v/>
      </c>
      <c r="AB87" s="5" t="s">
        <v>166</v>
      </c>
      <c r="AC87" s="5" t="s">
        <v>166</v>
      </c>
      <c r="AD87" s="5" t="str">
        <f t="shared" si="20"/>
        <v/>
      </c>
      <c r="AE87" s="5" t="s">
        <v>166</v>
      </c>
      <c r="AF87" s="5" t="s">
        <v>166</v>
      </c>
      <c r="AG87" s="5" t="str">
        <f t="shared" si="21"/>
        <v/>
      </c>
      <c r="AH87" s="5" t="s">
        <v>166</v>
      </c>
      <c r="AI87" s="5" t="s">
        <v>166</v>
      </c>
      <c r="AJ87" s="5" t="str">
        <f t="shared" si="22"/>
        <v/>
      </c>
      <c r="AK87" s="5" t="str">
        <f t="shared" si="23"/>
        <v/>
      </c>
      <c r="AL87" s="7" t="str">
        <f>IF(Tableau182987[[#This Row],[Age]]&lt;&gt;"",IF(Tableau182987[[#This Row],[Age]]=0,$AT$10*$B$10+SUMIF($AS$21:$AS$29,Tableau182987[[#This Row],[Age]],$AU$21:$AU$29)*$B$10+$AT$11*$B$10,SUMIF($AS$21:$AS$29,Tableau182987[[#This Row],[Age]],$AU$21:$AU$29)*$B$10+$AT$11*$B$10),"")</f>
        <v/>
      </c>
      <c r="AM87" s="7" t="str">
        <f>IF(Tableau182987[[#This Row],[Age]]&lt;&gt;"",IF(Tableau182987[[#This Row],[Age]]=$B$11,$AT$10*$B$10,0)+Tableau182987[[#This Row],[VBO]]*$AX$21*$B$10+Tableau182987[[#This Row],[VBI]]*$AX$22*$B$10+Tableau182987[[#This Row],[VBE]]*$AX$23*$B$10,"")</f>
        <v/>
      </c>
      <c r="AN87" s="7" t="s">
        <v>166</v>
      </c>
      <c r="AO87" s="7" t="s">
        <v>166</v>
      </c>
      <c r="AP87" s="7" t="str">
        <f>IF(Tableau182987[[#This Row],[Age]]&lt;&gt;"",Tableau182987[[#This Row],[RA]]-Tableau182987[[#This Row],[DA]],"")</f>
        <v/>
      </c>
    </row>
    <row r="88" spans="1:42" ht="15" customHeight="1" x14ac:dyDescent="0.2">
      <c r="A88" s="3" t="s">
        <v>23</v>
      </c>
      <c r="B88" s="3" t="s">
        <v>123</v>
      </c>
      <c r="C88" s="3" t="s">
        <v>139</v>
      </c>
      <c r="L88" s="4"/>
      <c r="M88" s="4"/>
      <c r="N88" s="4"/>
      <c r="O88" s="5" t="str">
        <f t="shared" si="12"/>
        <v/>
      </c>
      <c r="P88" s="5" t="str">
        <f t="shared" si="13"/>
        <v/>
      </c>
      <c r="Q88" s="5" t="str">
        <f t="shared" si="14"/>
        <v/>
      </c>
      <c r="R88" s="5" t="s">
        <v>166</v>
      </c>
      <c r="S88" s="5" t="s">
        <v>166</v>
      </c>
      <c r="T88" s="5" t="str">
        <f t="shared" si="15"/>
        <v/>
      </c>
      <c r="U88" s="5" t="str">
        <f t="shared" si="16"/>
        <v/>
      </c>
      <c r="V88" s="5" t="str">
        <f>IF($E$4="Embrousaillement",Tableau182987[[#This Row],[SOL]],"")</f>
        <v/>
      </c>
      <c r="W88" s="5" t="str">
        <f>IF($E$4="Embrousaillement",Tableau182987[[#This Row],[L]],"")</f>
        <v/>
      </c>
      <c r="X88" s="5" t="s">
        <v>166</v>
      </c>
      <c r="Y88" s="5" t="str">
        <f t="shared" si="17"/>
        <v/>
      </c>
      <c r="Z88" s="5" t="str">
        <f t="shared" si="18"/>
        <v/>
      </c>
      <c r="AA88" s="5" t="str">
        <f t="shared" si="19"/>
        <v/>
      </c>
      <c r="AB88" s="5" t="s">
        <v>166</v>
      </c>
      <c r="AC88" s="5" t="s">
        <v>166</v>
      </c>
      <c r="AD88" s="5" t="str">
        <f t="shared" si="20"/>
        <v/>
      </c>
      <c r="AE88" s="5" t="s">
        <v>166</v>
      </c>
      <c r="AF88" s="5" t="s">
        <v>166</v>
      </c>
      <c r="AG88" s="5" t="str">
        <f t="shared" si="21"/>
        <v/>
      </c>
      <c r="AH88" s="5" t="s">
        <v>166</v>
      </c>
      <c r="AI88" s="5" t="s">
        <v>166</v>
      </c>
      <c r="AJ88" s="5" t="str">
        <f t="shared" si="22"/>
        <v/>
      </c>
      <c r="AK88" s="5" t="str">
        <f t="shared" si="23"/>
        <v/>
      </c>
      <c r="AL88" s="7" t="str">
        <f>IF(Tableau182987[[#This Row],[Age]]&lt;&gt;"",IF(Tableau182987[[#This Row],[Age]]=0,$AT$10*$B$10+SUMIF($AS$21:$AS$29,Tableau182987[[#This Row],[Age]],$AU$21:$AU$29)*$B$10+$AT$11*$B$10,SUMIF($AS$21:$AS$29,Tableau182987[[#This Row],[Age]],$AU$21:$AU$29)*$B$10+$AT$11*$B$10),"")</f>
        <v/>
      </c>
      <c r="AM88" s="7" t="str">
        <f>IF(Tableau182987[[#This Row],[Age]]&lt;&gt;"",IF(Tableau182987[[#This Row],[Age]]=$B$11,$AT$10*$B$10,0)+Tableau182987[[#This Row],[VBO]]*$AX$21*$B$10+Tableau182987[[#This Row],[VBI]]*$AX$22*$B$10+Tableau182987[[#This Row],[VBE]]*$AX$23*$B$10,"")</f>
        <v/>
      </c>
      <c r="AN88" s="7" t="s">
        <v>166</v>
      </c>
      <c r="AO88" s="7" t="s">
        <v>166</v>
      </c>
      <c r="AP88" s="7" t="str">
        <f>IF(Tableau182987[[#This Row],[Age]]&lt;&gt;"",Tableau182987[[#This Row],[RA]]-Tableau182987[[#This Row],[DA]],"")</f>
        <v/>
      </c>
    </row>
    <row r="89" spans="1:42" ht="15" customHeight="1" x14ac:dyDescent="0.2">
      <c r="A89" s="3" t="s">
        <v>24</v>
      </c>
      <c r="B89" s="3" t="s">
        <v>123</v>
      </c>
      <c r="C89" s="3" t="s">
        <v>140</v>
      </c>
      <c r="L89" s="4"/>
      <c r="M89" s="4"/>
      <c r="N89" s="4"/>
      <c r="O89" s="5" t="str">
        <f t="shared" si="12"/>
        <v/>
      </c>
      <c r="P89" s="5" t="str">
        <f t="shared" si="13"/>
        <v/>
      </c>
      <c r="Q89" s="5" t="str">
        <f t="shared" si="14"/>
        <v/>
      </c>
      <c r="R89" s="5" t="s">
        <v>166</v>
      </c>
      <c r="S89" s="5" t="s">
        <v>166</v>
      </c>
      <c r="T89" s="5" t="str">
        <f t="shared" si="15"/>
        <v/>
      </c>
      <c r="U89" s="5" t="str">
        <f t="shared" si="16"/>
        <v/>
      </c>
      <c r="V89" s="5" t="str">
        <f>IF($E$4="Embrousaillement",Tableau182987[[#This Row],[SOL]],"")</f>
        <v/>
      </c>
      <c r="W89" s="5" t="str">
        <f>IF($E$4="Embrousaillement",Tableau182987[[#This Row],[L]],"")</f>
        <v/>
      </c>
      <c r="X89" s="5" t="s">
        <v>166</v>
      </c>
      <c r="Y89" s="5" t="str">
        <f t="shared" si="17"/>
        <v/>
      </c>
      <c r="Z89" s="5" t="str">
        <f t="shared" si="18"/>
        <v/>
      </c>
      <c r="AA89" s="5" t="str">
        <f t="shared" si="19"/>
        <v/>
      </c>
      <c r="AB89" s="5" t="s">
        <v>166</v>
      </c>
      <c r="AC89" s="5" t="s">
        <v>166</v>
      </c>
      <c r="AD89" s="5" t="str">
        <f t="shared" si="20"/>
        <v/>
      </c>
      <c r="AE89" s="5" t="s">
        <v>166</v>
      </c>
      <c r="AF89" s="5" t="s">
        <v>166</v>
      </c>
      <c r="AG89" s="5" t="str">
        <f t="shared" si="21"/>
        <v/>
      </c>
      <c r="AH89" s="5" t="s">
        <v>166</v>
      </c>
      <c r="AI89" s="5" t="s">
        <v>166</v>
      </c>
      <c r="AJ89" s="5" t="str">
        <f t="shared" si="22"/>
        <v/>
      </c>
      <c r="AK89" s="5" t="str">
        <f t="shared" si="23"/>
        <v/>
      </c>
      <c r="AL89" s="7" t="str">
        <f>IF(Tableau182987[[#This Row],[Age]]&lt;&gt;"",IF(Tableau182987[[#This Row],[Age]]=0,$AT$10*$B$10+SUMIF($AS$21:$AS$29,Tableau182987[[#This Row],[Age]],$AU$21:$AU$29)*$B$10+$AT$11*$B$10,SUMIF($AS$21:$AS$29,Tableau182987[[#This Row],[Age]],$AU$21:$AU$29)*$B$10+$AT$11*$B$10),"")</f>
        <v/>
      </c>
      <c r="AM89" s="7" t="str">
        <f>IF(Tableau182987[[#This Row],[Age]]&lt;&gt;"",IF(Tableau182987[[#This Row],[Age]]=$B$11,$AT$10*$B$10,0)+Tableau182987[[#This Row],[VBO]]*$AX$21*$B$10+Tableau182987[[#This Row],[VBI]]*$AX$22*$B$10+Tableau182987[[#This Row],[VBE]]*$AX$23*$B$10,"")</f>
        <v/>
      </c>
      <c r="AN89" s="7" t="s">
        <v>166</v>
      </c>
      <c r="AO89" s="7" t="s">
        <v>166</v>
      </c>
      <c r="AP89" s="7" t="str">
        <f>IF(Tableau182987[[#This Row],[Age]]&lt;&gt;"",Tableau182987[[#This Row],[RA]]-Tableau182987[[#This Row],[DA]],"")</f>
        <v/>
      </c>
    </row>
    <row r="90" spans="1:42" ht="15" customHeight="1" x14ac:dyDescent="0.2">
      <c r="A90" s="3" t="s">
        <v>25</v>
      </c>
      <c r="B90" s="3" t="s">
        <v>134</v>
      </c>
      <c r="C90" s="3" t="s">
        <v>141</v>
      </c>
      <c r="L90" s="4"/>
      <c r="M90" s="4"/>
      <c r="N90" s="4"/>
      <c r="O90" s="5" t="str">
        <f t="shared" si="12"/>
        <v/>
      </c>
      <c r="P90" s="5" t="str">
        <f t="shared" si="13"/>
        <v/>
      </c>
      <c r="Q90" s="5" t="str">
        <f t="shared" si="14"/>
        <v/>
      </c>
      <c r="R90" s="5" t="s">
        <v>166</v>
      </c>
      <c r="S90" s="5" t="s">
        <v>166</v>
      </c>
      <c r="T90" s="5" t="str">
        <f t="shared" si="15"/>
        <v/>
      </c>
      <c r="U90" s="5" t="str">
        <f t="shared" si="16"/>
        <v/>
      </c>
      <c r="V90" s="5" t="str">
        <f>IF($E$4="Embrousaillement",Tableau182987[[#This Row],[SOL]],"")</f>
        <v/>
      </c>
      <c r="W90" s="5" t="str">
        <f>IF($E$4="Embrousaillement",Tableau182987[[#This Row],[L]],"")</f>
        <v/>
      </c>
      <c r="X90" s="5" t="s">
        <v>166</v>
      </c>
      <c r="Y90" s="5" t="str">
        <f t="shared" si="17"/>
        <v/>
      </c>
      <c r="Z90" s="5" t="str">
        <f t="shared" si="18"/>
        <v/>
      </c>
      <c r="AA90" s="5" t="str">
        <f t="shared" si="19"/>
        <v/>
      </c>
      <c r="AB90" s="5" t="s">
        <v>166</v>
      </c>
      <c r="AC90" s="5" t="s">
        <v>166</v>
      </c>
      <c r="AD90" s="5" t="str">
        <f t="shared" si="20"/>
        <v/>
      </c>
      <c r="AE90" s="5" t="s">
        <v>166</v>
      </c>
      <c r="AF90" s="5" t="s">
        <v>166</v>
      </c>
      <c r="AG90" s="5" t="str">
        <f t="shared" si="21"/>
        <v/>
      </c>
      <c r="AH90" s="5" t="s">
        <v>166</v>
      </c>
      <c r="AI90" s="5" t="s">
        <v>166</v>
      </c>
      <c r="AJ90" s="5" t="str">
        <f t="shared" si="22"/>
        <v/>
      </c>
      <c r="AK90" s="5" t="str">
        <f t="shared" si="23"/>
        <v/>
      </c>
      <c r="AL90" s="7" t="str">
        <f>IF(Tableau182987[[#This Row],[Age]]&lt;&gt;"",IF(Tableau182987[[#This Row],[Age]]=0,$AT$10*$B$10+SUMIF($AS$21:$AS$29,Tableau182987[[#This Row],[Age]],$AU$21:$AU$29)*$B$10+$AT$11*$B$10,SUMIF($AS$21:$AS$29,Tableau182987[[#This Row],[Age]],$AU$21:$AU$29)*$B$10+$AT$11*$B$10),"")</f>
        <v/>
      </c>
      <c r="AM90" s="7" t="str">
        <f>IF(Tableau182987[[#This Row],[Age]]&lt;&gt;"",IF(Tableau182987[[#This Row],[Age]]=$B$11,$AT$10*$B$10,0)+Tableau182987[[#This Row],[VBO]]*$AX$21*$B$10+Tableau182987[[#This Row],[VBI]]*$AX$22*$B$10+Tableau182987[[#This Row],[VBE]]*$AX$23*$B$10,"")</f>
        <v/>
      </c>
      <c r="AN90" s="7" t="s">
        <v>166</v>
      </c>
      <c r="AO90" s="7" t="s">
        <v>166</v>
      </c>
      <c r="AP90" s="7" t="str">
        <f>IF(Tableau182987[[#This Row],[Age]]&lt;&gt;"",Tableau182987[[#This Row],[RA]]-Tableau182987[[#This Row],[DA]],"")</f>
        <v/>
      </c>
    </row>
    <row r="91" spans="1:42" ht="15" customHeight="1" x14ac:dyDescent="0.2">
      <c r="A91" s="3" t="s">
        <v>26</v>
      </c>
      <c r="B91" s="3" t="s">
        <v>123</v>
      </c>
      <c r="C91" s="3" t="s">
        <v>142</v>
      </c>
      <c r="L91" s="4"/>
      <c r="M91" s="4"/>
      <c r="N91" s="4"/>
      <c r="O91" s="5" t="str">
        <f t="shared" si="12"/>
        <v/>
      </c>
      <c r="P91" s="5" t="str">
        <f t="shared" si="13"/>
        <v/>
      </c>
      <c r="Q91" s="5" t="str">
        <f t="shared" si="14"/>
        <v/>
      </c>
      <c r="R91" s="5" t="s">
        <v>166</v>
      </c>
      <c r="S91" s="5" t="s">
        <v>166</v>
      </c>
      <c r="T91" s="5" t="str">
        <f t="shared" si="15"/>
        <v/>
      </c>
      <c r="U91" s="5" t="str">
        <f t="shared" si="16"/>
        <v/>
      </c>
      <c r="V91" s="5" t="str">
        <f>IF($E$4="Embrousaillement",Tableau182987[[#This Row],[SOL]],"")</f>
        <v/>
      </c>
      <c r="W91" s="5" t="str">
        <f>IF($E$4="Embrousaillement",Tableau182987[[#This Row],[L]],"")</f>
        <v/>
      </c>
      <c r="X91" s="5" t="s">
        <v>166</v>
      </c>
      <c r="Y91" s="5" t="str">
        <f t="shared" si="17"/>
        <v/>
      </c>
      <c r="Z91" s="5" t="str">
        <f t="shared" si="18"/>
        <v/>
      </c>
      <c r="AA91" s="5" t="str">
        <f t="shared" si="19"/>
        <v/>
      </c>
      <c r="AB91" s="5" t="s">
        <v>166</v>
      </c>
      <c r="AC91" s="5" t="s">
        <v>166</v>
      </c>
      <c r="AD91" s="5" t="str">
        <f t="shared" si="20"/>
        <v/>
      </c>
      <c r="AE91" s="5" t="s">
        <v>166</v>
      </c>
      <c r="AF91" s="5" t="s">
        <v>166</v>
      </c>
      <c r="AG91" s="5" t="str">
        <f t="shared" si="21"/>
        <v/>
      </c>
      <c r="AH91" s="5" t="s">
        <v>166</v>
      </c>
      <c r="AI91" s="5" t="s">
        <v>166</v>
      </c>
      <c r="AJ91" s="5" t="str">
        <f t="shared" si="22"/>
        <v/>
      </c>
      <c r="AK91" s="5" t="str">
        <f t="shared" si="23"/>
        <v/>
      </c>
      <c r="AL91" s="7" t="str">
        <f>IF(Tableau182987[[#This Row],[Age]]&lt;&gt;"",IF(Tableau182987[[#This Row],[Age]]=0,$AT$10*$B$10+SUMIF($AS$21:$AS$29,Tableau182987[[#This Row],[Age]],$AU$21:$AU$29)*$B$10+$AT$11*$B$10,SUMIF($AS$21:$AS$29,Tableau182987[[#This Row],[Age]],$AU$21:$AU$29)*$B$10+$AT$11*$B$10),"")</f>
        <v/>
      </c>
      <c r="AM91" s="7" t="str">
        <f>IF(Tableau182987[[#This Row],[Age]]&lt;&gt;"",IF(Tableau182987[[#This Row],[Age]]=$B$11,$AT$10*$B$10,0)+Tableau182987[[#This Row],[VBO]]*$AX$21*$B$10+Tableau182987[[#This Row],[VBI]]*$AX$22*$B$10+Tableau182987[[#This Row],[VBE]]*$AX$23*$B$10,"")</f>
        <v/>
      </c>
      <c r="AN91" s="7" t="s">
        <v>166</v>
      </c>
      <c r="AO91" s="7" t="s">
        <v>166</v>
      </c>
      <c r="AP91" s="7" t="str">
        <f>IF(Tableau182987[[#This Row],[Age]]&lt;&gt;"",Tableau182987[[#This Row],[RA]]-Tableau182987[[#This Row],[DA]],"")</f>
        <v/>
      </c>
    </row>
    <row r="92" spans="1:42" ht="15" customHeight="1" x14ac:dyDescent="0.2">
      <c r="A92" s="3" t="s">
        <v>91</v>
      </c>
      <c r="B92" s="3" t="s">
        <v>143</v>
      </c>
      <c r="C92" s="3" t="s">
        <v>144</v>
      </c>
      <c r="L92" s="4"/>
      <c r="M92" s="4"/>
      <c r="N92" s="4"/>
      <c r="O92" s="5" t="str">
        <f t="shared" si="12"/>
        <v/>
      </c>
      <c r="P92" s="5" t="str">
        <f t="shared" si="13"/>
        <v/>
      </c>
      <c r="Q92" s="5" t="str">
        <f t="shared" si="14"/>
        <v/>
      </c>
      <c r="R92" s="5" t="s">
        <v>166</v>
      </c>
      <c r="S92" s="5" t="s">
        <v>166</v>
      </c>
      <c r="T92" s="5" t="str">
        <f t="shared" si="15"/>
        <v/>
      </c>
      <c r="U92" s="5" t="str">
        <f t="shared" si="16"/>
        <v/>
      </c>
      <c r="V92" s="5" t="str">
        <f>IF($E$4="Embrousaillement",Tableau182987[[#This Row],[SOL]],"")</f>
        <v/>
      </c>
      <c r="W92" s="5" t="str">
        <f>IF($E$4="Embrousaillement",Tableau182987[[#This Row],[L]],"")</f>
        <v/>
      </c>
      <c r="X92" s="5" t="s">
        <v>166</v>
      </c>
      <c r="Y92" s="5" t="str">
        <f t="shared" si="17"/>
        <v/>
      </c>
      <c r="Z92" s="5" t="str">
        <f t="shared" si="18"/>
        <v/>
      </c>
      <c r="AA92" s="5" t="str">
        <f t="shared" si="19"/>
        <v/>
      </c>
      <c r="AB92" s="5" t="s">
        <v>166</v>
      </c>
      <c r="AC92" s="5" t="s">
        <v>166</v>
      </c>
      <c r="AD92" s="5" t="str">
        <f t="shared" si="20"/>
        <v/>
      </c>
      <c r="AE92" s="5" t="s">
        <v>166</v>
      </c>
      <c r="AF92" s="5" t="s">
        <v>166</v>
      </c>
      <c r="AG92" s="5" t="str">
        <f t="shared" si="21"/>
        <v/>
      </c>
      <c r="AH92" s="5" t="s">
        <v>166</v>
      </c>
      <c r="AI92" s="5" t="s">
        <v>166</v>
      </c>
      <c r="AJ92" s="5" t="str">
        <f t="shared" si="22"/>
        <v/>
      </c>
      <c r="AK92" s="5" t="str">
        <f t="shared" si="23"/>
        <v/>
      </c>
      <c r="AL92" s="7" t="str">
        <f>IF(Tableau182987[[#This Row],[Age]]&lt;&gt;"",IF(Tableau182987[[#This Row],[Age]]=0,$AT$10*$B$10+SUMIF($AS$21:$AS$29,Tableau182987[[#This Row],[Age]],$AU$21:$AU$29)*$B$10+$AT$11*$B$10,SUMIF($AS$21:$AS$29,Tableau182987[[#This Row],[Age]],$AU$21:$AU$29)*$B$10+$AT$11*$B$10),"")</f>
        <v/>
      </c>
      <c r="AM92" s="7" t="str">
        <f>IF(Tableau182987[[#This Row],[Age]]&lt;&gt;"",IF(Tableau182987[[#This Row],[Age]]=$B$11,$AT$10*$B$10,0)+Tableau182987[[#This Row],[VBO]]*$AX$21*$B$10+Tableau182987[[#This Row],[VBI]]*$AX$22*$B$10+Tableau182987[[#This Row],[VBE]]*$AX$23*$B$10,"")</f>
        <v/>
      </c>
      <c r="AN92" s="7" t="s">
        <v>166</v>
      </c>
      <c r="AO92" s="7" t="s">
        <v>166</v>
      </c>
      <c r="AP92" s="7" t="str">
        <f>IF(Tableau182987[[#This Row],[Age]]&lt;&gt;"",Tableau182987[[#This Row],[RA]]-Tableau182987[[#This Row],[DA]],"")</f>
        <v/>
      </c>
    </row>
    <row r="93" spans="1:42" ht="15" customHeight="1" x14ac:dyDescent="0.2">
      <c r="A93" s="3" t="s">
        <v>28</v>
      </c>
      <c r="B93" s="3" t="s">
        <v>145</v>
      </c>
      <c r="C93" s="3" t="s">
        <v>146</v>
      </c>
      <c r="L93" s="4"/>
      <c r="M93" s="4"/>
      <c r="N93" s="4"/>
      <c r="O93" s="5" t="str">
        <f t="shared" si="12"/>
        <v/>
      </c>
      <c r="P93" s="5" t="str">
        <f t="shared" si="13"/>
        <v/>
      </c>
      <c r="Q93" s="5" t="str">
        <f t="shared" si="14"/>
        <v/>
      </c>
      <c r="R93" s="5" t="s">
        <v>166</v>
      </c>
      <c r="S93" s="5" t="s">
        <v>166</v>
      </c>
      <c r="T93" s="5" t="str">
        <f t="shared" si="15"/>
        <v/>
      </c>
      <c r="U93" s="5" t="str">
        <f t="shared" si="16"/>
        <v/>
      </c>
      <c r="V93" s="5" t="str">
        <f>IF($E$4="Embrousaillement",Tableau182987[[#This Row],[SOL]],"")</f>
        <v/>
      </c>
      <c r="W93" s="5" t="str">
        <f>IF($E$4="Embrousaillement",Tableau182987[[#This Row],[L]],"")</f>
        <v/>
      </c>
      <c r="X93" s="5" t="s">
        <v>166</v>
      </c>
      <c r="Y93" s="5" t="str">
        <f t="shared" si="17"/>
        <v/>
      </c>
      <c r="Z93" s="5" t="str">
        <f t="shared" si="18"/>
        <v/>
      </c>
      <c r="AA93" s="5" t="str">
        <f t="shared" si="19"/>
        <v/>
      </c>
      <c r="AB93" s="5" t="s">
        <v>166</v>
      </c>
      <c r="AC93" s="5" t="s">
        <v>166</v>
      </c>
      <c r="AD93" s="5" t="str">
        <f t="shared" si="20"/>
        <v/>
      </c>
      <c r="AE93" s="5" t="s">
        <v>166</v>
      </c>
      <c r="AF93" s="5" t="s">
        <v>166</v>
      </c>
      <c r="AG93" s="5" t="str">
        <f t="shared" si="21"/>
        <v/>
      </c>
      <c r="AH93" s="5" t="s">
        <v>166</v>
      </c>
      <c r="AI93" s="5" t="s">
        <v>166</v>
      </c>
      <c r="AJ93" s="5" t="str">
        <f t="shared" si="22"/>
        <v/>
      </c>
      <c r="AK93" s="5" t="str">
        <f t="shared" si="23"/>
        <v/>
      </c>
      <c r="AL93" s="7" t="str">
        <f>IF(Tableau182987[[#This Row],[Age]]&lt;&gt;"",IF(Tableau182987[[#This Row],[Age]]=0,$AT$10*$B$10+SUMIF($AS$21:$AS$29,Tableau182987[[#This Row],[Age]],$AU$21:$AU$29)*$B$10+$AT$11*$B$10,SUMIF($AS$21:$AS$29,Tableau182987[[#This Row],[Age]],$AU$21:$AU$29)*$B$10+$AT$11*$B$10),"")</f>
        <v/>
      </c>
      <c r="AM93" s="7" t="str">
        <f>IF(Tableau182987[[#This Row],[Age]]&lt;&gt;"",IF(Tableau182987[[#This Row],[Age]]=$B$11,$AT$10*$B$10,0)+Tableau182987[[#This Row],[VBO]]*$AX$21*$B$10+Tableau182987[[#This Row],[VBI]]*$AX$22*$B$10+Tableau182987[[#This Row],[VBE]]*$AX$23*$B$10,"")</f>
        <v/>
      </c>
      <c r="AN93" s="7" t="s">
        <v>166</v>
      </c>
      <c r="AO93" s="7" t="s">
        <v>166</v>
      </c>
      <c r="AP93" s="7" t="str">
        <f>IF(Tableau182987[[#This Row],[Age]]&lt;&gt;"",Tableau182987[[#This Row],[RA]]-Tableau182987[[#This Row],[DA]],"")</f>
        <v/>
      </c>
    </row>
    <row r="94" spans="1:42" ht="15" customHeight="1" x14ac:dyDescent="0.2">
      <c r="A94" s="3" t="s">
        <v>29</v>
      </c>
      <c r="B94" s="3" t="s">
        <v>145</v>
      </c>
      <c r="C94" s="3" t="s">
        <v>147</v>
      </c>
      <c r="L94" s="4"/>
      <c r="M94" s="4"/>
      <c r="N94" s="4"/>
      <c r="O94" s="5" t="str">
        <f t="shared" si="12"/>
        <v/>
      </c>
      <c r="P94" s="5" t="str">
        <f t="shared" si="13"/>
        <v/>
      </c>
      <c r="Q94" s="5" t="str">
        <f t="shared" si="14"/>
        <v/>
      </c>
      <c r="R94" s="5" t="s">
        <v>166</v>
      </c>
      <c r="S94" s="5" t="s">
        <v>166</v>
      </c>
      <c r="T94" s="5" t="str">
        <f t="shared" si="15"/>
        <v/>
      </c>
      <c r="U94" s="5" t="str">
        <f t="shared" si="16"/>
        <v/>
      </c>
      <c r="V94" s="5" t="str">
        <f>IF($E$4="Embrousaillement",Tableau182987[[#This Row],[SOL]],"")</f>
        <v/>
      </c>
      <c r="W94" s="5" t="str">
        <f>IF($E$4="Embrousaillement",Tableau182987[[#This Row],[L]],"")</f>
        <v/>
      </c>
      <c r="X94" s="5" t="s">
        <v>166</v>
      </c>
      <c r="Y94" s="5" t="str">
        <f t="shared" si="17"/>
        <v/>
      </c>
      <c r="Z94" s="5" t="str">
        <f t="shared" si="18"/>
        <v/>
      </c>
      <c r="AA94" s="5" t="str">
        <f t="shared" si="19"/>
        <v/>
      </c>
      <c r="AB94" s="5" t="s">
        <v>166</v>
      </c>
      <c r="AC94" s="5" t="s">
        <v>166</v>
      </c>
      <c r="AD94" s="5" t="str">
        <f t="shared" si="20"/>
        <v/>
      </c>
      <c r="AE94" s="5" t="s">
        <v>166</v>
      </c>
      <c r="AF94" s="5" t="s">
        <v>166</v>
      </c>
      <c r="AG94" s="5" t="str">
        <f t="shared" si="21"/>
        <v/>
      </c>
      <c r="AH94" s="5" t="s">
        <v>166</v>
      </c>
      <c r="AI94" s="5" t="s">
        <v>166</v>
      </c>
      <c r="AJ94" s="5" t="str">
        <f t="shared" si="22"/>
        <v/>
      </c>
      <c r="AK94" s="5" t="str">
        <f t="shared" si="23"/>
        <v/>
      </c>
      <c r="AL94" s="7" t="str">
        <f>IF(Tableau182987[[#This Row],[Age]]&lt;&gt;"",IF(Tableau182987[[#This Row],[Age]]=0,$AT$10*$B$10+SUMIF($AS$21:$AS$29,Tableau182987[[#This Row],[Age]],$AU$21:$AU$29)*$B$10+$AT$11*$B$10,SUMIF($AS$21:$AS$29,Tableau182987[[#This Row],[Age]],$AU$21:$AU$29)*$B$10+$AT$11*$B$10),"")</f>
        <v/>
      </c>
      <c r="AM94" s="7" t="str">
        <f>IF(Tableau182987[[#This Row],[Age]]&lt;&gt;"",IF(Tableau182987[[#This Row],[Age]]=$B$11,$AT$10*$B$10,0)+Tableau182987[[#This Row],[VBO]]*$AX$21*$B$10+Tableau182987[[#This Row],[VBI]]*$AX$22*$B$10+Tableau182987[[#This Row],[VBE]]*$AX$23*$B$10,"")</f>
        <v/>
      </c>
      <c r="AN94" s="7" t="s">
        <v>166</v>
      </c>
      <c r="AO94" s="7" t="s">
        <v>166</v>
      </c>
      <c r="AP94" s="7" t="str">
        <f>IF(Tableau182987[[#This Row],[Age]]&lt;&gt;"",Tableau182987[[#This Row],[RA]]-Tableau182987[[#This Row],[DA]],"")</f>
        <v/>
      </c>
    </row>
    <row r="95" spans="1:42" ht="15" customHeight="1" x14ac:dyDescent="0.2">
      <c r="A95" s="3" t="s">
        <v>30</v>
      </c>
      <c r="B95" s="3" t="s">
        <v>145</v>
      </c>
      <c r="C95" s="3" t="s">
        <v>148</v>
      </c>
      <c r="L95" s="4"/>
      <c r="M95" s="4"/>
      <c r="N95" s="4"/>
      <c r="O95" s="5" t="str">
        <f t="shared" si="12"/>
        <v/>
      </c>
      <c r="P95" s="5" t="str">
        <f t="shared" si="13"/>
        <v/>
      </c>
      <c r="Q95" s="5" t="str">
        <f t="shared" si="14"/>
        <v/>
      </c>
      <c r="R95" s="5" t="s">
        <v>166</v>
      </c>
      <c r="S95" s="5" t="s">
        <v>166</v>
      </c>
      <c r="T95" s="5" t="str">
        <f t="shared" si="15"/>
        <v/>
      </c>
      <c r="U95" s="5" t="str">
        <f t="shared" si="16"/>
        <v/>
      </c>
      <c r="V95" s="5" t="str">
        <f>IF($E$4="Embrousaillement",Tableau182987[[#This Row],[SOL]],"")</f>
        <v/>
      </c>
      <c r="W95" s="5" t="str">
        <f>IF($E$4="Embrousaillement",Tableau182987[[#This Row],[L]],"")</f>
        <v/>
      </c>
      <c r="X95" s="5" t="s">
        <v>166</v>
      </c>
      <c r="Y95" s="5" t="str">
        <f t="shared" si="17"/>
        <v/>
      </c>
      <c r="Z95" s="5" t="str">
        <f t="shared" si="18"/>
        <v/>
      </c>
      <c r="AA95" s="5" t="str">
        <f t="shared" si="19"/>
        <v/>
      </c>
      <c r="AB95" s="5" t="s">
        <v>166</v>
      </c>
      <c r="AC95" s="5" t="s">
        <v>166</v>
      </c>
      <c r="AD95" s="5" t="str">
        <f t="shared" si="20"/>
        <v/>
      </c>
      <c r="AE95" s="5" t="s">
        <v>166</v>
      </c>
      <c r="AF95" s="5" t="s">
        <v>166</v>
      </c>
      <c r="AG95" s="5" t="str">
        <f t="shared" si="21"/>
        <v/>
      </c>
      <c r="AH95" s="5" t="s">
        <v>166</v>
      </c>
      <c r="AI95" s="5" t="s">
        <v>166</v>
      </c>
      <c r="AJ95" s="5" t="str">
        <f t="shared" si="22"/>
        <v/>
      </c>
      <c r="AK95" s="5" t="str">
        <f t="shared" si="23"/>
        <v/>
      </c>
      <c r="AL95" s="7" t="str">
        <f>IF(Tableau182987[[#This Row],[Age]]&lt;&gt;"",IF(Tableau182987[[#This Row],[Age]]=0,$AT$10*$B$10+SUMIF($AS$21:$AS$29,Tableau182987[[#This Row],[Age]],$AU$21:$AU$29)*$B$10+$AT$11*$B$10,SUMIF($AS$21:$AS$29,Tableau182987[[#This Row],[Age]],$AU$21:$AU$29)*$B$10+$AT$11*$B$10),"")</f>
        <v/>
      </c>
      <c r="AM95" s="7" t="str">
        <f>IF(Tableau182987[[#This Row],[Age]]&lt;&gt;"",IF(Tableau182987[[#This Row],[Age]]=$B$11,$AT$10*$B$10,0)+Tableau182987[[#This Row],[VBO]]*$AX$21*$B$10+Tableau182987[[#This Row],[VBI]]*$AX$22*$B$10+Tableau182987[[#This Row],[VBE]]*$AX$23*$B$10,"")</f>
        <v/>
      </c>
      <c r="AN95" s="7" t="s">
        <v>166</v>
      </c>
      <c r="AO95" s="7" t="s">
        <v>166</v>
      </c>
      <c r="AP95" s="7" t="str">
        <f>IF(Tableau182987[[#This Row],[Age]]&lt;&gt;"",Tableau182987[[#This Row],[RA]]-Tableau182987[[#This Row],[DA]],"")</f>
        <v/>
      </c>
    </row>
    <row r="96" spans="1:42" ht="15" customHeight="1" x14ac:dyDescent="0.2">
      <c r="A96" s="3" t="s">
        <v>31</v>
      </c>
      <c r="B96" s="3" t="s">
        <v>145</v>
      </c>
      <c r="C96" s="3" t="s">
        <v>149</v>
      </c>
      <c r="L96" s="4"/>
      <c r="M96" s="4"/>
      <c r="N96" s="4"/>
      <c r="O96" s="5" t="str">
        <f t="shared" si="12"/>
        <v/>
      </c>
      <c r="P96" s="5" t="str">
        <f t="shared" si="13"/>
        <v/>
      </c>
      <c r="Q96" s="5" t="str">
        <f t="shared" si="14"/>
        <v/>
      </c>
      <c r="R96" s="5" t="s">
        <v>166</v>
      </c>
      <c r="S96" s="5" t="s">
        <v>166</v>
      </c>
      <c r="T96" s="5" t="str">
        <f t="shared" si="15"/>
        <v/>
      </c>
      <c r="U96" s="5" t="str">
        <f t="shared" si="16"/>
        <v/>
      </c>
      <c r="V96" s="5" t="str">
        <f>IF($E$4="Embrousaillement",Tableau182987[[#This Row],[SOL]],"")</f>
        <v/>
      </c>
      <c r="W96" s="5" t="str">
        <f>IF($E$4="Embrousaillement",Tableau182987[[#This Row],[L]],"")</f>
        <v/>
      </c>
      <c r="X96" s="5" t="s">
        <v>166</v>
      </c>
      <c r="Y96" s="5" t="str">
        <f t="shared" si="17"/>
        <v/>
      </c>
      <c r="Z96" s="5" t="str">
        <f t="shared" si="18"/>
        <v/>
      </c>
      <c r="AA96" s="5" t="str">
        <f t="shared" si="19"/>
        <v/>
      </c>
      <c r="AB96" s="5" t="s">
        <v>166</v>
      </c>
      <c r="AC96" s="5" t="s">
        <v>166</v>
      </c>
      <c r="AD96" s="5" t="str">
        <f t="shared" si="20"/>
        <v/>
      </c>
      <c r="AE96" s="5" t="s">
        <v>166</v>
      </c>
      <c r="AF96" s="5" t="s">
        <v>166</v>
      </c>
      <c r="AG96" s="5" t="str">
        <f t="shared" si="21"/>
        <v/>
      </c>
      <c r="AH96" s="5" t="s">
        <v>166</v>
      </c>
      <c r="AI96" s="5" t="s">
        <v>166</v>
      </c>
      <c r="AJ96" s="5" t="str">
        <f t="shared" si="22"/>
        <v/>
      </c>
      <c r="AK96" s="5" t="str">
        <f t="shared" si="23"/>
        <v/>
      </c>
      <c r="AL96" s="7" t="str">
        <f>IF(Tableau182987[[#This Row],[Age]]&lt;&gt;"",IF(Tableau182987[[#This Row],[Age]]=0,$AT$10*$B$10+SUMIF($AS$21:$AS$29,Tableau182987[[#This Row],[Age]],$AU$21:$AU$29)*$B$10+$AT$11*$B$10,SUMIF($AS$21:$AS$29,Tableau182987[[#This Row],[Age]],$AU$21:$AU$29)*$B$10+$AT$11*$B$10),"")</f>
        <v/>
      </c>
      <c r="AM96" s="7" t="str">
        <f>IF(Tableau182987[[#This Row],[Age]]&lt;&gt;"",IF(Tableau182987[[#This Row],[Age]]=$B$11,$AT$10*$B$10,0)+Tableau182987[[#This Row],[VBO]]*$AX$21*$B$10+Tableau182987[[#This Row],[VBI]]*$AX$22*$B$10+Tableau182987[[#This Row],[VBE]]*$AX$23*$B$10,"")</f>
        <v/>
      </c>
      <c r="AN96" s="7" t="s">
        <v>166</v>
      </c>
      <c r="AO96" s="7" t="s">
        <v>166</v>
      </c>
      <c r="AP96" s="7" t="str">
        <f>IF(Tableau182987[[#This Row],[Age]]&lt;&gt;"",Tableau182987[[#This Row],[RA]]-Tableau182987[[#This Row],[DA]],"")</f>
        <v/>
      </c>
    </row>
    <row r="97" spans="1:42" ht="15" customHeight="1" x14ac:dyDescent="0.2">
      <c r="A97" s="3" t="s">
        <v>32</v>
      </c>
      <c r="B97" s="3" t="s">
        <v>145</v>
      </c>
      <c r="C97" s="3" t="s">
        <v>150</v>
      </c>
      <c r="L97" s="4"/>
      <c r="M97" s="4"/>
      <c r="N97" s="4"/>
      <c r="O97" s="5" t="str">
        <f t="shared" si="12"/>
        <v/>
      </c>
      <c r="P97" s="5" t="str">
        <f t="shared" si="13"/>
        <v/>
      </c>
      <c r="Q97" s="5" t="str">
        <f t="shared" si="14"/>
        <v/>
      </c>
      <c r="R97" s="5" t="s">
        <v>166</v>
      </c>
      <c r="S97" s="5" t="s">
        <v>166</v>
      </c>
      <c r="T97" s="5" t="str">
        <f t="shared" si="15"/>
        <v/>
      </c>
      <c r="U97" s="5" t="str">
        <f t="shared" si="16"/>
        <v/>
      </c>
      <c r="V97" s="5" t="str">
        <f>IF($E$4="Embrousaillement",Tableau182987[[#This Row],[SOL]],"")</f>
        <v/>
      </c>
      <c r="W97" s="5" t="str">
        <f>IF($E$4="Embrousaillement",Tableau182987[[#This Row],[L]],"")</f>
        <v/>
      </c>
      <c r="X97" s="5" t="s">
        <v>166</v>
      </c>
      <c r="Y97" s="5" t="str">
        <f t="shared" si="17"/>
        <v/>
      </c>
      <c r="Z97" s="5" t="str">
        <f t="shared" si="18"/>
        <v/>
      </c>
      <c r="AA97" s="5" t="str">
        <f t="shared" si="19"/>
        <v/>
      </c>
      <c r="AB97" s="5" t="s">
        <v>166</v>
      </c>
      <c r="AC97" s="5" t="s">
        <v>166</v>
      </c>
      <c r="AD97" s="5" t="str">
        <f t="shared" si="20"/>
        <v/>
      </c>
      <c r="AE97" s="5" t="s">
        <v>166</v>
      </c>
      <c r="AF97" s="5" t="s">
        <v>166</v>
      </c>
      <c r="AG97" s="5" t="str">
        <f t="shared" si="21"/>
        <v/>
      </c>
      <c r="AH97" s="5" t="s">
        <v>166</v>
      </c>
      <c r="AI97" s="5" t="s">
        <v>166</v>
      </c>
      <c r="AJ97" s="5" t="str">
        <f t="shared" si="22"/>
        <v/>
      </c>
      <c r="AK97" s="5" t="str">
        <f t="shared" si="23"/>
        <v/>
      </c>
      <c r="AL97" s="7" t="str">
        <f>IF(Tableau182987[[#This Row],[Age]]&lt;&gt;"",IF(Tableau182987[[#This Row],[Age]]=0,$AT$10*$B$10+SUMIF($AS$21:$AS$29,Tableau182987[[#This Row],[Age]],$AU$21:$AU$29)*$B$10+$AT$11*$B$10,SUMIF($AS$21:$AS$29,Tableau182987[[#This Row],[Age]],$AU$21:$AU$29)*$B$10+$AT$11*$B$10),"")</f>
        <v/>
      </c>
      <c r="AM97" s="7" t="str">
        <f>IF(Tableau182987[[#This Row],[Age]]&lt;&gt;"",IF(Tableau182987[[#This Row],[Age]]=$B$11,$AT$10*$B$10,0)+Tableau182987[[#This Row],[VBO]]*$AX$21*$B$10+Tableau182987[[#This Row],[VBI]]*$AX$22*$B$10+Tableau182987[[#This Row],[VBE]]*$AX$23*$B$10,"")</f>
        <v/>
      </c>
      <c r="AN97" s="7" t="s">
        <v>166</v>
      </c>
      <c r="AO97" s="7" t="s">
        <v>166</v>
      </c>
      <c r="AP97" s="7" t="str">
        <f>IF(Tableau182987[[#This Row],[Age]]&lt;&gt;"",Tableau182987[[#This Row],[RA]]-Tableau182987[[#This Row],[DA]],"")</f>
        <v/>
      </c>
    </row>
    <row r="98" spans="1:42" ht="15" customHeight="1" x14ac:dyDescent="0.2">
      <c r="A98" s="3" t="s">
        <v>151</v>
      </c>
      <c r="B98" s="3" t="s">
        <v>145</v>
      </c>
      <c r="C98" s="3" t="s">
        <v>152</v>
      </c>
      <c r="L98" s="4"/>
      <c r="M98" s="4"/>
      <c r="N98" s="4"/>
      <c r="O98" s="5" t="str">
        <f t="shared" si="12"/>
        <v/>
      </c>
      <c r="P98" s="5" t="str">
        <f t="shared" si="13"/>
        <v/>
      </c>
      <c r="Q98" s="5" t="str">
        <f t="shared" si="14"/>
        <v/>
      </c>
      <c r="R98" s="5" t="s">
        <v>166</v>
      </c>
      <c r="S98" s="5" t="s">
        <v>166</v>
      </c>
      <c r="T98" s="5" t="str">
        <f t="shared" si="15"/>
        <v/>
      </c>
      <c r="U98" s="5" t="str">
        <f t="shared" si="16"/>
        <v/>
      </c>
      <c r="V98" s="5" t="str">
        <f>IF($E$4="Embrousaillement",Tableau182987[[#This Row],[SOL]],"")</f>
        <v/>
      </c>
      <c r="W98" s="5" t="str">
        <f>IF($E$4="Embrousaillement",Tableau182987[[#This Row],[L]],"")</f>
        <v/>
      </c>
      <c r="X98" s="5" t="s">
        <v>166</v>
      </c>
      <c r="Y98" s="5" t="str">
        <f t="shared" si="17"/>
        <v/>
      </c>
      <c r="Z98" s="5" t="str">
        <f t="shared" si="18"/>
        <v/>
      </c>
      <c r="AA98" s="5" t="str">
        <f t="shared" si="19"/>
        <v/>
      </c>
      <c r="AB98" s="5" t="s">
        <v>166</v>
      </c>
      <c r="AC98" s="5" t="s">
        <v>166</v>
      </c>
      <c r="AD98" s="5" t="str">
        <f t="shared" si="20"/>
        <v/>
      </c>
      <c r="AE98" s="5" t="s">
        <v>166</v>
      </c>
      <c r="AF98" s="5" t="s">
        <v>166</v>
      </c>
      <c r="AG98" s="5" t="str">
        <f t="shared" si="21"/>
        <v/>
      </c>
      <c r="AH98" s="5" t="s">
        <v>166</v>
      </c>
      <c r="AI98" s="5" t="s">
        <v>166</v>
      </c>
      <c r="AJ98" s="5" t="str">
        <f t="shared" si="22"/>
        <v/>
      </c>
      <c r="AK98" s="5" t="str">
        <f t="shared" si="23"/>
        <v/>
      </c>
      <c r="AL98" s="7" t="str">
        <f>IF(Tableau182987[[#This Row],[Age]]&lt;&gt;"",IF(Tableau182987[[#This Row],[Age]]=0,$AT$10*$B$10+SUMIF($AS$21:$AS$29,Tableau182987[[#This Row],[Age]],$AU$21:$AU$29)*$B$10+$AT$11*$B$10,SUMIF($AS$21:$AS$29,Tableau182987[[#This Row],[Age]],$AU$21:$AU$29)*$B$10+$AT$11*$B$10),"")</f>
        <v/>
      </c>
      <c r="AM98" s="7" t="str">
        <f>IF(Tableau182987[[#This Row],[Age]]&lt;&gt;"",IF(Tableau182987[[#This Row],[Age]]=$B$11,$AT$10*$B$10,0)+Tableau182987[[#This Row],[VBO]]*$AX$21*$B$10+Tableau182987[[#This Row],[VBI]]*$AX$22*$B$10+Tableau182987[[#This Row],[VBE]]*$AX$23*$B$10,"")</f>
        <v/>
      </c>
      <c r="AN98" s="7" t="s">
        <v>166</v>
      </c>
      <c r="AO98" s="7" t="s">
        <v>166</v>
      </c>
      <c r="AP98" s="7" t="str">
        <f>IF(Tableau182987[[#This Row],[Age]]&lt;&gt;"",Tableau182987[[#This Row],[RA]]-Tableau182987[[#This Row],[DA]],"")</f>
        <v/>
      </c>
    </row>
    <row r="99" spans="1:42" ht="15" customHeight="1" x14ac:dyDescent="0.2">
      <c r="A99" s="3" t="s">
        <v>153</v>
      </c>
      <c r="B99" s="3" t="s">
        <v>145</v>
      </c>
      <c r="C99" s="3" t="s">
        <v>154</v>
      </c>
      <c r="L99" s="4"/>
      <c r="M99" s="4"/>
      <c r="N99" s="4"/>
      <c r="O99" s="5" t="str">
        <f t="shared" si="12"/>
        <v/>
      </c>
      <c r="P99" s="5" t="str">
        <f t="shared" si="13"/>
        <v/>
      </c>
      <c r="Q99" s="5" t="str">
        <f t="shared" si="14"/>
        <v/>
      </c>
      <c r="R99" s="5" t="s">
        <v>166</v>
      </c>
      <c r="S99" s="5" t="s">
        <v>166</v>
      </c>
      <c r="T99" s="5" t="str">
        <f t="shared" si="15"/>
        <v/>
      </c>
      <c r="U99" s="5" t="str">
        <f t="shared" si="16"/>
        <v/>
      </c>
      <c r="V99" s="5" t="str">
        <f>IF($E$4="Embrousaillement",Tableau182987[[#This Row],[SOL]],"")</f>
        <v/>
      </c>
      <c r="W99" s="5" t="str">
        <f>IF($E$4="Embrousaillement",Tableau182987[[#This Row],[L]],"")</f>
        <v/>
      </c>
      <c r="X99" s="5" t="s">
        <v>166</v>
      </c>
      <c r="Y99" s="5" t="str">
        <f t="shared" si="17"/>
        <v/>
      </c>
      <c r="Z99" s="5" t="str">
        <f t="shared" si="18"/>
        <v/>
      </c>
      <c r="AA99" s="5" t="str">
        <f t="shared" si="19"/>
        <v/>
      </c>
      <c r="AB99" s="5" t="s">
        <v>166</v>
      </c>
      <c r="AC99" s="5" t="s">
        <v>166</v>
      </c>
      <c r="AD99" s="5" t="str">
        <f t="shared" si="20"/>
        <v/>
      </c>
      <c r="AE99" s="5" t="s">
        <v>166</v>
      </c>
      <c r="AF99" s="5" t="s">
        <v>166</v>
      </c>
      <c r="AG99" s="5" t="str">
        <f t="shared" si="21"/>
        <v/>
      </c>
      <c r="AH99" s="5" t="s">
        <v>166</v>
      </c>
      <c r="AI99" s="5" t="s">
        <v>166</v>
      </c>
      <c r="AJ99" s="5" t="str">
        <f t="shared" si="22"/>
        <v/>
      </c>
      <c r="AK99" s="5" t="str">
        <f t="shared" si="23"/>
        <v/>
      </c>
      <c r="AL99" s="7" t="str">
        <f>IF(Tableau182987[[#This Row],[Age]]&lt;&gt;"",IF(Tableau182987[[#This Row],[Age]]=0,$AT$10*$B$10+SUMIF($AS$21:$AS$29,Tableau182987[[#This Row],[Age]],$AU$21:$AU$29)*$B$10+$AT$11*$B$10,SUMIF($AS$21:$AS$29,Tableau182987[[#This Row],[Age]],$AU$21:$AU$29)*$B$10+$AT$11*$B$10),"")</f>
        <v/>
      </c>
      <c r="AM99" s="7" t="str">
        <f>IF(Tableau182987[[#This Row],[Age]]&lt;&gt;"",IF(Tableau182987[[#This Row],[Age]]=$B$11,$AT$10*$B$10,0)+Tableau182987[[#This Row],[VBO]]*$AX$21*$B$10+Tableau182987[[#This Row],[VBI]]*$AX$22*$B$10+Tableau182987[[#This Row],[VBE]]*$AX$23*$B$10,"")</f>
        <v/>
      </c>
      <c r="AN99" s="7" t="s">
        <v>166</v>
      </c>
      <c r="AO99" s="7" t="s">
        <v>166</v>
      </c>
      <c r="AP99" s="7" t="str">
        <f>IF(Tableau182987[[#This Row],[Age]]&lt;&gt;"",Tableau182987[[#This Row],[RA]]-Tableau182987[[#This Row],[DA]],"")</f>
        <v/>
      </c>
    </row>
    <row r="100" spans="1:42" ht="15" customHeight="1" x14ac:dyDescent="0.2">
      <c r="A100" s="3" t="s">
        <v>155</v>
      </c>
      <c r="B100" s="3" t="s">
        <v>145</v>
      </c>
      <c r="C100" s="3" t="s">
        <v>156</v>
      </c>
      <c r="L100" s="4"/>
      <c r="M100" s="4"/>
      <c r="N100" s="4"/>
      <c r="O100" s="5" t="str">
        <f t="shared" si="12"/>
        <v/>
      </c>
      <c r="P100" s="5" t="str">
        <f t="shared" si="13"/>
        <v/>
      </c>
      <c r="Q100" s="5" t="str">
        <f t="shared" si="14"/>
        <v/>
      </c>
      <c r="R100" s="5" t="s">
        <v>166</v>
      </c>
      <c r="S100" s="5" t="s">
        <v>166</v>
      </c>
      <c r="T100" s="5" t="str">
        <f t="shared" si="15"/>
        <v/>
      </c>
      <c r="U100" s="5" t="str">
        <f t="shared" si="16"/>
        <v/>
      </c>
      <c r="V100" s="5" t="str">
        <f>IF($E$4="Embrousaillement",Tableau182987[[#This Row],[SOL]],"")</f>
        <v/>
      </c>
      <c r="W100" s="5" t="str">
        <f>IF($E$4="Embrousaillement",Tableau182987[[#This Row],[L]],"")</f>
        <v/>
      </c>
      <c r="X100" s="5" t="s">
        <v>166</v>
      </c>
      <c r="Y100" s="5" t="str">
        <f t="shared" si="17"/>
        <v/>
      </c>
      <c r="Z100" s="5" t="str">
        <f t="shared" si="18"/>
        <v/>
      </c>
      <c r="AA100" s="5" t="str">
        <f t="shared" si="19"/>
        <v/>
      </c>
      <c r="AB100" s="5" t="s">
        <v>166</v>
      </c>
      <c r="AC100" s="5" t="s">
        <v>166</v>
      </c>
      <c r="AD100" s="5" t="str">
        <f t="shared" si="20"/>
        <v/>
      </c>
      <c r="AE100" s="5" t="s">
        <v>166</v>
      </c>
      <c r="AF100" s="5" t="s">
        <v>166</v>
      </c>
      <c r="AG100" s="5" t="str">
        <f t="shared" si="21"/>
        <v/>
      </c>
      <c r="AH100" s="5" t="s">
        <v>166</v>
      </c>
      <c r="AI100" s="5" t="s">
        <v>166</v>
      </c>
      <c r="AJ100" s="5" t="str">
        <f t="shared" si="22"/>
        <v/>
      </c>
      <c r="AK100" s="5" t="str">
        <f t="shared" si="23"/>
        <v/>
      </c>
      <c r="AL100" s="7" t="str">
        <f>IF(Tableau182987[[#This Row],[Age]]&lt;&gt;"",IF(Tableau182987[[#This Row],[Age]]=0,$AT$10*$B$10+SUMIF($AS$21:$AS$29,Tableau182987[[#This Row],[Age]],$AU$21:$AU$29)*$B$10+$AT$11*$B$10,SUMIF($AS$21:$AS$29,Tableau182987[[#This Row],[Age]],$AU$21:$AU$29)*$B$10+$AT$11*$B$10),"")</f>
        <v/>
      </c>
      <c r="AM100" s="7" t="str">
        <f>IF(Tableau182987[[#This Row],[Age]]&lt;&gt;"",IF(Tableau182987[[#This Row],[Age]]=$B$11,$AT$10*$B$10,0)+Tableau182987[[#This Row],[VBO]]*$AX$21*$B$10+Tableau182987[[#This Row],[VBI]]*$AX$22*$B$10+Tableau182987[[#This Row],[VBE]]*$AX$23*$B$10,"")</f>
        <v/>
      </c>
      <c r="AN100" s="7" t="s">
        <v>166</v>
      </c>
      <c r="AO100" s="7" t="s">
        <v>166</v>
      </c>
      <c r="AP100" s="7" t="str">
        <f>IF(Tableau182987[[#This Row],[Age]]&lt;&gt;"",Tableau182987[[#This Row],[RA]]-Tableau182987[[#This Row],[DA]],"")</f>
        <v/>
      </c>
    </row>
    <row r="101" spans="1:42" ht="15" customHeight="1" x14ac:dyDescent="0.2">
      <c r="A101" s="3" t="s">
        <v>157</v>
      </c>
      <c r="B101" s="3" t="s">
        <v>145</v>
      </c>
      <c r="C101" s="3" t="s">
        <v>158</v>
      </c>
      <c r="L101" s="4"/>
      <c r="M101" s="4"/>
      <c r="N101" s="4"/>
      <c r="O101" s="5" t="str">
        <f t="shared" si="12"/>
        <v/>
      </c>
      <c r="P101" s="5" t="str">
        <f t="shared" si="13"/>
        <v/>
      </c>
      <c r="Q101" s="5" t="str">
        <f t="shared" si="14"/>
        <v/>
      </c>
      <c r="R101" s="5" t="s">
        <v>166</v>
      </c>
      <c r="S101" s="5" t="s">
        <v>166</v>
      </c>
      <c r="T101" s="5" t="str">
        <f t="shared" si="15"/>
        <v/>
      </c>
      <c r="U101" s="5" t="str">
        <f t="shared" si="16"/>
        <v/>
      </c>
      <c r="V101" s="5" t="str">
        <f>IF($E$4="Embrousaillement",Tableau182987[[#This Row],[SOL]],"")</f>
        <v/>
      </c>
      <c r="W101" s="5" t="str">
        <f>IF($E$4="Embrousaillement",Tableau182987[[#This Row],[L]],"")</f>
        <v/>
      </c>
      <c r="X101" s="5" t="s">
        <v>166</v>
      </c>
      <c r="Y101" s="5" t="str">
        <f t="shared" si="17"/>
        <v/>
      </c>
      <c r="Z101" s="5" t="str">
        <f t="shared" si="18"/>
        <v/>
      </c>
      <c r="AA101" s="5" t="str">
        <f t="shared" si="19"/>
        <v/>
      </c>
      <c r="AB101" s="5" t="s">
        <v>166</v>
      </c>
      <c r="AC101" s="5" t="s">
        <v>166</v>
      </c>
      <c r="AD101" s="5" t="str">
        <f t="shared" si="20"/>
        <v/>
      </c>
      <c r="AE101" s="5" t="s">
        <v>166</v>
      </c>
      <c r="AF101" s="5" t="s">
        <v>166</v>
      </c>
      <c r="AG101" s="5" t="str">
        <f t="shared" si="21"/>
        <v/>
      </c>
      <c r="AH101" s="5" t="s">
        <v>166</v>
      </c>
      <c r="AI101" s="5" t="s">
        <v>166</v>
      </c>
      <c r="AJ101" s="5" t="str">
        <f t="shared" si="22"/>
        <v/>
      </c>
      <c r="AK101" s="5" t="str">
        <f t="shared" si="23"/>
        <v/>
      </c>
      <c r="AL101" s="7" t="str">
        <f>IF(Tableau182987[[#This Row],[Age]]&lt;&gt;"",IF(Tableau182987[[#This Row],[Age]]=0,$AT$10*$B$10+SUMIF($AS$21:$AS$29,Tableau182987[[#This Row],[Age]],$AU$21:$AU$29)*$B$10+$AT$11*$B$10,SUMIF($AS$21:$AS$29,Tableau182987[[#This Row],[Age]],$AU$21:$AU$29)*$B$10+$AT$11*$B$10),"")</f>
        <v/>
      </c>
      <c r="AM101" s="7" t="str">
        <f>IF(Tableau182987[[#This Row],[Age]]&lt;&gt;"",IF(Tableau182987[[#This Row],[Age]]=$B$11,$AT$10*$B$10,0)+Tableau182987[[#This Row],[VBO]]*$AX$21*$B$10+Tableau182987[[#This Row],[VBI]]*$AX$22*$B$10+Tableau182987[[#This Row],[VBE]]*$AX$23*$B$10,"")</f>
        <v/>
      </c>
      <c r="AN101" s="7" t="s">
        <v>166</v>
      </c>
      <c r="AO101" s="7" t="s">
        <v>166</v>
      </c>
      <c r="AP101" s="7" t="str">
        <f>IF(Tableau182987[[#This Row],[Age]]&lt;&gt;"",Tableau182987[[#This Row],[RA]]-Tableau182987[[#This Row],[DA]],"")</f>
        <v/>
      </c>
    </row>
    <row r="102" spans="1:42" ht="15" customHeight="1" x14ac:dyDescent="0.2">
      <c r="A102" s="3" t="s">
        <v>159</v>
      </c>
      <c r="B102" s="3" t="s">
        <v>145</v>
      </c>
      <c r="C102" s="3" t="s">
        <v>160</v>
      </c>
      <c r="L102" s="4"/>
      <c r="M102" s="4"/>
      <c r="N102" s="4"/>
      <c r="O102" s="5" t="str">
        <f t="shared" si="12"/>
        <v/>
      </c>
      <c r="P102" s="5" t="str">
        <f t="shared" si="13"/>
        <v/>
      </c>
      <c r="Q102" s="5" t="str">
        <f t="shared" si="14"/>
        <v/>
      </c>
      <c r="R102" s="5" t="s">
        <v>166</v>
      </c>
      <c r="S102" s="5" t="s">
        <v>166</v>
      </c>
      <c r="T102" s="5" t="str">
        <f t="shared" si="15"/>
        <v/>
      </c>
      <c r="U102" s="5" t="str">
        <f t="shared" si="16"/>
        <v/>
      </c>
      <c r="V102" s="5" t="str">
        <f>IF($E$4="Embrousaillement",Tableau182987[[#This Row],[SOL]],"")</f>
        <v/>
      </c>
      <c r="W102" s="5" t="str">
        <f>IF($E$4="Embrousaillement",Tableau182987[[#This Row],[L]],"")</f>
        <v/>
      </c>
      <c r="X102" s="5" t="s">
        <v>166</v>
      </c>
      <c r="Y102" s="5" t="str">
        <f t="shared" si="17"/>
        <v/>
      </c>
      <c r="Z102" s="5" t="str">
        <f t="shared" si="18"/>
        <v/>
      </c>
      <c r="AA102" s="5" t="str">
        <f t="shared" si="19"/>
        <v/>
      </c>
      <c r="AB102" s="5" t="s">
        <v>166</v>
      </c>
      <c r="AC102" s="5" t="s">
        <v>166</v>
      </c>
      <c r="AD102" s="5" t="str">
        <f t="shared" si="20"/>
        <v/>
      </c>
      <c r="AE102" s="5" t="s">
        <v>166</v>
      </c>
      <c r="AF102" s="5" t="s">
        <v>166</v>
      </c>
      <c r="AG102" s="5" t="str">
        <f t="shared" si="21"/>
        <v/>
      </c>
      <c r="AH102" s="5" t="s">
        <v>166</v>
      </c>
      <c r="AI102" s="5" t="s">
        <v>166</v>
      </c>
      <c r="AJ102" s="5" t="str">
        <f t="shared" si="22"/>
        <v/>
      </c>
      <c r="AK102" s="5" t="str">
        <f t="shared" si="23"/>
        <v/>
      </c>
      <c r="AL102" s="7" t="str">
        <f>IF(Tableau182987[[#This Row],[Age]]&lt;&gt;"",IF(Tableau182987[[#This Row],[Age]]=0,$AT$10*$B$10+SUMIF($AS$21:$AS$29,Tableau182987[[#This Row],[Age]],$AU$21:$AU$29)*$B$10+$AT$11*$B$10,SUMIF($AS$21:$AS$29,Tableau182987[[#This Row],[Age]],$AU$21:$AU$29)*$B$10+$AT$11*$B$10),"")</f>
        <v/>
      </c>
      <c r="AM102" s="7" t="str">
        <f>IF(Tableau182987[[#This Row],[Age]]&lt;&gt;"",IF(Tableau182987[[#This Row],[Age]]=$B$11,$AT$10*$B$10,0)+Tableau182987[[#This Row],[VBO]]*$AX$21*$B$10+Tableau182987[[#This Row],[VBI]]*$AX$22*$B$10+Tableau182987[[#This Row],[VBE]]*$AX$23*$B$10,"")</f>
        <v/>
      </c>
      <c r="AN102" s="7" t="s">
        <v>166</v>
      </c>
      <c r="AO102" s="7" t="s">
        <v>166</v>
      </c>
      <c r="AP102" s="7" t="str">
        <f>IF(Tableau182987[[#This Row],[Age]]&lt;&gt;"",Tableau182987[[#This Row],[RA]]-Tableau182987[[#This Row],[DA]],"")</f>
        <v/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Feuil1</vt:lpstr>
      <vt:lpstr>Feuil2</vt:lpstr>
      <vt:lpstr>Feuil3</vt:lpstr>
      <vt:lpstr>Feuil4</vt:lpstr>
      <vt:lpstr>Feuil5</vt:lpstr>
      <vt:lpstr>Feuil6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Laetitia Wolff</dc:creator>
  <cp:lastModifiedBy>Salomé</cp:lastModifiedBy>
  <dcterms:created xsi:type="dcterms:W3CDTF">2021-09-01T07:18:02Z</dcterms:created>
  <dcterms:modified xsi:type="dcterms:W3CDTF">2021-09-14T07:22:27Z</dcterms:modified>
</cp:coreProperties>
</file>