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\Fransylva Services\Financements innovants\Reboisement\GEFCO\Saison 2021-2022\Clients\THEVENIAU\DOSSIER LBC THEVENIAU\"/>
    </mc:Choice>
  </mc:AlternateContent>
  <xr:revisionPtr revIDLastSave="0" documentId="13_ncr:1_{987C582E-B211-4350-9E23-5DCE2752E775}" xr6:coauthVersionLast="47" xr6:coauthVersionMax="47" xr10:uidLastSave="{00000000-0000-0000-0000-000000000000}"/>
  <bookViews>
    <workbookView xWindow="855" yWindow="158" windowWidth="15863" windowHeight="104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HH140" i="2"/>
  <c r="EC140" i="2"/>
  <c r="HG140" i="2"/>
  <c r="EB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C167" i="2"/>
  <c r="HI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DI167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A175" i="2" l="1"/>
  <c r="EB175" i="2"/>
  <c r="A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A179" i="2"/>
  <c r="EB179" i="2"/>
  <c r="HI179" i="2"/>
  <c r="EV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FS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EB199" i="2"/>
  <c r="EA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H201" i="2" l="1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AN89" i="2" l="1"/>
  <c r="AN100" i="2"/>
  <c r="AN108" i="2"/>
  <c r="AN50" i="2"/>
  <c r="AN3" i="2"/>
  <c r="C7" i="4" s="1"/>
  <c r="E7" i="4" s="1"/>
  <c r="F7" i="4" s="1"/>
  <c r="G7" i="4" s="1"/>
  <c r="L7" i="4" s="1"/>
  <c r="AN88" i="2"/>
  <c r="AN62" i="2"/>
  <c r="AN51" i="2"/>
  <c r="AN91" i="2"/>
  <c r="AN107" i="2"/>
  <c r="AN13" i="2"/>
  <c r="AN139" i="2"/>
  <c r="AN31" i="2"/>
  <c r="AN202" i="2"/>
  <c r="AN190" i="2"/>
  <c r="AN47" i="2"/>
  <c r="AN73" i="2"/>
  <c r="AN85" i="2"/>
  <c r="AN110" i="2"/>
  <c r="AN60" i="2"/>
  <c r="AN40" i="2"/>
  <c r="AN27" i="2"/>
  <c r="AN18" i="2"/>
  <c r="AN153" i="2"/>
  <c r="AN106" i="2"/>
  <c r="AN129" i="2"/>
  <c r="AN21" i="2"/>
  <c r="AN183" i="2"/>
  <c r="AN162" i="2"/>
  <c r="AN187" i="2"/>
  <c r="AN177" i="2"/>
  <c r="AN72" i="2"/>
  <c r="AN6" i="2"/>
  <c r="AN193" i="2"/>
  <c r="AN149" i="2"/>
  <c r="AN128" i="2"/>
  <c r="AN192" i="2"/>
  <c r="AN83" i="2"/>
  <c r="AN77" i="2"/>
  <c r="AN22" i="2"/>
  <c r="AN19" i="2"/>
  <c r="AN143" i="2"/>
  <c r="AN4" i="2"/>
  <c r="AN146" i="2"/>
  <c r="AN127" i="2"/>
  <c r="AN163" i="2"/>
  <c r="AN29" i="2"/>
  <c r="AN63" i="2"/>
  <c r="AN185" i="2"/>
  <c r="AN41" i="2"/>
  <c r="AN138" i="2"/>
  <c r="AN45" i="2"/>
  <c r="AN130" i="2"/>
  <c r="AN79" i="2"/>
  <c r="AN201" i="2"/>
  <c r="AN69" i="2"/>
  <c r="AN150" i="2"/>
  <c r="AN152" i="2"/>
  <c r="AN160" i="2"/>
  <c r="AN10" i="2"/>
  <c r="AN20" i="2"/>
  <c r="AN61" i="2"/>
  <c r="AN37" i="2"/>
  <c r="AN111" i="2"/>
  <c r="AN33" i="2"/>
  <c r="AN195" i="2"/>
  <c r="AN102" i="2"/>
  <c r="AN24" i="2"/>
  <c r="AN140" i="2"/>
  <c r="AN36" i="2"/>
  <c r="AN82" i="2"/>
  <c r="AN48" i="2"/>
  <c r="AN75" i="2"/>
  <c r="AN191" i="2"/>
  <c r="AN203" i="2"/>
  <c r="AN145" i="2"/>
  <c r="AN182" i="2"/>
  <c r="AN133" i="2"/>
  <c r="AN90" i="2"/>
  <c r="AN165" i="2"/>
  <c r="AN81" i="2"/>
  <c r="AN196" i="2"/>
  <c r="AN141" i="2"/>
  <c r="AN137" i="2"/>
  <c r="AN121" i="2"/>
  <c r="AN104" i="2"/>
  <c r="AN122" i="2"/>
  <c r="AN135" i="2"/>
  <c r="AN173" i="2"/>
  <c r="AN198" i="2"/>
  <c r="AN52" i="2"/>
  <c r="AN87" i="2"/>
  <c r="AN76" i="2"/>
  <c r="AN30" i="2"/>
  <c r="AN148" i="2"/>
  <c r="AN169" i="2"/>
  <c r="AN59" i="2"/>
  <c r="AN64" i="2"/>
  <c r="AN117" i="2"/>
  <c r="AN142" i="2"/>
  <c r="AN70" i="2"/>
  <c r="AN65" i="2"/>
  <c r="AN23" i="2"/>
  <c r="AN116" i="2"/>
  <c r="AN49" i="2"/>
  <c r="AN57" i="2"/>
  <c r="AN171" i="2"/>
  <c r="AN126" i="2"/>
  <c r="AN28" i="2"/>
  <c r="AN174" i="2"/>
  <c r="AN35" i="2"/>
  <c r="AN58" i="2"/>
  <c r="AN54" i="2"/>
  <c r="AN80" i="2"/>
  <c r="AN43" i="2"/>
  <c r="AN101" i="2"/>
  <c r="AN34" i="2"/>
  <c r="AN118" i="2"/>
  <c r="AN92" i="2"/>
  <c r="AN55" i="2"/>
  <c r="AN97" i="2"/>
  <c r="AN164" i="2"/>
  <c r="AN94" i="2"/>
  <c r="AN109" i="2"/>
  <c r="AN25" i="2"/>
  <c r="AN112" i="2"/>
  <c r="AN197" i="2"/>
  <c r="AN15" i="2"/>
  <c r="AN147" i="2"/>
  <c r="AN175" i="2"/>
  <c r="AN131" i="2"/>
  <c r="AN172" i="2"/>
  <c r="AN8" i="2"/>
  <c r="AN7" i="2"/>
  <c r="AN68" i="2"/>
  <c r="AN9" i="2"/>
  <c r="AN99" i="2"/>
  <c r="AN156" i="2"/>
  <c r="AN125" i="2"/>
  <c r="AN67" i="2"/>
  <c r="AN12" i="2"/>
  <c r="AN188" i="2"/>
  <c r="AN46" i="2"/>
  <c r="AN11" i="2"/>
  <c r="AN93" i="2"/>
  <c r="AN157" i="2"/>
  <c r="AN113" i="2"/>
  <c r="AN84" i="2"/>
  <c r="AN199" i="2"/>
  <c r="AN151" i="2"/>
  <c r="AN56" i="2"/>
  <c r="AN42" i="2"/>
  <c r="AN189" i="2"/>
  <c r="AN186" i="2"/>
  <c r="AN86" i="2"/>
  <c r="AN168" i="2"/>
  <c r="AN119" i="2"/>
  <c r="AN170" i="2"/>
  <c r="AN78" i="2"/>
  <c r="AN136" i="2"/>
  <c r="AN154" i="2"/>
  <c r="AN134" i="2"/>
  <c r="AN123" i="2"/>
  <c r="AN178" i="2"/>
  <c r="AN180" i="2"/>
  <c r="AN14" i="2"/>
  <c r="AN39" i="2"/>
  <c r="AN161" i="2"/>
  <c r="AN194" i="2"/>
  <c r="AN5" i="2"/>
  <c r="AN16" i="2"/>
  <c r="AN176" i="2"/>
  <c r="AN74" i="2"/>
  <c r="AN98" i="2"/>
  <c r="AN158" i="2"/>
  <c r="AN166" i="2"/>
  <c r="AN26" i="2"/>
  <c r="AN114" i="2"/>
  <c r="AN105" i="2"/>
  <c r="AN103" i="2"/>
  <c r="AN38" i="2"/>
  <c r="AN120" i="2"/>
  <c r="AN179" i="2"/>
  <c r="AN181" i="2"/>
  <c r="AN95" i="2"/>
  <c r="AN155" i="2"/>
  <c r="AN53" i="2"/>
  <c r="AN159" i="2"/>
  <c r="AN71" i="2"/>
  <c r="AN132" i="2"/>
  <c r="AN96" i="2"/>
  <c r="AN167" i="2"/>
  <c r="AN184" i="2"/>
  <c r="AN115" i="2"/>
  <c r="AN144" i="2"/>
  <c r="AN17" i="2"/>
  <c r="AN66" i="2"/>
  <c r="AN44" i="2"/>
  <c r="AN124" i="2"/>
  <c r="AN32" i="2"/>
  <c r="AN200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<sst xmlns="http://schemas.openxmlformats.org/spreadsheetml/2006/main" count="1172" uniqueCount="325">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</sst>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5.1582227776374223</c:v>
                </c:pt>
                <c:pt idx="2">
                  <c:v>10.078675642373176</c:v>
                </c:pt>
                <c:pt idx="3">
                  <c:v>14.922340760544699</c:v>
                </c:pt>
                <c:pt idx="4">
                  <c:v>19.71867212508025</c:v>
                </c:pt>
                <c:pt idx="5">
                  <c:v>24.481019251140655</c:v>
                </c:pt>
                <c:pt idx="6">
                  <c:v>29.216997259531478</c:v>
                </c:pt>
                <c:pt idx="7">
                  <c:v>33.931515324193121</c:v>
                </c:pt>
                <c:pt idx="8">
                  <c:v>38.627992878589147</c:v>
                </c:pt>
                <c:pt idx="9">
                  <c:v>43.308943249813979</c:v>
                </c:pt>
                <c:pt idx="10">
                  <c:v>47.976288482349531</c:v>
                </c:pt>
                <c:pt idx="11">
                  <c:v>52.631543967065994</c:v>
                </c:pt>
                <c:pt idx="12">
                  <c:v>57.275933765977896</c:v>
                </c:pt>
                <c:pt idx="13">
                  <c:v>61.910466297234024</c:v>
                </c:pt>
                <c:pt idx="14">
                  <c:v>66.535986024707896</c:v>
                </c:pt>
                <c:pt idx="15">
                  <c:v>71.153209938676099</c:v>
                </c:pt>
                <c:pt idx="16">
                  <c:v>75.762754022251599</c:v>
                </c:pt>
                <c:pt idx="17">
                  <c:v>80.365152908723545</c:v>
                </c:pt>
                <c:pt idx="18">
                  <c:v>84.960874780191261</c:v>
                </c:pt>
                <c:pt idx="19">
                  <c:v>89.550332860472849</c:v>
                </c:pt>
                <c:pt idx="20">
                  <c:v>94.133894419429581</c:v>
                </c:pt>
                <c:pt idx="21">
                  <c:v>98.711887925247652</c:v>
                </c:pt>
                <c:pt idx="22">
                  <c:v>103.28460879578101</c:v>
                </c:pt>
                <c:pt idx="23">
                  <c:v>107.85232407463603</c:v>
                </c:pt>
                <c:pt idx="24">
                  <c:v>112.41527627107693</c:v>
                </c:pt>
                <c:pt idx="25">
                  <c:v>116.97368654191364</c:v>
                </c:pt>
                <c:pt idx="26">
                  <c:v>121.52775734995673</c:v>
                </c:pt>
                <c:pt idx="27">
                  <c:v>126.0776747019756</c:v>
                </c:pt>
                <c:pt idx="28">
                  <c:v>130.62361004578679</c:v>
                </c:pt>
                <c:pt idx="29">
                  <c:v>135.16572188871402</c:v>
                </c:pt>
                <c:pt idx="30">
                  <c:v>139.7041571865405</c:v>
                </c:pt>
                <c:pt idx="31">
                  <c:v>144.23905254206531</c:v>
                </c:pt>
                <c:pt idx="32">
                  <c:v>148.77053524466331</c:v>
                </c:pt>
                <c:pt idx="33">
                  <c:v>153.29872417624878</c:v>
                </c:pt>
                <c:pt idx="34">
                  <c:v>157.82373060434125</c:v>
                </c:pt>
                <c:pt idx="35">
                  <c:v>162.34565887920618</c:v>
                </c:pt>
                <c:pt idx="36">
                  <c:v>166.86460704908419</c:v>
                </c:pt>
                <c:pt idx="37">
                  <c:v>174.29064381403944</c:v>
                </c:pt>
                <c:pt idx="38">
                  <c:v>181.70924737653846</c:v>
                </c:pt>
                <c:pt idx="39">
                  <c:v>189.12076447839945</c:v>
                </c:pt>
                <c:pt idx="40">
                  <c:v>196.5255124208594</c:v>
                </c:pt>
                <c:pt idx="41">
                  <c:v>203.92378260422618</c:v>
                </c:pt>
                <c:pt idx="42">
                  <c:v>211.31584352616264</c:v>
                </c:pt>
                <c:pt idx="43">
                  <c:v>218.70194333784789</c:v>
                </c:pt>
                <c:pt idx="44">
                  <c:v>226.08231203626158</c:v>
                </c:pt>
                <c:pt idx="45">
                  <c:v>229.47948542006793</c:v>
                </c:pt>
                <c:pt idx="46">
                  <c:v>232.87550853433166</c:v>
                </c:pt>
                <c:pt idx="47">
                  <c:v>236.27040055978139</c:v>
                </c:pt>
                <c:pt idx="48">
                  <c:v>239.66418007971961</c:v>
                </c:pt>
                <c:pt idx="49">
                  <c:v>243.05686510702614</c:v>
                </c:pt>
                <c:pt idx="50">
                  <c:v>246.44847310957309</c:v>
                </c:pt>
                <c:pt idx="51">
                  <c:v>249.8390210341652</c:v>
                </c:pt>
                <c:pt idx="52">
                  <c:v>253.22852532910994</c:v>
                </c:pt>
                <c:pt idx="53">
                  <c:v>208.63548672382998</c:v>
                </c:pt>
                <c:pt idx="54">
                  <c:v>220.59537347449952</c:v>
                </c:pt>
                <c:pt idx="55">
                  <c:v>232.5403768793667</c:v>
                </c:pt>
                <c:pt idx="56">
                  <c:v>244.47136960550884</c:v>
                </c:pt>
                <c:pt idx="57">
                  <c:v>256.38913212364338</c:v>
                </c:pt>
                <c:pt idx="58">
                  <c:v>268.29436637384856</c:v>
                </c:pt>
                <c:pt idx="59">
                  <c:v>280.18770687637272</c:v>
                </c:pt>
                <c:pt idx="60">
                  <c:v>292.06972985560327</c:v>
                </c:pt>
                <c:pt idx="61">
                  <c:v>245.68806155403345</c:v>
                </c:pt>
                <c:pt idx="62">
                  <c:v>257.60451473454009</c:v>
                </c:pt>
                <c:pt idx="63">
                  <c:v>269.50850731507109</c:v>
                </c:pt>
                <c:pt idx="64">
                  <c:v>281.40066747860027</c:v>
                </c:pt>
                <c:pt idx="65">
                  <c:v>293.28156594925071</c:v>
                </c:pt>
                <c:pt idx="66">
                  <c:v>305.15172341265014</c:v>
                </c:pt>
                <c:pt idx="67">
                  <c:v>317.01161672057418</c:v>
                </c:pt>
                <c:pt idx="68">
                  <c:v>328.86168411801816</c:v>
                </c:pt>
                <c:pt idx="69">
                  <c:v>280.23622755830689</c:v>
                </c:pt>
                <c:pt idx="70">
                  <c:v>291.68191860662427</c:v>
                </c:pt>
                <c:pt idx="71">
                  <c:v>303.11758094856526</c:v>
                </c:pt>
                <c:pt idx="72">
                  <c:v>314.54364642286015</c:v>
                </c:pt>
                <c:pt idx="73">
                  <c:v>325.96051291867661</c:v>
                </c:pt>
                <c:pt idx="74">
                  <c:v>337.36854816571127</c:v>
                </c:pt>
                <c:pt idx="75">
                  <c:v>348.76809298461353</c:v>
                </c:pt>
                <c:pt idx="76">
                  <c:v>360.15946409007773</c:v>
                </c:pt>
                <c:pt idx="77">
                  <c:v>371.54295652065457</c:v>
                </c:pt>
                <c:pt idx="78">
                  <c:v>382.9188457551445</c:v>
                </c:pt>
                <c:pt idx="79">
                  <c:v>332.14899550797423</c:v>
                </c:pt>
                <c:pt idx="80">
                  <c:v>343.16596745045598</c:v>
                </c:pt>
                <c:pt idx="81">
                  <c:v>354.17516791892018</c:v>
                </c:pt>
                <c:pt idx="82">
                  <c:v>365.17687261995826</c:v>
                </c:pt>
                <c:pt idx="83">
                  <c:v>376.17133928605477</c:v>
                </c:pt>
                <c:pt idx="84">
                  <c:v>387.15880934971278</c:v>
                </c:pt>
                <c:pt idx="85">
                  <c:v>398.13950941756434</c:v>
                </c:pt>
                <c:pt idx="86">
                  <c:v>409.11365257333495</c:v>
                </c:pt>
                <c:pt idx="87">
                  <c:v>420.08143953368375</c:v>
                </c:pt>
                <c:pt idx="88">
                  <c:v>431.04305967702015</c:v>
                </c:pt>
                <c:pt idx="89">
                  <c:v>374.62868369592633</c:v>
                </c:pt>
                <c:pt idx="90">
                  <c:v>385.6171217431874</c:v>
                </c:pt>
                <c:pt idx="91">
                  <c:v>396.59875883419835</c:v>
                </c:pt>
                <c:pt idx="92">
                  <c:v>407.57380987776543</c:v>
                </c:pt>
                <c:pt idx="93">
                  <c:v>418.54247726149288</c:v>
                </c:pt>
                <c:pt idx="94">
                  <c:v>429.50495189733959</c:v>
                </c:pt>
                <c:pt idx="95">
                  <c:v>440.46141415485255</c:v>
                </c:pt>
                <c:pt idx="96">
                  <c:v>451.41203469669313</c:v>
                </c:pt>
                <c:pt idx="97">
                  <c:v>462.35697522885613</c:v>
                </c:pt>
                <c:pt idx="98">
                  <c:v>473.29638917614926</c:v>
                </c:pt>
                <c:pt idx="99">
                  <c:v>418.92722924422151</c:v>
                </c:pt>
                <c:pt idx="100">
                  <c:v>429.88948992506403</c:v>
                </c:pt>
                <c:pt idx="101">
                  <c:v>440.84574437544433</c:v>
                </c:pt>
                <c:pt idx="102">
                  <c:v>451.79616293151918</c:v>
                </c:pt>
                <c:pt idx="103">
                  <c:v>462.74090699768925</c:v>
                </c:pt>
                <c:pt idx="104">
                  <c:v>473.68012971962639</c:v>
                </c:pt>
                <c:pt idx="105">
                  <c:v>484.61397659189083</c:v>
                </c:pt>
                <c:pt idx="106">
                  <c:v>495.54258600785471</c:v>
                </c:pt>
                <c:pt idx="107">
                  <c:v>506.46608975859272</c:v>
                </c:pt>
                <c:pt idx="108">
                  <c:v>517.38461348648946</c:v>
                </c:pt>
                <c:pt idx="109">
                  <c:v>453.33260608565269</c:v>
                </c:pt>
                <c:pt idx="110">
                  <c:v>464.08461470595802</c:v>
                </c:pt>
                <c:pt idx="111">
                  <c:v>474.8313116680909</c:v>
                </c:pt>
                <c:pt idx="112">
                  <c:v>485.57283414703141</c:v>
                </c:pt>
                <c:pt idx="113">
                  <c:v>496.30931275327674</c:v>
                </c:pt>
                <c:pt idx="114">
                  <c:v>507.04087198522183</c:v>
                </c:pt>
                <c:pt idx="115">
                  <c:v>517.76763064124964</c:v>
                </c:pt>
                <c:pt idx="116">
                  <c:v>528.48970219589671</c:v>
                </c:pt>
                <c:pt idx="117">
                  <c:v>539.20719514390612</c:v>
                </c:pt>
                <c:pt idx="118">
                  <c:v>549.92021331550575</c:v>
                </c:pt>
                <c:pt idx="119">
                  <c:v>484.03864272240304</c:v>
                </c:pt>
                <c:pt idx="120">
                  <c:v>494.77583412162284</c:v>
                </c:pt>
                <c:pt idx="121">
                  <c:v>505.5080887192409</c:v>
                </c:pt>
                <c:pt idx="122">
                  <c:v>516.23552610410331</c:v>
                </c:pt>
                <c:pt idx="123">
                  <c:v>526.95826048952063</c:v>
                </c:pt>
                <c:pt idx="124">
                  <c:v>537.67640106169461</c:v>
                </c:pt>
                <c:pt idx="125">
                  <c:v>548.3900522989187</c:v>
                </c:pt>
                <c:pt idx="126">
                  <c:v>559.09931426454034</c:v>
                </c:pt>
                <c:pt idx="127">
                  <c:v>569.8042828763131</c:v>
                </c:pt>
                <c:pt idx="128">
                  <c:v>580.50505015445844</c:v>
                </c:pt>
                <c:pt idx="129">
                  <c:v>516.81007653469226</c:v>
                </c:pt>
                <c:pt idx="130">
                  <c:v>527.72399304120336</c:v>
                </c:pt>
                <c:pt idx="131">
                  <c:v>538.63315807993138</c:v>
                </c:pt>
                <c:pt idx="132">
                  <c:v>549.53768144295771</c:v>
                </c:pt>
                <c:pt idx="133">
                  <c:v>560.43766821017061</c:v>
                </c:pt>
                <c:pt idx="134">
                  <c:v>571.33321904116917</c:v>
                </c:pt>
                <c:pt idx="135">
                  <c:v>582.22443044374461</c:v>
                </c:pt>
                <c:pt idx="136">
                  <c:v>593.11139502123308</c:v>
                </c:pt>
                <c:pt idx="137">
                  <c:v>603.99420170076962</c:v>
                </c:pt>
                <c:pt idx="138">
                  <c:v>614.87293594423477</c:v>
                </c:pt>
                <c:pt idx="139">
                  <c:v>551.45028504666311</c:v>
                </c:pt>
                <c:pt idx="140">
                  <c:v>562.54066075244293</c:v>
                </c:pt>
                <c:pt idx="141">
                  <c:v>573.62646310732646</c:v>
                </c:pt>
                <c:pt idx="142">
                  <c:v>584.70779293899</c:v>
                </c:pt>
                <c:pt idx="143">
                  <c:v>595.78474694239321</c:v>
                </c:pt>
                <c:pt idx="144">
                  <c:v>606.85741792448368</c:v>
                </c:pt>
                <c:pt idx="145">
                  <c:v>617.92589503011789</c:v>
                </c:pt>
                <c:pt idx="146">
                  <c:v>628.99026395095916</c:v>
                </c:pt>
                <c:pt idx="147">
                  <c:v>640.0506071189169</c:v>
                </c:pt>
                <c:pt idx="148">
                  <c:v>651.1070038855255</c:v>
                </c:pt>
                <c:pt idx="149">
                  <c:v>566.2289353069358</c:v>
                </c:pt>
                <c:pt idx="150">
                  <c:v>559.59417563033355</c:v>
                </c:pt>
                <c:pt idx="151">
                  <c:v>552.95776867276652</c:v>
                </c:pt>
                <c:pt idx="152">
                  <c:v>546.31969183109891</c:v>
                </c:pt>
                <c:pt idx="153">
                  <c:v>539.67992190690336</c:v>
                </c:pt>
                <c:pt idx="154">
                  <c:v>533.03843508308489</c:v>
                </c:pt>
                <c:pt idx="155">
                  <c:v>526.39520689927519</c:v>
                </c:pt>
                <c:pt idx="156">
                  <c:v>519.75021222591772</c:v>
                </c:pt>
                <c:pt idx="157">
                  <c:v>513.10342523695567</c:v>
                </c:pt>
                <c:pt idx="158">
                  <c:v>506.45481938102859</c:v>
                </c:pt>
                <c:pt idx="159">
                  <c:v>499.80436735107372</c:v>
                </c:pt>
                <c:pt idx="160">
                  <c:v>493.15204105222148</c:v>
                </c:pt>
                <c:pt idx="161">
                  <c:v>486.49781156786503</c:v>
                </c:pt>
                <c:pt idx="162">
                  <c:v>479.84164912377219</c:v>
                </c:pt>
                <c:pt idx="163">
                  <c:v>473.18352305009699</c:v>
                </c:pt>
                <c:pt idx="164">
                  <c:v>466.52340174113743</c:v>
                </c:pt>
                <c:pt idx="165">
                  <c:v>459.86125261266903</c:v>
                </c:pt>
                <c:pt idx="166">
                  <c:v>453.1970420566708</c:v>
                </c:pt>
                <c:pt idx="167">
                  <c:v>446.5307353932435</c:v>
                </c:pt>
                <c:pt idx="168">
                  <c:v>439.86229681949794</c:v>
                </c:pt>
                <c:pt idx="169">
                  <c:v>367.34077868072433</c:v>
                </c:pt>
                <c:pt idx="170">
                  <c:v>373.77033257265788</c:v>
                </c:pt>
                <c:pt idx="171">
                  <c:v>380.19747642454672</c:v>
                </c:pt>
                <c:pt idx="172">
                  <c:v>386.62225676278382</c:v>
                </c:pt>
                <c:pt idx="173">
                  <c:v>393.04471843987426</c:v>
                </c:pt>
                <c:pt idx="174">
                  <c:v>399.46490472163356</c:v>
                </c:pt>
                <c:pt idx="175">
                  <c:v>405.88285736848411</c:v>
                </c:pt>
                <c:pt idx="176">
                  <c:v>412.29861671133852</c:v>
                </c:pt>
                <c:pt idx="177">
                  <c:v>418.71222172251072</c:v>
                </c:pt>
                <c:pt idx="178">
                  <c:v>425.12371008205304</c:v>
                </c:pt>
                <c:pt idx="179">
                  <c:v>431.53311823988139</c:v>
                </c:pt>
                <c:pt idx="180">
                  <c:v>437.94048147401486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5" zoomScaleNormal="85" workbookViewId="0">
      <selection activeCell="B18" sqref="B18:M31"/>
    </sheetView>
  </sheetViews>
  <sheetFormatPr baseColWidth="10" defaultRowHeight="14.25" x14ac:dyDescent="0.45"/>
  <cols>
    <col min="1" max="1" width="6.796875" customWidth="1"/>
    <col min="2" max="13" width="15.86328125" customWidth="1"/>
  </cols>
  <sheetData>
    <row r="12" spans="2:13" ht="15" customHeight="1" x14ac:dyDescent="0.4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4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4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4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4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4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4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4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4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4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4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4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4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4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4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4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4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4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4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8" zoomScale="90" zoomScaleNormal="90" workbookViewId="0">
      <selection activeCell="E52" sqref="E52"/>
    </sheetView>
  </sheetViews>
  <sheetFormatPr baseColWidth="10" defaultColWidth="11.46484375" defaultRowHeight="14.25" x14ac:dyDescent="0.45"/>
  <cols>
    <col min="1" max="1" width="13.796875" style="25" customWidth="1"/>
    <col min="2" max="2" width="36.1328125" style="25" customWidth="1"/>
    <col min="3" max="3" width="14.86328125" style="25" bestFit="1" customWidth="1"/>
    <col min="4" max="4" width="16.46484375" style="25" customWidth="1"/>
    <col min="5" max="5" width="23.19921875" style="25" customWidth="1"/>
    <col min="6" max="6" width="28.86328125" style="25" bestFit="1" customWidth="1"/>
    <col min="7" max="8" width="14.796875" style="25" customWidth="1"/>
    <col min="9" max="9" width="17" style="25" customWidth="1"/>
    <col min="10" max="10" width="13.86328125" style="25" customWidth="1"/>
    <col min="11" max="16384" width="11.46484375" style="25"/>
  </cols>
  <sheetData>
    <row r="1" spans="1:38" x14ac:dyDescent="0.4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4.65" thickBot="1" x14ac:dyDescent="0.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5.9" thickBot="1" x14ac:dyDescent="0.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5" x14ac:dyDescent="0.4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5" x14ac:dyDescent="0.45">
      <c r="A5" s="305" t="s">
        <v>231</v>
      </c>
      <c r="B5" s="305"/>
      <c r="C5" s="26">
        <v>5.2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4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5" x14ac:dyDescent="0.4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4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45">
      <c r="A9" s="33" t="s">
        <v>165</v>
      </c>
      <c r="B9" s="34" t="s">
        <v>13</v>
      </c>
      <c r="C9" s="35">
        <v>0.71150000000000002</v>
      </c>
      <c r="D9" s="36">
        <f t="shared" ref="D9:D18" si="0">C9*$C$5</f>
        <v>3.6998000000000002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45">
      <c r="A10" s="33" t="s">
        <v>166</v>
      </c>
      <c r="B10" s="34" t="s">
        <v>14</v>
      </c>
      <c r="C10" s="35">
        <v>0.28849999999999998</v>
      </c>
      <c r="D10" s="36">
        <f t="shared" si="0"/>
        <v>1.5002</v>
      </c>
      <c r="E10" s="37">
        <v>180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4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45">
      <c r="A19" s="100"/>
      <c r="B19" s="39" t="s">
        <v>175</v>
      </c>
      <c r="C19" s="40">
        <f>SUM(C9:C18)</f>
        <v>1</v>
      </c>
      <c r="D19" s="41">
        <f>SUM(D9:D18)</f>
        <v>5.2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6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4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4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4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28.5" x14ac:dyDescent="0.4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45">
      <c r="A36" s="53">
        <v>15</v>
      </c>
      <c r="B36" s="63">
        <v>87</v>
      </c>
      <c r="C36" s="63">
        <v>1</v>
      </c>
      <c r="D36" s="63">
        <v>21</v>
      </c>
      <c r="E36" s="292"/>
      <c r="F36" s="292"/>
      <c r="G36" s="292"/>
      <c r="H36" s="292">
        <v>1</v>
      </c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45">
      <c r="A37" s="53">
        <v>20</v>
      </c>
      <c r="B37" s="63">
        <v>137</v>
      </c>
      <c r="C37" s="63">
        <v>2</v>
      </c>
      <c r="D37" s="63">
        <v>43</v>
      </c>
      <c r="E37" s="292"/>
      <c r="F37" s="292"/>
      <c r="G37" s="292"/>
      <c r="H37" s="292">
        <v>1</v>
      </c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45">
      <c r="A38" s="53">
        <v>25</v>
      </c>
      <c r="B38" s="63">
        <v>163</v>
      </c>
      <c r="C38" s="63">
        <v>3</v>
      </c>
      <c r="D38" s="63">
        <v>44</v>
      </c>
      <c r="E38" s="292"/>
      <c r="F38" s="292"/>
      <c r="G38" s="292"/>
      <c r="H38" s="292">
        <v>1</v>
      </c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45">
      <c r="A39" s="53">
        <v>30</v>
      </c>
      <c r="B39" s="63">
        <v>184</v>
      </c>
      <c r="C39" s="63">
        <v>4</v>
      </c>
      <c r="D39" s="63">
        <v>44</v>
      </c>
      <c r="E39" s="292"/>
      <c r="F39" s="292"/>
      <c r="G39" s="292"/>
      <c r="H39" s="292">
        <v>1</v>
      </c>
      <c r="I39" s="52">
        <f t="shared" si="1"/>
        <v>13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45">
      <c r="A40" s="53">
        <v>35</v>
      </c>
      <c r="B40" s="63">
        <v>201</v>
      </c>
      <c r="C40" s="63">
        <v>5</v>
      </c>
      <c r="D40" s="63">
        <v>42</v>
      </c>
      <c r="E40" s="292"/>
      <c r="F40" s="292">
        <v>0.9</v>
      </c>
      <c r="G40" s="292">
        <v>0.1</v>
      </c>
      <c r="H40" s="292"/>
      <c r="I40" s="52">
        <f t="shared" si="1"/>
        <v>12.2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45">
      <c r="A41" s="53">
        <v>40</v>
      </c>
      <c r="B41" s="63">
        <v>213</v>
      </c>
      <c r="C41" s="63">
        <v>6</v>
      </c>
      <c r="D41" s="63">
        <v>39</v>
      </c>
      <c r="E41" s="292"/>
      <c r="F41" s="292">
        <v>0.9</v>
      </c>
      <c r="G41" s="292">
        <v>0.1</v>
      </c>
      <c r="H41" s="292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45">
      <c r="A42" s="53">
        <v>45</v>
      </c>
      <c r="B42" s="63">
        <v>223</v>
      </c>
      <c r="C42" s="63">
        <v>7</v>
      </c>
      <c r="D42" s="63">
        <v>36</v>
      </c>
      <c r="E42" s="292"/>
      <c r="F42" s="292">
        <v>0.9</v>
      </c>
      <c r="G42" s="292">
        <v>0.1</v>
      </c>
      <c r="H42" s="292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45">
      <c r="A43" s="53">
        <v>50</v>
      </c>
      <c r="B43" s="63">
        <v>231</v>
      </c>
      <c r="C43" s="63">
        <v>8</v>
      </c>
      <c r="D43" s="63">
        <v>33</v>
      </c>
      <c r="E43" s="292"/>
      <c r="F43" s="292">
        <v>0.9</v>
      </c>
      <c r="G43" s="292">
        <v>0.1</v>
      </c>
      <c r="H43" s="292"/>
      <c r="I43" s="52">
        <f t="shared" si="1"/>
        <v>8.8000000000000007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45">
      <c r="A44" s="53">
        <v>55</v>
      </c>
      <c r="B44" s="63">
        <v>237</v>
      </c>
      <c r="C44" s="63">
        <v>9</v>
      </c>
      <c r="D44" s="63">
        <v>29</v>
      </c>
      <c r="E44" s="292"/>
      <c r="F44" s="292">
        <v>0.9</v>
      </c>
      <c r="G44" s="292">
        <v>0.1</v>
      </c>
      <c r="H44" s="292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45">
      <c r="A45" s="53">
        <v>60</v>
      </c>
      <c r="B45" s="63">
        <v>242</v>
      </c>
      <c r="C45" s="63">
        <v>10</v>
      </c>
      <c r="D45" s="63">
        <v>26</v>
      </c>
      <c r="E45" s="292"/>
      <c r="F45" s="292">
        <v>0.9</v>
      </c>
      <c r="G45" s="292">
        <v>0.1</v>
      </c>
      <c r="H45" s="292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45">
      <c r="A46" s="53">
        <v>65</v>
      </c>
      <c r="B46" s="63">
        <v>246</v>
      </c>
      <c r="C46" s="63">
        <v>11</v>
      </c>
      <c r="D46" s="63">
        <v>23</v>
      </c>
      <c r="E46" s="292"/>
      <c r="F46" s="292">
        <v>0.9</v>
      </c>
      <c r="G46" s="292">
        <v>0.1</v>
      </c>
      <c r="H46" s="292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45">
      <c r="A47" s="53">
        <v>70</v>
      </c>
      <c r="B47" s="63">
        <v>249</v>
      </c>
      <c r="C47" s="63">
        <v>12</v>
      </c>
      <c r="D47" s="63">
        <v>249</v>
      </c>
      <c r="E47" s="292">
        <v>1</v>
      </c>
      <c r="F47" s="292"/>
      <c r="G47" s="292"/>
      <c r="H47" s="292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4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4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4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4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4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4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4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4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4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4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4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4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4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28.5" x14ac:dyDescent="0.4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45">
      <c r="A62" s="53">
        <v>36</v>
      </c>
      <c r="B62" s="63">
        <v>82.80019999999999</v>
      </c>
      <c r="C62" s="63">
        <v>1</v>
      </c>
      <c r="D62" s="63">
        <v>0</v>
      </c>
      <c r="E62" s="292"/>
      <c r="F62" s="292"/>
      <c r="G62" s="292"/>
      <c r="H62" s="292">
        <v>1</v>
      </c>
      <c r="I62" s="56">
        <f>IFERROR(B62/A62,"")</f>
        <v>2.3000055555555554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45">
      <c r="A63" s="53">
        <v>44</v>
      </c>
      <c r="B63" s="63">
        <v>113.06260000000002</v>
      </c>
      <c r="C63" s="63">
        <v>2</v>
      </c>
      <c r="D63" s="63">
        <v>0</v>
      </c>
      <c r="E63" s="292"/>
      <c r="F63" s="292"/>
      <c r="G63" s="292"/>
      <c r="H63" s="292">
        <v>1</v>
      </c>
      <c r="I63" s="52">
        <f>IF(A63&lt;&gt;0,(B63-(B62-D62))/(A63-A62),"")</f>
        <v>3.7828000000000035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45">
      <c r="A64" s="53">
        <v>52</v>
      </c>
      <c r="B64" s="63">
        <v>127</v>
      </c>
      <c r="C64" s="63">
        <v>3</v>
      </c>
      <c r="D64" s="63">
        <v>29</v>
      </c>
      <c r="E64" s="292"/>
      <c r="F64" s="292"/>
      <c r="G64" s="292"/>
      <c r="H64" s="292">
        <v>1</v>
      </c>
      <c r="I64" s="52">
        <f>IF(A64&lt;&gt;0,(B64-(B63-D63))/(A64-A63),"")</f>
        <v>1.7421749999999978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45">
      <c r="A65" s="53">
        <v>60</v>
      </c>
      <c r="B65" s="63">
        <v>147</v>
      </c>
      <c r="C65" s="63">
        <v>4</v>
      </c>
      <c r="D65" s="63">
        <v>30</v>
      </c>
      <c r="E65" s="292"/>
      <c r="F65" s="292"/>
      <c r="G65" s="292"/>
      <c r="H65" s="292">
        <v>1</v>
      </c>
      <c r="I65" s="52">
        <f>IF(A65&lt;&gt;0,(B65-(B64-D64))/(A65-A64),"")</f>
        <v>6.125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45">
      <c r="A66" s="53">
        <v>68</v>
      </c>
      <c r="B66" s="63">
        <v>166</v>
      </c>
      <c r="C66" s="63">
        <v>5</v>
      </c>
      <c r="D66" s="63">
        <v>31</v>
      </c>
      <c r="E66" s="292">
        <v>0.5</v>
      </c>
      <c r="F66" s="292">
        <v>0.4</v>
      </c>
      <c r="G66" s="292"/>
      <c r="H66" s="292">
        <v>0.1</v>
      </c>
      <c r="I66" s="52">
        <f t="shared" ref="I66:I81" si="2">IF(A66&lt;&gt;0,(B66-(B65-D65))/(A66-A65),"")</f>
        <v>6.125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45">
      <c r="A67" s="53">
        <v>78</v>
      </c>
      <c r="B67" s="63">
        <v>194</v>
      </c>
      <c r="C67" s="63">
        <v>6</v>
      </c>
      <c r="D67" s="63">
        <v>32</v>
      </c>
      <c r="E67" s="292">
        <v>0.5</v>
      </c>
      <c r="F67" s="292">
        <v>0.4</v>
      </c>
      <c r="G67" s="292"/>
      <c r="H67" s="292">
        <v>0.1</v>
      </c>
      <c r="I67" s="52">
        <f t="shared" si="2"/>
        <v>5.9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45">
      <c r="A68" s="53">
        <v>88</v>
      </c>
      <c r="B68" s="63">
        <v>219</v>
      </c>
      <c r="C68" s="63">
        <v>7</v>
      </c>
      <c r="D68" s="63">
        <v>35</v>
      </c>
      <c r="E68" s="292">
        <v>0.5</v>
      </c>
      <c r="F68" s="292">
        <v>0.4</v>
      </c>
      <c r="G68" s="292"/>
      <c r="H68" s="292">
        <v>0.1</v>
      </c>
      <c r="I68" s="52">
        <f t="shared" si="2"/>
        <v>5.7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45">
      <c r="A69" s="53">
        <v>98</v>
      </c>
      <c r="B69" s="63">
        <v>241</v>
      </c>
      <c r="C69" s="63">
        <v>8</v>
      </c>
      <c r="D69" s="63">
        <v>34</v>
      </c>
      <c r="E69" s="292">
        <v>0.5</v>
      </c>
      <c r="F69" s="292">
        <v>0.4</v>
      </c>
      <c r="G69" s="292"/>
      <c r="H69" s="292">
        <v>0.1</v>
      </c>
      <c r="I69" s="52">
        <f t="shared" si="2"/>
        <v>5.7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45">
      <c r="A70" s="53">
        <v>108</v>
      </c>
      <c r="B70" s="63">
        <v>264</v>
      </c>
      <c r="C70" s="63">
        <v>9</v>
      </c>
      <c r="D70" s="63">
        <v>39</v>
      </c>
      <c r="E70" s="292">
        <v>0.5</v>
      </c>
      <c r="F70" s="292">
        <v>0.4</v>
      </c>
      <c r="G70" s="292"/>
      <c r="H70" s="292">
        <v>0.1</v>
      </c>
      <c r="I70" s="52">
        <f t="shared" si="2"/>
        <v>5.7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45">
      <c r="A71" s="53">
        <v>118</v>
      </c>
      <c r="B71" s="63">
        <v>281</v>
      </c>
      <c r="C71" s="63">
        <v>10</v>
      </c>
      <c r="D71" s="63">
        <v>40</v>
      </c>
      <c r="E71" s="292">
        <v>0.5</v>
      </c>
      <c r="F71" s="292">
        <v>0.4</v>
      </c>
      <c r="G71" s="292"/>
      <c r="H71" s="292">
        <v>0.1</v>
      </c>
      <c r="I71" s="52">
        <f t="shared" si="2"/>
        <v>5.6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45">
      <c r="A72" s="53">
        <v>128</v>
      </c>
      <c r="B72" s="63">
        <v>297</v>
      </c>
      <c r="C72" s="63">
        <v>11</v>
      </c>
      <c r="D72" s="63">
        <v>39</v>
      </c>
      <c r="E72" s="292">
        <v>0.5</v>
      </c>
      <c r="F72" s="292">
        <v>0.4</v>
      </c>
      <c r="G72" s="292"/>
      <c r="H72" s="292">
        <v>0.1</v>
      </c>
      <c r="I72" s="52">
        <f t="shared" si="2"/>
        <v>5.6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45">
      <c r="A73" s="53">
        <v>138</v>
      </c>
      <c r="B73" s="63">
        <v>315</v>
      </c>
      <c r="C73" s="63">
        <v>12</v>
      </c>
      <c r="D73" s="63">
        <v>39</v>
      </c>
      <c r="E73" s="292">
        <v>0.5</v>
      </c>
      <c r="F73" s="292">
        <v>0.4</v>
      </c>
      <c r="G73" s="292"/>
      <c r="H73" s="292">
        <v>0.1</v>
      </c>
      <c r="I73" s="52">
        <f t="shared" si="2"/>
        <v>5.7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45">
      <c r="A74" s="53">
        <v>148</v>
      </c>
      <c r="B74" s="63">
        <v>334</v>
      </c>
      <c r="C74" s="63">
        <v>13</v>
      </c>
      <c r="D74" s="63">
        <v>41</v>
      </c>
      <c r="E74" s="292">
        <v>0.5</v>
      </c>
      <c r="F74" s="292">
        <v>0.4</v>
      </c>
      <c r="G74" s="292"/>
      <c r="H74" s="292">
        <v>0.1</v>
      </c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45">
      <c r="A75" s="53">
        <v>185</v>
      </c>
      <c r="B75" s="63">
        <v>351</v>
      </c>
      <c r="C75" s="63">
        <v>14</v>
      </c>
      <c r="D75" s="63">
        <v>41</v>
      </c>
      <c r="E75" s="292">
        <v>0.5</v>
      </c>
      <c r="F75" s="292">
        <v>0.4</v>
      </c>
      <c r="G75" s="292"/>
      <c r="H75" s="292">
        <v>0.1</v>
      </c>
      <c r="I75" s="52">
        <f t="shared" si="2"/>
        <v>1.5675675675675675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45">
      <c r="A76" s="53">
        <v>168</v>
      </c>
      <c r="B76" s="53">
        <v>369</v>
      </c>
      <c r="C76" s="53">
        <v>15</v>
      </c>
      <c r="D76" s="53">
        <v>41</v>
      </c>
      <c r="E76" s="292">
        <v>0.5</v>
      </c>
      <c r="F76" s="292">
        <v>0.4</v>
      </c>
      <c r="G76" s="292"/>
      <c r="H76" s="292">
        <v>0.1</v>
      </c>
      <c r="I76" s="52">
        <f t="shared" si="2"/>
        <v>-3.4705882352941178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45">
      <c r="A77" s="53">
        <v>180</v>
      </c>
      <c r="B77" s="53">
        <v>368</v>
      </c>
      <c r="C77" s="53" t="s">
        <v>324</v>
      </c>
      <c r="D77" s="53">
        <v>368</v>
      </c>
      <c r="E77" s="292">
        <v>1</v>
      </c>
      <c r="F77" s="292"/>
      <c r="G77" s="292"/>
      <c r="H77" s="292"/>
      <c r="I77" s="52">
        <f t="shared" si="2"/>
        <v>3.3333333333333335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4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4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4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4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4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4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4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4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4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28.5" x14ac:dyDescent="0.4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4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4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4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4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4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4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4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4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4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4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4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4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4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4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4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4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4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4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4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4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4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4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4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4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4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28.5" x14ac:dyDescent="0.4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4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4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4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4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4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4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4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4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4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4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4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4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4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4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4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4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4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4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4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4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4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4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4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4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4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28.5" x14ac:dyDescent="0.4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4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4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4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4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4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4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4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4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4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4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4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4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4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4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4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4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4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4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4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4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4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4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4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4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4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28.5" x14ac:dyDescent="0.4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4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4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4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4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4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4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4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4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4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4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4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4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4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4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4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4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4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4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4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4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4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4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4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4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4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28.5" x14ac:dyDescent="0.4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4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4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4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4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4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4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4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4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4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4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4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4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4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4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4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4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4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4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4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4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4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4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4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4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4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28.5" x14ac:dyDescent="0.4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4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4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4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4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4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4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4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4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4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4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4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4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4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4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4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4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4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4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4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4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4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4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4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4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4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28.5" x14ac:dyDescent="0.4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4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4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4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4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4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4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4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4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4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4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4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4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4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4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4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4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4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4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4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4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4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4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4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4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4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28.5" x14ac:dyDescent="0.4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4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4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4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4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4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4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4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4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4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4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4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4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4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4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4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4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4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4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4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4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4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4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4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4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4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4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4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4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4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4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4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4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4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4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4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4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4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4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4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4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4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4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4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4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4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4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4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4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4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4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4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4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4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4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4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4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4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4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4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4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4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4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4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4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4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4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4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4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4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4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4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4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4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4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4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4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4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4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4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4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4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4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4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4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4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4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4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4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4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4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4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4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4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4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4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4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4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4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4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4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4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4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4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4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4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4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4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4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4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4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4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4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4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4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4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4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4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4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4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4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4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4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4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4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4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4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4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4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4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4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4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4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4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4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4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4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4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4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4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4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4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4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4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4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4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4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4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4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4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4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4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4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4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4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4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4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4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4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0" zoomScale="115" zoomScaleNormal="115" workbookViewId="0">
      <selection activeCell="G16" sqref="G16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19921875" style="1" customWidth="1"/>
    <col min="6" max="6" width="14.19921875" style="1" customWidth="1"/>
    <col min="7" max="7" width="73.1992187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5.9" thickBot="1" x14ac:dyDescent="0.8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4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4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4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4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4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4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4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4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4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4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4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45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4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4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4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4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4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4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4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4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4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4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4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4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4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4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4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4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4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4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4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4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4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4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4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4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4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4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4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4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4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4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4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4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4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4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4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4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4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4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4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4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4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45">
      <c r="C104" s="5"/>
      <c r="F104" s="5"/>
    </row>
    <row r="105" spans="3:35" x14ac:dyDescent="0.45">
      <c r="C105" s="5"/>
      <c r="F105" s="5"/>
    </row>
    <row r="106" spans="3:35" x14ac:dyDescent="0.45">
      <c r="C106" s="5"/>
      <c r="F106" s="5"/>
    </row>
    <row r="107" spans="3:35" x14ac:dyDescent="0.45">
      <c r="C107" s="5"/>
      <c r="F107" s="5"/>
    </row>
    <row r="108" spans="3:35" x14ac:dyDescent="0.45">
      <c r="C108" s="5"/>
      <c r="F108" s="5"/>
    </row>
    <row r="109" spans="3:35" x14ac:dyDescent="0.45">
      <c r="C109" s="5"/>
      <c r="F109" s="5"/>
    </row>
    <row r="110" spans="3:35" x14ac:dyDescent="0.45">
      <c r="C110" s="5"/>
      <c r="F110" s="5"/>
    </row>
    <row r="111" spans="3:35" x14ac:dyDescent="0.45">
      <c r="C111" s="5"/>
      <c r="F111" s="5"/>
    </row>
    <row r="112" spans="3:35" x14ac:dyDescent="0.45">
      <c r="C112" s="5"/>
      <c r="F112" s="5"/>
    </row>
    <row r="113" spans="3:6" x14ac:dyDescent="0.45">
      <c r="C113" s="5"/>
      <c r="F113" s="5"/>
    </row>
    <row r="114" spans="3:6" x14ac:dyDescent="0.45">
      <c r="C114" s="5"/>
      <c r="F114" s="5"/>
    </row>
    <row r="115" spans="3:6" x14ac:dyDescent="0.45">
      <c r="C115" s="5"/>
      <c r="F115" s="5"/>
    </row>
    <row r="116" spans="3:6" x14ac:dyDescent="0.45">
      <c r="C116" s="5"/>
      <c r="F116" s="5"/>
    </row>
    <row r="117" spans="3:6" x14ac:dyDescent="0.45">
      <c r="C117" s="5"/>
      <c r="F117" s="5"/>
    </row>
    <row r="118" spans="3:6" x14ac:dyDescent="0.45">
      <c r="C118" s="5"/>
      <c r="F118" s="5"/>
    </row>
    <row r="119" spans="3:6" x14ac:dyDescent="0.45">
      <c r="C119" s="5"/>
      <c r="F119" s="5"/>
    </row>
    <row r="120" spans="3:6" x14ac:dyDescent="0.45">
      <c r="C120" s="5"/>
      <c r="F120" s="5"/>
    </row>
    <row r="121" spans="3:6" x14ac:dyDescent="0.45">
      <c r="C121" s="5"/>
      <c r="F121" s="5"/>
    </row>
    <row r="122" spans="3:6" x14ac:dyDescent="0.45">
      <c r="C122" s="5"/>
      <c r="F122" s="5"/>
    </row>
    <row r="123" spans="3:6" x14ac:dyDescent="0.45">
      <c r="C123" s="5"/>
      <c r="F123" s="5"/>
    </row>
    <row r="124" spans="3:6" x14ac:dyDescent="0.45">
      <c r="C124" s="5"/>
      <c r="F124" s="5"/>
    </row>
    <row r="125" spans="3:6" x14ac:dyDescent="0.45">
      <c r="C125" s="5"/>
      <c r="F125" s="5"/>
    </row>
    <row r="126" spans="3:6" x14ac:dyDescent="0.45">
      <c r="C126" s="5"/>
      <c r="F126" s="5"/>
    </row>
    <row r="127" spans="3:6" x14ac:dyDescent="0.45">
      <c r="C127" s="5"/>
      <c r="F127" s="5"/>
    </row>
    <row r="128" spans="3:6" x14ac:dyDescent="0.45">
      <c r="C128" s="5"/>
      <c r="F128" s="5"/>
    </row>
    <row r="129" spans="3:6" x14ac:dyDescent="0.45">
      <c r="C129" s="5"/>
      <c r="F129" s="5"/>
    </row>
    <row r="130" spans="3:6" x14ac:dyDescent="0.45">
      <c r="C130" s="5"/>
      <c r="F130" s="5"/>
    </row>
    <row r="131" spans="3:6" x14ac:dyDescent="0.45">
      <c r="C131" s="5"/>
      <c r="F131" s="5"/>
    </row>
    <row r="132" spans="3:6" x14ac:dyDescent="0.45">
      <c r="F132" s="5"/>
    </row>
    <row r="133" spans="3:6" x14ac:dyDescent="0.45">
      <c r="F133" s="5"/>
    </row>
    <row r="134" spans="3:6" x14ac:dyDescent="0.45">
      <c r="F134" s="5"/>
    </row>
    <row r="135" spans="3:6" x14ac:dyDescent="0.45">
      <c r="F135" s="5"/>
    </row>
    <row r="136" spans="3:6" x14ac:dyDescent="0.45">
      <c r="F136" s="5"/>
    </row>
    <row r="137" spans="3:6" x14ac:dyDescent="0.45">
      <c r="F137" s="5"/>
    </row>
    <row r="138" spans="3:6" x14ac:dyDescent="0.45">
      <c r="F138" s="5"/>
    </row>
    <row r="139" spans="3:6" x14ac:dyDescent="0.45">
      <c r="F139" s="5"/>
    </row>
    <row r="140" spans="3:6" x14ac:dyDescent="0.45">
      <c r="F140" s="5"/>
    </row>
    <row r="141" spans="3:6" x14ac:dyDescent="0.45">
      <c r="F141" s="5"/>
    </row>
    <row r="142" spans="3:6" x14ac:dyDescent="0.45">
      <c r="F142" s="5"/>
    </row>
    <row r="143" spans="3:6" x14ac:dyDescent="0.45">
      <c r="F143" s="5"/>
    </row>
    <row r="144" spans="3:6" x14ac:dyDescent="0.45">
      <c r="F144" s="5"/>
    </row>
    <row r="145" spans="6:6" x14ac:dyDescent="0.45">
      <c r="F145" s="5"/>
    </row>
    <row r="146" spans="6:6" x14ac:dyDescent="0.45">
      <c r="F146" s="5"/>
    </row>
    <row r="147" spans="6:6" x14ac:dyDescent="0.45">
      <c r="F147" s="5"/>
    </row>
    <row r="148" spans="6:6" x14ac:dyDescent="0.45">
      <c r="F148" s="5"/>
    </row>
    <row r="149" spans="6:6" x14ac:dyDescent="0.45">
      <c r="F149" s="5"/>
    </row>
    <row r="150" spans="6:6" x14ac:dyDescent="0.45">
      <c r="F150" s="5"/>
    </row>
    <row r="151" spans="6:6" x14ac:dyDescent="0.45">
      <c r="F151" s="5"/>
    </row>
    <row r="152" spans="6:6" x14ac:dyDescent="0.45">
      <c r="F152" s="5"/>
    </row>
    <row r="153" spans="6:6" x14ac:dyDescent="0.45">
      <c r="F153" s="5"/>
    </row>
    <row r="154" spans="6:6" x14ac:dyDescent="0.45">
      <c r="F154" s="5"/>
    </row>
    <row r="155" spans="6:6" x14ac:dyDescent="0.45">
      <c r="F155" s="5"/>
    </row>
    <row r="156" spans="6:6" x14ac:dyDescent="0.45">
      <c r="F156" s="5"/>
    </row>
    <row r="157" spans="6:6" x14ac:dyDescent="0.45">
      <c r="F157" s="5"/>
    </row>
    <row r="158" spans="6:6" x14ac:dyDescent="0.45">
      <c r="F158" s="5"/>
    </row>
    <row r="159" spans="6:6" x14ac:dyDescent="0.45">
      <c r="F159" s="5"/>
    </row>
    <row r="160" spans="6:6" x14ac:dyDescent="0.45">
      <c r="F160" s="5"/>
    </row>
    <row r="161" spans="6:6" x14ac:dyDescent="0.45">
      <c r="F161" s="5"/>
    </row>
    <row r="162" spans="6:6" x14ac:dyDescent="0.45">
      <c r="F162" s="5"/>
    </row>
    <row r="163" spans="6:6" x14ac:dyDescent="0.4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71" bestFit="1" customWidth="1"/>
    <col min="2" max="4" width="11.46484375" style="71"/>
    <col min="5" max="5" width="9.53125" style="71" customWidth="1"/>
    <col min="6" max="7" width="11.46484375" style="71"/>
    <col min="8" max="8" width="10.796875" style="71" customWidth="1"/>
    <col min="9" max="9" width="9.46484375" style="71" customWidth="1"/>
    <col min="10" max="11" width="10.53125" style="71" bestFit="1" customWidth="1"/>
    <col min="12" max="12" width="14" style="71" bestFit="1" customWidth="1"/>
    <col min="13" max="13" width="14" style="71" customWidth="1"/>
    <col min="14" max="23" width="11.46484375" style="71"/>
    <col min="24" max="24" width="11.796875" style="71" bestFit="1" customWidth="1"/>
    <col min="25" max="25" width="14.53125" style="71" bestFit="1" customWidth="1"/>
    <col min="26" max="26" width="12.46484375" style="71" bestFit="1" customWidth="1"/>
    <col min="27" max="27" width="9.796875" style="71" bestFit="1" customWidth="1"/>
    <col min="28" max="28" width="11" style="71" bestFit="1" customWidth="1"/>
    <col min="29" max="29" width="9.46484375" style="71" bestFit="1" customWidth="1"/>
    <col min="30" max="31" width="9.46484375" style="71" customWidth="1"/>
    <col min="32" max="32" width="11.46484375" style="71"/>
    <col min="33" max="34" width="14" style="71" bestFit="1" customWidth="1"/>
    <col min="35" max="35" width="10.53125" style="71" bestFit="1" customWidth="1"/>
    <col min="36" max="36" width="9.46484375" style="71" bestFit="1" customWidth="1"/>
    <col min="37" max="38" width="10.53125" style="71" bestFit="1" customWidth="1"/>
    <col min="39" max="41" width="10.53125" style="71" customWidth="1"/>
    <col min="42" max="42" width="9" style="71" bestFit="1" customWidth="1"/>
    <col min="43" max="43" width="10.53125" style="71" bestFit="1" customWidth="1"/>
    <col min="44" max="44" width="9.19921875" style="71" bestFit="1" customWidth="1"/>
    <col min="45" max="45" width="11.796875" style="71" bestFit="1" customWidth="1"/>
    <col min="46" max="46" width="8.46484375" style="71" bestFit="1" customWidth="1"/>
    <col min="47" max="47" width="9.46484375" style="71" bestFit="1" customWidth="1"/>
    <col min="48" max="48" width="9.796875" style="71" bestFit="1" customWidth="1"/>
    <col min="49" max="49" width="11" style="71" bestFit="1" customWidth="1"/>
    <col min="50" max="50" width="9.46484375" style="71" bestFit="1" customWidth="1"/>
    <col min="51" max="52" width="9.46484375" style="71" customWidth="1"/>
    <col min="53" max="53" width="10.53125" style="71" bestFit="1" customWidth="1"/>
    <col min="54" max="54" width="14.19921875" style="71" customWidth="1"/>
    <col min="55" max="55" width="14" style="71" customWidth="1"/>
    <col min="56" max="56" width="10.53125" style="71" bestFit="1" customWidth="1"/>
    <col min="57" max="57" width="9.46484375" style="71" bestFit="1" customWidth="1"/>
    <col min="58" max="59" width="10.53125" style="71" bestFit="1" customWidth="1"/>
    <col min="60" max="62" width="10.53125" style="71" customWidth="1"/>
    <col min="63" max="63" width="9" style="71" bestFit="1" customWidth="1"/>
    <col min="64" max="64" width="10.53125" style="71" bestFit="1" customWidth="1"/>
    <col min="65" max="65" width="9.19921875" style="71" bestFit="1" customWidth="1"/>
    <col min="66" max="66" width="11.796875" style="71" bestFit="1" customWidth="1"/>
    <col min="67" max="67" width="8.46484375" style="71" bestFit="1" customWidth="1"/>
    <col min="68" max="68" width="9.46484375" style="71" bestFit="1" customWidth="1"/>
    <col min="69" max="69" width="9.796875" style="71" bestFit="1" customWidth="1"/>
    <col min="70" max="70" width="11" style="71" bestFit="1" customWidth="1"/>
    <col min="71" max="71" width="9.46484375" style="71" bestFit="1" customWidth="1"/>
    <col min="72" max="73" width="9.46484375" style="71" customWidth="1"/>
    <col min="74" max="74" width="10.53125" style="71" bestFit="1" customWidth="1"/>
    <col min="75" max="75" width="14" style="71" bestFit="1" customWidth="1"/>
    <col min="76" max="76" width="13.86328125" style="71" customWidth="1"/>
    <col min="77" max="77" width="10.53125" style="71" bestFit="1" customWidth="1"/>
    <col min="78" max="78" width="9.46484375" style="71" bestFit="1" customWidth="1"/>
    <col min="79" max="80" width="10.53125" style="71" bestFit="1" customWidth="1"/>
    <col min="81" max="83" width="10.53125" style="71" customWidth="1"/>
    <col min="84" max="84" width="11.46484375" style="71"/>
    <col min="85" max="85" width="10.53125" style="71" bestFit="1" customWidth="1"/>
    <col min="86" max="86" width="9.19921875" style="71" bestFit="1" customWidth="1"/>
    <col min="87" max="87" width="11.796875" style="71" bestFit="1" customWidth="1"/>
    <col min="88" max="88" width="8.46484375" style="71" bestFit="1" customWidth="1"/>
    <col min="89" max="89" width="9.46484375" style="71" bestFit="1" customWidth="1"/>
    <col min="90" max="90" width="9.796875" style="71" bestFit="1" customWidth="1"/>
    <col min="91" max="91" width="11" style="71" bestFit="1" customWidth="1"/>
    <col min="92" max="92" width="9.46484375" style="71" bestFit="1" customWidth="1"/>
    <col min="93" max="94" width="9.46484375" style="71" customWidth="1"/>
    <col min="95" max="95" width="11.46484375" style="71"/>
    <col min="96" max="97" width="14" style="71" customWidth="1"/>
    <col min="98" max="98" width="10.53125" style="71" bestFit="1" customWidth="1"/>
    <col min="99" max="99" width="9.46484375" style="71" bestFit="1" customWidth="1"/>
    <col min="100" max="101" width="10.53125" style="71" bestFit="1" customWidth="1"/>
    <col min="102" max="104" width="10.53125" style="71" customWidth="1"/>
    <col min="105" max="105" width="9" style="71" bestFit="1" customWidth="1"/>
    <col min="106" max="106" width="10.53125" style="71" bestFit="1" customWidth="1"/>
    <col min="107" max="107" width="9.19921875" style="71" bestFit="1" customWidth="1"/>
    <col min="108" max="108" width="11.796875" style="71" bestFit="1" customWidth="1"/>
    <col min="109" max="109" width="8.46484375" style="71" bestFit="1" customWidth="1"/>
    <col min="110" max="110" width="9.46484375" style="71" bestFit="1" customWidth="1"/>
    <col min="111" max="111" width="9.796875" style="71" bestFit="1" customWidth="1"/>
    <col min="112" max="112" width="11" style="71" bestFit="1" customWidth="1"/>
    <col min="113" max="113" width="9.46484375" style="71" bestFit="1" customWidth="1"/>
    <col min="114" max="115" width="9.46484375" style="71" customWidth="1"/>
    <col min="116" max="116" width="10.53125" style="71" bestFit="1" customWidth="1"/>
    <col min="117" max="117" width="14.19921875" style="71" customWidth="1"/>
    <col min="118" max="118" width="14" style="71" bestFit="1" customWidth="1"/>
    <col min="119" max="119" width="10.53125" style="71" bestFit="1" customWidth="1"/>
    <col min="120" max="120" width="9.46484375" style="71" bestFit="1" customWidth="1"/>
    <col min="121" max="122" width="10.53125" style="71" bestFit="1" customWidth="1"/>
    <col min="123" max="125" width="10.53125" style="71" customWidth="1"/>
    <col min="126" max="126" width="9" style="71" bestFit="1" customWidth="1"/>
    <col min="127" max="127" width="10.53125" style="71" bestFit="1" customWidth="1"/>
    <col min="128" max="128" width="9.19921875" style="71" bestFit="1" customWidth="1"/>
    <col min="129" max="129" width="11.796875" style="71" bestFit="1" customWidth="1"/>
    <col min="130" max="130" width="8.46484375" style="71" bestFit="1" customWidth="1"/>
    <col min="131" max="131" width="9.46484375" style="71" bestFit="1" customWidth="1"/>
    <col min="132" max="132" width="9.796875" style="71" bestFit="1" customWidth="1"/>
    <col min="133" max="133" width="11" style="71" bestFit="1" customWidth="1"/>
    <col min="134" max="134" width="9.46484375" style="71" bestFit="1" customWidth="1"/>
    <col min="135" max="136" width="9.46484375" style="71" customWidth="1"/>
    <col min="137" max="137" width="10.53125" style="71" bestFit="1" customWidth="1"/>
    <col min="138" max="139" width="14" style="71" customWidth="1"/>
    <col min="140" max="140" width="10.53125" style="71" bestFit="1" customWidth="1"/>
    <col min="141" max="141" width="9.46484375" style="71" bestFit="1" customWidth="1"/>
    <col min="142" max="143" width="10.53125" style="71" bestFit="1" customWidth="1"/>
    <col min="144" max="146" width="10.53125" style="71" customWidth="1"/>
    <col min="147" max="147" width="9" style="71" bestFit="1" customWidth="1"/>
    <col min="148" max="148" width="10.53125" style="71" bestFit="1" customWidth="1"/>
    <col min="149" max="149" width="9.19921875" style="71" bestFit="1" customWidth="1"/>
    <col min="150" max="150" width="11.796875" style="71" bestFit="1" customWidth="1"/>
    <col min="151" max="151" width="8.46484375" style="71" bestFit="1" customWidth="1"/>
    <col min="152" max="152" width="9.46484375" style="71" bestFit="1" customWidth="1"/>
    <col min="153" max="153" width="9.796875" style="71" bestFit="1" customWidth="1"/>
    <col min="154" max="154" width="11" style="71" bestFit="1" customWidth="1"/>
    <col min="155" max="155" width="9.46484375" style="71" bestFit="1" customWidth="1"/>
    <col min="156" max="157" width="9.46484375" style="71" customWidth="1"/>
    <col min="158" max="158" width="11.46484375" style="71"/>
    <col min="159" max="160" width="14" style="71" bestFit="1" customWidth="1"/>
    <col min="161" max="161" width="10.53125" style="71" bestFit="1" customWidth="1"/>
    <col min="162" max="162" width="9.46484375" style="71" bestFit="1" customWidth="1"/>
    <col min="163" max="164" width="10.53125" style="71" bestFit="1" customWidth="1"/>
    <col min="165" max="167" width="10.53125" style="71" customWidth="1"/>
    <col min="168" max="168" width="9" style="71" bestFit="1" customWidth="1"/>
    <col min="169" max="169" width="10.53125" style="71" bestFit="1" customWidth="1"/>
    <col min="170" max="170" width="9.19921875" style="71" bestFit="1" customWidth="1"/>
    <col min="171" max="171" width="11.796875" style="71" bestFit="1" customWidth="1"/>
    <col min="172" max="172" width="8.1328125" style="71" bestFit="1" customWidth="1"/>
    <col min="173" max="173" width="9.46484375" style="71" bestFit="1" customWidth="1"/>
    <col min="174" max="174" width="9.796875" style="71" bestFit="1" customWidth="1"/>
    <col min="175" max="175" width="11" style="71" bestFit="1" customWidth="1"/>
    <col min="176" max="176" width="9.46484375" style="71" bestFit="1" customWidth="1"/>
    <col min="177" max="178" width="9.46484375" style="71" customWidth="1"/>
    <col min="179" max="179" width="10.53125" style="71" bestFit="1" customWidth="1"/>
    <col min="180" max="181" width="14" style="71" bestFit="1" customWidth="1"/>
    <col min="182" max="182" width="10.53125" style="71" bestFit="1" customWidth="1"/>
    <col min="183" max="183" width="9.46484375" style="71" bestFit="1" customWidth="1"/>
    <col min="184" max="185" width="10.53125" style="71" bestFit="1" customWidth="1"/>
    <col min="186" max="188" width="10.53125" style="71" customWidth="1"/>
    <col min="189" max="189" width="9" style="71" bestFit="1" customWidth="1"/>
    <col min="190" max="190" width="10.53125" style="71" bestFit="1" customWidth="1"/>
    <col min="191" max="191" width="9.19921875" style="71" bestFit="1" customWidth="1"/>
    <col min="192" max="192" width="11.46484375" style="71"/>
    <col min="193" max="193" width="8.46484375" style="71" bestFit="1" customWidth="1"/>
    <col min="194" max="194" width="9.46484375" style="71" bestFit="1" customWidth="1"/>
    <col min="195" max="195" width="9.796875" style="71" bestFit="1" customWidth="1"/>
    <col min="196" max="196" width="11" style="71" bestFit="1" customWidth="1"/>
    <col min="197" max="197" width="9.46484375" style="71" bestFit="1" customWidth="1"/>
    <col min="198" max="199" width="9.46484375" style="71" customWidth="1"/>
    <col min="200" max="200" width="10.53125" style="71" bestFit="1" customWidth="1"/>
    <col min="201" max="201" width="14" style="71" customWidth="1"/>
    <col min="202" max="202" width="14.19921875" style="71" customWidth="1"/>
    <col min="203" max="203" width="10.53125" style="71" bestFit="1" customWidth="1"/>
    <col min="204" max="204" width="9.46484375" style="71" bestFit="1" customWidth="1"/>
    <col min="205" max="206" width="10.53125" style="71" bestFit="1" customWidth="1"/>
    <col min="207" max="209" width="10.53125" style="71" customWidth="1"/>
    <col min="210" max="210" width="9" style="71" bestFit="1" customWidth="1"/>
    <col min="211" max="211" width="10.53125" style="71" bestFit="1" customWidth="1"/>
    <col min="212" max="212" width="9.19921875" style="71" bestFit="1" customWidth="1"/>
    <col min="213" max="213" width="11.796875" style="71" bestFit="1" customWidth="1"/>
    <col min="214" max="214" width="8.46484375" style="71" bestFit="1" customWidth="1"/>
    <col min="215" max="215" width="9.46484375" style="71" bestFit="1" customWidth="1"/>
    <col min="216" max="216" width="9.796875" style="71" bestFit="1" customWidth="1"/>
    <col min="217" max="217" width="11" style="71" bestFit="1" customWidth="1"/>
    <col min="218" max="218" width="9.46484375" style="71" bestFit="1" customWidth="1"/>
    <col min="219" max="16384" width="11.46484375" style="71"/>
  </cols>
  <sheetData>
    <row r="1" spans="1:218" s="5" customFormat="1" ht="25.9" thickBot="1" x14ac:dyDescent="0.8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rouge d'Amérique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7.4" thickBot="1" x14ac:dyDescent="0.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4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234.06296185782384</v>
      </c>
      <c r="T3" s="62">
        <f>IF('Données projet'!E9&gt;30,$R$33-$H$33,LOOKUP('Données projet'!$E$9,$A$3:$A$203,R3:R203)-LOOKUP('Données projet'!$E$9,$A$3:$A$203,$H$3:$H$203))</f>
        <v>300.75555492874378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206.38141226866287</v>
      </c>
      <c r="AO3" s="62">
        <f>IF('Données projet'!E10&gt;30,$AM$33-$H$33,LOOKUP('Données projet'!$E$10,$A$3:$A$203,AM3:AM203)-LOOKUP('Données projet'!$E$10,$A$3:$A$203,$H$3:$H$203))</f>
        <v>89.074420303945885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4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296.30914895328908</v>
      </c>
      <c r="S4" s="62">
        <f ca="1">AVERAGE(OFFSET($R$3,0,0,'Données projet'!$E$9+1,1))-AVERAGE(OFFSET($H$3,0,0,'Données projet'!$E$9+1,1))</f>
        <v>234.06296185782384</v>
      </c>
      <c r="T4" s="62">
        <f>$T$3</f>
        <v>300.75555492874378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2.3000055555555554</v>
      </c>
      <c r="AI4" s="14">
        <f>IF('Données projet'!$A$62&gt;35,AI3+AH4-AQ3,IF(A4&lt;'Données projet'!$A$62,$AF$205^A4,IF(A4='Données projet'!$A$62,'Données projet'!$B$62,AI3+AH4-AQ3)))</f>
        <v>2.3000055555555554</v>
      </c>
      <c r="AJ4" s="14">
        <f>AI4*VLOOKUP('Données projet'!$B$10,Paramètres!$A$1:$I$89,3,0)*VLOOKUP('Données projet'!$B$10,Paramètres!$A$1:$I$89,5,0)</f>
        <v>2.0810450266666662</v>
      </c>
      <c r="AK4" s="14">
        <f>EXP(-1.0587+0.8836*LN(AJ4)+0.284)</f>
        <v>0.88061398441702121</v>
      </c>
      <c r="AL4" s="22">
        <f t="shared" ref="AL4:AL67" si="4">(AJ4+AK4)*0.475*44/12</f>
        <v>5.1582227776374223</v>
      </c>
      <c r="AM4" s="62">
        <f t="shared" ref="AM4:AM67" si="5">AL4+(AD4+AE4)*44/12</f>
        <v>298.49155611097075</v>
      </c>
      <c r="AN4" s="62">
        <f ca="1">AVERAGE(OFFSET($AM$3,0,0,'Données projet'!$E$10+1,1))-AVERAGE(OFFSET($H$3,0,0,'Données projet'!$E$10+1,1))</f>
        <v>206.38141226866287</v>
      </c>
      <c r="AO4" s="62">
        <f>$AO$3</f>
        <v>89.074420303945885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4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297.29863599029233</v>
      </c>
      <c r="S5" s="62">
        <f ca="1">AVERAGE(OFFSET($R$3,0,0,'Données projet'!$E$9+1,1))-AVERAGE(OFFSET($H$3,0,0,'Données projet'!$E$9+1,1))</f>
        <v>234.06296185782384</v>
      </c>
      <c r="T5" s="62">
        <f t="shared" ref="T5:T68" si="34">$T$3</f>
        <v>300.75555492874378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2.3000055555555554</v>
      </c>
      <c r="AI5" s="14">
        <f>IF('Données projet'!$A$62&gt;35,AI4+AH5-AQ4,IF(A5&lt;'Données projet'!$A$62,$AF$205^A5,IF(A5='Données projet'!$A$62,'Données projet'!$B$62,AI4+AH5-AQ4)))</f>
        <v>4.6000111111111108</v>
      </c>
      <c r="AJ5" s="14">
        <f>AI5*VLOOKUP('Données projet'!$B$10,Paramètres!$A$1:$I$89,3,0)*VLOOKUP('Données projet'!$B$10,Paramètres!$A$1:$I$89,5,0)</f>
        <v>4.1620900533333325</v>
      </c>
      <c r="AK5" s="14">
        <f t="shared" ref="AK5:AK68" si="35">EXP(-1.0587+0.8836*LN(AJ5)+0.284)</f>
        <v>1.6247093585555732</v>
      </c>
      <c r="AL5" s="22">
        <f t="shared" si="4"/>
        <v>10.078675642373176</v>
      </c>
      <c r="AM5" s="62">
        <f t="shared" si="5"/>
        <v>303.4120089757065</v>
      </c>
      <c r="AN5" s="62">
        <f ca="1">AVERAGE(OFFSET($AM$3,0,0,'Données projet'!$E$10+1,1))-AVERAGE(OFFSET($H$3,0,0,'Données projet'!$E$10+1,1))</f>
        <v>206.38141226866287</v>
      </c>
      <c r="AO5" s="62">
        <f t="shared" ref="AO5:AO68" si="36">$AO$3</f>
        <v>89.074420303945885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4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298.61847972717322</v>
      </c>
      <c r="S6" s="62">
        <f ca="1">AVERAGE(OFFSET($R$3,0,0,'Données projet'!$E$9+1,1))-AVERAGE(OFFSET($H$3,0,0,'Données projet'!$E$9+1,1))</f>
        <v>234.06296185782384</v>
      </c>
      <c r="T6" s="62">
        <f t="shared" si="34"/>
        <v>300.75555492874378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2.3000055555555554</v>
      </c>
      <c r="AI6" s="14">
        <f>IF('Données projet'!$A$62&gt;35,AI5+AH6-AQ5,IF(A6&lt;'Données projet'!$A$62,$AF$205^A6,IF(A6='Données projet'!$A$62,'Données projet'!$B$62,AI5+AH6-AQ5)))</f>
        <v>6.9000166666666658</v>
      </c>
      <c r="AJ6" s="14">
        <f>AI6*VLOOKUP('Données projet'!$B$10,Paramètres!$A$1:$I$89,3,0)*VLOOKUP('Données projet'!$B$10,Paramètres!$A$1:$I$89,5,0)</f>
        <v>6.2431350799999992</v>
      </c>
      <c r="AK6" s="14">
        <f t="shared" si="35"/>
        <v>2.3247160743797317</v>
      </c>
      <c r="AL6" s="22">
        <f t="shared" si="4"/>
        <v>14.922340760544699</v>
      </c>
      <c r="AM6" s="62">
        <f t="shared" si="5"/>
        <v>308.25567409387804</v>
      </c>
      <c r="AN6" s="62">
        <f ca="1">AVERAGE(OFFSET($AM$3,0,0,'Données projet'!$E$10+1,1))-AVERAGE(OFFSET($H$3,0,0,'Données projet'!$E$10+1,1))</f>
        <v>206.38141226866287</v>
      </c>
      <c r="AO6" s="62">
        <f t="shared" si="36"/>
        <v>89.074420303945885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4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300.37939668714245</v>
      </c>
      <c r="S7" s="62">
        <f ca="1">AVERAGE(OFFSET($R$3,0,0,'Données projet'!$E$9+1,1))-AVERAGE(OFFSET($H$3,0,0,'Données projet'!$E$9+1,1))</f>
        <v>234.06296185782384</v>
      </c>
      <c r="T7" s="62">
        <f t="shared" si="34"/>
        <v>300.75555492874378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2.3000055555555554</v>
      </c>
      <c r="AI7" s="14">
        <f>IF('Données projet'!$A$62&gt;35,AI6+AH7-AQ6,IF(A7&lt;'Données projet'!$A$62,$AF$205^A7,IF(A7='Données projet'!$A$62,'Données projet'!$B$62,AI6+AH7-AQ6)))</f>
        <v>9.2000222222222217</v>
      </c>
      <c r="AJ7" s="14">
        <f>AI7*VLOOKUP('Données projet'!$B$10,Paramètres!$A$1:$I$89,3,0)*VLOOKUP('Données projet'!$B$10,Paramètres!$A$1:$I$89,5,0)</f>
        <v>8.324180106666665</v>
      </c>
      <c r="AK7" s="14">
        <f t="shared" si="35"/>
        <v>2.9975455153889796</v>
      </c>
      <c r="AL7" s="22">
        <f t="shared" si="4"/>
        <v>19.71867212508025</v>
      </c>
      <c r="AM7" s="62">
        <f t="shared" si="5"/>
        <v>313.05200545841359</v>
      </c>
      <c r="AN7" s="62">
        <f ca="1">AVERAGE(OFFSET($AM$3,0,0,'Données projet'!$E$10+1,1))-AVERAGE(OFFSET($H$3,0,0,'Données projet'!$E$10+1,1))</f>
        <v>206.38141226866287</v>
      </c>
      <c r="AO7" s="62">
        <f t="shared" si="36"/>
        <v>89.074420303945885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4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302.72934092225324</v>
      </c>
      <c r="S8" s="62">
        <f ca="1">AVERAGE(OFFSET($R$3,0,0,'Données projet'!$E$9+1,1))-AVERAGE(OFFSET($H$3,0,0,'Données projet'!$E$9+1,1))</f>
        <v>234.06296185782384</v>
      </c>
      <c r="T8" s="62">
        <f t="shared" si="34"/>
        <v>300.75555492874378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2.3000055555555554</v>
      </c>
      <c r="AI8" s="14">
        <f>IF('Données projet'!$A$62&gt;35,AI7+AH8-AQ7,IF(A8&lt;'Données projet'!$A$62,$AF$205^A8,IF(A8='Données projet'!$A$62,'Données projet'!$B$62,AI7+AH8-AQ7)))</f>
        <v>11.500027777777778</v>
      </c>
      <c r="AJ8" s="14">
        <f>AI8*VLOOKUP('Données projet'!$B$10,Paramètres!$A$1:$I$89,3,0)*VLOOKUP('Données projet'!$B$10,Paramètres!$A$1:$I$89,5,0)</f>
        <v>10.405225133333333</v>
      </c>
      <c r="AK8" s="14">
        <f t="shared" si="35"/>
        <v>3.6508624749770924</v>
      </c>
      <c r="AL8" s="22">
        <f t="shared" si="4"/>
        <v>24.481019251140655</v>
      </c>
      <c r="AM8" s="62">
        <f t="shared" si="5"/>
        <v>317.81435258447397</v>
      </c>
      <c r="AN8" s="62">
        <f ca="1">AVERAGE(OFFSET($AM$3,0,0,'Données projet'!$E$10+1,1))-AVERAGE(OFFSET($H$3,0,0,'Données projet'!$E$10+1,1))</f>
        <v>206.38141226866287</v>
      </c>
      <c r="AO8" s="62">
        <f t="shared" si="36"/>
        <v>89.074420303945885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4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305.86606921147524</v>
      </c>
      <c r="S9" s="62">
        <f ca="1">AVERAGE(OFFSET($R$3,0,0,'Données projet'!$E$9+1,1))-AVERAGE(OFFSET($H$3,0,0,'Données projet'!$E$9+1,1))</f>
        <v>234.06296185782384</v>
      </c>
      <c r="T9" s="62">
        <f t="shared" si="34"/>
        <v>300.75555492874378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2.3000055555555554</v>
      </c>
      <c r="AI9" s="14">
        <f>IF('Données projet'!$A$62&gt;35,AI8+AH9-AQ8,IF(A9&lt;'Données projet'!$A$62,$AF$205^A9,IF(A9='Données projet'!$A$62,'Données projet'!$B$62,AI8+AH9-AQ8)))</f>
        <v>13.800033333333333</v>
      </c>
      <c r="AJ9" s="14">
        <f>AI9*VLOOKUP('Données projet'!$B$10,Paramètres!$A$1:$I$89,3,0)*VLOOKUP('Données projet'!$B$10,Paramètres!$A$1:$I$89,5,0)</f>
        <v>12.486270159999998</v>
      </c>
      <c r="AK9" s="14">
        <f t="shared" si="35"/>
        <v>4.2890392713099397</v>
      </c>
      <c r="AL9" s="22">
        <f t="shared" si="4"/>
        <v>29.216997259531478</v>
      </c>
      <c r="AM9" s="62">
        <f t="shared" si="5"/>
        <v>322.55033059286478</v>
      </c>
      <c r="AN9" s="62">
        <f ca="1">AVERAGE(OFFSET($AM$3,0,0,'Données projet'!$E$10+1,1))-AVERAGE(OFFSET($H$3,0,0,'Données projet'!$E$10+1,1))</f>
        <v>206.38141226866287</v>
      </c>
      <c r="AO9" s="62">
        <f t="shared" si="36"/>
        <v>89.074420303945885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4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310.05395890779124</v>
      </c>
      <c r="S10" s="62">
        <f ca="1">AVERAGE(OFFSET($R$3,0,0,'Données projet'!$E$9+1,1))-AVERAGE(OFFSET($H$3,0,0,'Données projet'!$E$9+1,1))</f>
        <v>234.06296185782384</v>
      </c>
      <c r="T10" s="62">
        <f t="shared" si="34"/>
        <v>300.75555492874378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2.3000055555555554</v>
      </c>
      <c r="AI10" s="14">
        <f>IF('Données projet'!$A$62&gt;35,AI9+AH10-AQ9,IF(A10&lt;'Données projet'!$A$62,$AF$205^A10,IF(A10='Données projet'!$A$62,'Données projet'!$B$62,AI9+AH10-AQ9)))</f>
        <v>16.100038888888889</v>
      </c>
      <c r="AJ10" s="14">
        <f>AI10*VLOOKUP('Données projet'!$B$10,Paramètres!$A$1:$I$89,3,0)*VLOOKUP('Données projet'!$B$10,Paramètres!$A$1:$I$89,5,0)</f>
        <v>14.567315186666667</v>
      </c>
      <c r="AK10" s="14">
        <f t="shared" si="35"/>
        <v>4.9148945688509169</v>
      </c>
      <c r="AL10" s="22">
        <f t="shared" si="4"/>
        <v>33.931515324193121</v>
      </c>
      <c r="AM10" s="62">
        <f t="shared" si="5"/>
        <v>327.26484865752644</v>
      </c>
      <c r="AN10" s="62">
        <f ca="1">AVERAGE(OFFSET($AM$3,0,0,'Données projet'!$E$10+1,1))-AVERAGE(OFFSET($H$3,0,0,'Données projet'!$E$10+1,1))</f>
        <v>206.38141226866287</v>
      </c>
      <c r="AO10" s="62">
        <f t="shared" si="36"/>
        <v>89.074420303945885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4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315.64652166525593</v>
      </c>
      <c r="S11" s="62">
        <f ca="1">AVERAGE(OFFSET($R$3,0,0,'Données projet'!$E$9+1,1))-AVERAGE(OFFSET($H$3,0,0,'Données projet'!$E$9+1,1))</f>
        <v>234.06296185782384</v>
      </c>
      <c r="T11" s="62">
        <f t="shared" si="34"/>
        <v>300.75555492874378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2.3000055555555554</v>
      </c>
      <c r="AI11" s="14">
        <f>IF('Données projet'!$A$62&gt;35,AI10+AH11-AQ10,IF(A11&lt;'Données projet'!$A$62,$AF$205^A11,IF(A11='Données projet'!$A$62,'Données projet'!$B$62,AI10+AH11-AQ10)))</f>
        <v>18.400044444444443</v>
      </c>
      <c r="AJ11" s="14">
        <f>AI11*VLOOKUP('Données projet'!$B$10,Paramètres!$A$1:$I$89,3,0)*VLOOKUP('Données projet'!$B$10,Paramètres!$A$1:$I$89,5,0)</f>
        <v>16.64836021333333</v>
      </c>
      <c r="AK11" s="14">
        <f t="shared" si="35"/>
        <v>5.5303916786795808</v>
      </c>
      <c r="AL11" s="22">
        <f t="shared" si="4"/>
        <v>38.627992878589147</v>
      </c>
      <c r="AM11" s="62">
        <f t="shared" si="5"/>
        <v>331.96132621192248</v>
      </c>
      <c r="AN11" s="62">
        <f ca="1">AVERAGE(OFFSET($AM$3,0,0,'Données projet'!$E$10+1,1))-AVERAGE(OFFSET($H$3,0,0,'Données projet'!$E$10+1,1))</f>
        <v>206.38141226866287</v>
      </c>
      <c r="AO11" s="62">
        <f t="shared" si="36"/>
        <v>89.074420303945885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4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323.11654728313812</v>
      </c>
      <c r="S12" s="62">
        <f ca="1">AVERAGE(OFFSET($R$3,0,0,'Données projet'!$E$9+1,1))-AVERAGE(OFFSET($H$3,0,0,'Données projet'!$E$9+1,1))</f>
        <v>234.06296185782384</v>
      </c>
      <c r="T12" s="62">
        <f t="shared" si="34"/>
        <v>300.75555492874378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2.3000055555555554</v>
      </c>
      <c r="AI12" s="14">
        <f>IF('Données projet'!$A$62&gt;35,AI11+AH12-AQ11,IF(A12&lt;'Données projet'!$A$62,$AF$205^A12,IF(A12='Données projet'!$A$62,'Données projet'!$B$62,AI11+AH12-AQ11)))</f>
        <v>20.700049999999997</v>
      </c>
      <c r="AJ12" s="14">
        <f>AI12*VLOOKUP('Données projet'!$B$10,Paramètres!$A$1:$I$89,3,0)*VLOOKUP('Données projet'!$B$10,Paramètres!$A$1:$I$89,5,0)</f>
        <v>18.729405239999998</v>
      </c>
      <c r="AK12" s="14">
        <f t="shared" si="35"/>
        <v>6.1369736594147266</v>
      </c>
      <c r="AL12" s="22">
        <f t="shared" si="4"/>
        <v>43.308943249813979</v>
      </c>
      <c r="AM12" s="62">
        <f t="shared" si="5"/>
        <v>336.64227658314729</v>
      </c>
      <c r="AN12" s="62">
        <f ca="1">AVERAGE(OFFSET($AM$3,0,0,'Données projet'!$E$10+1,1))-AVERAGE(OFFSET($H$3,0,0,'Données projet'!$E$10+1,1))</f>
        <v>206.38141226866287</v>
      </c>
      <c r="AO12" s="62">
        <f t="shared" si="36"/>
        <v>89.074420303945885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4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333.09647033042859</v>
      </c>
      <c r="S13" s="62">
        <f ca="1">AVERAGE(OFFSET($R$3,0,0,'Données projet'!$E$9+1,1))-AVERAGE(OFFSET($H$3,0,0,'Données projet'!$E$9+1,1))</f>
        <v>234.06296185782384</v>
      </c>
      <c r="T13" s="62">
        <f t="shared" si="34"/>
        <v>300.75555492874378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2.3000055555555554</v>
      </c>
      <c r="AI13" s="14">
        <f>IF('Données projet'!$A$62&gt;35,AI12+AH13-AQ12,IF(A13&lt;'Données projet'!$A$62,$AF$205^A13,IF(A13='Données projet'!$A$62,'Données projet'!$B$62,AI12+AH13-AQ12)))</f>
        <v>23.000055555555551</v>
      </c>
      <c r="AJ13" s="14">
        <f>AI13*VLOOKUP('Données projet'!$B$10,Paramètres!$A$1:$I$89,3,0)*VLOOKUP('Données projet'!$B$10,Paramètres!$A$1:$I$89,5,0)</f>
        <v>20.81045026666666</v>
      </c>
      <c r="AK13" s="14">
        <f t="shared" si="35"/>
        <v>6.7357440772660881</v>
      </c>
      <c r="AL13" s="22">
        <f t="shared" si="4"/>
        <v>47.976288482349531</v>
      </c>
      <c r="AM13" s="62">
        <f t="shared" si="5"/>
        <v>341.30962181568282</v>
      </c>
      <c r="AN13" s="62">
        <f ca="1">AVERAGE(OFFSET($AM$3,0,0,'Données projet'!$E$10+1,1))-AVERAGE(OFFSET($H$3,0,0,'Données projet'!$E$10+1,1))</f>
        <v>206.38141226866287</v>
      </c>
      <c r="AO13" s="62">
        <f t="shared" si="36"/>
        <v>89.074420303945885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4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346.43243526036099</v>
      </c>
      <c r="S14" s="62">
        <f ca="1">AVERAGE(OFFSET($R$3,0,0,'Données projet'!$E$9+1,1))-AVERAGE(OFFSET($H$3,0,0,'Données projet'!$E$9+1,1))</f>
        <v>234.06296185782384</v>
      </c>
      <c r="T14" s="62">
        <f t="shared" si="34"/>
        <v>300.75555492874378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2.3000055555555554</v>
      </c>
      <c r="AI14" s="14">
        <f>IF('Données projet'!$A$62&gt;35,AI13+AH14-AQ13,IF(A14&lt;'Données projet'!$A$62,$AF$205^A14,IF(A14='Données projet'!$A$62,'Données projet'!$B$62,AI13+AH14-AQ13)))</f>
        <v>25.300061111111106</v>
      </c>
      <c r="AJ14" s="14">
        <f>AI14*VLOOKUP('Données projet'!$B$10,Paramètres!$A$1:$I$89,3,0)*VLOOKUP('Données projet'!$B$10,Paramètres!$A$1:$I$89,5,0)</f>
        <v>22.891495293333328</v>
      </c>
      <c r="AK14" s="14">
        <f t="shared" si="35"/>
        <v>7.3275730131160426</v>
      </c>
      <c r="AL14" s="22">
        <f t="shared" si="4"/>
        <v>52.631543967065994</v>
      </c>
      <c r="AM14" s="62">
        <f t="shared" si="5"/>
        <v>345.96487730039928</v>
      </c>
      <c r="AN14" s="62">
        <f ca="1">AVERAGE(OFFSET($AM$3,0,0,'Données projet'!$E$10+1,1))-AVERAGE(OFFSET($H$3,0,0,'Données projet'!$E$10+1,1))</f>
        <v>206.38141226866287</v>
      </c>
      <c r="AO14" s="62">
        <f t="shared" si="36"/>
        <v>89.074420303945885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4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364.256720169272</v>
      </c>
      <c r="S15" s="62">
        <f ca="1">AVERAGE(OFFSET($R$3,0,0,'Données projet'!$E$9+1,1))-AVERAGE(OFFSET($H$3,0,0,'Données projet'!$E$9+1,1))</f>
        <v>234.06296185782384</v>
      </c>
      <c r="T15" s="62">
        <f t="shared" si="34"/>
        <v>300.75555492874378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2.3000055555555554</v>
      </c>
      <c r="AI15" s="14">
        <f>IF('Données projet'!$A$62&gt;35,AI14+AH15-AQ14,IF(A15&lt;'Données projet'!$A$62,$AF$205^A15,IF(A15='Données projet'!$A$62,'Données projet'!$B$62,AI14+AH15-AQ14)))</f>
        <v>27.60006666666666</v>
      </c>
      <c r="AJ15" s="14">
        <f>AI15*VLOOKUP('Données projet'!$B$10,Paramètres!$A$1:$I$89,3,0)*VLOOKUP('Données projet'!$B$10,Paramètres!$A$1:$I$89,5,0)</f>
        <v>24.97254031999999</v>
      </c>
      <c r="AK15" s="14">
        <f t="shared" si="35"/>
        <v>7.9131632776906677</v>
      </c>
      <c r="AL15" s="22">
        <f t="shared" si="4"/>
        <v>57.275933765977896</v>
      </c>
      <c r="AM15" s="62">
        <f t="shared" si="5"/>
        <v>350.60926709931118</v>
      </c>
      <c r="AN15" s="62">
        <f ca="1">AVERAGE(OFFSET($AM$3,0,0,'Données projet'!$E$10+1,1))-AVERAGE(OFFSET($H$3,0,0,'Données projet'!$E$10+1,1))</f>
        <v>206.38141226866287</v>
      </c>
      <c r="AO15" s="62">
        <f t="shared" si="36"/>
        <v>89.074420303945885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4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388.08476826475038</v>
      </c>
      <c r="S16" s="62">
        <f ca="1">AVERAGE(OFFSET($R$3,0,0,'Données projet'!$E$9+1,1))-AVERAGE(OFFSET($H$3,0,0,'Données projet'!$E$9+1,1))</f>
        <v>234.06296185782384</v>
      </c>
      <c r="T16" s="62">
        <f t="shared" si="34"/>
        <v>300.75555492874378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2.3000055555555554</v>
      </c>
      <c r="AI16" s="14">
        <f>IF('Données projet'!$A$62&gt;35,AI15+AH16-AQ15,IF(A16&lt;'Données projet'!$A$62,$AF$205^A16,IF(A16='Données projet'!$A$62,'Données projet'!$B$62,AI15+AH16-AQ15)))</f>
        <v>29.900072222222214</v>
      </c>
      <c r="AJ16" s="14">
        <f>AI16*VLOOKUP('Données projet'!$B$10,Paramètres!$A$1:$I$89,3,0)*VLOOKUP('Données projet'!$B$10,Paramètres!$A$1:$I$89,5,0)</f>
        <v>27.053585346666658</v>
      </c>
      <c r="AK16" s="14">
        <f t="shared" si="35"/>
        <v>8.4930938670562224</v>
      </c>
      <c r="AL16" s="22">
        <f t="shared" si="4"/>
        <v>61.910466297234024</v>
      </c>
      <c r="AM16" s="62">
        <f t="shared" si="5"/>
        <v>355.24379963056731</v>
      </c>
      <c r="AN16" s="62">
        <f ca="1">AVERAGE(OFFSET($AM$3,0,0,'Données projet'!$E$10+1,1))-AVERAGE(OFFSET($H$3,0,0,'Données projet'!$E$10+1,1))</f>
        <v>206.38141226866287</v>
      </c>
      <c r="AO16" s="62">
        <f t="shared" si="36"/>
        <v>89.074420303945885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4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419.94520785747511</v>
      </c>
      <c r="S17" s="62">
        <f ca="1">AVERAGE(OFFSET($R$3,0,0,'Données projet'!$E$9+1,1))-AVERAGE(OFFSET($H$3,0,0,'Données projet'!$E$9+1,1))</f>
        <v>234.06296185782384</v>
      </c>
      <c r="T17" s="62">
        <f t="shared" si="34"/>
        <v>300.75555492874378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2.3000055555555554</v>
      </c>
      <c r="AI17" s="14">
        <f>IF('Données projet'!$A$62&gt;35,AI16+AH17-AQ16,IF(A17&lt;'Données projet'!$A$62,$AF$205^A17,IF(A17='Données projet'!$A$62,'Données projet'!$B$62,AI16+AH17-AQ16)))</f>
        <v>32.200077777777771</v>
      </c>
      <c r="AJ17" s="14">
        <f>AI17*VLOOKUP('Données projet'!$B$10,Paramètres!$A$1:$I$89,3,0)*VLOOKUP('Données projet'!$B$10,Paramètres!$A$1:$I$89,5,0)</f>
        <v>29.134630373333323</v>
      </c>
      <c r="AK17" s="14">
        <f t="shared" si="35"/>
        <v>9.06784964085303</v>
      </c>
      <c r="AL17" s="22">
        <f t="shared" si="4"/>
        <v>66.535986024707896</v>
      </c>
      <c r="AM17" s="62">
        <f t="shared" si="5"/>
        <v>359.8693193580412</v>
      </c>
      <c r="AN17" s="62">
        <f ca="1">AVERAGE(OFFSET($AM$3,0,0,'Données projet'!$E$10+1,1))-AVERAGE(OFFSET($H$3,0,0,'Données projet'!$E$10+1,1))</f>
        <v>206.38141226866287</v>
      </c>
      <c r="AO17" s="62">
        <f t="shared" si="36"/>
        <v>89.074420303945885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4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462.55410206940076</v>
      </c>
      <c r="S18" s="62">
        <f ca="1">AVERAGE(OFFSET($R$3,0,0,'Données projet'!$E$9+1,1))-AVERAGE(OFFSET($H$3,0,0,'Données projet'!$E$9+1,1))</f>
        <v>234.06296185782384</v>
      </c>
      <c r="T18" s="62">
        <f t="shared" si="34"/>
        <v>300.75555492874378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2.3000055555555554</v>
      </c>
      <c r="AI18" s="14">
        <f>IF('Données projet'!$A$62&gt;35,AI17+AH18-AQ17,IF(A18&lt;'Données projet'!$A$62,$AF$205^A18,IF(A18='Données projet'!$A$62,'Données projet'!$B$62,AI17+AH18-AQ17)))</f>
        <v>34.500083333333329</v>
      </c>
      <c r="AJ18" s="14">
        <f>AI18*VLOOKUP('Données projet'!$B$10,Paramètres!$A$1:$I$89,3,0)*VLOOKUP('Données projet'!$B$10,Paramètres!$A$1:$I$89,5,0)</f>
        <v>31.215675399999995</v>
      </c>
      <c r="AK18" s="14">
        <f t="shared" si="35"/>
        <v>9.6378422681393943</v>
      </c>
      <c r="AL18" s="22">
        <f t="shared" si="4"/>
        <v>71.153209938676099</v>
      </c>
      <c r="AM18" s="62">
        <f t="shared" si="5"/>
        <v>364.48654327200938</v>
      </c>
      <c r="AN18" s="62">
        <f ca="1">AVERAGE(OFFSET($AM$3,0,0,'Données projet'!$E$10+1,1))-AVERAGE(OFFSET($H$3,0,0,'Données projet'!$E$10+1,1))</f>
        <v>206.38141226866287</v>
      </c>
      <c r="AO18" s="62">
        <f t="shared" si="36"/>
        <v>89.074420303945885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4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449.65096866920862</v>
      </c>
      <c r="S19" s="62">
        <f ca="1">AVERAGE(OFFSET($R$3,0,0,'Données projet'!$E$9+1,1))-AVERAGE(OFFSET($H$3,0,0,'Données projet'!$E$9+1,1))</f>
        <v>234.06296185782384</v>
      </c>
      <c r="T19" s="62">
        <f t="shared" si="34"/>
        <v>300.75555492874378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2.3000055555555554</v>
      </c>
      <c r="AI19" s="14">
        <f>IF('Données projet'!$A$62&gt;35,AI18+AH19-AQ18,IF(A19&lt;'Données projet'!$A$62,$AF$205^A19,IF(A19='Données projet'!$A$62,'Données projet'!$B$62,AI18+AH19-AQ18)))</f>
        <v>36.800088888888887</v>
      </c>
      <c r="AJ19" s="14">
        <f>AI19*VLOOKUP('Données projet'!$B$10,Paramètres!$A$1:$I$89,3,0)*VLOOKUP('Données projet'!$B$10,Paramètres!$A$1:$I$89,5,0)</f>
        <v>33.29672042666666</v>
      </c>
      <c r="AK19" s="14">
        <f t="shared" si="35"/>
        <v>10.20342542342995</v>
      </c>
      <c r="AL19" s="22">
        <f t="shared" si="4"/>
        <v>75.762754022251599</v>
      </c>
      <c r="AM19" s="62">
        <f t="shared" si="5"/>
        <v>369.09608735558493</v>
      </c>
      <c r="AN19" s="62">
        <f ca="1">AVERAGE(OFFSET($AM$3,0,0,'Données projet'!$E$10+1,1))-AVERAGE(OFFSET($H$3,0,0,'Données projet'!$E$10+1,1))</f>
        <v>206.38141226866287</v>
      </c>
      <c r="AO19" s="62">
        <f t="shared" si="36"/>
        <v>89.074420303945885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4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476.56947272232117</v>
      </c>
      <c r="S20" s="62">
        <f ca="1">AVERAGE(OFFSET($R$3,0,0,'Données projet'!$E$9+1,1))-AVERAGE(OFFSET($H$3,0,0,'Données projet'!$E$9+1,1))</f>
        <v>234.06296185782384</v>
      </c>
      <c r="T20" s="62">
        <f t="shared" si="34"/>
        <v>300.75555492874378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2.3000055555555554</v>
      </c>
      <c r="AI20" s="14">
        <f>IF('Données projet'!$A$62&gt;35,AI19+AH20-AQ19,IF(A20&lt;'Données projet'!$A$62,$AF$205^A20,IF(A20='Données projet'!$A$62,'Données projet'!$B$62,AI19+AH20-AQ19)))</f>
        <v>39.100094444444444</v>
      </c>
      <c r="AJ20" s="14">
        <f>AI20*VLOOKUP('Données projet'!$B$10,Paramètres!$A$1:$I$89,3,0)*VLOOKUP('Données projet'!$B$10,Paramètres!$A$1:$I$89,5,0)</f>
        <v>35.377765453333332</v>
      </c>
      <c r="AK20" s="14">
        <f t="shared" si="35"/>
        <v>10.764906073206499</v>
      </c>
      <c r="AL20" s="22">
        <f t="shared" si="4"/>
        <v>80.365152908723545</v>
      </c>
      <c r="AM20" s="62">
        <f t="shared" si="5"/>
        <v>373.69848624205684</v>
      </c>
      <c r="AN20" s="62">
        <f ca="1">AVERAGE(OFFSET($AM$3,0,0,'Données projet'!$E$10+1,1))-AVERAGE(OFFSET($H$3,0,0,'Données projet'!$E$10+1,1))</f>
        <v>206.38141226866287</v>
      </c>
      <c r="AO20" s="62">
        <f t="shared" si="36"/>
        <v>89.074420303945885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4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503.3953925411559</v>
      </c>
      <c r="S21" s="62">
        <f ca="1">AVERAGE(OFFSET($R$3,0,0,'Données projet'!$E$9+1,1))-AVERAGE(OFFSET($H$3,0,0,'Données projet'!$E$9+1,1))</f>
        <v>234.06296185782384</v>
      </c>
      <c r="T21" s="62">
        <f t="shared" si="34"/>
        <v>300.75555492874378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2.3000055555555554</v>
      </c>
      <c r="AI21" s="14">
        <f>IF('Données projet'!$A$62&gt;35,AI20+AH21-AQ20,IF(A21&lt;'Données projet'!$A$62,$AF$205^A21,IF(A21='Données projet'!$A$62,'Données projet'!$B$62,AI20+AH21-AQ20)))</f>
        <v>41.400100000000002</v>
      </c>
      <c r="AJ21" s="14">
        <f>AI21*VLOOKUP('Données projet'!$B$10,Paramètres!$A$1:$I$89,3,0)*VLOOKUP('Données projet'!$B$10,Paramètres!$A$1:$I$89,5,0)</f>
        <v>37.458810480000004</v>
      </c>
      <c r="AK21" s="14">
        <f t="shared" si="35"/>
        <v>11.322553030157653</v>
      </c>
      <c r="AL21" s="22">
        <f t="shared" si="4"/>
        <v>84.960874780191261</v>
      </c>
      <c r="AM21" s="62">
        <f t="shared" si="5"/>
        <v>378.29420811352458</v>
      </c>
      <c r="AN21" s="62">
        <f ca="1">AVERAGE(OFFSET($AM$3,0,0,'Données projet'!$E$10+1,1))-AVERAGE(OFFSET($H$3,0,0,'Données projet'!$E$10+1,1))</f>
        <v>206.38141226866287</v>
      </c>
      <c r="AO21" s="62">
        <f t="shared" si="36"/>
        <v>89.074420303945885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4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530.14222334487761</v>
      </c>
      <c r="S22" s="62">
        <f ca="1">AVERAGE(OFFSET($R$3,0,0,'Données projet'!$E$9+1,1))-AVERAGE(OFFSET($H$3,0,0,'Données projet'!$E$9+1,1))</f>
        <v>234.06296185782384</v>
      </c>
      <c r="T22" s="62">
        <f t="shared" si="34"/>
        <v>300.75555492874378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2.3000055555555554</v>
      </c>
      <c r="AI22" s="14">
        <f>IF('Données projet'!$A$62&gt;35,AI21+AH22-AQ21,IF(A22&lt;'Données projet'!$A$62,$AF$205^A22,IF(A22='Données projet'!$A$62,'Données projet'!$B$62,AI21+AH22-AQ21)))</f>
        <v>43.70010555555556</v>
      </c>
      <c r="AJ22" s="14">
        <f>AI22*VLOOKUP('Données projet'!$B$10,Paramètres!$A$1:$I$89,3,0)*VLOOKUP('Données projet'!$B$10,Paramètres!$A$1:$I$89,5,0)</f>
        <v>39.539855506666669</v>
      </c>
      <c r="AK22" s="14">
        <f t="shared" si="35"/>
        <v>11.876603551978034</v>
      </c>
      <c r="AL22" s="22">
        <f t="shared" si="4"/>
        <v>89.550332860472849</v>
      </c>
      <c r="AM22" s="62">
        <f t="shared" si="5"/>
        <v>382.88366619380616</v>
      </c>
      <c r="AN22" s="62">
        <f ca="1">AVERAGE(OFFSET($AM$3,0,0,'Données projet'!$E$10+1,1))-AVERAGE(OFFSET($H$3,0,0,'Données projet'!$E$10+1,1))</f>
        <v>206.38141226866287</v>
      </c>
      <c r="AO22" s="62">
        <f t="shared" si="36"/>
        <v>89.074420303945885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4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556.82015501927174</v>
      </c>
      <c r="S23" s="62">
        <f ca="1">AVERAGE(OFFSET($R$3,0,0,'Données projet'!$E$9+1,1))-AVERAGE(OFFSET($H$3,0,0,'Données projet'!$E$9+1,1))</f>
        <v>234.06296185782384</v>
      </c>
      <c r="T23" s="62">
        <f t="shared" si="34"/>
        <v>300.75555492874378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2.3000055555555554</v>
      </c>
      <c r="AI23" s="14">
        <f>IF('Données projet'!$A$62&gt;35,AI22+AH23-AQ22,IF(A23&lt;'Données projet'!$A$62,$AF$205^A23,IF(A23='Données projet'!$A$62,'Données projet'!$B$62,AI22+AH23-AQ22)))</f>
        <v>46.000111111111117</v>
      </c>
      <c r="AJ23" s="14">
        <f>AI23*VLOOKUP('Données projet'!$B$10,Paramètres!$A$1:$I$89,3,0)*VLOOKUP('Données projet'!$B$10,Paramètres!$A$1:$I$89,5,0)</f>
        <v>41.620900533333341</v>
      </c>
      <c r="AK23" s="14">
        <f t="shared" si="35"/>
        <v>12.427268511315232</v>
      </c>
      <c r="AL23" s="22">
        <f t="shared" si="4"/>
        <v>94.133894419429581</v>
      </c>
      <c r="AM23" s="62">
        <f t="shared" si="5"/>
        <v>387.46722775276288</v>
      </c>
      <c r="AN23" s="62">
        <f ca="1">AVERAGE(OFFSET($AM$3,0,0,'Données projet'!$E$10+1,1))-AVERAGE(OFFSET($H$3,0,0,'Données projet'!$E$10+1,1))</f>
        <v>206.38141226866287</v>
      </c>
      <c r="AO23" s="62">
        <f t="shared" si="36"/>
        <v>89.074420303945885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4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501.8862841929913</v>
      </c>
      <c r="S24" s="62">
        <f ca="1">AVERAGE(OFFSET($R$3,0,0,'Données projet'!$E$9+1,1))-AVERAGE(OFFSET($H$3,0,0,'Données projet'!$E$9+1,1))</f>
        <v>234.06296185782384</v>
      </c>
      <c r="T24" s="62">
        <f t="shared" si="34"/>
        <v>300.75555492874378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2.3000055555555554</v>
      </c>
      <c r="AI24" s="14">
        <f>IF('Données projet'!$A$62&gt;35,AI23+AH24-AQ23,IF(A24&lt;'Données projet'!$A$62,$AF$205^A24,IF(A24='Données projet'!$A$62,'Données projet'!$B$62,AI23+AH24-AQ23)))</f>
        <v>48.300116666666675</v>
      </c>
      <c r="AJ24" s="14">
        <f>AI24*VLOOKUP('Données projet'!$B$10,Paramètres!$A$1:$I$89,3,0)*VLOOKUP('Données projet'!$B$10,Paramètres!$A$1:$I$89,5,0)</f>
        <v>43.701945560000006</v>
      </c>
      <c r="AK24" s="14">
        <f t="shared" si="35"/>
        <v>12.97473650234315</v>
      </c>
      <c r="AL24" s="22">
        <f t="shared" si="4"/>
        <v>98.711887925247652</v>
      </c>
      <c r="AM24" s="62">
        <f t="shared" si="5"/>
        <v>392.04522125858097</v>
      </c>
      <c r="AN24" s="62">
        <f ca="1">AVERAGE(OFFSET($AM$3,0,0,'Données projet'!$E$10+1,1))-AVERAGE(OFFSET($H$3,0,0,'Données projet'!$E$10+1,1))</f>
        <v>206.38141226866287</v>
      </c>
      <c r="AO24" s="62">
        <f t="shared" si="36"/>
        <v>89.074420303945885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4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527.88471824717374</v>
      </c>
      <c r="S25" s="62">
        <f ca="1">AVERAGE(OFFSET($R$3,0,0,'Données projet'!$E$9+1,1))-AVERAGE(OFFSET($H$3,0,0,'Données projet'!$E$9+1,1))</f>
        <v>234.06296185782384</v>
      </c>
      <c r="T25" s="62">
        <f t="shared" si="34"/>
        <v>300.75555492874378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2.3000055555555554</v>
      </c>
      <c r="AI25" s="14">
        <f>IF('Données projet'!$A$62&gt;35,AI24+AH25-AQ24,IF(A25&lt;'Données projet'!$A$62,$AF$205^A25,IF(A25='Données projet'!$A$62,'Données projet'!$B$62,AI24+AH25-AQ24)))</f>
        <v>50.600122222222232</v>
      </c>
      <c r="AJ25" s="14">
        <f>AI25*VLOOKUP('Données projet'!$B$10,Paramètres!$A$1:$I$89,3,0)*VLOOKUP('Données projet'!$B$10,Paramètres!$A$1:$I$89,5,0)</f>
        <v>45.782990586666671</v>
      </c>
      <c r="AK25" s="14">
        <f t="shared" si="35"/>
        <v>13.519177142968363</v>
      </c>
      <c r="AL25" s="22">
        <f t="shared" si="4"/>
        <v>103.28460879578101</v>
      </c>
      <c r="AM25" s="62">
        <f t="shared" si="5"/>
        <v>396.61794212911434</v>
      </c>
      <c r="AN25" s="62">
        <f ca="1">AVERAGE(OFFSET($AM$3,0,0,'Données projet'!$E$10+1,1))-AVERAGE(OFFSET($H$3,0,0,'Données projet'!$E$10+1,1))</f>
        <v>206.38141226866287</v>
      </c>
      <c r="AO25" s="62">
        <f t="shared" si="36"/>
        <v>89.074420303945885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4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553.81736925627047</v>
      </c>
      <c r="S26" s="62">
        <f ca="1">AVERAGE(OFFSET($R$3,0,0,'Données projet'!$E$9+1,1))-AVERAGE(OFFSET($H$3,0,0,'Données projet'!$E$9+1,1))</f>
        <v>234.06296185782384</v>
      </c>
      <c r="T26" s="62">
        <f t="shared" si="34"/>
        <v>300.75555492874378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2.3000055555555554</v>
      </c>
      <c r="AI26" s="14">
        <f>IF('Données projet'!$A$62&gt;35,AI25+AH26-AQ25,IF(A26&lt;'Données projet'!$A$62,$AF$205^A26,IF(A26='Données projet'!$A$62,'Données projet'!$B$62,AI25+AH26-AQ25)))</f>
        <v>52.90012777777779</v>
      </c>
      <c r="AJ26" s="14">
        <f>AI26*VLOOKUP('Données projet'!$B$10,Paramètres!$A$1:$I$89,3,0)*VLOOKUP('Données projet'!$B$10,Paramètres!$A$1:$I$89,5,0)</f>
        <v>47.864035613333343</v>
      </c>
      <c r="AK26" s="14">
        <f t="shared" si="35"/>
        <v>14.060743759663422</v>
      </c>
      <c r="AL26" s="22">
        <f t="shared" si="4"/>
        <v>107.85232407463603</v>
      </c>
      <c r="AM26" s="62">
        <f t="shared" si="5"/>
        <v>401.18565740796936</v>
      </c>
      <c r="AN26" s="62">
        <f ca="1">AVERAGE(OFFSET($AM$3,0,0,'Données projet'!$E$10+1,1))-AVERAGE(OFFSET($H$3,0,0,'Données projet'!$E$10+1,1))</f>
        <v>206.38141226866287</v>
      </c>
      <c r="AO26" s="62">
        <f t="shared" si="36"/>
        <v>89.074420303945885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4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579.69170529754081</v>
      </c>
      <c r="S27" s="62">
        <f ca="1">AVERAGE(OFFSET($R$3,0,0,'Données projet'!$E$9+1,1))-AVERAGE(OFFSET($H$3,0,0,'Données projet'!$E$9+1,1))</f>
        <v>234.06296185782384</v>
      </c>
      <c r="T27" s="62">
        <f t="shared" si="34"/>
        <v>300.75555492874378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2.3000055555555554</v>
      </c>
      <c r="AI27" s="14">
        <f>IF('Données projet'!$A$62&gt;35,AI26+AH27-AQ26,IF(A27&lt;'Données projet'!$A$62,$AF$205^A27,IF(A27='Données projet'!$A$62,'Données projet'!$B$62,AI26+AH27-AQ26)))</f>
        <v>55.200133333333348</v>
      </c>
      <c r="AJ27" s="14">
        <f>AI27*VLOOKUP('Données projet'!$B$10,Paramètres!$A$1:$I$89,3,0)*VLOOKUP('Données projet'!$B$10,Paramètres!$A$1:$I$89,5,0)</f>
        <v>49.945080640000015</v>
      </c>
      <c r="AK27" s="14">
        <f t="shared" si="35"/>
        <v>14.599575592197269</v>
      </c>
      <c r="AL27" s="22">
        <f t="shared" si="4"/>
        <v>112.41527627107693</v>
      </c>
      <c r="AM27" s="62">
        <f t="shared" si="5"/>
        <v>405.74860960441026</v>
      </c>
      <c r="AN27" s="62">
        <f ca="1">AVERAGE(OFFSET($AM$3,0,0,'Données projet'!$E$10+1,1))-AVERAGE(OFFSET($H$3,0,0,'Données projet'!$E$10+1,1))</f>
        <v>206.38141226866287</v>
      </c>
      <c r="AO27" s="62">
        <f t="shared" si="36"/>
        <v>89.074420303945885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4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605.51373360546404</v>
      </c>
      <c r="S28" s="62">
        <f ca="1">AVERAGE(OFFSET($R$3,0,0,'Données projet'!$E$9+1,1))-AVERAGE(OFFSET($H$3,0,0,'Données projet'!$E$9+1,1))</f>
        <v>234.06296185782384</v>
      </c>
      <c r="T28" s="62">
        <f t="shared" si="34"/>
        <v>300.75555492874378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2.3000055555555554</v>
      </c>
      <c r="AI28" s="14">
        <f>IF('Données projet'!$A$62&gt;35,AI27+AH28-AQ27,IF(A28&lt;'Données projet'!$A$62,$AF$205^A28,IF(A28='Données projet'!$A$62,'Données projet'!$B$62,AI27+AH28-AQ27)))</f>
        <v>57.500138888888905</v>
      </c>
      <c r="AJ28" s="14">
        <f>AI28*VLOOKUP('Données projet'!$B$10,Paramètres!$A$1:$I$89,3,0)*VLOOKUP('Données projet'!$B$10,Paramètres!$A$1:$I$89,5,0)</f>
        <v>52.02612566666668</v>
      </c>
      <c r="AK28" s="14">
        <f t="shared" si="35"/>
        <v>15.135799620556462</v>
      </c>
      <c r="AL28" s="22">
        <f t="shared" si="4"/>
        <v>116.97368654191364</v>
      </c>
      <c r="AM28" s="62">
        <f t="shared" si="5"/>
        <v>410.30701987524697</v>
      </c>
      <c r="AN28" s="62">
        <f ca="1">AVERAGE(OFFSET($AM$3,0,0,'Données projet'!$E$10+1,1))-AVERAGE(OFFSET($H$3,0,0,'Données projet'!$E$10+1,1))</f>
        <v>206.38141226866287</v>
      </c>
      <c r="AO28" s="62">
        <f t="shared" si="36"/>
        <v>89.074420303945885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4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</v>
      </c>
      <c r="N29" s="14">
        <f>IF('Données projet'!$A$36&gt;35,N28+M29-V28,IF(A29&lt;'Données projet'!$A$36,$K$205^A29,IF(A29='Données projet'!$A$36,'Données projet'!$B$36,N28+M29-V28)))</f>
        <v>132.00000000000003</v>
      </c>
      <c r="O29" s="14">
        <f>N29*VLOOKUP('Données projet'!$B$9,Paramètres!$A$1:$I$89,3,0)*VLOOKUP('Données projet'!$B$9,Paramètres!$A$1:$I$89,5,0)</f>
        <v>115.31520000000003</v>
      </c>
      <c r="P29" s="14">
        <f t="shared" si="33"/>
        <v>30.579827148797317</v>
      </c>
      <c r="Q29" s="22">
        <f t="shared" si="2"/>
        <v>254.10050561748869</v>
      </c>
      <c r="R29" s="62">
        <f t="shared" si="0"/>
        <v>547.43383895082206</v>
      </c>
      <c r="S29" s="62">
        <f ca="1">AVERAGE(OFFSET($R$3,0,0,'Données projet'!$E$9+1,1))-AVERAGE(OFFSET($H$3,0,0,'Données projet'!$E$9+1,1))</f>
        <v>234.06296185782384</v>
      </c>
      <c r="T29" s="62">
        <f t="shared" si="34"/>
        <v>300.75555492874378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2.3000055555555554</v>
      </c>
      <c r="AI29" s="14">
        <f>IF('Données projet'!$A$62&gt;35,AI28+AH29-AQ28,IF(A29&lt;'Données projet'!$A$62,$AF$205^A29,IF(A29='Données projet'!$A$62,'Données projet'!$B$62,AI28+AH29-AQ28)))</f>
        <v>59.800144444444463</v>
      </c>
      <c r="AJ29" s="14">
        <f>AI29*VLOOKUP('Données projet'!$B$10,Paramètres!$A$1:$I$89,3,0)*VLOOKUP('Données projet'!$B$10,Paramètres!$A$1:$I$89,5,0)</f>
        <v>54.107170693333352</v>
      </c>
      <c r="AK29" s="14">
        <f t="shared" si="35"/>
        <v>15.669532091330801</v>
      </c>
      <c r="AL29" s="22">
        <f t="shared" si="4"/>
        <v>121.52775734995673</v>
      </c>
      <c r="AM29" s="62">
        <f t="shared" si="5"/>
        <v>414.86109068329006</v>
      </c>
      <c r="AN29" s="62">
        <f ca="1">AVERAGE(OFFSET($AM$3,0,0,'Données projet'!$E$10+1,1))-AVERAGE(OFFSET($H$3,0,0,'Données projet'!$E$10+1,1))</f>
        <v>206.38141226866287</v>
      </c>
      <c r="AO29" s="62">
        <f t="shared" si="36"/>
        <v>89.074420303945885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4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</v>
      </c>
      <c r="N30" s="14">
        <f>IF('Données projet'!$A$36&gt;35,N29+M30-V29,IF(A30&lt;'Données projet'!$A$36,$K$205^A30,IF(A30='Données projet'!$A$36,'Données projet'!$B$36,N29+M30-V29)))</f>
        <v>145.00000000000003</v>
      </c>
      <c r="O30" s="14">
        <f>N30*VLOOKUP('Données projet'!$B$9,Paramètres!$A$1:$I$89,3,0)*VLOOKUP('Données projet'!$B$9,Paramètres!$A$1:$I$89,5,0)</f>
        <v>126.67200000000003</v>
      </c>
      <c r="P30" s="14">
        <f t="shared" si="33"/>
        <v>33.226199426361347</v>
      </c>
      <c r="Q30" s="22">
        <f t="shared" si="2"/>
        <v>278.48936400091276</v>
      </c>
      <c r="R30" s="62">
        <f t="shared" si="0"/>
        <v>571.82269733424607</v>
      </c>
      <c r="S30" s="62">
        <f ca="1">AVERAGE(OFFSET($R$3,0,0,'Données projet'!$E$9+1,1))-AVERAGE(OFFSET($H$3,0,0,'Données projet'!$E$9+1,1))</f>
        <v>234.06296185782384</v>
      </c>
      <c r="T30" s="62">
        <f t="shared" si="34"/>
        <v>300.75555492874378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2.3000055555555554</v>
      </c>
      <c r="AI30" s="14">
        <f>IF('Données projet'!$A$62&gt;35,AI29+AH30-AQ29,IF(A30&lt;'Données projet'!$A$62,$AF$205^A30,IF(A30='Données projet'!$A$62,'Données projet'!$B$62,AI29+AH30-AQ29)))</f>
        <v>62.100150000000021</v>
      </c>
      <c r="AJ30" s="14">
        <f>AI30*VLOOKUP('Données projet'!$B$10,Paramètres!$A$1:$I$89,3,0)*VLOOKUP('Données projet'!$B$10,Paramètres!$A$1:$I$89,5,0)</f>
        <v>56.188215720000017</v>
      </c>
      <c r="AK30" s="14">
        <f t="shared" si="35"/>
        <v>16.200879802665405</v>
      </c>
      <c r="AL30" s="22">
        <f t="shared" si="4"/>
        <v>126.0776747019756</v>
      </c>
      <c r="AM30" s="62">
        <f t="shared" si="5"/>
        <v>419.4110080353089</v>
      </c>
      <c r="AN30" s="62">
        <f ca="1">AVERAGE(OFFSET($AM$3,0,0,'Données projet'!$E$10+1,1))-AVERAGE(OFFSET($H$3,0,0,'Données projet'!$E$10+1,1))</f>
        <v>206.38141226866287</v>
      </c>
      <c r="AO30" s="62">
        <f t="shared" si="36"/>
        <v>89.074420303945885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4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</v>
      </c>
      <c r="N31" s="14">
        <f>IF('Données projet'!$A$36&gt;35,N30+M31-V30,IF(A31&lt;'Données projet'!$A$36,$K$205^A31,IF(A31='Données projet'!$A$36,'Données projet'!$B$36,N30+M31-V30)))</f>
        <v>158.00000000000003</v>
      </c>
      <c r="O31" s="14">
        <f>N31*VLOOKUP('Données projet'!$B$9,Paramètres!$A$1:$I$89,3,0)*VLOOKUP('Données projet'!$B$9,Paramètres!$A$1:$I$89,5,0)</f>
        <v>138.02880000000005</v>
      </c>
      <c r="P31" s="14">
        <f t="shared" si="33"/>
        <v>35.845059256813073</v>
      </c>
      <c r="Q31" s="22">
        <f t="shared" si="2"/>
        <v>302.83030487228285</v>
      </c>
      <c r="R31" s="62">
        <f t="shared" si="0"/>
        <v>596.16363820561617</v>
      </c>
      <c r="S31" s="62">
        <f ca="1">AVERAGE(OFFSET($R$3,0,0,'Données projet'!$E$9+1,1))-AVERAGE(OFFSET($H$3,0,0,'Données projet'!$E$9+1,1))</f>
        <v>234.06296185782384</v>
      </c>
      <c r="T31" s="62">
        <f t="shared" si="34"/>
        <v>300.75555492874378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2.3000055555555554</v>
      </c>
      <c r="AI31" s="14">
        <f>IF('Données projet'!$A$62&gt;35,AI30+AH31-AQ30,IF(A31&lt;'Données projet'!$A$62,$AF$205^A31,IF(A31='Données projet'!$A$62,'Données projet'!$B$62,AI30+AH31-AQ30)))</f>
        <v>64.400155555555571</v>
      </c>
      <c r="AJ31" s="14">
        <f>AI31*VLOOKUP('Données projet'!$B$10,Paramètres!$A$1:$I$89,3,0)*VLOOKUP('Données projet'!$B$10,Paramètres!$A$1:$I$89,5,0)</f>
        <v>58.269260746666681</v>
      </c>
      <c r="AK31" s="14">
        <f t="shared" si="35"/>
        <v>16.729941193497989</v>
      </c>
      <c r="AL31" s="22">
        <f t="shared" si="4"/>
        <v>130.62361004578679</v>
      </c>
      <c r="AM31" s="62">
        <f t="shared" si="5"/>
        <v>423.9569433791201</v>
      </c>
      <c r="AN31" s="62">
        <f ca="1">AVERAGE(OFFSET($AM$3,0,0,'Données projet'!$E$10+1,1))-AVERAGE(OFFSET($H$3,0,0,'Données projet'!$E$10+1,1))</f>
        <v>206.38141226866287</v>
      </c>
      <c r="AO31" s="62">
        <f t="shared" si="36"/>
        <v>89.074420303945885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4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</v>
      </c>
      <c r="N32" s="14">
        <f>IF('Données projet'!$A$36&gt;35,N31+M32-V31,IF(A32&lt;'Données projet'!$A$36,$K$205^A32,IF(A32='Données projet'!$A$36,'Données projet'!$B$36,N31+M32-V31)))</f>
        <v>171.00000000000003</v>
      </c>
      <c r="O32" s="14">
        <f>N32*VLOOKUP('Données projet'!$B$9,Paramètres!$A$1:$I$89,3,0)*VLOOKUP('Données projet'!$B$9,Paramètres!$A$1:$I$89,5,0)</f>
        <v>149.38560000000004</v>
      </c>
      <c r="P32" s="14">
        <f t="shared" si="33"/>
        <v>38.438927680599591</v>
      </c>
      <c r="Q32" s="22">
        <f t="shared" si="2"/>
        <v>327.12771904371101</v>
      </c>
      <c r="R32" s="62">
        <f t="shared" si="0"/>
        <v>620.46105237704433</v>
      </c>
      <c r="S32" s="62">
        <f ca="1">AVERAGE(OFFSET($R$3,0,0,'Données projet'!$E$9+1,1))-AVERAGE(OFFSET($H$3,0,0,'Données projet'!$E$9+1,1))</f>
        <v>234.06296185782384</v>
      </c>
      <c r="T32" s="62">
        <f t="shared" si="34"/>
        <v>300.75555492874378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2.3000055555555554</v>
      </c>
      <c r="AI32" s="14">
        <f>IF('Données projet'!$A$62&gt;35,AI31+AH32-AQ31,IF(A32&lt;'Données projet'!$A$62,$AF$205^A32,IF(A32='Données projet'!$A$62,'Données projet'!$B$62,AI31+AH32-AQ31)))</f>
        <v>66.700161111111129</v>
      </c>
      <c r="AJ32" s="14">
        <f>AI32*VLOOKUP('Données projet'!$B$10,Paramètres!$A$1:$I$89,3,0)*VLOOKUP('Données projet'!$B$10,Paramètres!$A$1:$I$89,5,0)</f>
        <v>60.350305773333346</v>
      </c>
      <c r="AK32" s="14">
        <f t="shared" si="35"/>
        <v>17.25680727281825</v>
      </c>
      <c r="AL32" s="22">
        <f t="shared" si="4"/>
        <v>135.16572188871402</v>
      </c>
      <c r="AM32" s="62">
        <f t="shared" si="5"/>
        <v>428.49905522204733</v>
      </c>
      <c r="AN32" s="62">
        <f ca="1">AVERAGE(OFFSET($AM$3,0,0,'Données projet'!$E$10+1,1))-AVERAGE(OFFSET($H$3,0,0,'Données projet'!$E$10+1,1))</f>
        <v>206.38141226866287</v>
      </c>
      <c r="AO32" s="62">
        <f t="shared" si="36"/>
        <v>89.074420303945885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4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184</v>
      </c>
      <c r="L33" s="13">
        <f>VLOOKUP(A33,'Données projet'!$A$35:$I$55,9,0)</f>
        <v>13</v>
      </c>
      <c r="M33" s="13">
        <f t="array" ref="M33">INDEX(L:L,MIN(IF(ISNUMBER(L33:L229),ROW(L33:L229),"")))</f>
        <v>13</v>
      </c>
      <c r="N33" s="14">
        <f>IF('Données projet'!$A$36&gt;35,N32+M33-V32,IF(A33&lt;'Données projet'!$A$36,$K$205^A33,IF(A33='Données projet'!$A$36,'Données projet'!$B$36,N32+M33-V32)))</f>
        <v>184.00000000000003</v>
      </c>
      <c r="O33" s="14">
        <f>N33*VLOOKUP('Données projet'!$B$9,Paramètres!$A$1:$I$89,3,0)*VLOOKUP('Données projet'!$B$9,Paramètres!$A$1:$I$89,5,0)</f>
        <v>160.74240000000003</v>
      </c>
      <c r="P33" s="14">
        <f t="shared" si="33"/>
        <v>41.009920657227809</v>
      </c>
      <c r="Q33" s="22">
        <f t="shared" si="2"/>
        <v>351.38529181133845</v>
      </c>
      <c r="R33" s="62">
        <f t="shared" si="0"/>
        <v>644.71862514467171</v>
      </c>
      <c r="S33" s="62">
        <f ca="1">AVERAGE(OFFSET($R$3,0,0,'Données projet'!$E$9+1,1))-AVERAGE(OFFSET($H$3,0,0,'Données projet'!$E$9+1,1))</f>
        <v>234.06296185782384</v>
      </c>
      <c r="T33" s="62">
        <f t="shared" si="34"/>
        <v>300.75555492874378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2.3000055555555554</v>
      </c>
      <c r="AI33" s="14">
        <f>IF('Données projet'!$A$62&gt;35,AI32+AH33-AQ32,IF(A33&lt;'Données projet'!$A$62,$AF$205^A33,IF(A33='Données projet'!$A$62,'Données projet'!$B$62,AI32+AH33-AQ32)))</f>
        <v>69.000166666666686</v>
      </c>
      <c r="AJ33" s="14">
        <f>AI33*VLOOKUP('Données projet'!$B$10,Paramètres!$A$1:$I$89,3,0)*VLOOKUP('Données projet'!$B$10,Paramètres!$A$1:$I$89,5,0)</f>
        <v>62.431350800000011</v>
      </c>
      <c r="AK33" s="14">
        <f t="shared" si="35"/>
        <v>17.781562417152426</v>
      </c>
      <c r="AL33" s="22">
        <f t="shared" si="4"/>
        <v>139.7041571865405</v>
      </c>
      <c r="AM33" s="62">
        <f t="shared" si="5"/>
        <v>433.03749051987381</v>
      </c>
      <c r="AN33" s="62">
        <f ca="1">AVERAGE(OFFSET($AM$3,0,0,'Données projet'!$E$10+1,1))-AVERAGE(OFFSET($H$3,0,0,'Données projet'!$E$10+1,1))</f>
        <v>206.38141226866287</v>
      </c>
      <c r="AO33" s="62">
        <f t="shared" si="36"/>
        <v>89.074420303945885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4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12.2</v>
      </c>
      <c r="N34" s="14">
        <f>IF('Données projet'!$A$36&gt;35,N33+M34-V33,IF(A34&lt;'Données projet'!$A$36,$K$205^A34,IF(A34='Données projet'!$A$36,'Données projet'!$B$36,N33+M34-V33)))</f>
        <v>152.20000000000002</v>
      </c>
      <c r="O34" s="14">
        <f>N34*VLOOKUP('Données projet'!$B$9,Paramètres!$A$1:$I$89,3,0)*VLOOKUP('Données projet'!$B$9,Paramètres!$A$1:$I$89,5,0)</f>
        <v>132.96192000000002</v>
      </c>
      <c r="P34" s="14">
        <f t="shared" si="33"/>
        <v>34.679872132599144</v>
      </c>
      <c r="Q34" s="22">
        <f t="shared" si="2"/>
        <v>291.97612129761018</v>
      </c>
      <c r="R34" s="62">
        <f t="shared" si="0"/>
        <v>585.30945463094349</v>
      </c>
      <c r="S34" s="62">
        <f ca="1">AVERAGE(OFFSET($R$3,0,0,'Données projet'!$E$9+1,1))-AVERAGE(OFFSET($H$3,0,0,'Données projet'!$E$9+1,1))</f>
        <v>234.06296185782384</v>
      </c>
      <c r="T34" s="62">
        <f t="shared" si="34"/>
        <v>300.75555492874378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2.3000055555555554</v>
      </c>
      <c r="AI34" s="14">
        <f>IF('Données projet'!$A$62&gt;35,AI33+AH34-AQ33,IF(A34&lt;'Données projet'!$A$62,$AF$205^A34,IF(A34='Données projet'!$A$62,'Données projet'!$B$62,AI33+AH34-AQ33)))</f>
        <v>71.300172222222244</v>
      </c>
      <c r="AJ34" s="14">
        <f>AI34*VLOOKUP('Données projet'!$B$10,Paramètres!$A$1:$I$89,3,0)*VLOOKUP('Données projet'!$B$10,Paramètres!$A$1:$I$89,5,0)</f>
        <v>64.512395826666676</v>
      </c>
      <c r="AK34" s="14">
        <f t="shared" si="35"/>
        <v>18.304285058729679</v>
      </c>
      <c r="AL34" s="22">
        <f t="shared" si="4"/>
        <v>144.23905254206531</v>
      </c>
      <c r="AM34" s="62">
        <f t="shared" si="5"/>
        <v>437.5723858753986</v>
      </c>
      <c r="AN34" s="62">
        <f ca="1">AVERAGE(OFFSET($AM$3,0,0,'Données projet'!$E$10+1,1))-AVERAGE(OFFSET($H$3,0,0,'Données projet'!$E$10+1,1))</f>
        <v>206.38141226866287</v>
      </c>
      <c r="AO34" s="62">
        <f t="shared" si="36"/>
        <v>89.074420303945885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4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12.2</v>
      </c>
      <c r="N35" s="14">
        <f>IF('Données projet'!$A$36&gt;35,N34+M35-V34,IF(A35&lt;'Données projet'!$A$36,$K$205^A35,IF(A35='Données projet'!$A$36,'Données projet'!$B$36,N34+M35-V34)))</f>
        <v>164.4</v>
      </c>
      <c r="O35" s="14">
        <f>N35*VLOOKUP('Données projet'!$B$9,Paramètres!$A$1:$I$89,3,0)*VLOOKUP('Données projet'!$B$9,Paramètres!$A$1:$I$89,5,0)</f>
        <v>143.61984000000001</v>
      </c>
      <c r="P35" s="14">
        <f t="shared" si="33"/>
        <v>37.125023974706046</v>
      </c>
      <c r="Q35" s="22">
        <f t="shared" ref="Q35:Q66" si="53">(O35+P35)*0.475*44/12</f>
        <v>314.79730475594641</v>
      </c>
      <c r="R35" s="62">
        <f t="shared" si="0"/>
        <v>608.13063808927973</v>
      </c>
      <c r="S35" s="62">
        <f ca="1">AVERAGE(OFFSET($R$3,0,0,'Données projet'!$E$9+1,1))-AVERAGE(OFFSET($H$3,0,0,'Données projet'!$E$9+1,1))</f>
        <v>234.06296185782384</v>
      </c>
      <c r="T35" s="62">
        <f t="shared" si="34"/>
        <v>300.75555492874378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2.3000055555555554</v>
      </c>
      <c r="AI35" s="14">
        <f>IF('Données projet'!$A$62&gt;35,AI34+AH35-AQ34,IF(A35&lt;'Données projet'!$A$62,$AF$205^A35,IF(A35='Données projet'!$A$62,'Données projet'!$B$62,AI34+AH35-AQ34)))</f>
        <v>73.600177777777802</v>
      </c>
      <c r="AJ35" s="14">
        <f>AI35*VLOOKUP('Données projet'!$B$10,Paramètres!$A$1:$I$89,3,0)*VLOOKUP('Données projet'!$B$10,Paramètres!$A$1:$I$89,5,0)</f>
        <v>66.593440853333362</v>
      </c>
      <c r="AK35" s="14">
        <f t="shared" si="35"/>
        <v>18.825048282358487</v>
      </c>
      <c r="AL35" s="22">
        <f t="shared" si="4"/>
        <v>148.77053524466331</v>
      </c>
      <c r="AM35" s="62">
        <f t="shared" si="5"/>
        <v>442.10386857799665</v>
      </c>
      <c r="AN35" s="62">
        <f ca="1">AVERAGE(OFFSET($AM$3,0,0,'Données projet'!$E$10+1,1))-AVERAGE(OFFSET($H$3,0,0,'Données projet'!$E$10+1,1))</f>
        <v>206.38141226866287</v>
      </c>
      <c r="AO35" s="62">
        <f t="shared" si="36"/>
        <v>89.074420303945885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4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12.2</v>
      </c>
      <c r="N36" s="14">
        <f>IF('Données projet'!$A$36&gt;35,N35+M36-V35,IF(A36&lt;'Données projet'!$A$36,$K$205^A36,IF(A36='Données projet'!$A$36,'Données projet'!$B$36,N35+M36-V35)))</f>
        <v>176.6</v>
      </c>
      <c r="O36" s="14">
        <f>N36*VLOOKUP('Données projet'!$B$9,Paramètres!$A$1:$I$89,3,0)*VLOOKUP('Données projet'!$B$9,Paramètres!$A$1:$I$89,5,0)</f>
        <v>154.27776</v>
      </c>
      <c r="P36" s="14">
        <f t="shared" si="33"/>
        <v>39.549125277353333</v>
      </c>
      <c r="Q36" s="22">
        <f t="shared" si="53"/>
        <v>337.58182519139035</v>
      </c>
      <c r="R36" s="62">
        <f t="shared" si="0"/>
        <v>630.91515852472367</v>
      </c>
      <c r="S36" s="62">
        <f ca="1">AVERAGE(OFFSET($R$3,0,0,'Données projet'!$E$9+1,1))-AVERAGE(OFFSET($H$3,0,0,'Données projet'!$E$9+1,1))</f>
        <v>234.06296185782384</v>
      </c>
      <c r="T36" s="62">
        <f t="shared" si="34"/>
        <v>300.75555492874378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2.3000055555555554</v>
      </c>
      <c r="AI36" s="14">
        <f>IF('Données projet'!$A$62&gt;35,AI35+AH36-AQ35,IF(A36&lt;'Données projet'!$A$62,$AF$205^A36,IF(A36='Données projet'!$A$62,'Données projet'!$B$62,AI35+AH36-AQ35)))</f>
        <v>75.900183333333359</v>
      </c>
      <c r="AJ36" s="14">
        <f>AI36*VLOOKUP('Données projet'!$B$10,Paramètres!$A$1:$I$89,3,0)*VLOOKUP('Données projet'!$B$10,Paramètres!$A$1:$I$89,5,0)</f>
        <v>68.67448588000002</v>
      </c>
      <c r="AK36" s="14">
        <f t="shared" si="35"/>
        <v>19.343920345597379</v>
      </c>
      <c r="AL36" s="22">
        <f t="shared" si="4"/>
        <v>153.29872417624878</v>
      </c>
      <c r="AM36" s="62">
        <f t="shared" si="5"/>
        <v>446.63205750958207</v>
      </c>
      <c r="AN36" s="62">
        <f ca="1">AVERAGE(OFFSET($AM$3,0,0,'Données projet'!$E$10+1,1))-AVERAGE(OFFSET($H$3,0,0,'Données projet'!$E$10+1,1))</f>
        <v>206.38141226866287</v>
      </c>
      <c r="AO36" s="62">
        <f t="shared" si="36"/>
        <v>89.074420303945885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4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12.2</v>
      </c>
      <c r="N37" s="14">
        <f>IF('Données projet'!$A$36&gt;35,N36+M37-V36,IF(A37&lt;'Données projet'!$A$36,$K$205^A37,IF(A37='Données projet'!$A$36,'Données projet'!$B$36,N36+M37-V36)))</f>
        <v>188.79999999999998</v>
      </c>
      <c r="O37" s="14">
        <f>N37*VLOOKUP('Données projet'!$B$9,Paramètres!$A$1:$I$89,3,0)*VLOOKUP('Données projet'!$B$9,Paramètres!$A$1:$I$89,5,0)</f>
        <v>164.93567999999999</v>
      </c>
      <c r="P37" s="14">
        <f t="shared" si="33"/>
        <v>41.953795695589498</v>
      </c>
      <c r="Q37" s="22">
        <f t="shared" si="53"/>
        <v>360.33250350315166</v>
      </c>
      <c r="R37" s="62">
        <f t="shared" si="0"/>
        <v>653.66583683648491</v>
      </c>
      <c r="S37" s="62">
        <f ca="1">AVERAGE(OFFSET($R$3,0,0,'Données projet'!$E$9+1,1))-AVERAGE(OFFSET($H$3,0,0,'Données projet'!$E$9+1,1))</f>
        <v>234.06296185782384</v>
      </c>
      <c r="T37" s="62">
        <f t="shared" si="34"/>
        <v>300.75555492874378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2.3000055555555554</v>
      </c>
      <c r="AI37" s="14">
        <f>IF('Données projet'!$A$62&gt;35,AI36+AH37-AQ36,IF(A37&lt;'Données projet'!$A$62,$AF$205^A37,IF(A37='Données projet'!$A$62,'Données projet'!$B$62,AI36+AH37-AQ36)))</f>
        <v>78.200188888888917</v>
      </c>
      <c r="AJ37" s="14">
        <f>AI37*VLOOKUP('Données projet'!$B$10,Paramètres!$A$1:$I$89,3,0)*VLOOKUP('Données projet'!$B$10,Paramètres!$A$1:$I$89,5,0)</f>
        <v>70.755530906666692</v>
      </c>
      <c r="AK37" s="14">
        <f t="shared" si="35"/>
        <v>19.860965134103409</v>
      </c>
      <c r="AL37" s="22">
        <f t="shared" si="4"/>
        <v>157.82373060434125</v>
      </c>
      <c r="AM37" s="62">
        <f t="shared" si="5"/>
        <v>451.15706393767459</v>
      </c>
      <c r="AN37" s="62">
        <f ca="1">AVERAGE(OFFSET($AM$3,0,0,'Données projet'!$E$10+1,1))-AVERAGE(OFFSET($H$3,0,0,'Données projet'!$E$10+1,1))</f>
        <v>206.38141226866287</v>
      </c>
      <c r="AO37" s="62">
        <f t="shared" si="36"/>
        <v>89.074420303945885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4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12.2</v>
      </c>
      <c r="M38" s="13">
        <f t="array" ref="M38">INDEX(L:L,MIN(IF(ISNUMBER(L38:L234),ROW(L38:L234),"")))</f>
        <v>12.2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234.06296185782384</v>
      </c>
      <c r="T38" s="62">
        <f t="shared" si="34"/>
        <v>300.75555492874378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0.38700000000000001</v>
      </c>
      <c r="Y38" s="17">
        <f>IF(ISNA(VLOOKUP(A38,'Données projet'!$A$35:$I$55,7,0)),0%,VLOOKUP(A38,'Données projet'!$A$35:$I$55,7,0))</f>
        <v>0.1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15.635314919207223</v>
      </c>
      <c r="AB38" s="23">
        <f>EXP(-LN(2)/2)*AB37+(1-EXP(-LN(2)/2))/(LN(2)/2)*V38*Y38*VLOOKUP('Données projet'!$B$9,Paramètres!$A$1:$I$89,3,0)*0.475*44/12</f>
        <v>3.4619134729169225</v>
      </c>
      <c r="AC38" s="24">
        <f t="shared" si="3"/>
        <v>19.097228392124144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2.3000055555555554</v>
      </c>
      <c r="AI38" s="14">
        <f>IF('Données projet'!$A$62&gt;35,AI37+AH38-AQ37,IF(A38&lt;'Données projet'!$A$62,$AF$205^A38,IF(A38='Données projet'!$A$62,'Données projet'!$B$62,AI37+AH38-AQ37)))</f>
        <v>80.500194444444475</v>
      </c>
      <c r="AJ38" s="14">
        <f>AI38*VLOOKUP('Données projet'!$B$10,Paramètres!$A$1:$I$89,3,0)*VLOOKUP('Données projet'!$B$10,Paramètres!$A$1:$I$89,5,0)</f>
        <v>72.836575933333364</v>
      </c>
      <c r="AK38" s="14">
        <f t="shared" si="35"/>
        <v>20.376242561904643</v>
      </c>
      <c r="AL38" s="22">
        <f t="shared" si="4"/>
        <v>162.34565887920618</v>
      </c>
      <c r="AM38" s="62">
        <f t="shared" si="5"/>
        <v>455.67899221253947</v>
      </c>
      <c r="AN38" s="62">
        <f ca="1">AVERAGE(OFFSET($AM$3,0,0,'Données projet'!$E$10+1,1))-AVERAGE(OFFSET($H$3,0,0,'Données projet'!$E$10+1,1))</f>
        <v>206.38141226866287</v>
      </c>
      <c r="AO38" s="62">
        <f t="shared" si="36"/>
        <v>89.074420303945885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4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10.8</v>
      </c>
      <c r="N39" s="14">
        <f>IF('Données projet'!$A$36&gt;35,N38+M39-V38,IF(A39&lt;'Données projet'!$A$36,$K$205^A39,IF(A39='Données projet'!$A$36,'Données projet'!$B$36,N38+M39-V38)))</f>
        <v>169.79999999999998</v>
      </c>
      <c r="O39" s="14">
        <f>N39*VLOOKUP('Données projet'!$B$9,Paramètres!$A$1:$I$89,3,0)*VLOOKUP('Données projet'!$B$9,Paramètres!$A$1:$I$89,5,0)</f>
        <v>148.33727999999999</v>
      </c>
      <c r="P39" s="14">
        <f t="shared" si="33"/>
        <v>38.200481752654802</v>
      </c>
      <c r="Q39" s="22">
        <f t="shared" si="53"/>
        <v>324.88660171920714</v>
      </c>
      <c r="R39" s="62">
        <f t="shared" si="0"/>
        <v>618.21993505254045</v>
      </c>
      <c r="S39" s="62">
        <f ca="1">AVERAGE(OFFSET($R$3,0,0,'Données projet'!$E$9+1,1))-AVERAGE(OFFSET($H$3,0,0,'Données projet'!$E$9+1,1))</f>
        <v>234.06296185782384</v>
      </c>
      <c r="T39" s="62">
        <f t="shared" si="34"/>
        <v>300.75555492874378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15.207766410516026</v>
      </c>
      <c r="AB39" s="23">
        <f>EXP(-LN(2)/2)*AB38+(1-EXP(-LN(2)/2))/(LN(2)/2)*V39*Y39*VLOOKUP('Données projet'!$B$9,Paramètres!$A$1:$I$89,3,0)*0.475*44/12</f>
        <v>2.4479424925806272</v>
      </c>
      <c r="AC39" s="24">
        <f t="shared" si="3"/>
        <v>17.655708903096652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82.80019999999999</v>
      </c>
      <c r="AG39" s="13">
        <f>VLOOKUP(A39,'Données projet'!$A$61:$I$81,9,0)</f>
        <v>2.3000055555555554</v>
      </c>
      <c r="AH39" s="13">
        <f t="array" ref="AH39">INDEX(AG:AG,MIN(IF(ISNUMBER(AG39:AG235),ROW(AG39:AG235),"")))</f>
        <v>2.3000055555555554</v>
      </c>
      <c r="AI39" s="14">
        <f>IF('Données projet'!$A$62&gt;35,AI38+AH39-AQ38,IF(A39&lt;'Données projet'!$A$62,$AF$205^A39,IF(A39='Données projet'!$A$62,'Données projet'!$B$62,AI38+AH39-AQ38)))</f>
        <v>82.800200000000032</v>
      </c>
      <c r="AJ39" s="14">
        <f>AI39*VLOOKUP('Données projet'!$B$10,Paramètres!$A$1:$I$89,3,0)*VLOOKUP('Données projet'!$B$10,Paramètres!$A$1:$I$89,5,0)</f>
        <v>74.917620960000022</v>
      </c>
      <c r="AK39" s="14">
        <f t="shared" si="35"/>
        <v>20.889808924641628</v>
      </c>
      <c r="AL39" s="22">
        <f t="shared" si="4"/>
        <v>166.86460704908419</v>
      </c>
      <c r="AM39" s="62">
        <f t="shared" si="5"/>
        <v>460.19794038241753</v>
      </c>
      <c r="AN39" s="62">
        <f ca="1">AVERAGE(OFFSET($AM$3,0,0,'Données projet'!$E$10+1,1))-AVERAGE(OFFSET($H$3,0,0,'Données projet'!$E$10+1,1))</f>
        <v>206.38141226866287</v>
      </c>
      <c r="AO39" s="62">
        <f t="shared" si="36"/>
        <v>89.074420303945885</v>
      </c>
      <c r="AP39" s="16">
        <f>IF(ISNA(VLOOKUP(A39,'Données projet'!$A$61:$I$81,3,0)),0,VLOOKUP(A39,'Données projet'!$A$61:$I$81,3,0))</f>
        <v>1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4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10.8</v>
      </c>
      <c r="N40" s="14">
        <f>IF('Données projet'!$A$36&gt;35,N39+M40-V39,IF(A40&lt;'Données projet'!$A$36,$K$205^A40,IF(A40='Données projet'!$A$36,'Données projet'!$B$36,N39+M40-V39)))</f>
        <v>180.6</v>
      </c>
      <c r="O40" s="14">
        <f>N40*VLOOKUP('Données projet'!$B$9,Paramètres!$A$1:$I$89,3,0)*VLOOKUP('Données projet'!$B$9,Paramètres!$A$1:$I$89,5,0)</f>
        <v>157.77216000000001</v>
      </c>
      <c r="P40" s="14">
        <f t="shared" si="33"/>
        <v>40.339610539653599</v>
      </c>
      <c r="Q40" s="22">
        <f t="shared" si="53"/>
        <v>345.04466702323003</v>
      </c>
      <c r="R40" s="62">
        <f t="shared" si="0"/>
        <v>638.37800035656335</v>
      </c>
      <c r="S40" s="62">
        <f ca="1">AVERAGE(OFFSET($R$3,0,0,'Données projet'!$E$9+1,1))-AVERAGE(OFFSET($H$3,0,0,'Données projet'!$E$9+1,1))</f>
        <v>234.06296185782384</v>
      </c>
      <c r="T40" s="62">
        <f t="shared" si="34"/>
        <v>300.75555492874378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14.791909238278787</v>
      </c>
      <c r="AB40" s="23">
        <f>EXP(-LN(2)/2)*AB39+(1-EXP(-LN(2)/2))/(LN(2)/2)*V40*Y40*VLOOKUP('Données projet'!$B$9,Paramètres!$A$1:$I$89,3,0)*0.475*44/12</f>
        <v>1.7309567364584615</v>
      </c>
      <c r="AC40" s="24">
        <f t="shared" si="3"/>
        <v>16.52286597473725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3.7828000000000035</v>
      </c>
      <c r="AI40" s="14">
        <f>IF('Données projet'!$A$62&gt;35,AI39+AH40-AQ39,IF(A40&lt;'Données projet'!$A$62,$AF$205^A40,IF(A40='Données projet'!$A$62,'Données projet'!$B$62,AI39+AH40-AQ39)))</f>
        <v>86.583000000000041</v>
      </c>
      <c r="AJ40" s="14">
        <f>AI40*VLOOKUP('Données projet'!$B$10,Paramètres!$A$1:$I$89,3,0)*VLOOKUP('Données projet'!$B$10,Paramètres!$A$1:$I$89,5,0)</f>
        <v>78.340298400000037</v>
      </c>
      <c r="AK40" s="14">
        <f t="shared" si="35"/>
        <v>21.730884651123098</v>
      </c>
      <c r="AL40" s="22">
        <f t="shared" si="4"/>
        <v>174.29064381403944</v>
      </c>
      <c r="AM40" s="62">
        <f t="shared" si="5"/>
        <v>467.62397714737278</v>
      </c>
      <c r="AN40" s="62">
        <f ca="1">AVERAGE(OFFSET($AM$3,0,0,'Données projet'!$E$10+1,1))-AVERAGE(OFFSET($H$3,0,0,'Données projet'!$E$10+1,1))</f>
        <v>206.38141226866287</v>
      </c>
      <c r="AO40" s="62">
        <f t="shared" si="36"/>
        <v>89.074420303945885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4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</v>
      </c>
      <c r="N41" s="14">
        <f>IF('Données projet'!$A$36&gt;35,N40+M41-V40,IF(A41&lt;'Données projet'!$A$36,$K$205^A41,IF(A41='Données projet'!$A$36,'Données projet'!$B$36,N40+M41-V40)))</f>
        <v>191.4</v>
      </c>
      <c r="O41" s="14">
        <f>N41*VLOOKUP('Données projet'!$B$9,Paramètres!$A$1:$I$89,3,0)*VLOOKUP('Données projet'!$B$9,Paramètres!$A$1:$I$89,5,0)</f>
        <v>167.20704000000003</v>
      </c>
      <c r="P41" s="14">
        <f t="shared" si="33"/>
        <v>42.463891647822834</v>
      </c>
      <c r="Q41" s="22">
        <f t="shared" si="53"/>
        <v>365.17687261995815</v>
      </c>
      <c r="R41" s="62">
        <f t="shared" si="0"/>
        <v>658.51020595329146</v>
      </c>
      <c r="S41" s="62">
        <f ca="1">AVERAGE(OFFSET($R$3,0,0,'Données projet'!$E$9+1,1))-AVERAGE(OFFSET($H$3,0,0,'Données projet'!$E$9+1,1))</f>
        <v>234.06296185782384</v>
      </c>
      <c r="T41" s="62">
        <f t="shared" si="34"/>
        <v>300.75555492874378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14.387423702285355</v>
      </c>
      <c r="AB41" s="23">
        <f>EXP(-LN(2)/2)*AB40+(1-EXP(-LN(2)/2))/(LN(2)/2)*V41*Y41*VLOOKUP('Données projet'!$B$9,Paramètres!$A$1:$I$89,3,0)*0.475*44/12</f>
        <v>1.2239712462903138</v>
      </c>
      <c r="AC41" s="24">
        <f t="shared" si="3"/>
        <v>15.611394948575668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3.7828000000000035</v>
      </c>
      <c r="AI41" s="14">
        <f>IF('Données projet'!$A$62&gt;35,AI40+AH41-AQ40,IF(A41&lt;'Données projet'!$A$62,$AF$205^A41,IF(A41='Données projet'!$A$62,'Données projet'!$B$62,AI40+AH41-AQ40)))</f>
        <v>90.36580000000005</v>
      </c>
      <c r="AJ41" s="14">
        <f>AI41*VLOOKUP('Données projet'!$B$10,Paramètres!$A$1:$I$89,3,0)*VLOOKUP('Données projet'!$B$10,Paramètres!$A$1:$I$89,5,0)</f>
        <v>81.762975840000038</v>
      </c>
      <c r="AK41" s="14">
        <f t="shared" si="35"/>
        <v>22.567692510165589</v>
      </c>
      <c r="AL41" s="22">
        <f t="shared" si="4"/>
        <v>181.70924737653846</v>
      </c>
      <c r="AM41" s="62">
        <f t="shared" si="5"/>
        <v>475.0425807098718</v>
      </c>
      <c r="AN41" s="62">
        <f ca="1">AVERAGE(OFFSET($AM$3,0,0,'Données projet'!$E$10+1,1))-AVERAGE(OFFSET($H$3,0,0,'Données projet'!$E$10+1,1))</f>
        <v>206.38141226866287</v>
      </c>
      <c r="AO41" s="62">
        <f t="shared" si="36"/>
        <v>89.074420303945885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4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</v>
      </c>
      <c r="N42" s="14">
        <f>IF('Données projet'!$A$36&gt;35,N41+M42-V41,IF(A42&lt;'Données projet'!$A$36,$K$205^A42,IF(A42='Données projet'!$A$36,'Données projet'!$B$36,N41+M42-V41)))</f>
        <v>202.20000000000002</v>
      </c>
      <c r="O42" s="14">
        <f>N42*VLOOKUP('Données projet'!$B$9,Paramètres!$A$1:$I$89,3,0)*VLOOKUP('Données projet'!$B$9,Paramètres!$A$1:$I$89,5,0)</f>
        <v>176.64192000000003</v>
      </c>
      <c r="P42" s="14">
        <f t="shared" si="33"/>
        <v>44.574258350008236</v>
      </c>
      <c r="Q42" s="22">
        <f t="shared" si="53"/>
        <v>385.28484395959771</v>
      </c>
      <c r="R42" s="62">
        <f t="shared" si="0"/>
        <v>678.61817729293102</v>
      </c>
      <c r="S42" s="62">
        <f ca="1">AVERAGE(OFFSET($R$3,0,0,'Données projet'!$E$9+1,1))-AVERAGE(OFFSET($H$3,0,0,'Données projet'!$E$9+1,1))</f>
        <v>234.06296185782384</v>
      </c>
      <c r="T42" s="62">
        <f t="shared" si="34"/>
        <v>300.75555492874378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13.993998844544633</v>
      </c>
      <c r="AB42" s="23">
        <f>EXP(-LN(2)/2)*AB41+(1-EXP(-LN(2)/2))/(LN(2)/2)*V42*Y42*VLOOKUP('Données projet'!$B$9,Paramètres!$A$1:$I$89,3,0)*0.475*44/12</f>
        <v>0.86547836822923085</v>
      </c>
      <c r="AC42" s="24">
        <f t="shared" si="3"/>
        <v>14.859477212773864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3.7828000000000035</v>
      </c>
      <c r="AI42" s="14">
        <f>IF('Données projet'!$A$62&gt;35,AI41+AH42-AQ41,IF(A42&lt;'Données projet'!$A$62,$AF$205^A42,IF(A42='Données projet'!$A$62,'Données projet'!$B$62,AI41+AH42-AQ41)))</f>
        <v>94.148600000000059</v>
      </c>
      <c r="AJ42" s="14">
        <f>AI42*VLOOKUP('Données projet'!$B$10,Paramètres!$A$1:$I$89,3,0)*VLOOKUP('Données projet'!$B$10,Paramètres!$A$1:$I$89,5,0)</f>
        <v>85.185653280000054</v>
      </c>
      <c r="AK42" s="14">
        <f t="shared" si="35"/>
        <v>23.400431587980506</v>
      </c>
      <c r="AL42" s="22">
        <f t="shared" si="4"/>
        <v>189.12076447839945</v>
      </c>
      <c r="AM42" s="62">
        <f t="shared" si="5"/>
        <v>482.45409781173277</v>
      </c>
      <c r="AN42" s="62">
        <f ca="1">AVERAGE(OFFSET($AM$3,0,0,'Données projet'!$E$10+1,1))-AVERAGE(OFFSET($H$3,0,0,'Données projet'!$E$10+1,1))</f>
        <v>206.38141226866287</v>
      </c>
      <c r="AO42" s="62">
        <f t="shared" si="36"/>
        <v>89.074420303945885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4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213</v>
      </c>
      <c r="L43" s="13">
        <f>VLOOKUP(A43,'Données projet'!$A$35:$I$55,9,0)</f>
        <v>10.8</v>
      </c>
      <c r="M43" s="13">
        <f t="array" ref="M43">INDEX(L:L,MIN(IF(ISNUMBER(L43:L239),ROW(L43:L239),"")))</f>
        <v>10.8</v>
      </c>
      <c r="N43" s="14">
        <f>IF('Données projet'!$A$36&gt;35,N42+M43-V42,IF(A43&lt;'Données projet'!$A$36,$K$205^A43,IF(A43='Données projet'!$A$36,'Données projet'!$B$36,N42+M43-V42)))</f>
        <v>213.00000000000003</v>
      </c>
      <c r="O43" s="14">
        <f>N43*VLOOKUP('Données projet'!$B$9,Paramètres!$A$1:$I$89,3,0)*VLOOKUP('Données projet'!$B$9,Paramètres!$A$1:$I$89,5,0)</f>
        <v>186.07680000000005</v>
      </c>
      <c r="P43" s="14">
        <f t="shared" si="33"/>
        <v>46.671538591528673</v>
      </c>
      <c r="Q43" s="22">
        <f t="shared" si="53"/>
        <v>405.37002304691242</v>
      </c>
      <c r="R43" s="62">
        <f t="shared" si="0"/>
        <v>698.70335638024574</v>
      </c>
      <c r="S43" s="62">
        <f ca="1">AVERAGE(OFFSET($R$3,0,0,'Données projet'!$E$9+1,1))-AVERAGE(OFFSET($H$3,0,0,'Données projet'!$E$9+1,1))</f>
        <v>234.06296185782384</v>
      </c>
      <c r="T43" s="62">
        <f t="shared" si="34"/>
        <v>300.75555492874378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0.38700000000000001</v>
      </c>
      <c r="Y43" s="17">
        <f>IF(ISNA(VLOOKUP(A43,'Données projet'!$A$35:$I$55,7,0)),0%,VLOOKUP(A43,'Données projet'!$A$35:$I$55,7,0))</f>
        <v>0.1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28.129838920920566</v>
      </c>
      <c r="AB43" s="23">
        <f>EXP(-LN(2)/2)*AB42+(1-EXP(-LN(2)/2))/(LN(2)/2)*V43*Y43*VLOOKUP('Données projet'!$B$9,Paramètres!$A$1:$I$89,3,0)*0.475*44/12</f>
        <v>3.8266195622822994</v>
      </c>
      <c r="AC43" s="24">
        <f t="shared" si="3"/>
        <v>31.956458483202866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3.7828000000000035</v>
      </c>
      <c r="AI43" s="14">
        <f>IF('Données projet'!$A$62&gt;35,AI42+AH43-AQ42,IF(A43&lt;'Données projet'!$A$62,$AF$205^A43,IF(A43='Données projet'!$A$62,'Données projet'!$B$62,AI42+AH43-AQ42)))</f>
        <v>97.931400000000068</v>
      </c>
      <c r="AJ43" s="14">
        <f>AI43*VLOOKUP('Données projet'!$B$10,Paramètres!$A$1:$I$89,3,0)*VLOOKUP('Données projet'!$B$10,Paramètres!$A$1:$I$89,5,0)</f>
        <v>88.608330720000055</v>
      </c>
      <c r="AK43" s="14">
        <f t="shared" si="35"/>
        <v>24.229284067096238</v>
      </c>
      <c r="AL43" s="22">
        <f t="shared" si="4"/>
        <v>196.5255124208594</v>
      </c>
      <c r="AM43" s="62">
        <f t="shared" si="5"/>
        <v>489.85884575419271</v>
      </c>
      <c r="AN43" s="62">
        <f ca="1">AVERAGE(OFFSET($AM$3,0,0,'Données projet'!$E$10+1,1))-AVERAGE(OFFSET($H$3,0,0,'Données projet'!$E$10+1,1))</f>
        <v>206.38141226866287</v>
      </c>
      <c r="AO43" s="62">
        <f t="shared" si="36"/>
        <v>89.074420303945885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4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183.80000000000004</v>
      </c>
      <c r="O44" s="14">
        <f>N44*VLOOKUP('Données projet'!$B$9,Paramètres!$A$1:$I$89,3,0)*VLOOKUP('Données projet'!$B$9,Paramètres!$A$1:$I$89,5,0)</f>
        <v>160.56768000000005</v>
      </c>
      <c r="P44" s="14">
        <f t="shared" si="33"/>
        <v>40.970530810309882</v>
      </c>
      <c r="Q44" s="22">
        <f t="shared" si="53"/>
        <v>351.0123838279564</v>
      </c>
      <c r="R44" s="62">
        <f t="shared" si="0"/>
        <v>644.34571716128971</v>
      </c>
      <c r="S44" s="62">
        <f ca="1">AVERAGE(OFFSET($R$3,0,0,'Données projet'!$E$9+1,1))-AVERAGE(OFFSET($H$3,0,0,'Données projet'!$E$9+1,1))</f>
        <v>234.06296185782384</v>
      </c>
      <c r="T44" s="62">
        <f t="shared" si="34"/>
        <v>300.75555492874378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27.360626996344056</v>
      </c>
      <c r="AB44" s="23">
        <f>EXP(-LN(2)/2)*AB43+(1-EXP(-LN(2)/2))/(LN(2)/2)*V44*Y44*VLOOKUP('Données projet'!$B$9,Paramètres!$A$1:$I$89,3,0)*0.475*44/12</f>
        <v>2.7058286415109123</v>
      </c>
      <c r="AC44" s="24">
        <f t="shared" si="3"/>
        <v>30.066455637854968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3.7828000000000035</v>
      </c>
      <c r="AI44" s="14">
        <f>IF('Données projet'!$A$62&gt;35,AI43+AH44-AQ43,IF(A44&lt;'Données projet'!$A$62,$AF$205^A44,IF(A44='Données projet'!$A$62,'Données projet'!$B$62,AI43+AH44-AQ43)))</f>
        <v>101.71420000000008</v>
      </c>
      <c r="AJ44" s="14">
        <f>AI44*VLOOKUP('Données projet'!$B$10,Paramètres!$A$1:$I$89,3,0)*VLOOKUP('Données projet'!$B$10,Paramètres!$A$1:$I$89,5,0)</f>
        <v>92.03100816000007</v>
      </c>
      <c r="AK44" s="14">
        <f t="shared" si="35"/>
        <v>25.054417258694386</v>
      </c>
      <c r="AL44" s="22">
        <f t="shared" si="4"/>
        <v>203.92378260422618</v>
      </c>
      <c r="AM44" s="62">
        <f t="shared" si="5"/>
        <v>497.25711593755949</v>
      </c>
      <c r="AN44" s="62">
        <f ca="1">AVERAGE(OFFSET($AM$3,0,0,'Données projet'!$E$10+1,1))-AVERAGE(OFFSET($H$3,0,0,'Données projet'!$E$10+1,1))</f>
        <v>206.38141226866287</v>
      </c>
      <c r="AO44" s="62">
        <f t="shared" si="36"/>
        <v>89.074420303945885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4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193.60000000000005</v>
      </c>
      <c r="O45" s="14">
        <f>N45*VLOOKUP('Données projet'!$B$9,Paramètres!$A$1:$I$89,3,0)*VLOOKUP('Données projet'!$B$9,Paramètres!$A$1:$I$89,5,0)</f>
        <v>169.12896000000006</v>
      </c>
      <c r="P45" s="14">
        <f t="shared" si="33"/>
        <v>42.894881315146776</v>
      </c>
      <c r="Q45" s="22">
        <f t="shared" si="53"/>
        <v>369.27485695721407</v>
      </c>
      <c r="R45" s="62">
        <f t="shared" si="0"/>
        <v>662.60819029054733</v>
      </c>
      <c r="S45" s="62">
        <f ca="1">AVERAGE(OFFSET($R$3,0,0,'Données projet'!$E$9+1,1))-AVERAGE(OFFSET($H$3,0,0,'Données projet'!$E$9+1,1))</f>
        <v>234.06296185782384</v>
      </c>
      <c r="T45" s="62">
        <f t="shared" si="34"/>
        <v>300.75555492874378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26.612449212296188</v>
      </c>
      <c r="AB45" s="23">
        <f>EXP(-LN(2)/2)*AB44+(1-EXP(-LN(2)/2))/(LN(2)/2)*V45*Y45*VLOOKUP('Données projet'!$B$9,Paramètres!$A$1:$I$89,3,0)*0.475*44/12</f>
        <v>1.9133097811411499</v>
      </c>
      <c r="AC45" s="24">
        <f t="shared" si="3"/>
        <v>28.525758993437336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3.7828000000000035</v>
      </c>
      <c r="AI45" s="14">
        <f>IF('Données projet'!$A$62&gt;35,AI44+AH45-AQ44,IF(A45&lt;'Données projet'!$A$62,$AF$205^A45,IF(A45='Données projet'!$A$62,'Données projet'!$B$62,AI44+AH45-AQ44)))</f>
        <v>105.49700000000009</v>
      </c>
      <c r="AJ45" s="14">
        <f>AI45*VLOOKUP('Données projet'!$B$10,Paramètres!$A$1:$I$89,3,0)*VLOOKUP('Données projet'!$B$10,Paramètres!$A$1:$I$89,5,0)</f>
        <v>95.453685600000071</v>
      </c>
      <c r="AK45" s="14">
        <f t="shared" si="35"/>
        <v>25.875985324112445</v>
      </c>
      <c r="AL45" s="22">
        <f t="shared" si="4"/>
        <v>211.31584352616264</v>
      </c>
      <c r="AM45" s="62">
        <f t="shared" si="5"/>
        <v>504.64917685949592</v>
      </c>
      <c r="AN45" s="62">
        <f ca="1">AVERAGE(OFFSET($AM$3,0,0,'Données projet'!$E$10+1,1))-AVERAGE(OFFSET($H$3,0,0,'Données projet'!$E$10+1,1))</f>
        <v>206.38141226866287</v>
      </c>
      <c r="AO45" s="62">
        <f t="shared" si="36"/>
        <v>89.074420303945885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4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203.40000000000006</v>
      </c>
      <c r="O46" s="14">
        <f>N46*VLOOKUP('Données projet'!$B$9,Paramètres!$A$1:$I$89,3,0)*VLOOKUP('Données projet'!$B$9,Paramètres!$A$1:$I$89,5,0)</f>
        <v>177.69024000000007</v>
      </c>
      <c r="P46" s="14">
        <f t="shared" si="33"/>
        <v>44.807921499827692</v>
      </c>
      <c r="Q46" s="22">
        <f t="shared" si="53"/>
        <v>387.5176312788667</v>
      </c>
      <c r="R46" s="62">
        <f t="shared" si="0"/>
        <v>680.85096461219996</v>
      </c>
      <c r="S46" s="62">
        <f ca="1">AVERAGE(OFFSET($R$3,0,0,'Données projet'!$E$9+1,1))-AVERAGE(OFFSET($H$3,0,0,'Données projet'!$E$9+1,1))</f>
        <v>234.06296185782384</v>
      </c>
      <c r="T46" s="62">
        <f t="shared" si="34"/>
        <v>300.75555492874378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25.884730389098067</v>
      </c>
      <c r="AB46" s="23">
        <f>EXP(-LN(2)/2)*AB45+(1-EXP(-LN(2)/2))/(LN(2)/2)*V46*Y46*VLOOKUP('Données projet'!$B$9,Paramètres!$A$1:$I$89,3,0)*0.475*44/12</f>
        <v>1.3529143207554564</v>
      </c>
      <c r="AC46" s="24">
        <f t="shared" si="3"/>
        <v>27.237644709853523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3.7828000000000035</v>
      </c>
      <c r="AI46" s="14">
        <f>IF('Données projet'!$A$62&gt;35,AI45+AH46-AQ45,IF(A46&lt;'Données projet'!$A$62,$AF$205^A46,IF(A46='Données projet'!$A$62,'Données projet'!$B$62,AI45+AH46-AQ45)))</f>
        <v>109.27980000000009</v>
      </c>
      <c r="AJ46" s="14">
        <f>AI46*VLOOKUP('Données projet'!$B$10,Paramètres!$A$1:$I$89,3,0)*VLOOKUP('Données projet'!$B$10,Paramètres!$A$1:$I$89,5,0)</f>
        <v>98.876363040000072</v>
      </c>
      <c r="AK46" s="14">
        <f t="shared" si="35"/>
        <v>26.694130742496331</v>
      </c>
      <c r="AL46" s="22">
        <f t="shared" si="4"/>
        <v>218.70194333784789</v>
      </c>
      <c r="AM46" s="62">
        <f t="shared" si="5"/>
        <v>512.03527667118124</v>
      </c>
      <c r="AN46" s="62">
        <f ca="1">AVERAGE(OFFSET($AM$3,0,0,'Données projet'!$E$10+1,1))-AVERAGE(OFFSET($H$3,0,0,'Données projet'!$E$10+1,1))</f>
        <v>206.38141226866287</v>
      </c>
      <c r="AO46" s="62">
        <f t="shared" si="36"/>
        <v>89.074420303945885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4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213.20000000000007</v>
      </c>
      <c r="O47" s="14">
        <f>N47*VLOOKUP('Données projet'!$B$9,Paramètres!$A$1:$I$89,3,0)*VLOOKUP('Données projet'!$B$9,Paramètres!$A$1:$I$89,5,0)</f>
        <v>186.25152000000008</v>
      </c>
      <c r="P47" s="14">
        <f t="shared" si="33"/>
        <v>46.71025851515671</v>
      </c>
      <c r="Q47" s="22">
        <f t="shared" si="53"/>
        <v>405.7417642472314</v>
      </c>
      <c r="R47" s="62">
        <f t="shared" si="0"/>
        <v>699.07509758056472</v>
      </c>
      <c r="S47" s="62">
        <f ca="1">AVERAGE(OFFSET($R$3,0,0,'Données projet'!$E$9+1,1))-AVERAGE(OFFSET($H$3,0,0,'Données projet'!$E$9+1,1))</f>
        <v>234.06296185782384</v>
      </c>
      <c r="T47" s="62">
        <f t="shared" si="34"/>
        <v>300.75555492874378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25.17691107538937</v>
      </c>
      <c r="AB47" s="23">
        <f>EXP(-LN(2)/2)*AB46+(1-EXP(-LN(2)/2))/(LN(2)/2)*V47*Y47*VLOOKUP('Données projet'!$B$9,Paramètres!$A$1:$I$89,3,0)*0.475*44/12</f>
        <v>0.95665489057057518</v>
      </c>
      <c r="AC47" s="24">
        <f t="shared" si="3"/>
        <v>26.133565965959946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113.06260000000002</v>
      </c>
      <c r="AG47" s="13">
        <f>VLOOKUP(A47,'Données projet'!$A$61:$I$81,9,0)</f>
        <v>3.7828000000000035</v>
      </c>
      <c r="AH47" s="13">
        <f t="array" ref="AH47">INDEX(AG:AG,MIN(IF(ISNUMBER(AG47:AG243),ROW(AG47:AG243),"")))</f>
        <v>3.7828000000000035</v>
      </c>
      <c r="AI47" s="14">
        <f>IF('Données projet'!$A$62&gt;35,AI46+AH47-AQ46,IF(A47&lt;'Données projet'!$A$62,$AF$205^A47,IF(A47='Données projet'!$A$62,'Données projet'!$B$62,AI46+AH47-AQ46)))</f>
        <v>113.0626000000001</v>
      </c>
      <c r="AJ47" s="14">
        <f>AI47*VLOOKUP('Données projet'!$B$10,Paramètres!$A$1:$I$89,3,0)*VLOOKUP('Données projet'!$B$10,Paramètres!$A$1:$I$89,5,0)</f>
        <v>102.29904048000009</v>
      </c>
      <c r="AK47" s="14">
        <f t="shared" si="35"/>
        <v>27.508985569528097</v>
      </c>
      <c r="AL47" s="22">
        <f t="shared" si="4"/>
        <v>226.08231203626158</v>
      </c>
      <c r="AM47" s="62">
        <f t="shared" si="5"/>
        <v>519.41564536959493</v>
      </c>
      <c r="AN47" s="62">
        <f ca="1">AVERAGE(OFFSET($AM$3,0,0,'Données projet'!$E$10+1,1))-AVERAGE(OFFSET($H$3,0,0,'Données projet'!$E$10+1,1))</f>
        <v>206.38141226866287</v>
      </c>
      <c r="AO47" s="62">
        <f t="shared" si="36"/>
        <v>89.074420303945885</v>
      </c>
      <c r="AP47" s="16">
        <f>IF(ISNA(VLOOKUP(A47,'Données projet'!$A$61:$I$81,3,0)),0,VLOOKUP(A47,'Données projet'!$A$61:$I$81,3,0))</f>
        <v>2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4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223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223.00000000000009</v>
      </c>
      <c r="O48" s="14">
        <f>N48*VLOOKUP('Données projet'!$B$9,Paramètres!$A$1:$I$89,3,0)*VLOOKUP('Données projet'!$B$9,Paramètres!$A$1:$I$89,5,0)</f>
        <v>194.81280000000012</v>
      </c>
      <c r="P48" s="14">
        <f t="shared" si="33"/>
        <v>48.602440540253902</v>
      </c>
      <c r="Q48" s="22">
        <f t="shared" si="53"/>
        <v>423.9482106076091</v>
      </c>
      <c r="R48" s="62">
        <f t="shared" si="0"/>
        <v>717.28154394094236</v>
      </c>
      <c r="S48" s="62">
        <f ca="1">AVERAGE(OFFSET($R$3,0,0,'Données projet'!$E$9+1,1))-AVERAGE(OFFSET($H$3,0,0,'Données projet'!$E$9+1,1))</f>
        <v>234.06296185782384</v>
      </c>
      <c r="T48" s="62">
        <f t="shared" si="34"/>
        <v>300.75555492874378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0.38700000000000001</v>
      </c>
      <c r="Y48" s="17">
        <f>IF(ISNA(VLOOKUP(A48,'Données projet'!$A$35:$I$55,7,0)),0%,VLOOKUP(A48,'Données projet'!$A$35:$I$55,7,0))</f>
        <v>0.1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37.890145620214255</v>
      </c>
      <c r="AB48" s="23">
        <f>EXP(-LN(2)/2)*AB47+(1-EXP(-LN(2)/2))/(LN(2)/2)*V48*Y48*VLOOKUP('Données projet'!$B$9,Paramètres!$A$1:$I$89,3,0)*0.475*44/12</f>
        <v>3.6438115657350902</v>
      </c>
      <c r="AC48" s="24">
        <f t="shared" si="3"/>
        <v>41.533957185949347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1.7421749999999978</v>
      </c>
      <c r="AI48" s="14">
        <f>IF('Données projet'!$A$62&gt;35,AI47+AH48-AQ47,IF(A48&lt;'Données projet'!$A$62,$AF$205^A48,IF(A48='Données projet'!$A$62,'Données projet'!$B$62,AI47+AH48-AQ47)))</f>
        <v>114.80477500000011</v>
      </c>
      <c r="AJ48" s="14">
        <f>AI48*VLOOKUP('Données projet'!$B$10,Paramètres!$A$1:$I$89,3,0)*VLOOKUP('Données projet'!$B$10,Paramètres!$A$1:$I$89,5,0)</f>
        <v>103.87536042000009</v>
      </c>
      <c r="AK48" s="14">
        <f t="shared" si="35"/>
        <v>27.88319580204849</v>
      </c>
      <c r="AL48" s="22">
        <f t="shared" si="4"/>
        <v>229.47948542006793</v>
      </c>
      <c r="AM48" s="62">
        <f t="shared" si="5"/>
        <v>522.81281875340119</v>
      </c>
      <c r="AN48" s="62">
        <f ca="1">AVERAGE(OFFSET($AM$3,0,0,'Données projet'!$E$10+1,1))-AVERAGE(OFFSET($H$3,0,0,'Données projet'!$E$10+1,1))</f>
        <v>206.38141226866287</v>
      </c>
      <c r="AO48" s="62">
        <f t="shared" si="36"/>
        <v>89.074420303945885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4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8.8000000000000007</v>
      </c>
      <c r="N49" s="14">
        <f>IF('Données projet'!$A$36&gt;35,N48+M49-V48,IF(A49&lt;'Données projet'!$A$36,$K$205^A49,IF(A49='Données projet'!$A$36,'Données projet'!$B$36,N48+M49-V48)))</f>
        <v>195.8000000000001</v>
      </c>
      <c r="O49" s="14">
        <f>N49*VLOOKUP('Données projet'!$B$9,Paramètres!$A$1:$I$89,3,0)*VLOOKUP('Données projet'!$B$9,Paramètres!$A$1:$I$89,5,0)</f>
        <v>171.05088000000012</v>
      </c>
      <c r="P49" s="14">
        <f t="shared" si="33"/>
        <v>43.325301264581704</v>
      </c>
      <c r="Q49" s="22">
        <f t="shared" si="53"/>
        <v>373.37184903581334</v>
      </c>
      <c r="R49" s="62">
        <f t="shared" si="0"/>
        <v>666.70518236914666</v>
      </c>
      <c r="S49" s="62">
        <f ca="1">AVERAGE(OFFSET($R$3,0,0,'Données projet'!$E$9+1,1))-AVERAGE(OFFSET($H$3,0,0,'Données projet'!$E$9+1,1))</f>
        <v>234.06296185782384</v>
      </c>
      <c r="T49" s="62">
        <f t="shared" si="34"/>
        <v>300.75555492874378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36.85403759567334</v>
      </c>
      <c r="AB49" s="23">
        <f>EXP(-LN(2)/2)*AB48+(1-EXP(-LN(2)/2))/(LN(2)/2)*V49*Y49*VLOOKUP('Données projet'!$B$9,Paramètres!$A$1:$I$89,3,0)*0.475*44/12</f>
        <v>2.5765638674972537</v>
      </c>
      <c r="AC49" s="24">
        <f t="shared" si="3"/>
        <v>39.430601463170596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1.7421749999999978</v>
      </c>
      <c r="AI49" s="14">
        <f>IF('Données projet'!$A$62&gt;35,AI48+AH49-AQ48,IF(A49&lt;'Données projet'!$A$62,$AF$205^A49,IF(A49='Données projet'!$A$62,'Données projet'!$B$62,AI48+AH49-AQ48)))</f>
        <v>116.54695000000011</v>
      </c>
      <c r="AJ49" s="14">
        <f>AI49*VLOOKUP('Données projet'!$B$10,Paramètres!$A$1:$I$89,3,0)*VLOOKUP('Données projet'!$B$10,Paramètres!$A$1:$I$89,5,0)</f>
        <v>105.45168036000011</v>
      </c>
      <c r="AK49" s="14">
        <f t="shared" si="35"/>
        <v>28.256745592726219</v>
      </c>
      <c r="AL49" s="22">
        <f t="shared" si="4"/>
        <v>232.87550853433166</v>
      </c>
      <c r="AM49" s="62">
        <f t="shared" si="5"/>
        <v>526.208841867665</v>
      </c>
      <c r="AN49" s="62">
        <f ca="1">AVERAGE(OFFSET($AM$3,0,0,'Données projet'!$E$10+1,1))-AVERAGE(OFFSET($H$3,0,0,'Données projet'!$E$10+1,1))</f>
        <v>206.38141226866287</v>
      </c>
      <c r="AO49" s="62">
        <f t="shared" si="36"/>
        <v>89.074420303945885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4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8.8000000000000007</v>
      </c>
      <c r="N50" s="14">
        <f>IF('Données projet'!$A$36&gt;35,N49+M50-V49,IF(A50&lt;'Données projet'!$A$36,$K$205^A50,IF(A50='Données projet'!$A$36,'Données projet'!$B$36,N49+M50-V49)))</f>
        <v>204.60000000000011</v>
      </c>
      <c r="O50" s="14">
        <f>N50*VLOOKUP('Données projet'!$B$9,Paramètres!$A$1:$I$89,3,0)*VLOOKUP('Données projet'!$B$9,Paramètres!$A$1:$I$89,5,0)</f>
        <v>178.73856000000012</v>
      </c>
      <c r="P50" s="14">
        <f t="shared" si="33"/>
        <v>45.041424241265368</v>
      </c>
      <c r="Q50" s="22">
        <f t="shared" si="53"/>
        <v>389.75013922020406</v>
      </c>
      <c r="R50" s="62">
        <f t="shared" si="0"/>
        <v>683.08347255353738</v>
      </c>
      <c r="S50" s="62">
        <f ca="1">AVERAGE(OFFSET($R$3,0,0,'Données projet'!$E$9+1,1))-AVERAGE(OFFSET($H$3,0,0,'Données projet'!$E$9+1,1))</f>
        <v>234.06296185782384</v>
      </c>
      <c r="T50" s="62">
        <f t="shared" si="34"/>
        <v>300.75555492874378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35.846261999550045</v>
      </c>
      <c r="AB50" s="23">
        <f>EXP(-LN(2)/2)*AB49+(1-EXP(-LN(2)/2))/(LN(2)/2)*V50*Y50*VLOOKUP('Données projet'!$B$9,Paramètres!$A$1:$I$89,3,0)*0.475*44/12</f>
        <v>1.8219057828675453</v>
      </c>
      <c r="AC50" s="24">
        <f t="shared" si="3"/>
        <v>37.668167782417591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1.7421749999999978</v>
      </c>
      <c r="AI50" s="14">
        <f>IF('Données projet'!$A$62&gt;35,AI49+AH50-AQ49,IF(A50&lt;'Données projet'!$A$62,$AF$205^A50,IF(A50='Données projet'!$A$62,'Données projet'!$B$62,AI49+AH50-AQ49)))</f>
        <v>118.28912500000011</v>
      </c>
      <c r="AJ50" s="14">
        <f>AI50*VLOOKUP('Données projet'!$B$10,Paramètres!$A$1:$I$89,3,0)*VLOOKUP('Données projet'!$B$10,Paramètres!$A$1:$I$89,5,0)</f>
        <v>107.02800030000009</v>
      </c>
      <c r="AK50" s="14">
        <f t="shared" si="35"/>
        <v>28.62964595441986</v>
      </c>
      <c r="AL50" s="22">
        <f t="shared" si="4"/>
        <v>236.27040055978139</v>
      </c>
      <c r="AM50" s="62">
        <f t="shared" si="5"/>
        <v>529.60373389311474</v>
      </c>
      <c r="AN50" s="62">
        <f ca="1">AVERAGE(OFFSET($AM$3,0,0,'Données projet'!$E$10+1,1))-AVERAGE(OFFSET($H$3,0,0,'Données projet'!$E$10+1,1))</f>
        <v>206.38141226866287</v>
      </c>
      <c r="AO50" s="62">
        <f t="shared" si="36"/>
        <v>89.074420303945885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4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8.8000000000000007</v>
      </c>
      <c r="N51" s="14">
        <f>IF('Données projet'!$A$36&gt;35,N50+M51-V50,IF(A51&lt;'Données projet'!$A$36,$K$205^A51,IF(A51='Données projet'!$A$36,'Données projet'!$B$36,N50+M51-V50)))</f>
        <v>213.40000000000012</v>
      </c>
      <c r="O51" s="14">
        <f>N51*VLOOKUP('Données projet'!$B$9,Paramètres!$A$1:$I$89,3,0)*VLOOKUP('Données projet'!$B$9,Paramètres!$A$1:$I$89,5,0)</f>
        <v>186.42624000000012</v>
      </c>
      <c r="P51" s="14">
        <f t="shared" si="33"/>
        <v>46.748974211060826</v>
      </c>
      <c r="Q51" s="22">
        <f t="shared" si="53"/>
        <v>406.11349808426445</v>
      </c>
      <c r="R51" s="62">
        <f t="shared" si="0"/>
        <v>699.44683141759776</v>
      </c>
      <c r="S51" s="62">
        <f ca="1">AVERAGE(OFFSET($R$3,0,0,'Données projet'!$E$9+1,1))-AVERAGE(OFFSET($H$3,0,0,'Données projet'!$E$9+1,1))</f>
        <v>234.06296185782384</v>
      </c>
      <c r="T51" s="62">
        <f t="shared" si="34"/>
        <v>300.75555492874378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34.866044080099357</v>
      </c>
      <c r="AB51" s="23">
        <f>EXP(-LN(2)/2)*AB50+(1-EXP(-LN(2)/2))/(LN(2)/2)*V51*Y51*VLOOKUP('Données projet'!$B$9,Paramètres!$A$1:$I$89,3,0)*0.475*44/12</f>
        <v>1.2882819337486271</v>
      </c>
      <c r="AC51" s="24">
        <f t="shared" si="3"/>
        <v>36.154326013847985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1.7421749999999978</v>
      </c>
      <c r="AI51" s="14">
        <f>IF('Données projet'!$A$62&gt;35,AI50+AH51-AQ50,IF(A51&lt;'Données projet'!$A$62,$AF$205^A51,IF(A51='Données projet'!$A$62,'Données projet'!$B$62,AI50+AH51-AQ50)))</f>
        <v>120.03130000000012</v>
      </c>
      <c r="AJ51" s="14">
        <f>AI51*VLOOKUP('Données projet'!$B$10,Paramètres!$A$1:$I$89,3,0)*VLOOKUP('Données projet'!$B$10,Paramètres!$A$1:$I$89,5,0)</f>
        <v>108.60432024000009</v>
      </c>
      <c r="AK51" s="14">
        <f t="shared" si="35"/>
        <v>29.001907556968124</v>
      </c>
      <c r="AL51" s="22">
        <f t="shared" si="4"/>
        <v>239.66418007971961</v>
      </c>
      <c r="AM51" s="62">
        <f t="shared" si="5"/>
        <v>532.99751341305296</v>
      </c>
      <c r="AN51" s="62">
        <f ca="1">AVERAGE(OFFSET($AM$3,0,0,'Données projet'!$E$10+1,1))-AVERAGE(OFFSET($H$3,0,0,'Données projet'!$E$10+1,1))</f>
        <v>206.38141226866287</v>
      </c>
      <c r="AO51" s="62">
        <f t="shared" si="36"/>
        <v>89.074420303945885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4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8.8000000000000007</v>
      </c>
      <c r="N52" s="14">
        <f>IF('Données projet'!$A$36&gt;35,N51+M52-V51,IF(A52&lt;'Données projet'!$A$36,$K$205^A52,IF(A52='Données projet'!$A$36,'Données projet'!$B$36,N51+M52-V51)))</f>
        <v>222.20000000000013</v>
      </c>
      <c r="O52" s="14">
        <f>N52*VLOOKUP('Données projet'!$B$9,Paramètres!$A$1:$I$89,3,0)*VLOOKUP('Données projet'!$B$9,Paramètres!$A$1:$I$89,5,0)</f>
        <v>194.11392000000015</v>
      </c>
      <c r="P52" s="14">
        <f t="shared" si="33"/>
        <v>48.448345132424009</v>
      </c>
      <c r="Q52" s="22">
        <f t="shared" si="53"/>
        <v>422.46261177230537</v>
      </c>
      <c r="R52" s="62">
        <f t="shared" si="0"/>
        <v>715.79594510563868</v>
      </c>
      <c r="S52" s="62">
        <f ca="1">AVERAGE(OFFSET($R$3,0,0,'Données projet'!$E$9+1,1))-AVERAGE(OFFSET($H$3,0,0,'Données projet'!$E$9+1,1))</f>
        <v>234.06296185782384</v>
      </c>
      <c r="T52" s="62">
        <f t="shared" si="34"/>
        <v>300.75555492874378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33.912630271203469</v>
      </c>
      <c r="AB52" s="23">
        <f>EXP(-LN(2)/2)*AB51+(1-EXP(-LN(2)/2))/(LN(2)/2)*V52*Y52*VLOOKUP('Données projet'!$B$9,Paramètres!$A$1:$I$89,3,0)*0.475*44/12</f>
        <v>0.91095289143377278</v>
      </c>
      <c r="AC52" s="24">
        <f t="shared" si="3"/>
        <v>34.823583162637242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1.7421749999999978</v>
      </c>
      <c r="AI52" s="14">
        <f>IF('Données projet'!$A$62&gt;35,AI51+AH52-AQ51,IF(A52&lt;'Données projet'!$A$62,$AF$205^A52,IF(A52='Données projet'!$A$62,'Données projet'!$B$62,AI51+AH52-AQ51)))</f>
        <v>121.77347500000012</v>
      </c>
      <c r="AJ52" s="14">
        <f>AI52*VLOOKUP('Données projet'!$B$10,Paramètres!$A$1:$I$89,3,0)*VLOOKUP('Données projet'!$B$10,Paramètres!$A$1:$I$89,5,0)</f>
        <v>110.18064018000011</v>
      </c>
      <c r="AK52" s="14">
        <f t="shared" si="35"/>
        <v>29.373540742694328</v>
      </c>
      <c r="AL52" s="22">
        <f t="shared" si="4"/>
        <v>243.05686510702614</v>
      </c>
      <c r="AM52" s="62">
        <f t="shared" si="5"/>
        <v>536.39019844035943</v>
      </c>
      <c r="AN52" s="62">
        <f ca="1">AVERAGE(OFFSET($AM$3,0,0,'Données projet'!$E$10+1,1))-AVERAGE(OFFSET($H$3,0,0,'Données projet'!$E$10+1,1))</f>
        <v>206.38141226866287</v>
      </c>
      <c r="AO52" s="62">
        <f t="shared" si="36"/>
        <v>89.074420303945885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4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8.8000000000000007</v>
      </c>
      <c r="M53" s="13">
        <f t="array" ref="M53">INDEX(L:L,MIN(IF(ISNUMBER(L53:L249),ROW(L53:L249),"")))</f>
        <v>8.8000000000000007</v>
      </c>
      <c r="N53" s="14">
        <f>IF('Données projet'!$A$36&gt;35,N52+M53-V52,IF(A53&lt;'Données projet'!$A$36,$K$205^A53,IF(A53='Données projet'!$A$36,'Données projet'!$B$36,N52+M53-V52)))</f>
        <v>231.00000000000014</v>
      </c>
      <c r="O53" s="14">
        <f>N53*VLOOKUP('Données projet'!$B$9,Paramètres!$A$1:$I$89,3,0)*VLOOKUP('Données projet'!$B$9,Paramètres!$A$1:$I$89,5,0)</f>
        <v>201.80160000000015</v>
      </c>
      <c r="P53" s="14">
        <f t="shared" si="33"/>
        <v>50.139897992681711</v>
      </c>
      <c r="Q53" s="22">
        <f t="shared" si="53"/>
        <v>438.7981090039209</v>
      </c>
      <c r="R53" s="62">
        <f t="shared" si="0"/>
        <v>732.13144233725416</v>
      </c>
      <c r="S53" s="62">
        <f ca="1">AVERAGE(OFFSET($R$3,0,0,'Données projet'!$E$9+1,1))-AVERAGE(OFFSET($H$3,0,0,'Données projet'!$E$9+1,1))</f>
        <v>234.06296185782384</v>
      </c>
      <c r="T53" s="62">
        <f t="shared" si="34"/>
        <v>300.75555492874378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0.38700000000000001</v>
      </c>
      <c r="Y53" s="17">
        <f>IF(ISNA(VLOOKUP(A53,'Données projet'!$A$35:$I$55,7,0)),0%,VLOOKUP(A53,'Données projet'!$A$35:$I$55,7,0))</f>
        <v>0.1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45.270177906712512</v>
      </c>
      <c r="AB53" s="23">
        <f>EXP(-LN(2)/2)*AB52+(1-EXP(-LN(2)/2))/(LN(2)/2)*V53*Y53*VLOOKUP('Données projet'!$B$9,Paramètres!$A$1:$I$89,3,0)*0.475*44/12</f>
        <v>3.3642158384518956</v>
      </c>
      <c r="AC53" s="24">
        <f t="shared" si="3"/>
        <v>48.634393745164409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1.7421749999999978</v>
      </c>
      <c r="AI53" s="14">
        <f>IF('Données projet'!$A$62&gt;35,AI52+AH53-AQ52,IF(A53&lt;'Données projet'!$A$62,$AF$205^A53,IF(A53='Données projet'!$A$62,'Données projet'!$B$62,AI52+AH53-AQ52)))</f>
        <v>123.51565000000012</v>
      </c>
      <c r="AJ53" s="14">
        <f>AI53*VLOOKUP('Données projet'!$B$10,Paramètres!$A$1:$I$89,3,0)*VLOOKUP('Données projet'!$B$10,Paramètres!$A$1:$I$89,5,0)</f>
        <v>111.75696012000012</v>
      </c>
      <c r="AK53" s="14">
        <f t="shared" si="35"/>
        <v>29.744555540998778</v>
      </c>
      <c r="AL53" s="22">
        <f t="shared" si="4"/>
        <v>246.44847310957309</v>
      </c>
      <c r="AM53" s="62">
        <f t="shared" si="5"/>
        <v>539.78180644290637</v>
      </c>
      <c r="AN53" s="62">
        <f ca="1">AVERAGE(OFFSET($AM$3,0,0,'Données projet'!$E$10+1,1))-AVERAGE(OFFSET($H$3,0,0,'Données projet'!$E$10+1,1))</f>
        <v>206.38141226866287</v>
      </c>
      <c r="AO53" s="62">
        <f t="shared" si="36"/>
        <v>89.074420303945885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4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205.80000000000015</v>
      </c>
      <c r="O54" s="14">
        <f>N54*VLOOKUP('Données projet'!$B$9,Paramètres!$A$1:$I$89,3,0)*VLOOKUP('Données projet'!$B$9,Paramètres!$A$1:$I$89,5,0)</f>
        <v>179.78688000000014</v>
      </c>
      <c r="P54" s="14">
        <f t="shared" si="33"/>
        <v>45.274767624296977</v>
      </c>
      <c r="Q54" s="22">
        <f t="shared" si="53"/>
        <v>391.98236961231743</v>
      </c>
      <c r="R54" s="62">
        <f t="shared" si="0"/>
        <v>685.31570294565074</v>
      </c>
      <c r="S54" s="62">
        <f ca="1">AVERAGE(OFFSET($R$3,0,0,'Données projet'!$E$9+1,1))-AVERAGE(OFFSET($H$3,0,0,'Données projet'!$E$9+1,1))</f>
        <v>234.06296185782384</v>
      </c>
      <c r="T54" s="62">
        <f t="shared" si="34"/>
        <v>300.75555492874378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44.032262511198269</v>
      </c>
      <c r="AB54" s="23">
        <f>EXP(-LN(2)/2)*AB53+(1-EXP(-LN(2)/2))/(LN(2)/2)*V54*Y54*VLOOKUP('Données projet'!$B$9,Paramètres!$A$1:$I$89,3,0)*0.475*44/12</f>
        <v>2.3788598327445221</v>
      </c>
      <c r="AC54" s="24">
        <f t="shared" si="3"/>
        <v>46.411122343942793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1.7421749999999978</v>
      </c>
      <c r="AI54" s="14">
        <f>IF('Données projet'!$A$62&gt;35,AI53+AH54-AQ53,IF(A54&lt;'Données projet'!$A$62,$AF$205^A54,IF(A54='Données projet'!$A$62,'Données projet'!$B$62,AI53+AH54-AQ53)))</f>
        <v>125.25782500000012</v>
      </c>
      <c r="AJ54" s="14">
        <f>AI54*VLOOKUP('Données projet'!$B$10,Paramètres!$A$1:$I$89,3,0)*VLOOKUP('Données projet'!$B$10,Paramètres!$A$1:$I$89,5,0)</f>
        <v>113.33328006000011</v>
      </c>
      <c r="AK54" s="14">
        <f t="shared" si="35"/>
        <v>30.114961682104305</v>
      </c>
      <c r="AL54" s="22">
        <f t="shared" si="4"/>
        <v>249.8390210341652</v>
      </c>
      <c r="AM54" s="62">
        <f t="shared" si="5"/>
        <v>543.17235436749854</v>
      </c>
      <c r="AN54" s="62">
        <f ca="1">AVERAGE(OFFSET($AM$3,0,0,'Données projet'!$E$10+1,1))-AVERAGE(OFFSET($H$3,0,0,'Données projet'!$E$10+1,1))</f>
        <v>206.38141226866287</v>
      </c>
      <c r="AO54" s="62">
        <f t="shared" si="36"/>
        <v>89.074420303945885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4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213.60000000000016</v>
      </c>
      <c r="O55" s="14">
        <f>N55*VLOOKUP('Données projet'!$B$9,Paramètres!$A$1:$I$89,3,0)*VLOOKUP('Données projet'!$B$9,Paramètres!$A$1:$I$89,5,0)</f>
        <v>186.60096000000016</v>
      </c>
      <c r="P55" s="14">
        <f t="shared" si="33"/>
        <v>46.787685683664144</v>
      </c>
      <c r="Q55" s="22">
        <f t="shared" si="53"/>
        <v>406.48522456571527</v>
      </c>
      <c r="R55" s="62">
        <f t="shared" si="0"/>
        <v>699.81855789904853</v>
      </c>
      <c r="S55" s="62">
        <f ca="1">AVERAGE(OFFSET($R$3,0,0,'Données projet'!$E$9+1,1))-AVERAGE(OFFSET($H$3,0,0,'Données projet'!$E$9+1,1))</f>
        <v>234.06296185782384</v>
      </c>
      <c r="T55" s="62">
        <f t="shared" si="34"/>
        <v>300.75555492874378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42.828197977273504</v>
      </c>
      <c r="AB55" s="23">
        <f>EXP(-LN(2)/2)*AB54+(1-EXP(-LN(2)/2))/(LN(2)/2)*V55*Y55*VLOOKUP('Données projet'!$B$9,Paramètres!$A$1:$I$89,3,0)*0.475*44/12</f>
        <v>1.6821079192259478</v>
      </c>
      <c r="AC55" s="24">
        <f t="shared" si="3"/>
        <v>44.510305896499453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127</v>
      </c>
      <c r="AG55" s="13">
        <f>VLOOKUP(A55,'Données projet'!$A$61:$I$81,9,0)</f>
        <v>1.7421749999999978</v>
      </c>
      <c r="AH55" s="13">
        <f t="array" ref="AH55">INDEX(AG:AG,MIN(IF(ISNUMBER(AG55:AG251),ROW(AG55:AG251),"")))</f>
        <v>1.7421749999999978</v>
      </c>
      <c r="AI55" s="14">
        <f>IF('Données projet'!$A$62&gt;35,AI54+AH55-AQ54,IF(A55&lt;'Données projet'!$A$62,$AF$205^A55,IF(A55='Données projet'!$A$62,'Données projet'!$B$62,AI54+AH55-AQ54)))</f>
        <v>127.00000000000013</v>
      </c>
      <c r="AJ55" s="14">
        <f>AI55*VLOOKUP('Données projet'!$B$10,Paramètres!$A$1:$I$89,3,0)*VLOOKUP('Données projet'!$B$10,Paramètres!$A$1:$I$89,5,0)</f>
        <v>114.90960000000011</v>
      </c>
      <c r="AK55" s="14">
        <f t="shared" si="35"/>
        <v>30.484768610015163</v>
      </c>
      <c r="AL55" s="22">
        <f t="shared" si="4"/>
        <v>253.22852532910994</v>
      </c>
      <c r="AM55" s="62">
        <f t="shared" si="5"/>
        <v>546.56185866244323</v>
      </c>
      <c r="AN55" s="62">
        <f ca="1">AVERAGE(OFFSET($AM$3,0,0,'Données projet'!$E$10+1,1))-AVERAGE(OFFSET($H$3,0,0,'Données projet'!$E$10+1,1))</f>
        <v>206.38141226866287</v>
      </c>
      <c r="AO55" s="62">
        <f t="shared" si="36"/>
        <v>89.074420303945885</v>
      </c>
      <c r="AP55" s="16">
        <f>IF(ISNA(VLOOKUP(A55,'Données projet'!$A$61:$I$81,3,0)),0,VLOOKUP(A55,'Données projet'!$A$61:$I$81,3,0))</f>
        <v>3</v>
      </c>
      <c r="AQ55" s="16">
        <f>IF(ISNA(VLOOKUP(A55,'Données projet'!$A$61:$I$81,4,0)),0,VLOOKUP(A55,'Données projet'!$A$61:$I$81,4,0))</f>
        <v>29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4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221.40000000000018</v>
      </c>
      <c r="O56" s="14">
        <f>N56*VLOOKUP('Données projet'!$B$9,Paramètres!$A$1:$I$89,3,0)*VLOOKUP('Données projet'!$B$9,Paramètres!$A$1:$I$89,5,0)</f>
        <v>193.41504000000018</v>
      </c>
      <c r="P56" s="14">
        <f t="shared" si="33"/>
        <v>48.294185132315114</v>
      </c>
      <c r="Q56" s="22">
        <f t="shared" si="53"/>
        <v>420.97690043878242</v>
      </c>
      <c r="R56" s="62">
        <f t="shared" si="0"/>
        <v>714.31023377211568</v>
      </c>
      <c r="S56" s="62">
        <f ca="1">AVERAGE(OFFSET($R$3,0,0,'Données projet'!$E$9+1,1))-AVERAGE(OFFSET($H$3,0,0,'Données projet'!$E$9+1,1))</f>
        <v>234.06296185782384</v>
      </c>
      <c r="T56" s="62">
        <f t="shared" si="34"/>
        <v>300.75555492874378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41.657058651347917</v>
      </c>
      <c r="AB56" s="23">
        <f>EXP(-LN(2)/2)*AB55+(1-EXP(-LN(2)/2))/(LN(2)/2)*V56*Y56*VLOOKUP('Données projet'!$B$9,Paramètres!$A$1:$I$89,3,0)*0.475*44/12</f>
        <v>1.189429916372261</v>
      </c>
      <c r="AC56" s="24">
        <f t="shared" si="3"/>
        <v>42.846488567720179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6.125</v>
      </c>
      <c r="AI56" s="14">
        <f>IF('Données projet'!$A$62&gt;35,AI55+AH56-AQ55,IF(A56&lt;'Données projet'!$A$62,$AF$205^A56,IF(A56='Données projet'!$A$62,'Données projet'!$B$62,AI55+AH56-AQ55)))</f>
        <v>104.12500000000011</v>
      </c>
      <c r="AJ56" s="14">
        <f>AI56*VLOOKUP('Données projet'!$B$10,Paramètres!$A$1:$I$89,3,0)*VLOOKUP('Données projet'!$B$10,Paramètres!$A$1:$I$89,5,0)</f>
        <v>94.212300000000099</v>
      </c>
      <c r="AK56" s="14">
        <f t="shared" si="35"/>
        <v>25.57841008066784</v>
      </c>
      <c r="AL56" s="22">
        <f t="shared" si="4"/>
        <v>208.63548672382998</v>
      </c>
      <c r="AM56" s="62">
        <f t="shared" si="5"/>
        <v>501.96882005716327</v>
      </c>
      <c r="AN56" s="62">
        <f ca="1">AVERAGE(OFFSET($AM$3,0,0,'Données projet'!$E$10+1,1))-AVERAGE(OFFSET($H$3,0,0,'Données projet'!$E$10+1,1))</f>
        <v>206.38141226866287</v>
      </c>
      <c r="AO56" s="62">
        <f t="shared" si="36"/>
        <v>89.074420303945885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4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229.20000000000019</v>
      </c>
      <c r="O57" s="14">
        <f>N57*VLOOKUP('Données projet'!$B$9,Paramètres!$A$1:$I$89,3,0)*VLOOKUP('Données projet'!$B$9,Paramètres!$A$1:$I$89,5,0)</f>
        <v>200.22912000000019</v>
      </c>
      <c r="P57" s="14">
        <f t="shared" si="33"/>
        <v>49.794518010766396</v>
      </c>
      <c r="Q57" s="22">
        <f t="shared" si="53"/>
        <v>435.45783620208516</v>
      </c>
      <c r="R57" s="62">
        <f t="shared" si="0"/>
        <v>728.79116953541848</v>
      </c>
      <c r="S57" s="62">
        <f ca="1">AVERAGE(OFFSET($R$3,0,0,'Données projet'!$E$9+1,1))-AVERAGE(OFFSET($H$3,0,0,'Données projet'!$E$9+1,1))</f>
        <v>234.06296185782384</v>
      </c>
      <c r="T57" s="62">
        <f t="shared" si="34"/>
        <v>300.75555492874378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40.517944191877305</v>
      </c>
      <c r="AB57" s="23">
        <f>EXP(-LN(2)/2)*AB56+(1-EXP(-LN(2)/2))/(LN(2)/2)*V57*Y57*VLOOKUP('Données projet'!$B$9,Paramètres!$A$1:$I$89,3,0)*0.475*44/12</f>
        <v>0.84105395961297391</v>
      </c>
      <c r="AC57" s="24">
        <f t="shared" si="3"/>
        <v>41.358998151490276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6.125</v>
      </c>
      <c r="AI57" s="14">
        <f>IF('Données projet'!$A$62&gt;35,AI56+AH57-AQ56,IF(A57&lt;'Données projet'!$A$62,$AF$205^A57,IF(A57='Données projet'!$A$62,'Données projet'!$B$62,AI56+AH57-AQ56)))</f>
        <v>110.25000000000011</v>
      </c>
      <c r="AJ57" s="14">
        <f>AI57*VLOOKUP('Données projet'!$B$10,Paramètres!$A$1:$I$89,3,0)*VLOOKUP('Données projet'!$B$10,Paramètres!$A$1:$I$89,5,0)</f>
        <v>99.754200000000097</v>
      </c>
      <c r="AK57" s="14">
        <f t="shared" si="35"/>
        <v>26.90343070306184</v>
      </c>
      <c r="AL57" s="22">
        <f t="shared" si="4"/>
        <v>220.59537347449952</v>
      </c>
      <c r="AM57" s="62">
        <f t="shared" si="5"/>
        <v>513.9287068078329</v>
      </c>
      <c r="AN57" s="62">
        <f ca="1">AVERAGE(OFFSET($AM$3,0,0,'Données projet'!$E$10+1,1))-AVERAGE(OFFSET($H$3,0,0,'Données projet'!$E$10+1,1))</f>
        <v>206.38141226866287</v>
      </c>
      <c r="AO57" s="62">
        <f t="shared" si="36"/>
        <v>89.074420303945885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4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237.0000000000002</v>
      </c>
      <c r="O58" s="14">
        <f>N58*VLOOKUP('Données projet'!$B$9,Paramètres!$A$1:$I$89,3,0)*VLOOKUP('Données projet'!$B$9,Paramètres!$A$1:$I$89,5,0)</f>
        <v>207.04320000000018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234.06296185782384</v>
      </c>
      <c r="T58" s="62">
        <f t="shared" si="34"/>
        <v>300.75555492874378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0.38700000000000001</v>
      </c>
      <c r="Y58" s="17">
        <f>IF(ISNA(VLOOKUP(A58,'Données projet'!$A$35:$I$55,7,0)),0%,VLOOKUP(A58,'Données projet'!$A$35:$I$55,7,0))</f>
        <v>0.1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50.20579155951409</v>
      </c>
      <c r="AB58" s="23">
        <f>EXP(-LN(2)/2)*AB57+(1-EXP(-LN(2)/2))/(LN(2)/2)*V58*Y58*VLOOKUP('Données projet'!$B$9,Paramètres!$A$1:$I$89,3,0)*0.475*44/12</f>
        <v>2.9850837847240062</v>
      </c>
      <c r="AC58" s="24">
        <f t="shared" si="3"/>
        <v>53.190875344238094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6.125</v>
      </c>
      <c r="AI58" s="14">
        <f>IF('Données projet'!$A$62&gt;35,AI57+AH58-AQ57,IF(A58&lt;'Données projet'!$A$62,$AF$205^A58,IF(A58='Données projet'!$A$62,'Données projet'!$B$62,AI57+AH58-AQ57)))</f>
        <v>116.37500000000011</v>
      </c>
      <c r="AJ58" s="14">
        <f>AI58*VLOOKUP('Données projet'!$B$10,Paramètres!$A$1:$I$89,3,0)*VLOOKUP('Données projet'!$B$10,Paramètres!$A$1:$I$89,5,0)</f>
        <v>105.2961000000001</v>
      </c>
      <c r="AK58" s="14">
        <f t="shared" si="35"/>
        <v>28.219905863751134</v>
      </c>
      <c r="AL58" s="22">
        <f t="shared" si="4"/>
        <v>232.5403768793667</v>
      </c>
      <c r="AM58" s="62">
        <f t="shared" si="5"/>
        <v>525.87371021269996</v>
      </c>
      <c r="AN58" s="62">
        <f ca="1">AVERAGE(OFFSET($AM$3,0,0,'Données projet'!$E$10+1,1))-AVERAGE(OFFSET($H$3,0,0,'Données projet'!$E$10+1,1))</f>
        <v>206.38141226866287</v>
      </c>
      <c r="AO58" s="62">
        <f t="shared" si="36"/>
        <v>89.074420303945885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4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214.80000000000021</v>
      </c>
      <c r="O59" s="14">
        <f>N59*VLOOKUP('Données projet'!$B$9,Paramètres!$A$1:$I$89,3,0)*VLOOKUP('Données projet'!$B$9,Paramètres!$A$1:$I$89,5,0)</f>
        <v>187.6492800000002</v>
      </c>
      <c r="P59" s="14">
        <f t="shared" si="33"/>
        <v>47.019866076567546</v>
      </c>
      <c r="Q59" s="22">
        <f t="shared" si="53"/>
        <v>408.71542941668878</v>
      </c>
      <c r="R59" s="62">
        <f t="shared" si="0"/>
        <v>702.04876275002209</v>
      </c>
      <c r="S59" s="62">
        <f ca="1">AVERAGE(OFFSET($R$3,0,0,'Données projet'!$E$9+1,1))-AVERAGE(OFFSET($H$3,0,0,'Données projet'!$E$9+1,1))</f>
        <v>234.06296185782384</v>
      </c>
      <c r="T59" s="62">
        <f t="shared" si="34"/>
        <v>300.75555492874378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48.832911549111344</v>
      </c>
      <c r="AB59" s="23">
        <f>EXP(-LN(2)/2)*AB58+(1-EXP(-LN(2)/2))/(LN(2)/2)*V59*Y59*VLOOKUP('Données projet'!$B$9,Paramètres!$A$1:$I$89,3,0)*0.475*44/12</f>
        <v>2.1107729865883491</v>
      </c>
      <c r="AC59" s="24">
        <f t="shared" si="3"/>
        <v>50.943684535699695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6.125</v>
      </c>
      <c r="AI59" s="14">
        <f>IF('Données projet'!$A$62&gt;35,AI58+AH59-AQ58,IF(A59&lt;'Données projet'!$A$62,$AF$205^A59,IF(A59='Données projet'!$A$62,'Données projet'!$B$62,AI58+AH59-AQ58)))</f>
        <v>122.50000000000011</v>
      </c>
      <c r="AJ59" s="14">
        <f>AI59*VLOOKUP('Données projet'!$B$10,Paramètres!$A$1:$I$89,3,0)*VLOOKUP('Données projet'!$B$10,Paramètres!$A$1:$I$89,5,0)</f>
        <v>110.83800000000009</v>
      </c>
      <c r="AK59" s="14">
        <f t="shared" si="35"/>
        <v>29.528336615603092</v>
      </c>
      <c r="AL59" s="22">
        <f t="shared" si="4"/>
        <v>244.47136960550884</v>
      </c>
      <c r="AM59" s="62">
        <f t="shared" si="5"/>
        <v>537.80470293884218</v>
      </c>
      <c r="AN59" s="62">
        <f ca="1">AVERAGE(OFFSET($AM$3,0,0,'Données projet'!$E$10+1,1))-AVERAGE(OFFSET($H$3,0,0,'Données projet'!$E$10+1,1))</f>
        <v>206.38141226866287</v>
      </c>
      <c r="AO59" s="62">
        <f t="shared" si="36"/>
        <v>89.074420303945885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4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221.60000000000022</v>
      </c>
      <c r="O60" s="14">
        <f>N60*VLOOKUP('Données projet'!$B$9,Paramètres!$A$1:$I$89,3,0)*VLOOKUP('Données projet'!$B$9,Paramètres!$A$1:$I$89,5,0)</f>
        <v>193.58976000000021</v>
      </c>
      <c r="P60" s="14">
        <f t="shared" si="33"/>
        <v>48.332731202087132</v>
      </c>
      <c r="Q60" s="22">
        <f t="shared" si="53"/>
        <v>421.34833884363542</v>
      </c>
      <c r="R60" s="62">
        <f t="shared" si="0"/>
        <v>714.68167217696873</v>
      </c>
      <c r="S60" s="62">
        <f ca="1">AVERAGE(OFFSET($R$3,0,0,'Données projet'!$E$9+1,1))-AVERAGE(OFFSET($H$3,0,0,'Données projet'!$E$9+1,1))</f>
        <v>234.06296185782384</v>
      </c>
      <c r="T60" s="62">
        <f t="shared" si="34"/>
        <v>300.75555492874378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47.497573014789687</v>
      </c>
      <c r="AB60" s="23">
        <f>EXP(-LN(2)/2)*AB59+(1-EXP(-LN(2)/2))/(LN(2)/2)*V60*Y60*VLOOKUP('Données projet'!$B$9,Paramètres!$A$1:$I$89,3,0)*0.475*44/12</f>
        <v>1.4925418923620033</v>
      </c>
      <c r="AC60" s="24">
        <f t="shared" si="3"/>
        <v>48.990114907151693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6.125</v>
      </c>
      <c r="AI60" s="14">
        <f>IF('Données projet'!$A$62&gt;35,AI59+AH60-AQ59,IF(A60&lt;'Données projet'!$A$62,$AF$205^A60,IF(A60='Données projet'!$A$62,'Données projet'!$B$62,AI59+AH60-AQ59)))</f>
        <v>128.62500000000011</v>
      </c>
      <c r="AJ60" s="14">
        <f>AI60*VLOOKUP('Données projet'!$B$10,Paramètres!$A$1:$I$89,3,0)*VLOOKUP('Données projet'!$B$10,Paramètres!$A$1:$I$89,5,0)</f>
        <v>116.37990000000011</v>
      </c>
      <c r="AK60" s="14">
        <f t="shared" si="35"/>
        <v>30.829171075775996</v>
      </c>
      <c r="AL60" s="22">
        <f t="shared" si="4"/>
        <v>256.38913212364338</v>
      </c>
      <c r="AM60" s="62">
        <f t="shared" si="5"/>
        <v>549.72246545697669</v>
      </c>
      <c r="AN60" s="62">
        <f ca="1">AVERAGE(OFFSET($AM$3,0,0,'Données projet'!$E$10+1,1))-AVERAGE(OFFSET($H$3,0,0,'Données projet'!$E$10+1,1))</f>
        <v>206.38141226866287</v>
      </c>
      <c r="AO60" s="62">
        <f t="shared" si="36"/>
        <v>89.074420303945885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4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228.40000000000023</v>
      </c>
      <c r="O61" s="14">
        <f>N61*VLOOKUP('Données projet'!$B$9,Paramètres!$A$1:$I$89,3,0)*VLOOKUP('Données projet'!$B$9,Paramètres!$A$1:$I$89,5,0)</f>
        <v>199.53024000000022</v>
      </c>
      <c r="P61" s="14">
        <f t="shared" si="33"/>
        <v>49.640914570461312</v>
      </c>
      <c r="Q61" s="22">
        <f t="shared" si="53"/>
        <v>433.97309421022049</v>
      </c>
      <c r="R61" s="62">
        <f t="shared" si="0"/>
        <v>727.30642754355381</v>
      </c>
      <c r="S61" s="62">
        <f ca="1">AVERAGE(OFFSET($R$3,0,0,'Données projet'!$E$9+1,1))-AVERAGE(OFFSET($H$3,0,0,'Données projet'!$E$9+1,1))</f>
        <v>234.06296185782384</v>
      </c>
      <c r="T61" s="62">
        <f t="shared" si="34"/>
        <v>300.75555492874378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46.198749382911458</v>
      </c>
      <c r="AB61" s="23">
        <f>EXP(-LN(2)/2)*AB60+(1-EXP(-LN(2)/2))/(LN(2)/2)*V61*Y61*VLOOKUP('Données projet'!$B$9,Paramètres!$A$1:$I$89,3,0)*0.475*44/12</f>
        <v>1.0553864932941748</v>
      </c>
      <c r="AC61" s="24">
        <f t="shared" si="3"/>
        <v>47.25413587620563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6.125</v>
      </c>
      <c r="AI61" s="14">
        <f>IF('Données projet'!$A$62&gt;35,AI60+AH61-AQ60,IF(A61&lt;'Données projet'!$A$62,$AF$205^A61,IF(A61='Données projet'!$A$62,'Données projet'!$B$62,AI60+AH61-AQ60)))</f>
        <v>134.75000000000011</v>
      </c>
      <c r="AJ61" s="14">
        <f>AI61*VLOOKUP('Données projet'!$B$10,Paramètres!$A$1:$I$89,3,0)*VLOOKUP('Données projet'!$B$10,Paramètres!$A$1:$I$89,5,0)</f>
        <v>121.92180000000009</v>
      </c>
      <c r="AK61" s="14">
        <f t="shared" si="35"/>
        <v>32.122812272066064</v>
      </c>
      <c r="AL61" s="22">
        <f t="shared" si="4"/>
        <v>268.29436637384856</v>
      </c>
      <c r="AM61" s="62">
        <f t="shared" si="5"/>
        <v>561.62769970718182</v>
      </c>
      <c r="AN61" s="62">
        <f ca="1">AVERAGE(OFFSET($AM$3,0,0,'Données projet'!$E$10+1,1))-AVERAGE(OFFSET($H$3,0,0,'Données projet'!$E$10+1,1))</f>
        <v>206.38141226866287</v>
      </c>
      <c r="AO61" s="62">
        <f t="shared" si="36"/>
        <v>89.074420303945885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4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235.20000000000024</v>
      </c>
      <c r="O62" s="14">
        <f>N62*VLOOKUP('Données projet'!$B$9,Paramètres!$A$1:$I$89,3,0)*VLOOKUP('Données projet'!$B$9,Paramètres!$A$1:$I$89,5,0)</f>
        <v>205.47072000000026</v>
      </c>
      <c r="P62" s="14">
        <f t="shared" si="33"/>
        <v>50.944571570352757</v>
      </c>
      <c r="Q62" s="22">
        <f t="shared" si="53"/>
        <v>446.58996615169809</v>
      </c>
      <c r="R62" s="62">
        <f t="shared" si="0"/>
        <v>739.92329948503141</v>
      </c>
      <c r="S62" s="62">
        <f ca="1">AVERAGE(OFFSET($R$3,0,0,'Données projet'!$E$9+1,1))-AVERAGE(OFFSET($H$3,0,0,'Données projet'!$E$9+1,1))</f>
        <v>234.06296185782384</v>
      </c>
      <c r="T62" s="62">
        <f t="shared" si="34"/>
        <v>300.75555492874378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44.935442151549104</v>
      </c>
      <c r="AB62" s="23">
        <f>EXP(-LN(2)/2)*AB61+(1-EXP(-LN(2)/2))/(LN(2)/2)*V62*Y62*VLOOKUP('Données projet'!$B$9,Paramètres!$A$1:$I$89,3,0)*0.475*44/12</f>
        <v>0.74627094618100176</v>
      </c>
      <c r="AC62" s="24">
        <f t="shared" si="3"/>
        <v>45.681713097730103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6.125</v>
      </c>
      <c r="AI62" s="14">
        <f>IF('Données projet'!$A$62&gt;35,AI61+AH62-AQ61,IF(A62&lt;'Données projet'!$A$62,$AF$205^A62,IF(A62='Données projet'!$A$62,'Données projet'!$B$62,AI61+AH62-AQ61)))</f>
        <v>140.87500000000011</v>
      </c>
      <c r="AJ62" s="14">
        <f>AI62*VLOOKUP('Données projet'!$B$10,Paramètres!$A$1:$I$89,3,0)*VLOOKUP('Données projet'!$B$10,Paramètres!$A$1:$I$89,5,0)</f>
        <v>127.4637000000001</v>
      </c>
      <c r="AK62" s="14">
        <f t="shared" si="35"/>
        <v>33.409624522319149</v>
      </c>
      <c r="AL62" s="22">
        <f t="shared" si="4"/>
        <v>280.18770687637272</v>
      </c>
      <c r="AM62" s="62">
        <f t="shared" si="5"/>
        <v>573.52104020970603</v>
      </c>
      <c r="AN62" s="62">
        <f ca="1">AVERAGE(OFFSET($AM$3,0,0,'Données projet'!$E$10+1,1))-AVERAGE(OFFSET($H$3,0,0,'Données projet'!$E$10+1,1))</f>
        <v>206.38141226866287</v>
      </c>
      <c r="AO62" s="62">
        <f t="shared" si="36"/>
        <v>89.074420303945885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4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242.00000000000026</v>
      </c>
      <c r="O63" s="14">
        <f>N63*VLOOKUP('Données projet'!$B$9,Paramètres!$A$1:$I$89,3,0)*VLOOKUP('Données projet'!$B$9,Paramètres!$A$1:$I$89,5,0)</f>
        <v>211.41120000000024</v>
      </c>
      <c r="P63" s="14">
        <f t="shared" si="33"/>
        <v>52.243848094411206</v>
      </c>
      <c r="Q63" s="22">
        <f t="shared" si="53"/>
        <v>459.19920876443319</v>
      </c>
      <c r="R63" s="62">
        <f t="shared" si="0"/>
        <v>752.53254209776651</v>
      </c>
      <c r="S63" s="62">
        <f ca="1">AVERAGE(OFFSET($R$3,0,0,'Données projet'!$E$9+1,1))-AVERAGE(OFFSET($H$3,0,0,'Données projet'!$E$9+1,1))</f>
        <v>234.06296185782384</v>
      </c>
      <c r="T63" s="62">
        <f t="shared" si="34"/>
        <v>300.75555492874378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0.38700000000000001</v>
      </c>
      <c r="Y63" s="17">
        <f>IF(ISNA(VLOOKUP(A63,'Données projet'!$A$35:$I$55,7,0)),0%,VLOOKUP(A63,'Données projet'!$A$35:$I$55,7,0))</f>
        <v>0.1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53.38568459665774</v>
      </c>
      <c r="AB63" s="23">
        <f>EXP(-LN(2)/2)*AB62+(1-EXP(-LN(2)/2))/(LN(2)/2)*V63*Y63*VLOOKUP('Données projet'!$B$9,Paramètres!$A$1:$I$89,3,0)*0.475*44/12</f>
        <v>2.6707825394051818</v>
      </c>
      <c r="AC63" s="24">
        <f t="shared" si="3"/>
        <v>56.056467136062921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147</v>
      </c>
      <c r="AG63" s="13">
        <f>VLOOKUP(A63,'Données projet'!$A$61:$I$81,9,0)</f>
        <v>6.125</v>
      </c>
      <c r="AH63" s="13">
        <f t="array" ref="AH63">INDEX(AG:AG,MIN(IF(ISNUMBER(AG63:AG259),ROW(AG63:AG259),"")))</f>
        <v>6.125</v>
      </c>
      <c r="AI63" s="14">
        <f>IF('Données projet'!$A$62&gt;35,AI62+AH63-AQ62,IF(A63&lt;'Données projet'!$A$62,$AF$205^A63,IF(A63='Données projet'!$A$62,'Données projet'!$B$62,AI62+AH63-AQ62)))</f>
        <v>147.00000000000011</v>
      </c>
      <c r="AJ63" s="14">
        <f>AI63*VLOOKUP('Données projet'!$B$10,Paramètres!$A$1:$I$89,3,0)*VLOOKUP('Données projet'!$B$10,Paramètres!$A$1:$I$89,5,0)</f>
        <v>133.0056000000001</v>
      </c>
      <c r="AK63" s="14">
        <f t="shared" si="35"/>
        <v>34.689938673073549</v>
      </c>
      <c r="AL63" s="22">
        <f t="shared" si="4"/>
        <v>292.06972985560327</v>
      </c>
      <c r="AM63" s="62">
        <f t="shared" si="5"/>
        <v>585.40306318893658</v>
      </c>
      <c r="AN63" s="62">
        <f ca="1">AVERAGE(OFFSET($AM$3,0,0,'Données projet'!$E$10+1,1))-AVERAGE(OFFSET($H$3,0,0,'Données projet'!$E$10+1,1))</f>
        <v>206.38141226866287</v>
      </c>
      <c r="AO63" s="62">
        <f t="shared" si="36"/>
        <v>89.074420303945885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30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4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222.00000000000026</v>
      </c>
      <c r="O64" s="14">
        <f>N64*VLOOKUP('Données projet'!$B$9,Paramètres!$A$1:$I$89,3,0)*VLOOKUP('Données projet'!$B$9,Paramètres!$A$1:$I$89,5,0)</f>
        <v>193.93920000000023</v>
      </c>
      <c r="P64" s="14">
        <f t="shared" si="33"/>
        <v>48.409811198069427</v>
      </c>
      <c r="Q64" s="22">
        <f t="shared" si="53"/>
        <v>422.09119450330468</v>
      </c>
      <c r="R64" s="62">
        <f t="shared" si="0"/>
        <v>715.42452783663794</v>
      </c>
      <c r="S64" s="62">
        <f ca="1">AVERAGE(OFFSET($R$3,0,0,'Données projet'!$E$9+1,1))-AVERAGE(OFFSET($H$3,0,0,'Données projet'!$E$9+1,1))</f>
        <v>234.06296185782384</v>
      </c>
      <c r="T64" s="62">
        <f t="shared" si="34"/>
        <v>300.75555492874378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51.925850243930995</v>
      </c>
      <c r="AB64" s="23">
        <f>EXP(-LN(2)/2)*AB63+(1-EXP(-LN(2)/2))/(LN(2)/2)*V64*Y64*VLOOKUP('Données projet'!$B$9,Paramètres!$A$1:$I$89,3,0)*0.475*44/12</f>
        <v>1.8885284446880317</v>
      </c>
      <c r="AC64" s="24">
        <f t="shared" si="3"/>
        <v>53.81437868861903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6.125</v>
      </c>
      <c r="AI64" s="14">
        <f>IF('Données projet'!$A$62&gt;35,AI63+AH64-AQ63,IF(A64&lt;'Données projet'!$A$62,$AF$205^A64,IF(A64='Données projet'!$A$62,'Données projet'!$B$62,AI63+AH64-AQ63)))</f>
        <v>123.12500000000011</v>
      </c>
      <c r="AJ64" s="14">
        <f>AI64*VLOOKUP('Données projet'!$B$10,Paramètres!$A$1:$I$89,3,0)*VLOOKUP('Données projet'!$B$10,Paramètres!$A$1:$I$89,5,0)</f>
        <v>111.40350000000011</v>
      </c>
      <c r="AK64" s="14">
        <f t="shared" si="35"/>
        <v>29.661415724803813</v>
      </c>
      <c r="AL64" s="22">
        <f t="shared" si="4"/>
        <v>245.68806155403345</v>
      </c>
      <c r="AM64" s="62">
        <f t="shared" si="5"/>
        <v>539.0213948873668</v>
      </c>
      <c r="AN64" s="62">
        <f ca="1">AVERAGE(OFFSET($AM$3,0,0,'Données projet'!$E$10+1,1))-AVERAGE(OFFSET($H$3,0,0,'Données projet'!$E$10+1,1))</f>
        <v>206.38141226866287</v>
      </c>
      <c r="AO64" s="62">
        <f t="shared" si="36"/>
        <v>89.074420303945885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4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228.00000000000026</v>
      </c>
      <c r="O65" s="14">
        <f>N65*VLOOKUP('Données projet'!$B$9,Paramètres!$A$1:$I$89,3,0)*VLOOKUP('Données projet'!$B$9,Paramètres!$A$1:$I$89,5,0)</f>
        <v>199.18080000000023</v>
      </c>
      <c r="P65" s="14">
        <f t="shared" si="33"/>
        <v>49.564089376413726</v>
      </c>
      <c r="Q65" s="22">
        <f t="shared" si="53"/>
        <v>433.23068233058763</v>
      </c>
      <c r="R65" s="62">
        <f t="shared" si="0"/>
        <v>726.56401566392094</v>
      </c>
      <c r="S65" s="62">
        <f ca="1">AVERAGE(OFFSET($R$3,0,0,'Données projet'!$E$9+1,1))-AVERAGE(OFFSET($H$3,0,0,'Données projet'!$E$9+1,1))</f>
        <v>234.06296185782384</v>
      </c>
      <c r="T65" s="62">
        <f t="shared" si="34"/>
        <v>300.75555492874378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50.505935138348917</v>
      </c>
      <c r="AB65" s="23">
        <f>EXP(-LN(2)/2)*AB64+(1-EXP(-LN(2)/2))/(LN(2)/2)*V65*Y65*VLOOKUP('Données projet'!$B$9,Paramètres!$A$1:$I$89,3,0)*0.475*44/12</f>
        <v>1.3353912697025911</v>
      </c>
      <c r="AC65" s="24">
        <f t="shared" si="3"/>
        <v>51.841326408051508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6.125</v>
      </c>
      <c r="AI65" s="14">
        <f>IF('Données projet'!$A$62&gt;35,AI64+AH65-AQ64,IF(A65&lt;'Données projet'!$A$62,$AF$205^A65,IF(A65='Données projet'!$A$62,'Données projet'!$B$62,AI64+AH65-AQ64)))</f>
        <v>129.25000000000011</v>
      </c>
      <c r="AJ65" s="14">
        <f>AI65*VLOOKUP('Données projet'!$B$10,Paramètres!$A$1:$I$89,3,0)*VLOOKUP('Données projet'!$B$10,Paramètres!$A$1:$I$89,5,0)</f>
        <v>116.94540000000009</v>
      </c>
      <c r="AK65" s="14">
        <f t="shared" si="35"/>
        <v>30.961498412176052</v>
      </c>
      <c r="AL65" s="22">
        <f t="shared" si="4"/>
        <v>257.60451473454009</v>
      </c>
      <c r="AM65" s="62">
        <f t="shared" si="5"/>
        <v>550.93784806787335</v>
      </c>
      <c r="AN65" s="62">
        <f ca="1">AVERAGE(OFFSET($AM$3,0,0,'Données projet'!$E$10+1,1))-AVERAGE(OFFSET($H$3,0,0,'Données projet'!$E$10+1,1))</f>
        <v>206.38141226866287</v>
      </c>
      <c r="AO65" s="62">
        <f t="shared" si="36"/>
        <v>89.074420303945885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4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234.00000000000026</v>
      </c>
      <c r="O66" s="14">
        <f>N66*VLOOKUP('Données projet'!$B$9,Paramètres!$A$1:$I$89,3,0)*VLOOKUP('Données projet'!$B$9,Paramètres!$A$1:$I$89,5,0)</f>
        <v>204.42240000000027</v>
      </c>
      <c r="P66" s="14">
        <f t="shared" si="33"/>
        <v>50.714836797527354</v>
      </c>
      <c r="Q66" s="22">
        <f t="shared" si="53"/>
        <v>444.36402075569396</v>
      </c>
      <c r="R66" s="62">
        <f t="shared" si="0"/>
        <v>737.69735408902727</v>
      </c>
      <c r="S66" s="62">
        <f ca="1">AVERAGE(OFFSET($R$3,0,0,'Données projet'!$E$9+1,1))-AVERAGE(OFFSET($H$3,0,0,'Données projet'!$E$9+1,1))</f>
        <v>234.06296185782384</v>
      </c>
      <c r="T66" s="62">
        <f t="shared" si="34"/>
        <v>300.75555492874378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49.124847685999072</v>
      </c>
      <c r="AB66" s="23">
        <f>EXP(-LN(2)/2)*AB65+(1-EXP(-LN(2)/2))/(LN(2)/2)*V66*Y66*VLOOKUP('Données projet'!$B$9,Paramètres!$A$1:$I$89,3,0)*0.475*44/12</f>
        <v>0.94426422234401608</v>
      </c>
      <c r="AC66" s="24">
        <f t="shared" si="3"/>
        <v>50.069111908343089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6.125</v>
      </c>
      <c r="AI66" s="14">
        <f>IF('Données projet'!$A$62&gt;35,AI65+AH66-AQ65,IF(A66&lt;'Données projet'!$A$62,$AF$205^A66,IF(A66='Données projet'!$A$62,'Données projet'!$B$62,AI65+AH66-AQ65)))</f>
        <v>135.37500000000011</v>
      </c>
      <c r="AJ66" s="14">
        <f>AI66*VLOOKUP('Données projet'!$B$10,Paramètres!$A$1:$I$89,3,0)*VLOOKUP('Données projet'!$B$10,Paramètres!$A$1:$I$89,5,0)</f>
        <v>122.48730000000009</v>
      </c>
      <c r="AK66" s="14">
        <f t="shared" si="35"/>
        <v>32.254426688079015</v>
      </c>
      <c r="AL66" s="22">
        <f t="shared" si="4"/>
        <v>269.50850731507109</v>
      </c>
      <c r="AM66" s="62">
        <f t="shared" si="5"/>
        <v>562.8418406484044</v>
      </c>
      <c r="AN66" s="62">
        <f ca="1">AVERAGE(OFFSET($AM$3,0,0,'Données projet'!$E$10+1,1))-AVERAGE(OFFSET($H$3,0,0,'Données projet'!$E$10+1,1))</f>
        <v>206.38141226866287</v>
      </c>
      <c r="AO66" s="62">
        <f t="shared" si="36"/>
        <v>89.074420303945885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4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240.00000000000026</v>
      </c>
      <c r="O67" s="14">
        <f>N67*VLOOKUP('Données projet'!$B$9,Paramètres!$A$1:$I$89,3,0)*VLOOKUP('Données projet'!$B$9,Paramètres!$A$1:$I$89,5,0)</f>
        <v>209.66400000000024</v>
      </c>
      <c r="P67" s="14">
        <f t="shared" si="33"/>
        <v>51.862154403304579</v>
      </c>
      <c r="Q67" s="22">
        <f t="shared" ref="Q67:Q98" si="54">(O67+P67)*0.475*44/12</f>
        <v>455.49138558575584</v>
      </c>
      <c r="R67" s="62">
        <f t="shared" ref="R67:R130" si="55">Q67+(I67+J67)*44/12</f>
        <v>748.82471891908915</v>
      </c>
      <c r="S67" s="62">
        <f ca="1">AVERAGE(OFFSET($R$3,0,0,'Données projet'!$E$9+1,1))-AVERAGE(OFFSET($H$3,0,0,'Données projet'!$E$9+1,1))</f>
        <v>234.06296185782384</v>
      </c>
      <c r="T67" s="62">
        <f t="shared" si="34"/>
        <v>300.75555492874378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47.781526142661967</v>
      </c>
      <c r="AB67" s="23">
        <f>EXP(-LN(2)/2)*AB66+(1-EXP(-LN(2)/2))/(LN(2)/2)*V67*Y67*VLOOKUP('Données projet'!$B$9,Paramètres!$A$1:$I$89,3,0)*0.475*44/12</f>
        <v>0.66769563485129568</v>
      </c>
      <c r="AC67" s="24">
        <f t="shared" si="3"/>
        <v>48.449221777513266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6.125</v>
      </c>
      <c r="AI67" s="14">
        <f>IF('Données projet'!$A$62&gt;35,AI66+AH67-AQ66,IF(A67&lt;'Données projet'!$A$62,$AF$205^A67,IF(A67='Données projet'!$A$62,'Données projet'!$B$62,AI66+AH67-AQ66)))</f>
        <v>141.50000000000011</v>
      </c>
      <c r="AJ67" s="14">
        <f>AI67*VLOOKUP('Données projet'!$B$10,Paramètres!$A$1:$I$89,3,0)*VLOOKUP('Données projet'!$B$10,Paramètres!$A$1:$I$89,5,0)</f>
        <v>128.02920000000012</v>
      </c>
      <c r="AK67" s="14">
        <f t="shared" si="35"/>
        <v>33.54056123173212</v>
      </c>
      <c r="AL67" s="22">
        <f t="shared" si="4"/>
        <v>281.40066747860027</v>
      </c>
      <c r="AM67" s="62">
        <f t="shared" si="5"/>
        <v>574.73400081193358</v>
      </c>
      <c r="AN67" s="62">
        <f ca="1">AVERAGE(OFFSET($AM$3,0,0,'Données projet'!$E$10+1,1))-AVERAGE(OFFSET($H$3,0,0,'Données projet'!$E$10+1,1))</f>
        <v>206.38141226866287</v>
      </c>
      <c r="AO67" s="62">
        <f t="shared" si="36"/>
        <v>89.074420303945885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4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246.00000000000026</v>
      </c>
      <c r="O68" s="14">
        <f>N68*VLOOKUP('Données projet'!$B$9,Paramètres!$A$1:$I$89,3,0)*VLOOKUP('Données projet'!$B$9,Paramètres!$A$1:$I$89,5,0)</f>
        <v>214.90560000000025</v>
      </c>
      <c r="P68" s="14">
        <f t="shared" si="33"/>
        <v>53.006137800892375</v>
      </c>
      <c r="Q68" s="22">
        <f t="shared" si="54"/>
        <v>466.61294333655468</v>
      </c>
      <c r="R68" s="62">
        <f t="shared" si="55"/>
        <v>759.94627666988799</v>
      </c>
      <c r="S68" s="62">
        <f ca="1">AVERAGE(OFFSET($R$3,0,0,'Données projet'!$E$9+1,1))-AVERAGE(OFFSET($H$3,0,0,'Données projet'!$E$9+1,1))</f>
        <v>234.06296185782384</v>
      </c>
      <c r="T68" s="62">
        <f t="shared" si="34"/>
        <v>300.75555492874378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0.38700000000000001</v>
      </c>
      <c r="Y68" s="17">
        <f>IF(ISNA(VLOOKUP(A68,'Données projet'!$A$35:$I$55,7,0)),0%,VLOOKUP(A68,'Données projet'!$A$35:$I$55,7,0))</f>
        <v>0.1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55.037134062849773</v>
      </c>
      <c r="AB68" s="23">
        <f>EXP(-LN(2)/2)*AB67+(1-EXP(-LN(2)/2))/(LN(2)/2)*V68*Y68*VLOOKUP('Données projet'!$B$9,Paramètres!$A$1:$I$89,3,0)*0.475*44/12</f>
        <v>2.367941870150323</v>
      </c>
      <c r="AC68" s="24">
        <f t="shared" ref="AC68:AC131" si="57">SUM(Z68:AB68)</f>
        <v>57.405075933000099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6.125</v>
      </c>
      <c r="AI68" s="14">
        <f>IF('Données projet'!$A$62&gt;35,AI67+AH68-AQ67,IF(A68&lt;'Données projet'!$A$62,$AF$205^A68,IF(A68='Données projet'!$A$62,'Données projet'!$B$62,AI67+AH68-AQ67)))</f>
        <v>147.62500000000011</v>
      </c>
      <c r="AJ68" s="14">
        <f>AI68*VLOOKUP('Données projet'!$B$10,Paramètres!$A$1:$I$89,3,0)*VLOOKUP('Données projet'!$B$10,Paramètres!$A$1:$I$89,5,0)</f>
        <v>133.57110000000009</v>
      </c>
      <c r="AK68" s="14">
        <f t="shared" si="35"/>
        <v>34.820229731627094</v>
      </c>
      <c r="AL68" s="22">
        <f t="shared" ref="AL68:AL131" si="58">(AJ68+AK68)*0.475*44/12</f>
        <v>293.28156594925071</v>
      </c>
      <c r="AM68" s="62">
        <f t="shared" ref="AM68:AM131" si="59">AL68+(AD68+AE68)*44/12</f>
        <v>586.61489928258402</v>
      </c>
      <c r="AN68" s="62">
        <f ca="1">AVERAGE(OFFSET($AM$3,0,0,'Données projet'!$E$10+1,1))-AVERAGE(OFFSET($H$3,0,0,'Données projet'!$E$10+1,1))</f>
        <v>206.38141226866287</v>
      </c>
      <c r="AO68" s="62">
        <f t="shared" si="36"/>
        <v>89.074420303945885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4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228.20000000000024</v>
      </c>
      <c r="O69" s="14">
        <f>N69*VLOOKUP('Données projet'!$B$9,Paramètres!$A$1:$I$89,3,0)*VLOOKUP('Données projet'!$B$9,Paramètres!$A$1:$I$89,5,0)</f>
        <v>199.35552000000024</v>
      </c>
      <c r="P69" s="14">
        <f t="shared" ref="P69:P132" si="87">EXP(-1.0587+0.8836*LN(O69)+0.284)</f>
        <v>49.602503932783272</v>
      </c>
      <c r="Q69" s="22">
        <f t="shared" si="54"/>
        <v>433.60189168293124</v>
      </c>
      <c r="R69" s="62">
        <f t="shared" si="55"/>
        <v>726.93522501626455</v>
      </c>
      <c r="S69" s="62">
        <f ca="1">AVERAGE(OFFSET($R$3,0,0,'Données projet'!$E$9+1,1))-AVERAGE(OFFSET($H$3,0,0,'Données projet'!$E$9+1,1))</f>
        <v>234.06296185782384</v>
      </c>
      <c r="T69" s="62">
        <f t="shared" ref="T69:T132" si="88">$T$3</f>
        <v>300.75555492874378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53.532140737624054</v>
      </c>
      <c r="AB69" s="23">
        <f>EXP(-LN(2)/2)*AB68+(1-EXP(-LN(2)/2))/(LN(2)/2)*V69*Y69*VLOOKUP('Données projet'!$B$9,Paramètres!$A$1:$I$89,3,0)*0.475*44/12</f>
        <v>1.6743877538388487</v>
      </c>
      <c r="AC69" s="24">
        <f t="shared" si="57"/>
        <v>55.206528491462905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6.125</v>
      </c>
      <c r="AI69" s="14">
        <f>IF('Données projet'!$A$62&gt;35,AI68+AH69-AQ68,IF(A69&lt;'Données projet'!$A$62,$AF$205^A69,IF(A69='Données projet'!$A$62,'Données projet'!$B$62,AI68+AH69-AQ68)))</f>
        <v>153.75000000000011</v>
      </c>
      <c r="AJ69" s="14">
        <f>AI69*VLOOKUP('Données projet'!$B$10,Paramètres!$A$1:$I$89,3,0)*VLOOKUP('Données projet'!$B$10,Paramètres!$A$1:$I$89,5,0)</f>
        <v>139.11300000000008</v>
      </c>
      <c r="AK69" s="14">
        <f t="shared" ref="AK69:AK132" si="89">EXP(-1.0587+0.8836*LN(AJ69)+0.284)</f>
        <v>36.093731146019131</v>
      </c>
      <c r="AL69" s="22">
        <f t="shared" si="58"/>
        <v>305.15172341265014</v>
      </c>
      <c r="AM69" s="62">
        <f t="shared" si="59"/>
        <v>598.48505674598346</v>
      </c>
      <c r="AN69" s="62">
        <f ca="1">AVERAGE(OFFSET($AM$3,0,0,'Données projet'!$E$10+1,1))-AVERAGE(OFFSET($H$3,0,0,'Données projet'!$E$10+1,1))</f>
        <v>206.38141226866287</v>
      </c>
      <c r="AO69" s="62">
        <f t="shared" ref="AO69:AO132" si="90">$AO$3</f>
        <v>89.074420303945885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4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233.40000000000023</v>
      </c>
      <c r="O70" s="14">
        <f>N70*VLOOKUP('Données projet'!$B$9,Paramètres!$A$1:$I$89,3,0)*VLOOKUP('Données projet'!$B$9,Paramètres!$A$1:$I$89,5,0)</f>
        <v>203.89824000000024</v>
      </c>
      <c r="P70" s="14">
        <f t="shared" si="87"/>
        <v>50.599918019430255</v>
      </c>
      <c r="Q70" s="22">
        <f t="shared" si="54"/>
        <v>443.25095855050807</v>
      </c>
      <c r="R70" s="62">
        <f t="shared" si="55"/>
        <v>736.58429188384139</v>
      </c>
      <c r="S70" s="62">
        <f ca="1">AVERAGE(OFFSET($R$3,0,0,'Données projet'!$E$9+1,1))-AVERAGE(OFFSET($H$3,0,0,'Données projet'!$E$9+1,1))</f>
        <v>234.06296185782384</v>
      </c>
      <c r="T70" s="62">
        <f t="shared" si="88"/>
        <v>300.75555492874378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52.06830153402079</v>
      </c>
      <c r="AB70" s="23">
        <f>EXP(-LN(2)/2)*AB69+(1-EXP(-LN(2)/2))/(LN(2)/2)*V70*Y70*VLOOKUP('Données projet'!$B$9,Paramètres!$A$1:$I$89,3,0)*0.475*44/12</f>
        <v>1.1839709350751617</v>
      </c>
      <c r="AC70" s="24">
        <f t="shared" si="57"/>
        <v>53.252272469095949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6.125</v>
      </c>
      <c r="AI70" s="14">
        <f>IF('Données projet'!$A$62&gt;35,AI69+AH70-AQ69,IF(A70&lt;'Données projet'!$A$62,$AF$205^A70,IF(A70='Données projet'!$A$62,'Données projet'!$B$62,AI69+AH70-AQ69)))</f>
        <v>159.87500000000011</v>
      </c>
      <c r="AJ70" s="14">
        <f>AI70*VLOOKUP('Données projet'!$B$10,Paramètres!$A$1:$I$89,3,0)*VLOOKUP('Données projet'!$B$10,Paramètres!$A$1:$I$89,5,0)</f>
        <v>144.65490000000011</v>
      </c>
      <c r="AK70" s="14">
        <f t="shared" si="89"/>
        <v>37.361339265401327</v>
      </c>
      <c r="AL70" s="22">
        <f t="shared" si="58"/>
        <v>317.01161672057418</v>
      </c>
      <c r="AM70" s="62">
        <f t="shared" si="59"/>
        <v>610.3449500539075</v>
      </c>
      <c r="AN70" s="62">
        <f ca="1">AVERAGE(OFFSET($AM$3,0,0,'Données projet'!$E$10+1,1))-AVERAGE(OFFSET($H$3,0,0,'Données projet'!$E$10+1,1))</f>
        <v>206.38141226866287</v>
      </c>
      <c r="AO70" s="62">
        <f t="shared" si="90"/>
        <v>89.074420303945885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4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238.60000000000022</v>
      </c>
      <c r="O71" s="14">
        <f>N71*VLOOKUP('Données projet'!$B$9,Paramètres!$A$1:$I$89,3,0)*VLOOKUP('Données projet'!$B$9,Paramètres!$A$1:$I$89,5,0)</f>
        <v>208.44096000000022</v>
      </c>
      <c r="P71" s="14">
        <f t="shared" si="87"/>
        <v>51.594748621124261</v>
      </c>
      <c r="Q71" s="22">
        <f t="shared" si="54"/>
        <v>452.89552584845842</v>
      </c>
      <c r="R71" s="62">
        <f t="shared" si="55"/>
        <v>746.22885918179168</v>
      </c>
      <c r="S71" s="62">
        <f ca="1">AVERAGE(OFFSET($R$3,0,0,'Données projet'!$E$9+1,1))-AVERAGE(OFFSET($H$3,0,0,'Données projet'!$E$9+1,1))</f>
        <v>234.06296185782384</v>
      </c>
      <c r="T71" s="62">
        <f t="shared" si="88"/>
        <v>300.75555492874378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50.644491090420019</v>
      </c>
      <c r="AB71" s="23">
        <f>EXP(-LN(2)/2)*AB70+(1-EXP(-LN(2)/2))/(LN(2)/2)*V71*Y71*VLOOKUP('Données projet'!$B$9,Paramètres!$A$1:$I$89,3,0)*0.475*44/12</f>
        <v>0.83719387691942448</v>
      </c>
      <c r="AC71" s="24">
        <f t="shared" si="57"/>
        <v>51.48168496733944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>
        <f>VLOOKUP(A71,'Données projet'!$A$61:$I$81,2,0)</f>
        <v>166</v>
      </c>
      <c r="AG71" s="13">
        <f>VLOOKUP(A71,'Données projet'!$A$61:$I$81,9,0)</f>
        <v>6.125</v>
      </c>
      <c r="AH71" s="13">
        <f t="array" ref="AH71">INDEX(AG:AG,MIN(IF(ISNUMBER(AG71:AG267),ROW(AG71:AG267),"")))</f>
        <v>6.125</v>
      </c>
      <c r="AI71" s="14">
        <f>IF('Données projet'!$A$62&gt;35,AI70+AH71-AQ70,IF(A71&lt;'Données projet'!$A$62,$AF$205^A71,IF(A71='Données projet'!$A$62,'Données projet'!$B$62,AI70+AH71-AQ70)))</f>
        <v>166.00000000000011</v>
      </c>
      <c r="AJ71" s="14">
        <f>AI71*VLOOKUP('Données projet'!$B$10,Paramètres!$A$1:$I$89,3,0)*VLOOKUP('Données projet'!$B$10,Paramètres!$A$1:$I$89,5,0)</f>
        <v>150.19680000000011</v>
      </c>
      <c r="AK71" s="14">
        <f t="shared" si="89"/>
        <v>38.623305713694542</v>
      </c>
      <c r="AL71" s="22">
        <f t="shared" si="58"/>
        <v>328.86168411801816</v>
      </c>
      <c r="AM71" s="62">
        <f t="shared" si="59"/>
        <v>622.19501745135153</v>
      </c>
      <c r="AN71" s="62">
        <f ca="1">AVERAGE(OFFSET($AM$3,0,0,'Données projet'!$E$10+1,1))-AVERAGE(OFFSET($H$3,0,0,'Données projet'!$E$10+1,1))</f>
        <v>206.38141226866287</v>
      </c>
      <c r="AO71" s="62">
        <f t="shared" si="90"/>
        <v>89.074420303945885</v>
      </c>
      <c r="AP71" s="16">
        <f>IF(ISNA(VLOOKUP(A71,'Données projet'!$A$61:$I$81,3,0)),0,VLOOKUP(A71,'Données projet'!$A$61:$I$81,3,0))</f>
        <v>5</v>
      </c>
      <c r="AQ71" s="16">
        <f>IF(ISNA(VLOOKUP(A71,'Données projet'!$A$61:$I$81,4,0)),0,VLOOKUP(A71,'Données projet'!$A$61:$I$81,4,0))</f>
        <v>31</v>
      </c>
      <c r="AR71" s="17">
        <f>IF(ISNA(VLOOKUP(A71,'Données projet'!$A$61:$I$81,5,0)),0%,VLOOKUP(A71,'Données projet'!$A$61:$I$81,5,0)*VLOOKUP('Données projet'!$B$10,Paramètres!$A$1:$I$89,7,0))</f>
        <v>0.215</v>
      </c>
      <c r="AS71" s="17">
        <f>IF(ISNA(VLOOKUP(A71,'Données projet'!$A$61:$I$81,6,0)),0%,VLOOKUP(A71,'Données projet'!$A$61:$I$81,6,0)*VLOOKUP('Données projet'!$B$10,Paramètres!$A$1:$I$89,7,0))</f>
        <v>0.17200000000000001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6.6665302800104191</v>
      </c>
      <c r="AV71" s="23">
        <f>EXP(-LN(2)/25)*AV70+(1-EXP(-LN(2)/25))/(LN(2)/25)*Calculateur!AQ71*Calculateur!AS71*VLOOKUP('Données projet'!$B$10,Paramètres!$A$1:$I$89,3,0)*0.475*44/12</f>
        <v>5.3122252881206702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11.978755568131088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4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243.80000000000021</v>
      </c>
      <c r="O72" s="14">
        <f>N72*VLOOKUP('Données projet'!$B$9,Paramètres!$A$1:$I$89,3,0)*VLOOKUP('Données projet'!$B$9,Paramètres!$A$1:$I$89,5,0)</f>
        <v>212.98368000000022</v>
      </c>
      <c r="P72" s="14">
        <f t="shared" si="87"/>
        <v>52.587058525970413</v>
      </c>
      <c r="Q72" s="22">
        <f t="shared" si="54"/>
        <v>462.53570293273214</v>
      </c>
      <c r="R72" s="62">
        <f t="shared" si="55"/>
        <v>755.86903626606545</v>
      </c>
      <c r="S72" s="62">
        <f ca="1">AVERAGE(OFFSET($R$3,0,0,'Données projet'!$E$9+1,1))-AVERAGE(OFFSET($H$3,0,0,'Données projet'!$E$9+1,1))</f>
        <v>234.06296185782384</v>
      </c>
      <c r="T72" s="62">
        <f t="shared" si="88"/>
        <v>300.75555492874378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49.259614818274443</v>
      </c>
      <c r="AB72" s="23">
        <f>EXP(-LN(2)/2)*AB71+(1-EXP(-LN(2)/2))/(LN(2)/2)*V72*Y72*VLOOKUP('Données projet'!$B$9,Paramètres!$A$1:$I$89,3,0)*0.475*44/12</f>
        <v>0.59198546753758097</v>
      </c>
      <c r="AC72" s="24">
        <f t="shared" si="57"/>
        <v>49.851600285812026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5.9</v>
      </c>
      <c r="AI72" s="14">
        <f>IF('Données projet'!$A$62&gt;35,AI71+AH72-AQ71,IF(A72&lt;'Données projet'!$A$62,$AF$205^A72,IF(A72='Données projet'!$A$62,'Données projet'!$B$62,AI71+AH72-AQ71)))</f>
        <v>140.90000000000012</v>
      </c>
      <c r="AJ72" s="14">
        <f>AI72*VLOOKUP('Données projet'!$B$10,Paramètres!$A$1:$I$89,3,0)*VLOOKUP('Données projet'!$B$10,Paramètres!$A$1:$I$89,5,0)</f>
        <v>127.48632000000011</v>
      </c>
      <c r="AK72" s="14">
        <f t="shared" si="89"/>
        <v>33.414863287066076</v>
      </c>
      <c r="AL72" s="22">
        <f t="shared" si="58"/>
        <v>280.23622755830689</v>
      </c>
      <c r="AM72" s="62">
        <f t="shared" si="59"/>
        <v>573.56956089164021</v>
      </c>
      <c r="AN72" s="62">
        <f ca="1">AVERAGE(OFFSET($AM$3,0,0,'Données projet'!$E$10+1,1))-AVERAGE(OFFSET($H$3,0,0,'Données projet'!$E$10+1,1))</f>
        <v>206.38141226866287</v>
      </c>
      <c r="AO72" s="62">
        <f t="shared" si="90"/>
        <v>89.074420303945885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6.5358036874013834</v>
      </c>
      <c r="AV72" s="23">
        <f>EXP(-LN(2)/25)*AV71+(1-EXP(-LN(2)/25))/(LN(2)/25)*Calculateur!AQ72*Calculateur!AS72*VLOOKUP('Données projet'!$B$10,Paramètres!$A$1:$I$89,3,0)*0.475*44/12</f>
        <v>5.1669622082592239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11.702765895660608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4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249.0000000000002</v>
      </c>
      <c r="O73" s="14">
        <f>N73*VLOOKUP('Données projet'!$B$9,Paramètres!$A$1:$I$89,3,0)*VLOOKUP('Données projet'!$B$9,Paramètres!$A$1:$I$89,5,0)</f>
        <v>217.52640000000019</v>
      </c>
      <c r="P73" s="14">
        <f t="shared" si="87"/>
        <v>53.576907690651304</v>
      </c>
      <c r="Q73" s="22">
        <f t="shared" si="54"/>
        <v>472.17159422788467</v>
      </c>
      <c r="R73" s="62">
        <f t="shared" si="55"/>
        <v>765.50492756121798</v>
      </c>
      <c r="S73" s="62">
        <f ca="1">AVERAGE(OFFSET($R$3,0,0,'Données projet'!$E$9+1,1))-AVERAGE(OFFSET($H$3,0,0,'Données projet'!$E$9+1,1))</f>
        <v>234.06296185782384</v>
      </c>
      <c r="T73" s="62">
        <f t="shared" si="88"/>
        <v>300.75555492874378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0.43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103.40166654556764</v>
      </c>
      <c r="AA73" s="23">
        <f>EXP(-LN(2)/25)*AA72+(1-EXP(-LN(2)/25))/(LN(2)/25)*Calculateur!V73*Calculateur!X73*VLOOKUP('Données projet'!$B$9,Paramètres!$A$1:$I$89,3,0)*0.475*44/12</f>
        <v>47.912608060618169</v>
      </c>
      <c r="AB73" s="23">
        <f>EXP(-LN(2)/2)*AB72+(1-EXP(-LN(2)/2))/(LN(2)/2)*V73*Y73*VLOOKUP('Données projet'!$B$9,Paramètres!$A$1:$I$89,3,0)*0.475*44/12</f>
        <v>0.41859693845971235</v>
      </c>
      <c r="AC73" s="24">
        <f t="shared" si="57"/>
        <v>151.73287154464549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5.9</v>
      </c>
      <c r="AI73" s="14">
        <f>IF('Données projet'!$A$62&gt;35,AI72+AH73-AQ72,IF(A73&lt;'Données projet'!$A$62,$AF$205^A73,IF(A73='Données projet'!$A$62,'Données projet'!$B$62,AI72+AH73-AQ72)))</f>
        <v>146.80000000000013</v>
      </c>
      <c r="AJ73" s="14">
        <f>AI73*VLOOKUP('Données projet'!$B$10,Paramètres!$A$1:$I$89,3,0)*VLOOKUP('Données projet'!$B$10,Paramètres!$A$1:$I$89,5,0)</f>
        <v>132.8246400000001</v>
      </c>
      <c r="AK73" s="14">
        <f t="shared" si="89"/>
        <v>34.648231927248261</v>
      </c>
      <c r="AL73" s="22">
        <f t="shared" si="58"/>
        <v>291.68191860662427</v>
      </c>
      <c r="AM73" s="62">
        <f t="shared" si="59"/>
        <v>585.01525193995758</v>
      </c>
      <c r="AN73" s="62">
        <f ca="1">AVERAGE(OFFSET($AM$3,0,0,'Données projet'!$E$10+1,1))-AVERAGE(OFFSET($H$3,0,0,'Données projet'!$E$10+1,1))</f>
        <v>206.38141226866287</v>
      </c>
      <c r="AO73" s="62">
        <f t="shared" si="90"/>
        <v>89.074420303945885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6.4076405635380631</v>
      </c>
      <c r="AV73" s="23">
        <f>EXP(-LN(2)/25)*AV72+(1-EXP(-LN(2)/25))/(LN(2)/25)*Calculateur!AQ73*Calculateur!AS73*VLOOKUP('Données projet'!$B$10,Paramètres!$A$1:$I$89,3,0)*0.475*44/12</f>
        <v>5.0256713549556418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11.433311918493704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4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1.738044375088066E-13</v>
      </c>
      <c r="P74" s="14">
        <f t="shared" si="87"/>
        <v>2.4483293633950478E-12</v>
      </c>
      <c r="Q74" s="22">
        <f t="shared" si="54"/>
        <v>4.566883036574213E-12</v>
      </c>
      <c r="R74" s="62">
        <f t="shared" si="55"/>
        <v>293.33333333333786</v>
      </c>
      <c r="S74" s="62">
        <f ca="1">AVERAGE(OFFSET($R$3,0,0,'Données projet'!$E$9+1,1))-AVERAGE(OFFSET($H$3,0,0,'Données projet'!$E$9+1,1))</f>
        <v>234.06296185782384</v>
      </c>
      <c r="T74" s="62">
        <f t="shared" si="88"/>
        <v>300.75555492874378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101.37402293339812</v>
      </c>
      <c r="AA74" s="23">
        <f>EXP(-LN(2)/25)*AA73+(1-EXP(-LN(2)/25))/(LN(2)/25)*Calculateur!V74*Calculateur!X74*VLOOKUP('Données projet'!$B$9,Paramètres!$A$1:$I$89,3,0)*0.475*44/12</f>
        <v>46.602435273586011</v>
      </c>
      <c r="AB74" s="23">
        <f>EXP(-LN(2)/2)*AB73+(1-EXP(-LN(2)/2))/(LN(2)/2)*V74*Y74*VLOOKUP('Données projet'!$B$9,Paramètres!$A$1:$I$89,3,0)*0.475*44/12</f>
        <v>0.29599273376879054</v>
      </c>
      <c r="AC74" s="24">
        <f t="shared" si="57"/>
        <v>148.27245094075295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5.9</v>
      </c>
      <c r="AI74" s="14">
        <f>IF('Données projet'!$A$62&gt;35,AI73+AH74-AQ73,IF(A74&lt;'Données projet'!$A$62,$AF$205^A74,IF(A74='Données projet'!$A$62,'Données projet'!$B$62,AI73+AH74-AQ73)))</f>
        <v>152.70000000000013</v>
      </c>
      <c r="AJ74" s="14">
        <f>AI74*VLOOKUP('Données projet'!$B$10,Paramètres!$A$1:$I$89,3,0)*VLOOKUP('Données projet'!$B$10,Paramètres!$A$1:$I$89,5,0)</f>
        <v>138.16296000000011</v>
      </c>
      <c r="AK74" s="14">
        <f t="shared" si="89"/>
        <v>35.87584245850627</v>
      </c>
      <c r="AL74" s="22">
        <f t="shared" si="58"/>
        <v>303.11758094856526</v>
      </c>
      <c r="AM74" s="62">
        <f t="shared" si="59"/>
        <v>596.45091428189858</v>
      </c>
      <c r="AN74" s="62">
        <f ca="1">AVERAGE(OFFSET($AM$3,0,0,'Données projet'!$E$10+1,1))-AVERAGE(OFFSET($H$3,0,0,'Données projet'!$E$10+1,1))</f>
        <v>206.38141226866287</v>
      </c>
      <c r="AO74" s="62">
        <f t="shared" si="90"/>
        <v>89.074420303945885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6.281990640361915</v>
      </c>
      <c r="AV74" s="23">
        <f>EXP(-LN(2)/25)*AV73+(1-EXP(-LN(2)/25))/(LN(2)/25)*Calculateur!AQ74*Calculateur!AS74*VLOOKUP('Données projet'!$B$10,Paramètres!$A$1:$I$89,3,0)*0.475*44/12</f>
        <v>4.8882441074658098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11.170234747827724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4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1.738044375088066E-13</v>
      </c>
      <c r="P75" s="14">
        <f t="shared" si="87"/>
        <v>2.4483293633950478E-12</v>
      </c>
      <c r="Q75" s="22">
        <f t="shared" si="54"/>
        <v>4.566883036574213E-12</v>
      </c>
      <c r="R75" s="62">
        <f t="shared" si="55"/>
        <v>293.33333333333786</v>
      </c>
      <c r="S75" s="62">
        <f ca="1">AVERAGE(OFFSET($R$3,0,0,'Données projet'!$E$9+1,1))-AVERAGE(OFFSET($H$3,0,0,'Données projet'!$E$9+1,1))</f>
        <v>234.06296185782384</v>
      </c>
      <c r="T75" s="62">
        <f t="shared" si="88"/>
        <v>300.75555492874378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99.386140175722772</v>
      </c>
      <c r="AA75" s="23">
        <f>EXP(-LN(2)/25)*AA74+(1-EXP(-LN(2)/25))/(LN(2)/25)*Calculateur!V75*Calculateur!X75*VLOOKUP('Données projet'!$B$9,Paramètres!$A$1:$I$89,3,0)*0.475*44/12</f>
        <v>45.328089230314241</v>
      </c>
      <c r="AB75" s="23">
        <f>EXP(-LN(2)/2)*AB74+(1-EXP(-LN(2)/2))/(LN(2)/2)*V75*Y75*VLOOKUP('Données projet'!$B$9,Paramètres!$A$1:$I$89,3,0)*0.475*44/12</f>
        <v>0.2092984692298562</v>
      </c>
      <c r="AC75" s="24">
        <f t="shared" si="57"/>
        <v>144.92352787526687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5.9</v>
      </c>
      <c r="AI75" s="14">
        <f>IF('Données projet'!$A$62&gt;35,AI74+AH75-AQ74,IF(A75&lt;'Données projet'!$A$62,$AF$205^A75,IF(A75='Données projet'!$A$62,'Données projet'!$B$62,AI74+AH75-AQ74)))</f>
        <v>158.60000000000014</v>
      </c>
      <c r="AJ75" s="14">
        <f>AI75*VLOOKUP('Données projet'!$B$10,Paramètres!$A$1:$I$89,3,0)*VLOOKUP('Données projet'!$B$10,Paramètres!$A$1:$I$89,5,0)</f>
        <v>143.50128000000012</v>
      </c>
      <c r="AK75" s="14">
        <f t="shared" si="89"/>
        <v>37.097942826522463</v>
      </c>
      <c r="AL75" s="22">
        <f t="shared" si="58"/>
        <v>314.54364642286015</v>
      </c>
      <c r="AM75" s="62">
        <f t="shared" si="59"/>
        <v>607.87697975619346</v>
      </c>
      <c r="AN75" s="62">
        <f ca="1">AVERAGE(OFFSET($AM$3,0,0,'Données projet'!$E$10+1,1))-AVERAGE(OFFSET($H$3,0,0,'Données projet'!$E$10+1,1))</f>
        <v>206.38141226866287</v>
      </c>
      <c r="AO75" s="62">
        <f t="shared" si="90"/>
        <v>89.074420303945885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6.1588046355403661</v>
      </c>
      <c r="AV75" s="23">
        <f>EXP(-LN(2)/25)*AV74+(1-EXP(-LN(2)/25))/(LN(2)/25)*Calculateur!AQ75*Calculateur!AS75*VLOOKUP('Données projet'!$B$10,Paramètres!$A$1:$I$89,3,0)*0.475*44/12</f>
        <v>4.7545748152855722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10.913379450825939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4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1.738044375088066E-13</v>
      </c>
      <c r="P76" s="14">
        <f t="shared" si="87"/>
        <v>2.4483293633950478E-12</v>
      </c>
      <c r="Q76" s="22">
        <f t="shared" si="54"/>
        <v>4.566883036574213E-12</v>
      </c>
      <c r="R76" s="62">
        <f t="shared" si="55"/>
        <v>293.33333333333786</v>
      </c>
      <c r="S76" s="62">
        <f ca="1">AVERAGE(OFFSET($R$3,0,0,'Données projet'!$E$9+1,1))-AVERAGE(OFFSET($H$3,0,0,'Données projet'!$E$9+1,1))</f>
        <v>234.06296185782384</v>
      </c>
      <c r="T76" s="62">
        <f t="shared" si="88"/>
        <v>300.75555492874378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97.437238586436678</v>
      </c>
      <c r="AA76" s="23">
        <f>EXP(-LN(2)/25)*AA75+(1-EXP(-LN(2)/25))/(LN(2)/25)*Calculateur!V76*Calculateur!X76*VLOOKUP('Données projet'!$B$9,Paramètres!$A$1:$I$89,3,0)*0.475*44/12</f>
        <v>44.088590246610686</v>
      </c>
      <c r="AB76" s="23">
        <f>EXP(-LN(2)/2)*AB75+(1-EXP(-LN(2)/2))/(LN(2)/2)*V76*Y76*VLOOKUP('Données projet'!$B$9,Paramètres!$A$1:$I$89,3,0)*0.475*44/12</f>
        <v>0.1479963668843953</v>
      </c>
      <c r="AC76" s="24">
        <f t="shared" si="57"/>
        <v>141.67382519993177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5.9</v>
      </c>
      <c r="AI76" s="14">
        <f>IF('Données projet'!$A$62&gt;35,AI75+AH76-AQ75,IF(A76&lt;'Données projet'!$A$62,$AF$205^A76,IF(A76='Données projet'!$A$62,'Données projet'!$B$62,AI75+AH76-AQ75)))</f>
        <v>164.50000000000014</v>
      </c>
      <c r="AJ76" s="14">
        <f>AI76*VLOOKUP('Données projet'!$B$10,Paramètres!$A$1:$I$89,3,0)*VLOOKUP('Données projet'!$B$10,Paramètres!$A$1:$I$89,5,0)</f>
        <v>148.83960000000013</v>
      </c>
      <c r="AK76" s="14">
        <f t="shared" si="89"/>
        <v>38.314761484407519</v>
      </c>
      <c r="AL76" s="22">
        <f t="shared" si="58"/>
        <v>325.96051291867661</v>
      </c>
      <c r="AM76" s="62">
        <f t="shared" si="59"/>
        <v>619.29384625200987</v>
      </c>
      <c r="AN76" s="62">
        <f ca="1">AVERAGE(OFFSET($AM$3,0,0,'Données projet'!$E$10+1,1))-AVERAGE(OFFSET($H$3,0,0,'Données projet'!$E$10+1,1))</f>
        <v>206.38141226866287</v>
      </c>
      <c r="AO76" s="62">
        <f t="shared" si="90"/>
        <v>89.074420303945885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6.0380342331373233</v>
      </c>
      <c r="AV76" s="23">
        <f>EXP(-LN(2)/25)*AV75+(1-EXP(-LN(2)/25))/(LN(2)/25)*Calculateur!AQ76*Calculateur!AS76*VLOOKUP('Données projet'!$B$10,Paramètres!$A$1:$I$89,3,0)*0.475*44/12</f>
        <v>4.6245607169293654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10.662594950066689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4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1.738044375088066E-13</v>
      </c>
      <c r="P77" s="14">
        <f t="shared" si="87"/>
        <v>2.4483293633950478E-12</v>
      </c>
      <c r="Q77" s="22">
        <f t="shared" si="54"/>
        <v>4.566883036574213E-12</v>
      </c>
      <c r="R77" s="62">
        <f t="shared" si="55"/>
        <v>293.33333333333786</v>
      </c>
      <c r="S77" s="62">
        <f ca="1">AVERAGE(OFFSET($R$3,0,0,'Données projet'!$E$9+1,1))-AVERAGE(OFFSET($H$3,0,0,'Données projet'!$E$9+1,1))</f>
        <v>234.06296185782384</v>
      </c>
      <c r="T77" s="62">
        <f t="shared" si="88"/>
        <v>300.75555492874378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95.52655376860389</v>
      </c>
      <c r="AA77" s="23">
        <f>EXP(-LN(2)/25)*AA76+(1-EXP(-LN(2)/25))/(LN(2)/25)*Calculateur!V77*Calculateur!X77*VLOOKUP('Données projet'!$B$9,Paramètres!$A$1:$I$89,3,0)*0.475*44/12</f>
        <v>42.882985427798921</v>
      </c>
      <c r="AB77" s="23">
        <f>EXP(-LN(2)/2)*AB76+(1-EXP(-LN(2)/2))/(LN(2)/2)*V77*Y77*VLOOKUP('Données projet'!$B$9,Paramètres!$A$1:$I$89,3,0)*0.475*44/12</f>
        <v>0.10464923461492812</v>
      </c>
      <c r="AC77" s="24">
        <f t="shared" si="57"/>
        <v>138.51418843101774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5.9</v>
      </c>
      <c r="AI77" s="14">
        <f>IF('Données projet'!$A$62&gt;35,AI76+AH77-AQ76,IF(A77&lt;'Données projet'!$A$62,$AF$205^A77,IF(A77='Données projet'!$A$62,'Données projet'!$B$62,AI76+AH77-AQ76)))</f>
        <v>170.40000000000015</v>
      </c>
      <c r="AJ77" s="14">
        <f>AI77*VLOOKUP('Données projet'!$B$10,Paramètres!$A$1:$I$89,3,0)*VLOOKUP('Données projet'!$B$10,Paramètres!$A$1:$I$89,5,0)</f>
        <v>154.17792000000014</v>
      </c>
      <c r="AK77" s="14">
        <f t="shared" si="89"/>
        <v>39.526509568829304</v>
      </c>
      <c r="AL77" s="22">
        <f t="shared" si="58"/>
        <v>337.36854816571127</v>
      </c>
      <c r="AM77" s="62">
        <f t="shared" si="59"/>
        <v>630.70188149904459</v>
      </c>
      <c r="AN77" s="62">
        <f ca="1">AVERAGE(OFFSET($AM$3,0,0,'Données projet'!$E$10+1,1))-AVERAGE(OFFSET($H$3,0,0,'Données projet'!$E$10+1,1))</f>
        <v>206.38141226866287</v>
      </c>
      <c r="AO77" s="62">
        <f t="shared" si="90"/>
        <v>89.074420303945885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5.919632064662733</v>
      </c>
      <c r="AV77" s="23">
        <f>EXP(-LN(2)/25)*AV76+(1-EXP(-LN(2)/25))/(LN(2)/25)*Calculateur!AQ77*Calculateur!AS77*VLOOKUP('Données projet'!$B$10,Paramètres!$A$1:$I$89,3,0)*0.475*44/12</f>
        <v>4.4981018609298538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10.417733925592586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4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1.738044375088066E-13</v>
      </c>
      <c r="P78" s="14">
        <f t="shared" si="87"/>
        <v>2.4483293633950478E-12</v>
      </c>
      <c r="Q78" s="22">
        <f t="shared" si="54"/>
        <v>4.566883036574213E-12</v>
      </c>
      <c r="R78" s="62">
        <f t="shared" si="55"/>
        <v>293.33333333333786</v>
      </c>
      <c r="S78" s="62">
        <f ca="1">AVERAGE(OFFSET($R$3,0,0,'Données projet'!$E$9+1,1))-AVERAGE(OFFSET($H$3,0,0,'Données projet'!$E$9+1,1))</f>
        <v>234.06296185782384</v>
      </c>
      <c r="T78" s="62">
        <f t="shared" si="88"/>
        <v>300.75555492874378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93.653336314646126</v>
      </c>
      <c r="AA78" s="23">
        <f>EXP(-LN(2)/25)*AA77+(1-EXP(-LN(2)/25))/(LN(2)/25)*Calculateur!V78*Calculateur!X78*VLOOKUP('Données projet'!$B$9,Paramètres!$A$1:$I$89,3,0)*0.475*44/12</f>
        <v>41.710347936157568</v>
      </c>
      <c r="AB78" s="23">
        <f>EXP(-LN(2)/2)*AB77+(1-EXP(-LN(2)/2))/(LN(2)/2)*V78*Y78*VLOOKUP('Données projet'!$B$9,Paramètres!$A$1:$I$89,3,0)*0.475*44/12</f>
        <v>7.3998183442197649E-2</v>
      </c>
      <c r="AC78" s="24">
        <f t="shared" si="57"/>
        <v>135.43768243424589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5.9</v>
      </c>
      <c r="AI78" s="14">
        <f>IF('Données projet'!$A$62&gt;35,AI77+AH78-AQ77,IF(A78&lt;'Données projet'!$A$62,$AF$205^A78,IF(A78='Données projet'!$A$62,'Données projet'!$B$62,AI77+AH78-AQ77)))</f>
        <v>176.30000000000015</v>
      </c>
      <c r="AJ78" s="14">
        <f>AI78*VLOOKUP('Données projet'!$B$10,Paramètres!$A$1:$I$89,3,0)*VLOOKUP('Données projet'!$B$10,Paramètres!$A$1:$I$89,5,0)</f>
        <v>159.51624000000012</v>
      </c>
      <c r="AK78" s="14">
        <f t="shared" si="89"/>
        <v>40.733382766285203</v>
      </c>
      <c r="AL78" s="22">
        <f t="shared" si="58"/>
        <v>348.76809298461353</v>
      </c>
      <c r="AM78" s="62">
        <f t="shared" si="59"/>
        <v>642.10142631794679</v>
      </c>
      <c r="AN78" s="62">
        <f ca="1">AVERAGE(OFFSET($AM$3,0,0,'Données projet'!$E$10+1,1))-AVERAGE(OFFSET($H$3,0,0,'Données projet'!$E$10+1,1))</f>
        <v>206.38141226866287</v>
      </c>
      <c r="AO78" s="62">
        <f t="shared" si="90"/>
        <v>89.074420303945885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5.8035516904937374</v>
      </c>
      <c r="AV78" s="23">
        <f>EXP(-LN(2)/25)*AV77+(1-EXP(-LN(2)/25))/(LN(2)/25)*Calculateur!AQ78*Calculateur!AS78*VLOOKUP('Données projet'!$B$10,Paramètres!$A$1:$I$89,3,0)*0.475*44/12</f>
        <v>4.3751010289978307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10.178652719491568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4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1.738044375088066E-13</v>
      </c>
      <c r="P79" s="14">
        <f t="shared" si="87"/>
        <v>2.4483293633950478E-12</v>
      </c>
      <c r="Q79" s="22">
        <f t="shared" si="54"/>
        <v>4.566883036574213E-12</v>
      </c>
      <c r="R79" s="62">
        <f t="shared" si="55"/>
        <v>293.33333333333786</v>
      </c>
      <c r="S79" s="62">
        <f ca="1">AVERAGE(OFFSET($R$3,0,0,'Données projet'!$E$9+1,1))-AVERAGE(OFFSET($H$3,0,0,'Données projet'!$E$9+1,1))</f>
        <v>234.06296185782384</v>
      </c>
      <c r="T79" s="62">
        <f t="shared" si="88"/>
        <v>300.75555492874378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91.816851512410651</v>
      </c>
      <c r="AA79" s="23">
        <f>EXP(-LN(2)/25)*AA78+(1-EXP(-LN(2)/25))/(LN(2)/25)*Calculateur!V79*Calculateur!X79*VLOOKUP('Données projet'!$B$9,Paramètres!$A$1:$I$89,3,0)*0.475*44/12</f>
        <v>40.569776278391473</v>
      </c>
      <c r="AB79" s="23">
        <f>EXP(-LN(2)/2)*AB78+(1-EXP(-LN(2)/2))/(LN(2)/2)*V79*Y79*VLOOKUP('Données projet'!$B$9,Paramètres!$A$1:$I$89,3,0)*0.475*44/12</f>
        <v>5.2324617307464058E-2</v>
      </c>
      <c r="AC79" s="24">
        <f t="shared" si="57"/>
        <v>132.4389524081096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182.20000000000016</v>
      </c>
      <c r="AJ79" s="14">
        <f>AI79*VLOOKUP('Données projet'!$B$10,Paramètres!$A$1:$I$89,3,0)*VLOOKUP('Données projet'!$B$10,Paramètres!$A$1:$I$89,5,0)</f>
        <v>164.85456000000013</v>
      </c>
      <c r="AK79" s="14">
        <f t="shared" si="89"/>
        <v>41.935562922532533</v>
      </c>
      <c r="AL79" s="22">
        <f t="shared" si="58"/>
        <v>360.15946409007773</v>
      </c>
      <c r="AM79" s="62">
        <f t="shared" si="59"/>
        <v>653.49279742341105</v>
      </c>
      <c r="AN79" s="62">
        <f ca="1">AVERAGE(OFFSET($AM$3,0,0,'Données projet'!$E$10+1,1))-AVERAGE(OFFSET($H$3,0,0,'Données projet'!$E$10+1,1))</f>
        <v>206.38141226866287</v>
      </c>
      <c r="AO79" s="62">
        <f t="shared" si="90"/>
        <v>89.074420303945885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5.6897475816601588</v>
      </c>
      <c r="AV79" s="23">
        <f>EXP(-LN(2)/25)*AV78+(1-EXP(-LN(2)/25))/(LN(2)/25)*Calculateur!AQ79*Calculateur!AS79*VLOOKUP('Données projet'!$B$10,Paramètres!$A$1:$I$89,3,0)*0.475*44/12</f>
        <v>4.2554636612833212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9.9452112429434791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4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1.738044375088066E-13</v>
      </c>
      <c r="P80" s="14">
        <f t="shared" si="87"/>
        <v>2.4483293633950478E-12</v>
      </c>
      <c r="Q80" s="22">
        <f t="shared" si="54"/>
        <v>4.566883036574213E-12</v>
      </c>
      <c r="R80" s="62">
        <f t="shared" si="55"/>
        <v>293.33333333333786</v>
      </c>
      <c r="S80" s="62">
        <f ca="1">AVERAGE(OFFSET($R$3,0,0,'Données projet'!$E$9+1,1))-AVERAGE(OFFSET($H$3,0,0,'Données projet'!$E$9+1,1))</f>
        <v>234.06296185782384</v>
      </c>
      <c r="T80" s="62">
        <f t="shared" si="88"/>
        <v>300.75555492874378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90.016379057001885</v>
      </c>
      <c r="AA80" s="23">
        <f>EXP(-LN(2)/25)*AA79+(1-EXP(-LN(2)/25))/(LN(2)/25)*Calculateur!V80*Calculateur!X80*VLOOKUP('Données projet'!$B$9,Paramètres!$A$1:$I$89,3,0)*0.475*44/12</f>
        <v>39.460393612587048</v>
      </c>
      <c r="AB80" s="23">
        <f>EXP(-LN(2)/2)*AB79+(1-EXP(-LN(2)/2))/(LN(2)/2)*V80*Y80*VLOOKUP('Données projet'!$B$9,Paramètres!$A$1:$I$89,3,0)*0.475*44/12</f>
        <v>3.6999091721098824E-2</v>
      </c>
      <c r="AC80" s="24">
        <f t="shared" si="57"/>
        <v>129.51377176131004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188.10000000000016</v>
      </c>
      <c r="AJ80" s="14">
        <f>AI80*VLOOKUP('Données projet'!$B$10,Paramètres!$A$1:$I$89,3,0)*VLOOKUP('Données projet'!$B$10,Paramètres!$A$1:$I$89,5,0)</f>
        <v>170.19288000000014</v>
      </c>
      <c r="AK80" s="14">
        <f t="shared" si="89"/>
        <v>43.133219437696276</v>
      </c>
      <c r="AL80" s="22">
        <f t="shared" si="58"/>
        <v>371.54295652065457</v>
      </c>
      <c r="AM80" s="62">
        <f t="shared" si="59"/>
        <v>664.87628985398783</v>
      </c>
      <c r="AN80" s="62">
        <f ca="1">AVERAGE(OFFSET($AM$3,0,0,'Données projet'!$E$10+1,1))-AVERAGE(OFFSET($H$3,0,0,'Données projet'!$E$10+1,1))</f>
        <v>206.38141226866287</v>
      </c>
      <c r="AO80" s="62">
        <f t="shared" si="90"/>
        <v>89.074420303945885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5.5781751019871537</v>
      </c>
      <c r="AV80" s="23">
        <f>EXP(-LN(2)/25)*AV79+(1-EXP(-LN(2)/25))/(LN(2)/25)*Calculateur!AQ80*Calculateur!AS80*VLOOKUP('Données projet'!$B$10,Paramètres!$A$1:$I$89,3,0)*0.475*44/12</f>
        <v>4.1390977836804206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9.7172728856675743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4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1.738044375088066E-13</v>
      </c>
      <c r="P81" s="14">
        <f t="shared" si="87"/>
        <v>2.4483293633950478E-12</v>
      </c>
      <c r="Q81" s="22">
        <f t="shared" si="54"/>
        <v>4.566883036574213E-12</v>
      </c>
      <c r="R81" s="62">
        <f t="shared" si="55"/>
        <v>293.33333333333786</v>
      </c>
      <c r="S81" s="62">
        <f ca="1">AVERAGE(OFFSET($R$3,0,0,'Données projet'!$E$9+1,1))-AVERAGE(OFFSET($H$3,0,0,'Données projet'!$E$9+1,1))</f>
        <v>234.06296185782384</v>
      </c>
      <c r="T81" s="62">
        <f t="shared" si="88"/>
        <v>300.75555492874378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88.251212768263926</v>
      </c>
      <c r="AA81" s="23">
        <f>EXP(-LN(2)/25)*AA80+(1-EXP(-LN(2)/25))/(LN(2)/25)*Calculateur!V81*Calculateur!X81*VLOOKUP('Données projet'!$B$9,Paramètres!$A$1:$I$89,3,0)*0.475*44/12</f>
        <v>38.381347074118942</v>
      </c>
      <c r="AB81" s="23">
        <f>EXP(-LN(2)/2)*AB80+(1-EXP(-LN(2)/2))/(LN(2)/2)*V81*Y81*VLOOKUP('Données projet'!$B$9,Paramètres!$A$1:$I$89,3,0)*0.475*44/12</f>
        <v>2.6162308653732029E-2</v>
      </c>
      <c r="AC81" s="24">
        <f t="shared" si="57"/>
        <v>126.65872215103661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194</v>
      </c>
      <c r="AG81" s="13">
        <f>VLOOKUP(A81,'Données projet'!$A$61:$I$81,9,0)</f>
        <v>5.9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194.00000000000017</v>
      </c>
      <c r="AJ81" s="14">
        <f>AI81*VLOOKUP('Données projet'!$B$10,Paramètres!$A$1:$I$89,3,0)*VLOOKUP('Données projet'!$B$10,Paramètres!$A$1:$I$89,5,0)</f>
        <v>175.53120000000015</v>
      </c>
      <c r="AK81" s="14">
        <f t="shared" si="89"/>
        <v>44.326510481422531</v>
      </c>
      <c r="AL81" s="22">
        <f t="shared" si="58"/>
        <v>382.9188457551445</v>
      </c>
      <c r="AM81" s="62">
        <f t="shared" si="59"/>
        <v>676.25217908847776</v>
      </c>
      <c r="AN81" s="62">
        <f ca="1">AVERAGE(OFFSET($AM$3,0,0,'Données projet'!$E$10+1,1))-AVERAGE(OFFSET($H$3,0,0,'Données projet'!$E$10+1,1))</f>
        <v>206.38141226866287</v>
      </c>
      <c r="AO81" s="62">
        <f t="shared" si="90"/>
        <v>89.074420303945885</v>
      </c>
      <c r="AP81" s="16">
        <f>IF(ISNA(VLOOKUP(A81,'Données projet'!$A$61:$I$81,3,0)),0,VLOOKUP(A81,'Données projet'!$A$61:$I$81,3,0))</f>
        <v>6</v>
      </c>
      <c r="AQ81" s="16">
        <f>IF(ISNA(VLOOKUP(A81,'Données projet'!$A$61:$I$81,4,0)),0,VLOOKUP(A81,'Données projet'!$A$61:$I$81,4,0))</f>
        <v>32</v>
      </c>
      <c r="AR81" s="17">
        <f>IF(ISNA(VLOOKUP(A81,'Données projet'!$A$61:$I$81,5,0)),0%,VLOOKUP(A81,'Données projet'!$A$61:$I$81,5,0)*VLOOKUP('Données projet'!$B$10,Paramètres!$A$1:$I$89,7,0))</f>
        <v>0.215</v>
      </c>
      <c r="AS81" s="17">
        <f>IF(ISNA(VLOOKUP(A81,'Données projet'!$A$61:$I$81,6,0)),0%,VLOOKUP(A81,'Données projet'!$A$61:$I$81,6,0)*VLOOKUP('Données projet'!$B$10,Paramètres!$A$1:$I$89,7,0))</f>
        <v>0.17200000000000001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12.350370134469767</v>
      </c>
      <c r="AV81" s="23">
        <f>EXP(-LN(2)/25)*AV80+(1-EXP(-LN(2)/25))/(LN(2)/25)*Calculateur!AQ81*Calculateur!AS81*VLOOKUP('Données projet'!$B$10,Paramètres!$A$1:$I$89,3,0)*0.475*44/12</f>
        <v>9.5095013313090675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21.859871465778834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4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1.738044375088066E-13</v>
      </c>
      <c r="P82" s="14">
        <f t="shared" si="87"/>
        <v>2.4483293633950478E-12</v>
      </c>
      <c r="Q82" s="22">
        <f t="shared" si="54"/>
        <v>4.566883036574213E-12</v>
      </c>
      <c r="R82" s="62">
        <f t="shared" si="55"/>
        <v>293.33333333333786</v>
      </c>
      <c r="S82" s="62">
        <f ca="1">AVERAGE(OFFSET($R$3,0,0,'Données projet'!$E$9+1,1))-AVERAGE(OFFSET($H$3,0,0,'Données projet'!$E$9+1,1))</f>
        <v>234.06296185782384</v>
      </c>
      <c r="T82" s="62">
        <f t="shared" si="88"/>
        <v>300.75555492874378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86.520660313802992</v>
      </c>
      <c r="AA82" s="23">
        <f>EXP(-LN(2)/25)*AA81+(1-EXP(-LN(2)/25))/(LN(2)/25)*Calculateur!V82*Calculateur!X82*VLOOKUP('Données projet'!$B$9,Paramètres!$A$1:$I$89,3,0)*0.475*44/12</f>
        <v>37.33180711998984</v>
      </c>
      <c r="AB82" s="23">
        <f>EXP(-LN(2)/2)*AB81+(1-EXP(-LN(2)/2))/(LN(2)/2)*V82*Y82*VLOOKUP('Données projet'!$B$9,Paramètres!$A$1:$I$89,3,0)*0.475*44/12</f>
        <v>1.8499545860549412E-2</v>
      </c>
      <c r="AC82" s="24">
        <f t="shared" si="57"/>
        <v>123.87096697965339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5.7</v>
      </c>
      <c r="AI82" s="14">
        <f>IF('Données projet'!$A$62&gt;35,AI81+AH82-AQ81,IF(A82&lt;'Données projet'!$A$62,$AF$205^A82,IF(A82='Données projet'!$A$62,'Données projet'!$B$62,AI81+AH82-AQ81)))</f>
        <v>167.70000000000016</v>
      </c>
      <c r="AJ82" s="14">
        <f>AI82*VLOOKUP('Données projet'!$B$10,Paramètres!$A$1:$I$89,3,0)*VLOOKUP('Données projet'!$B$10,Paramètres!$A$1:$I$89,5,0)</f>
        <v>151.73496000000014</v>
      </c>
      <c r="AK82" s="14">
        <f t="shared" si="89"/>
        <v>38.972597229458756</v>
      </c>
      <c r="AL82" s="22">
        <f t="shared" si="58"/>
        <v>332.14899550797423</v>
      </c>
      <c r="AM82" s="62">
        <f t="shared" si="59"/>
        <v>625.48232884130755</v>
      </c>
      <c r="AN82" s="62">
        <f ca="1">AVERAGE(OFFSET($AM$3,0,0,'Données projet'!$E$10+1,1))-AVERAGE(OFFSET($H$3,0,0,'Données projet'!$E$10+1,1))</f>
        <v>206.38141226866287</v>
      </c>
      <c r="AO82" s="62">
        <f t="shared" si="90"/>
        <v>89.074420303945885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12.108186909114776</v>
      </c>
      <c r="AV82" s="23">
        <f>EXP(-LN(2)/25)*AV81+(1-EXP(-LN(2)/25))/(LN(2)/25)*Calculateur!AQ82*Calculateur!AS82*VLOOKUP('Données projet'!$B$10,Paramètres!$A$1:$I$89,3,0)*0.475*44/12</f>
        <v>9.2494635173214803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21.357650426436258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4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1.738044375088066E-13</v>
      </c>
      <c r="P83" s="14">
        <f t="shared" si="87"/>
        <v>2.4483293633950478E-12</v>
      </c>
      <c r="Q83" s="22">
        <f t="shared" si="54"/>
        <v>4.566883036574213E-12</v>
      </c>
      <c r="R83" s="62">
        <f t="shared" si="55"/>
        <v>293.33333333333786</v>
      </c>
      <c r="S83" s="62">
        <f ca="1">AVERAGE(OFFSET($R$3,0,0,'Données projet'!$E$9+1,1))-AVERAGE(OFFSET($H$3,0,0,'Données projet'!$E$9+1,1))</f>
        <v>234.06296185782384</v>
      </c>
      <c r="T83" s="62">
        <f t="shared" si="88"/>
        <v>300.75555492874378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84.824042937441263</v>
      </c>
      <c r="AA83" s="23">
        <f>EXP(-LN(2)/25)*AA82+(1-EXP(-LN(2)/25))/(LN(2)/25)*Calculateur!V83*Calculateur!X83*VLOOKUP('Données projet'!$B$9,Paramètres!$A$1:$I$89,3,0)*0.475*44/12</f>
        <v>36.310966891099305</v>
      </c>
      <c r="AB83" s="23">
        <f>EXP(-LN(2)/2)*AB82+(1-EXP(-LN(2)/2))/(LN(2)/2)*V83*Y83*VLOOKUP('Données projet'!$B$9,Paramètres!$A$1:$I$89,3,0)*0.475*44/12</f>
        <v>1.3081154326866015E-2</v>
      </c>
      <c r="AC83" s="24">
        <f t="shared" si="57"/>
        <v>121.14809098286744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5.7</v>
      </c>
      <c r="AI83" s="14">
        <f>IF('Données projet'!$A$62&gt;35,AI82+AH83-AQ82,IF(A83&lt;'Données projet'!$A$62,$AF$205^A83,IF(A83='Données projet'!$A$62,'Données projet'!$B$62,AI82+AH83-AQ82)))</f>
        <v>173.40000000000015</v>
      </c>
      <c r="AJ83" s="14">
        <f>AI83*VLOOKUP('Données projet'!$B$10,Paramètres!$A$1:$I$89,3,0)*VLOOKUP('Données projet'!$B$10,Paramètres!$A$1:$I$89,5,0)</f>
        <v>156.89232000000013</v>
      </c>
      <c r="AK83" s="14">
        <f t="shared" si="89"/>
        <v>40.140771359113323</v>
      </c>
      <c r="AL83" s="22">
        <f t="shared" si="58"/>
        <v>343.16596745045598</v>
      </c>
      <c r="AM83" s="62">
        <f t="shared" si="59"/>
        <v>636.49930078378929</v>
      </c>
      <c r="AN83" s="62">
        <f ca="1">AVERAGE(OFFSET($AM$3,0,0,'Données projet'!$E$10+1,1))-AVERAGE(OFFSET($H$3,0,0,'Données projet'!$E$10+1,1))</f>
        <v>206.38141226866287</v>
      </c>
      <c r="AO83" s="62">
        <f t="shared" si="90"/>
        <v>89.074420303945885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11.870752749091816</v>
      </c>
      <c r="AV83" s="23">
        <f>EXP(-LN(2)/25)*AV82+(1-EXP(-LN(2)/25))/(LN(2)/25)*Calculateur!AQ83*Calculateur!AS83*VLOOKUP('Données projet'!$B$10,Paramètres!$A$1:$I$89,3,0)*0.475*44/12</f>
        <v>8.9965364510321777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20.867289200123992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4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1.738044375088066E-13</v>
      </c>
      <c r="P84" s="14">
        <f t="shared" si="87"/>
        <v>2.4483293633950478E-12</v>
      </c>
      <c r="Q84" s="22">
        <f t="shared" si="54"/>
        <v>4.566883036574213E-12</v>
      </c>
      <c r="R84" s="62">
        <f t="shared" si="55"/>
        <v>293.33333333333786</v>
      </c>
      <c r="S84" s="62">
        <f ca="1">AVERAGE(OFFSET($R$3,0,0,'Données projet'!$E$9+1,1))-AVERAGE(OFFSET($H$3,0,0,'Données projet'!$E$9+1,1))</f>
        <v>234.06296185782384</v>
      </c>
      <c r="T84" s="62">
        <f t="shared" si="88"/>
        <v>300.75555492874378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83.160695192995576</v>
      </c>
      <c r="AA84" s="23">
        <f>EXP(-LN(2)/25)*AA83+(1-EXP(-LN(2)/25))/(LN(2)/25)*Calculateur!V84*Calculateur!X84*VLOOKUP('Données projet'!$B$9,Paramètres!$A$1:$I$89,3,0)*0.475*44/12</f>
        <v>35.318041591951435</v>
      </c>
      <c r="AB84" s="23">
        <f>EXP(-LN(2)/2)*AB83+(1-EXP(-LN(2)/2))/(LN(2)/2)*V84*Y84*VLOOKUP('Données projet'!$B$9,Paramètres!$A$1:$I$89,3,0)*0.475*44/12</f>
        <v>9.2497729302747061E-3</v>
      </c>
      <c r="AC84" s="24">
        <f t="shared" si="57"/>
        <v>118.48798655787729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5.7</v>
      </c>
      <c r="AI84" s="14">
        <f>IF('Données projet'!$A$62&gt;35,AI83+AH84-AQ83,IF(A84&lt;'Données projet'!$A$62,$AF$205^A84,IF(A84='Données projet'!$A$62,'Données projet'!$B$62,AI83+AH84-AQ83)))</f>
        <v>179.10000000000014</v>
      </c>
      <c r="AJ84" s="14">
        <f>AI84*VLOOKUP('Données projet'!$B$10,Paramètres!$A$1:$I$89,3,0)*VLOOKUP('Données projet'!$B$10,Paramètres!$A$1:$I$89,5,0)</f>
        <v>162.04968000000011</v>
      </c>
      <c r="AK84" s="14">
        <f t="shared" si="89"/>
        <v>41.304483398422974</v>
      </c>
      <c r="AL84" s="22">
        <f t="shared" si="58"/>
        <v>354.17516791892018</v>
      </c>
      <c r="AM84" s="62">
        <f t="shared" si="59"/>
        <v>647.5085012522535</v>
      </c>
      <c r="AN84" s="62">
        <f ca="1">AVERAGE(OFFSET($AM$3,0,0,'Données projet'!$E$10+1,1))-AVERAGE(OFFSET($H$3,0,0,'Données projet'!$E$10+1,1))</f>
        <v>206.38141226866287</v>
      </c>
      <c r="AO84" s="62">
        <f t="shared" si="90"/>
        <v>89.074420303945885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11.637974528126367</v>
      </c>
      <c r="AV84" s="23">
        <f>EXP(-LN(2)/25)*AV83+(1-EXP(-LN(2)/25))/(LN(2)/25)*Calculateur!AQ84*Calculateur!AS84*VLOOKUP('Données projet'!$B$10,Paramètres!$A$1:$I$89,3,0)*0.475*44/12</f>
        <v>8.7505256886714129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20.38850021679778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4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1.738044375088066E-13</v>
      </c>
      <c r="P85" s="14">
        <f t="shared" si="87"/>
        <v>2.4483293633950478E-12</v>
      </c>
      <c r="Q85" s="22">
        <f t="shared" si="54"/>
        <v>4.566883036574213E-12</v>
      </c>
      <c r="R85" s="62">
        <f t="shared" si="55"/>
        <v>293.33333333333786</v>
      </c>
      <c r="S85" s="62">
        <f ca="1">AVERAGE(OFFSET($R$3,0,0,'Données projet'!$E$9+1,1))-AVERAGE(OFFSET($H$3,0,0,'Données projet'!$E$9+1,1))</f>
        <v>234.06296185782384</v>
      </c>
      <c r="T85" s="62">
        <f t="shared" si="88"/>
        <v>300.75555492874378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81.529964683276518</v>
      </c>
      <c r="AA85" s="23">
        <f>EXP(-LN(2)/25)*AA84+(1-EXP(-LN(2)/25))/(LN(2)/25)*Calculateur!V85*Calculateur!X85*VLOOKUP('Données projet'!$B$9,Paramètres!$A$1:$I$89,3,0)*0.475*44/12</f>
        <v>34.352267887324437</v>
      </c>
      <c r="AB85" s="23">
        <f>EXP(-LN(2)/2)*AB84+(1-EXP(-LN(2)/2))/(LN(2)/2)*V85*Y85*VLOOKUP('Données projet'!$B$9,Paramètres!$A$1:$I$89,3,0)*0.475*44/12</f>
        <v>6.5405771634330073E-3</v>
      </c>
      <c r="AC85" s="24">
        <f t="shared" si="57"/>
        <v>115.8887731477644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5.7</v>
      </c>
      <c r="AI85" s="14">
        <f>IF('Données projet'!$A$62&gt;35,AI84+AH85-AQ84,IF(A85&lt;'Données projet'!$A$62,$AF$205^A85,IF(A85='Données projet'!$A$62,'Données projet'!$B$62,AI84+AH85-AQ84)))</f>
        <v>184.80000000000013</v>
      </c>
      <c r="AJ85" s="14">
        <f>AI85*VLOOKUP('Données projet'!$B$10,Paramètres!$A$1:$I$89,3,0)*VLOOKUP('Données projet'!$B$10,Paramètres!$A$1:$I$89,5,0)</f>
        <v>167.20704000000012</v>
      </c>
      <c r="AK85" s="14">
        <f t="shared" si="89"/>
        <v>42.463891647822834</v>
      </c>
      <c r="AL85" s="22">
        <f t="shared" si="58"/>
        <v>365.17687261995826</v>
      </c>
      <c r="AM85" s="62">
        <f t="shared" si="59"/>
        <v>658.51020595329157</v>
      </c>
      <c r="AN85" s="62">
        <f ca="1">AVERAGE(OFFSET($AM$3,0,0,'Données projet'!$E$10+1,1))-AVERAGE(OFFSET($H$3,0,0,'Données projet'!$E$10+1,1))</f>
        <v>206.38141226866287</v>
      </c>
      <c r="AO85" s="62">
        <f t="shared" si="90"/>
        <v>89.074420303945885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11.409760946093357</v>
      </c>
      <c r="AV85" s="23">
        <f>EXP(-LN(2)/25)*AV84+(1-EXP(-LN(2)/25))/(LN(2)/25)*Calculateur!AQ85*Calculateur!AS85*VLOOKUP('Données projet'!$B$10,Paramètres!$A$1:$I$89,3,0)*0.475*44/12</f>
        <v>8.5112421035445465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19.921003049637903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4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1.738044375088066E-13</v>
      </c>
      <c r="P86" s="14">
        <f t="shared" si="87"/>
        <v>2.4483293633950478E-12</v>
      </c>
      <c r="Q86" s="22">
        <f t="shared" si="54"/>
        <v>4.566883036574213E-12</v>
      </c>
      <c r="R86" s="62">
        <f t="shared" si="55"/>
        <v>293.33333333333786</v>
      </c>
      <c r="S86" s="62">
        <f ca="1">AVERAGE(OFFSET($R$3,0,0,'Données projet'!$E$9+1,1))-AVERAGE(OFFSET($H$3,0,0,'Données projet'!$E$9+1,1))</f>
        <v>234.06296185782384</v>
      </c>
      <c r="T86" s="62">
        <f t="shared" si="88"/>
        <v>300.75555492874378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79.93121180420566</v>
      </c>
      <c r="AA86" s="23">
        <f>EXP(-LN(2)/25)*AA85+(1-EXP(-LN(2)/25))/(LN(2)/25)*Calculateur!V86*Calculateur!X86*VLOOKUP('Données projet'!$B$9,Paramètres!$A$1:$I$89,3,0)*0.475*44/12</f>
        <v>33.412903315438292</v>
      </c>
      <c r="AB86" s="23">
        <f>EXP(-LN(2)/2)*AB85+(1-EXP(-LN(2)/2))/(LN(2)/2)*V86*Y86*VLOOKUP('Données projet'!$B$9,Paramètres!$A$1:$I$89,3,0)*0.475*44/12</f>
        <v>4.624886465137353E-3</v>
      </c>
      <c r="AC86" s="24">
        <f t="shared" si="57"/>
        <v>113.3487400061091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5.7</v>
      </c>
      <c r="AI86" s="14">
        <f>IF('Données projet'!$A$62&gt;35,AI85+AH86-AQ85,IF(A86&lt;'Données projet'!$A$62,$AF$205^A86,IF(A86='Données projet'!$A$62,'Données projet'!$B$62,AI85+AH86-AQ85)))</f>
        <v>190.50000000000011</v>
      </c>
      <c r="AJ86" s="14">
        <f>AI86*VLOOKUP('Données projet'!$B$10,Paramètres!$A$1:$I$89,3,0)*VLOOKUP('Données projet'!$B$10,Paramètres!$A$1:$I$89,5,0)</f>
        <v>172.36440000000007</v>
      </c>
      <c r="AK86" s="14">
        <f t="shared" si="89"/>
        <v>43.619144087686919</v>
      </c>
      <c r="AL86" s="22">
        <f t="shared" si="58"/>
        <v>376.17133928605477</v>
      </c>
      <c r="AM86" s="62">
        <f t="shared" si="59"/>
        <v>669.50467261938809</v>
      </c>
      <c r="AN86" s="62">
        <f ca="1">AVERAGE(OFFSET($AM$3,0,0,'Données projet'!$E$10+1,1))-AVERAGE(OFFSET($H$3,0,0,'Données projet'!$E$10+1,1))</f>
        <v>206.38141226866287</v>
      </c>
      <c r="AO86" s="62">
        <f t="shared" si="90"/>
        <v>89.074420303945885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11.186022493207473</v>
      </c>
      <c r="AV86" s="23">
        <f>EXP(-LN(2)/25)*AV85+(1-EXP(-LN(2)/25))/(LN(2)/25)*Calculateur!AQ86*Calculateur!AS86*VLOOKUP('Données projet'!$B$10,Paramètres!$A$1:$I$89,3,0)*0.475*44/12</f>
        <v>8.2785017406363508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19.464524233843825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4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1.738044375088066E-13</v>
      </c>
      <c r="P87" s="14">
        <f t="shared" si="87"/>
        <v>2.4483293633950478E-12</v>
      </c>
      <c r="Q87" s="22">
        <f t="shared" si="54"/>
        <v>4.566883036574213E-12</v>
      </c>
      <c r="R87" s="62">
        <f t="shared" si="55"/>
        <v>293.33333333333786</v>
      </c>
      <c r="S87" s="62">
        <f ca="1">AVERAGE(OFFSET($R$3,0,0,'Données projet'!$E$9+1,1))-AVERAGE(OFFSET($H$3,0,0,'Données projet'!$E$9+1,1))</f>
        <v>234.06296185782384</v>
      </c>
      <c r="T87" s="62">
        <f t="shared" si="88"/>
        <v>300.75555492874378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78.363809493950413</v>
      </c>
      <c r="AA87" s="23">
        <f>EXP(-LN(2)/25)*AA86+(1-EXP(-LN(2)/25))/(LN(2)/25)*Calculateur!V87*Calculateur!X87*VLOOKUP('Données projet'!$B$9,Paramètres!$A$1:$I$89,3,0)*0.475*44/12</f>
        <v>32.499225717169416</v>
      </c>
      <c r="AB87" s="23">
        <f>EXP(-LN(2)/2)*AB86+(1-EXP(-LN(2)/2))/(LN(2)/2)*V87*Y87*VLOOKUP('Données projet'!$B$9,Paramètres!$A$1:$I$89,3,0)*0.475*44/12</f>
        <v>3.2702885817165036E-3</v>
      </c>
      <c r="AC87" s="24">
        <f t="shared" si="57"/>
        <v>110.86630549970155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5.7</v>
      </c>
      <c r="AI87" s="14">
        <f>IF('Données projet'!$A$62&gt;35,AI86+AH87-AQ86,IF(A87&lt;'Données projet'!$A$62,$AF$205^A87,IF(A87='Données projet'!$A$62,'Données projet'!$B$62,AI86+AH87-AQ86)))</f>
        <v>196.2000000000001</v>
      </c>
      <c r="AJ87" s="14">
        <f>AI87*VLOOKUP('Données projet'!$B$10,Paramètres!$A$1:$I$89,3,0)*VLOOKUP('Données projet'!$B$10,Paramètres!$A$1:$I$89,5,0)</f>
        <v>177.52176000000009</v>
      </c>
      <c r="AK87" s="14">
        <f t="shared" si="89"/>
        <v>44.770379339547972</v>
      </c>
      <c r="AL87" s="22">
        <f t="shared" si="58"/>
        <v>387.15880934971278</v>
      </c>
      <c r="AM87" s="62">
        <f t="shared" si="59"/>
        <v>680.49214268304604</v>
      </c>
      <c r="AN87" s="62">
        <f ca="1">AVERAGE(OFFSET($AM$3,0,0,'Données projet'!$E$10+1,1))-AVERAGE(OFFSET($H$3,0,0,'Données projet'!$E$10+1,1))</f>
        <v>206.38141226866287</v>
      </c>
      <c r="AO87" s="62">
        <f t="shared" si="90"/>
        <v>89.074420303945885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10.9666714149157</v>
      </c>
      <c r="AV87" s="23">
        <f>EXP(-LN(2)/25)*AV86+(1-EXP(-LN(2)/25))/(LN(2)/25)*Calculateur!AQ87*Calculateur!AS87*VLOOKUP('Données projet'!$B$10,Paramètres!$A$1:$I$89,3,0)*0.475*44/12</f>
        <v>8.0521256751911636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19.018797090106865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4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1.738044375088066E-13</v>
      </c>
      <c r="P88" s="14">
        <f t="shared" si="87"/>
        <v>2.4483293633950478E-12</v>
      </c>
      <c r="Q88" s="22">
        <f t="shared" si="54"/>
        <v>4.566883036574213E-12</v>
      </c>
      <c r="R88" s="62">
        <f t="shared" si="55"/>
        <v>293.33333333333786</v>
      </c>
      <c r="S88" s="62">
        <f ca="1">AVERAGE(OFFSET($R$3,0,0,'Données projet'!$E$9+1,1))-AVERAGE(OFFSET($H$3,0,0,'Données projet'!$E$9+1,1))</f>
        <v>234.06296185782384</v>
      </c>
      <c r="T88" s="62">
        <f t="shared" si="88"/>
        <v>300.75555492874378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76.827142986978259</v>
      </c>
      <c r="AA88" s="23">
        <f>EXP(-LN(2)/25)*AA87+(1-EXP(-LN(2)/25))/(LN(2)/25)*Calculateur!V88*Calculateur!X88*VLOOKUP('Données projet'!$B$9,Paramètres!$A$1:$I$89,3,0)*0.475*44/12</f>
        <v>31.610532680873416</v>
      </c>
      <c r="AB88" s="23">
        <f>EXP(-LN(2)/2)*AB87+(1-EXP(-LN(2)/2))/(LN(2)/2)*V88*Y88*VLOOKUP('Données projet'!$B$9,Paramètres!$A$1:$I$89,3,0)*0.475*44/12</f>
        <v>2.3124432325686765E-3</v>
      </c>
      <c r="AC88" s="24">
        <f t="shared" si="57"/>
        <v>108.43998811108425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5.7</v>
      </c>
      <c r="AI88" s="14">
        <f>IF('Données projet'!$A$62&gt;35,AI87+AH88-AQ87,IF(A88&lt;'Données projet'!$A$62,$AF$205^A88,IF(A88='Données projet'!$A$62,'Données projet'!$B$62,AI87+AH88-AQ87)))</f>
        <v>201.90000000000009</v>
      </c>
      <c r="AJ88" s="14">
        <f>AI88*VLOOKUP('Données projet'!$B$10,Paramètres!$A$1:$I$89,3,0)*VLOOKUP('Données projet'!$B$10,Paramètres!$A$1:$I$89,5,0)</f>
        <v>182.67912000000007</v>
      </c>
      <c r="AK88" s="14">
        <f t="shared" si="89"/>
        <v>45.917727512477072</v>
      </c>
      <c r="AL88" s="22">
        <f t="shared" si="58"/>
        <v>398.13950941756434</v>
      </c>
      <c r="AM88" s="62">
        <f t="shared" si="59"/>
        <v>691.4728427508976</v>
      </c>
      <c r="AN88" s="62">
        <f ca="1">AVERAGE(OFFSET($AM$3,0,0,'Données projet'!$E$10+1,1))-AVERAGE(OFFSET($H$3,0,0,'Données projet'!$E$10+1,1))</f>
        <v>206.38141226866287</v>
      </c>
      <c r="AO88" s="62">
        <f t="shared" si="90"/>
        <v>89.074420303945885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10.751621677478282</v>
      </c>
      <c r="AV88" s="23">
        <f>EXP(-LN(2)/25)*AV87+(1-EXP(-LN(2)/25))/(LN(2)/25)*Calculateur!AQ88*Calculateur!AS88*VLOOKUP('Données projet'!$B$10,Paramètres!$A$1:$I$89,3,0)*0.475*44/12</f>
        <v>7.8319398751601756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18.583561552638457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4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1.738044375088066E-13</v>
      </c>
      <c r="P89" s="14">
        <f t="shared" si="87"/>
        <v>2.4483293633950478E-12</v>
      </c>
      <c r="Q89" s="22">
        <f t="shared" si="54"/>
        <v>4.566883036574213E-12</v>
      </c>
      <c r="R89" s="62">
        <f t="shared" si="55"/>
        <v>293.33333333333786</v>
      </c>
      <c r="S89" s="62">
        <f ca="1">AVERAGE(OFFSET($R$3,0,0,'Données projet'!$E$9+1,1))-AVERAGE(OFFSET($H$3,0,0,'Données projet'!$E$9+1,1))</f>
        <v>234.06296185782384</v>
      </c>
      <c r="T89" s="62">
        <f t="shared" si="88"/>
        <v>300.75555492874378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75.320609572933805</v>
      </c>
      <c r="AA89" s="23">
        <f>EXP(-LN(2)/25)*AA88+(1-EXP(-LN(2)/25))/(LN(2)/25)*Calculateur!V89*Calculateur!X89*VLOOKUP('Données projet'!$B$9,Paramètres!$A$1:$I$89,3,0)*0.475*44/12</f>
        <v>30.746141002389265</v>
      </c>
      <c r="AB89" s="23">
        <f>EXP(-LN(2)/2)*AB88+(1-EXP(-LN(2)/2))/(LN(2)/2)*V89*Y89*VLOOKUP('Données projet'!$B$9,Paramètres!$A$1:$I$89,3,0)*0.475*44/12</f>
        <v>1.6351442908582518E-3</v>
      </c>
      <c r="AC89" s="24">
        <f t="shared" si="57"/>
        <v>106.06838571961393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5.7</v>
      </c>
      <c r="AI89" s="14">
        <f>IF('Données projet'!$A$62&gt;35,AI88+AH89-AQ88,IF(A89&lt;'Données projet'!$A$62,$AF$205^A89,IF(A89='Données projet'!$A$62,'Données projet'!$B$62,AI88+AH89-AQ88)))</f>
        <v>207.60000000000008</v>
      </c>
      <c r="AJ89" s="14">
        <f>AI89*VLOOKUP('Données projet'!$B$10,Paramètres!$A$1:$I$89,3,0)*VLOOKUP('Données projet'!$B$10,Paramètres!$A$1:$I$89,5,0)</f>
        <v>187.83648000000008</v>
      </c>
      <c r="AK89" s="14">
        <f t="shared" si="89"/>
        <v>47.061310951197022</v>
      </c>
      <c r="AL89" s="22">
        <f t="shared" si="58"/>
        <v>409.11365257333495</v>
      </c>
      <c r="AM89" s="62">
        <f t="shared" si="59"/>
        <v>702.44698590666826</v>
      </c>
      <c r="AN89" s="62">
        <f ca="1">AVERAGE(OFFSET($AM$3,0,0,'Données projet'!$E$10+1,1))-AVERAGE(OFFSET($H$3,0,0,'Données projet'!$E$10+1,1))</f>
        <v>206.38141226866287</v>
      </c>
      <c r="AO89" s="62">
        <f t="shared" si="90"/>
        <v>89.074420303945885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10.540788934224622</v>
      </c>
      <c r="AV89" s="23">
        <f>EXP(-LN(2)/25)*AV88+(1-EXP(-LN(2)/25))/(LN(2)/25)*Calculateur!AQ89*Calculateur!AS89*VLOOKUP('Données projet'!$B$10,Paramètres!$A$1:$I$89,3,0)*0.475*44/12</f>
        <v>7.6177750674101024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18.158564001634723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4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1.738044375088066E-13</v>
      </c>
      <c r="P90" s="14">
        <f t="shared" si="87"/>
        <v>2.4483293633950478E-12</v>
      </c>
      <c r="Q90" s="22">
        <f t="shared" si="54"/>
        <v>4.566883036574213E-12</v>
      </c>
      <c r="R90" s="62">
        <f t="shared" si="55"/>
        <v>293.33333333333786</v>
      </c>
      <c r="S90" s="62">
        <f ca="1">AVERAGE(OFFSET($R$3,0,0,'Données projet'!$E$9+1,1))-AVERAGE(OFFSET($H$3,0,0,'Données projet'!$E$9+1,1))</f>
        <v>234.06296185782384</v>
      </c>
      <c r="T90" s="62">
        <f t="shared" si="88"/>
        <v>300.75555492874378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73.843618360244108</v>
      </c>
      <c r="AA90" s="23">
        <f>EXP(-LN(2)/25)*AA89+(1-EXP(-LN(2)/25))/(LN(2)/25)*Calculateur!V90*Calculateur!X90*VLOOKUP('Données projet'!$B$9,Paramètres!$A$1:$I$89,3,0)*0.475*44/12</f>
        <v>29.905386159809648</v>
      </c>
      <c r="AB90" s="23">
        <f>EXP(-LN(2)/2)*AB89+(1-EXP(-LN(2)/2))/(LN(2)/2)*V90*Y90*VLOOKUP('Données projet'!$B$9,Paramètres!$A$1:$I$89,3,0)*0.475*44/12</f>
        <v>1.1562216162843383E-3</v>
      </c>
      <c r="AC90" s="24">
        <f t="shared" si="57"/>
        <v>103.75016074167004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5.7</v>
      </c>
      <c r="AI90" s="14">
        <f>IF('Données projet'!$A$62&gt;35,AI89+AH90-AQ89,IF(A90&lt;'Données projet'!$A$62,$AF$205^A90,IF(A90='Données projet'!$A$62,'Données projet'!$B$62,AI89+AH90-AQ89)))</f>
        <v>213.30000000000007</v>
      </c>
      <c r="AJ90" s="14">
        <f>AI90*VLOOKUP('Données projet'!$B$10,Paramètres!$A$1:$I$89,3,0)*VLOOKUP('Données projet'!$B$10,Paramètres!$A$1:$I$89,5,0)</f>
        <v>192.99384000000006</v>
      </c>
      <c r="AK90" s="14">
        <f t="shared" si="89"/>
        <v>48.20124489972266</v>
      </c>
      <c r="AL90" s="22">
        <f t="shared" si="58"/>
        <v>420.08143953368375</v>
      </c>
      <c r="AM90" s="62">
        <f t="shared" si="59"/>
        <v>713.41477286701706</v>
      </c>
      <c r="AN90" s="62">
        <f ca="1">AVERAGE(OFFSET($AM$3,0,0,'Données projet'!$E$10+1,1))-AVERAGE(OFFSET($H$3,0,0,'Données projet'!$E$10+1,1))</f>
        <v>206.38141226866287</v>
      </c>
      <c r="AO90" s="62">
        <f t="shared" si="90"/>
        <v>89.074420303945885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10.334090492470892</v>
      </c>
      <c r="AV90" s="23">
        <f>EXP(-LN(2)/25)*AV89+(1-EXP(-LN(2)/25))/(LN(2)/25)*Calculateur!AQ90*Calculateur!AS90*VLOOKUP('Données projet'!$B$10,Paramètres!$A$1:$I$89,3,0)*0.475*44/12</f>
        <v>7.4094666075903932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17.743557100061285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4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1.738044375088066E-13</v>
      </c>
      <c r="P91" s="14">
        <f t="shared" si="87"/>
        <v>2.4483293633950478E-12</v>
      </c>
      <c r="Q91" s="22">
        <f t="shared" si="54"/>
        <v>4.566883036574213E-12</v>
      </c>
      <c r="R91" s="62">
        <f t="shared" si="55"/>
        <v>293.33333333333786</v>
      </c>
      <c r="S91" s="62">
        <f ca="1">AVERAGE(OFFSET($R$3,0,0,'Données projet'!$E$9+1,1))-AVERAGE(OFFSET($H$3,0,0,'Données projet'!$E$9+1,1))</f>
        <v>234.06296185782384</v>
      </c>
      <c r="T91" s="62">
        <f t="shared" si="88"/>
        <v>300.75555492874378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72.395590044359579</v>
      </c>
      <c r="AA91" s="23">
        <f>EXP(-LN(2)/25)*AA90+(1-EXP(-LN(2)/25))/(LN(2)/25)*Calculateur!V91*Calculateur!X91*VLOOKUP('Données projet'!$B$9,Paramètres!$A$1:$I$89,3,0)*0.475*44/12</f>
        <v>29.087621802613747</v>
      </c>
      <c r="AB91" s="23">
        <f>EXP(-LN(2)/2)*AB90+(1-EXP(-LN(2)/2))/(LN(2)/2)*V91*Y91*VLOOKUP('Données projet'!$B$9,Paramètres!$A$1:$I$89,3,0)*0.475*44/12</f>
        <v>8.1757214542912591E-4</v>
      </c>
      <c r="AC91" s="24">
        <f t="shared" si="57"/>
        <v>101.48402941911874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219</v>
      </c>
      <c r="AG91" s="13">
        <f>VLOOKUP(A91,'Données projet'!$A$61:$I$81,9,0)</f>
        <v>5.7</v>
      </c>
      <c r="AH91" s="13">
        <f t="array" ref="AH91">INDEX(AG:AG,MIN(IF(ISNUMBER(AG91:AG287),ROW(AG91:AG287),"")))</f>
        <v>5.7</v>
      </c>
      <c r="AI91" s="14">
        <f>IF('Données projet'!$A$62&gt;35,AI90+AH91-AQ90,IF(A91&lt;'Données projet'!$A$62,$AF$205^A91,IF(A91='Données projet'!$A$62,'Données projet'!$B$62,AI90+AH91-AQ90)))</f>
        <v>219.00000000000006</v>
      </c>
      <c r="AJ91" s="14">
        <f>AI91*VLOOKUP('Données projet'!$B$10,Paramètres!$A$1:$I$89,3,0)*VLOOKUP('Données projet'!$B$10,Paramètres!$A$1:$I$89,5,0)</f>
        <v>198.15120000000005</v>
      </c>
      <c r="AK91" s="14">
        <f t="shared" si="89"/>
        <v>49.337638092068957</v>
      </c>
      <c r="AL91" s="22">
        <f t="shared" si="58"/>
        <v>431.04305967702015</v>
      </c>
      <c r="AM91" s="62">
        <f t="shared" si="59"/>
        <v>724.37639301035347</v>
      </c>
      <c r="AN91" s="62">
        <f ca="1">AVERAGE(OFFSET($AM$3,0,0,'Données projet'!$E$10+1,1))-AVERAGE(OFFSET($H$3,0,0,'Données projet'!$E$10+1,1))</f>
        <v>206.38141226866287</v>
      </c>
      <c r="AO91" s="62">
        <f t="shared" si="90"/>
        <v>89.074420303945885</v>
      </c>
      <c r="AP91" s="16">
        <f>IF(ISNA(VLOOKUP(A91,'Données projet'!$A$61:$I$81,3,0)),0,VLOOKUP(A91,'Données projet'!$A$61:$I$81,3,0))</f>
        <v>7</v>
      </c>
      <c r="AQ91" s="16">
        <f>IF(ISNA(VLOOKUP(A91,'Données projet'!$A$61:$I$81,4,0)),0,VLOOKUP(A91,'Données projet'!$A$61:$I$81,4,0))</f>
        <v>35</v>
      </c>
      <c r="AR91" s="17">
        <f>IF(ISNA(VLOOKUP(A91,'Données projet'!$A$61:$I$81,5,0)),0%,VLOOKUP(A91,'Données projet'!$A$61:$I$81,5,0)*VLOOKUP('Données projet'!$B$10,Paramètres!$A$1:$I$89,7,0))</f>
        <v>0.215</v>
      </c>
      <c r="AS91" s="17">
        <f>IF(ISNA(VLOOKUP(A91,'Données projet'!$A$61:$I$81,6,0)),0%,VLOOKUP(A91,'Données projet'!$A$61:$I$81,6,0)*VLOOKUP('Données projet'!$B$10,Paramètres!$A$1:$I$89,7,0))</f>
        <v>0.17200000000000001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17.658173016581987</v>
      </c>
      <c r="AV91" s="23">
        <f>EXP(-LN(2)/25)*AV90+(1-EXP(-LN(2)/25))/(LN(2)/25)*Calculateur!AQ91*Calculateur!AS91*VLOOKUP('Données projet'!$B$10,Paramètres!$A$1:$I$89,3,0)*0.475*44/12</f>
        <v>13.204528065953225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30.86270108253521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4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1.738044375088066E-13</v>
      </c>
      <c r="P92" s="14">
        <f t="shared" si="87"/>
        <v>2.4483293633950478E-12</v>
      </c>
      <c r="Q92" s="22">
        <f t="shared" si="54"/>
        <v>4.566883036574213E-12</v>
      </c>
      <c r="R92" s="62">
        <f t="shared" si="55"/>
        <v>293.33333333333786</v>
      </c>
      <c r="S92" s="62">
        <f ca="1">AVERAGE(OFFSET($R$3,0,0,'Données projet'!$E$9+1,1))-AVERAGE(OFFSET($H$3,0,0,'Données projet'!$E$9+1,1))</f>
        <v>234.06296185782384</v>
      </c>
      <c r="T92" s="62">
        <f t="shared" si="88"/>
        <v>300.75555492874378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70.975956680539483</v>
      </c>
      <c r="AA92" s="23">
        <f>EXP(-LN(2)/25)*AA91+(1-EXP(-LN(2)/25))/(LN(2)/25)*Calculateur!V92*Calculateur!X92*VLOOKUP('Données projet'!$B$9,Paramètres!$A$1:$I$89,3,0)*0.475*44/12</f>
        <v>28.292219254769723</v>
      </c>
      <c r="AB92" s="23">
        <f>EXP(-LN(2)/2)*AB91+(1-EXP(-LN(2)/2))/(LN(2)/2)*V92*Y92*VLOOKUP('Données projet'!$B$9,Paramètres!$A$1:$I$89,3,0)*0.475*44/12</f>
        <v>5.7811080814216913E-4</v>
      </c>
      <c r="AC92" s="24">
        <f t="shared" si="57"/>
        <v>99.268754046117337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5.7</v>
      </c>
      <c r="AI92" s="14">
        <f>IF('Données projet'!$A$62&gt;35,AI91+AH92-AQ91,IF(A92&lt;'Données projet'!$A$62,$AF$205^A92,IF(A92='Données projet'!$A$62,'Données projet'!$B$62,AI91+AH92-AQ91)))</f>
        <v>189.70000000000005</v>
      </c>
      <c r="AJ92" s="14">
        <f>AI92*VLOOKUP('Données projet'!$B$10,Paramètres!$A$1:$I$89,3,0)*VLOOKUP('Données projet'!$B$10,Paramètres!$A$1:$I$89,5,0)</f>
        <v>171.64056000000005</v>
      </c>
      <c r="AK92" s="14">
        <f t="shared" si="89"/>
        <v>43.457248820627512</v>
      </c>
      <c r="AL92" s="22">
        <f t="shared" si="58"/>
        <v>374.62868369592633</v>
      </c>
      <c r="AM92" s="62">
        <f t="shared" si="59"/>
        <v>667.96201702925964</v>
      </c>
      <c r="AN92" s="62">
        <f ca="1">AVERAGE(OFFSET($AM$3,0,0,'Données projet'!$E$10+1,1))-AVERAGE(OFFSET($H$3,0,0,'Données projet'!$E$10+1,1))</f>
        <v>206.38141226866287</v>
      </c>
      <c r="AO92" s="62">
        <f t="shared" si="90"/>
        <v>89.074420303945885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17.311907014148865</v>
      </c>
      <c r="AV92" s="23">
        <f>EXP(-LN(2)/25)*AV91+(1-EXP(-LN(2)/25))/(LN(2)/25)*Calculateur!AQ92*Calculateur!AS92*VLOOKUP('Données projet'!$B$10,Paramètres!$A$1:$I$89,3,0)*0.475*44/12</f>
        <v>12.843449551593782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30.155356565742647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4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1.738044375088066E-13</v>
      </c>
      <c r="P93" s="14">
        <f t="shared" si="87"/>
        <v>2.4483293633950478E-12</v>
      </c>
      <c r="Q93" s="22">
        <f t="shared" si="54"/>
        <v>4.566883036574213E-12</v>
      </c>
      <c r="R93" s="62">
        <f t="shared" si="55"/>
        <v>293.33333333333786</v>
      </c>
      <c r="S93" s="62">
        <f ca="1">AVERAGE(OFFSET($R$3,0,0,'Données projet'!$E$9+1,1))-AVERAGE(OFFSET($H$3,0,0,'Données projet'!$E$9+1,1))</f>
        <v>234.06296185782384</v>
      </c>
      <c r="T93" s="62">
        <f t="shared" si="88"/>
        <v>300.75555492874378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69.584161461093046</v>
      </c>
      <c r="AA93" s="23">
        <f>EXP(-LN(2)/25)*AA92+(1-EXP(-LN(2)/25))/(LN(2)/25)*Calculateur!V93*Calculateur!X93*VLOOKUP('Données projet'!$B$9,Paramètres!$A$1:$I$89,3,0)*0.475*44/12</f>
        <v>27.518567031424897</v>
      </c>
      <c r="AB93" s="23">
        <f>EXP(-LN(2)/2)*AB92+(1-EXP(-LN(2)/2))/(LN(2)/2)*V93*Y93*VLOOKUP('Données projet'!$B$9,Paramètres!$A$1:$I$89,3,0)*0.475*44/12</f>
        <v>4.0878607271456295E-4</v>
      </c>
      <c r="AC93" s="24">
        <f t="shared" si="57"/>
        <v>97.103137278590651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5.7</v>
      </c>
      <c r="AI93" s="14">
        <f>IF('Données projet'!$A$62&gt;35,AI92+AH93-AQ92,IF(A93&lt;'Données projet'!$A$62,$AF$205^A93,IF(A93='Données projet'!$A$62,'Données projet'!$B$62,AI92+AH93-AQ92)))</f>
        <v>195.40000000000003</v>
      </c>
      <c r="AJ93" s="14">
        <f>AI93*VLOOKUP('Données projet'!$B$10,Paramètres!$A$1:$I$89,3,0)*VLOOKUP('Données projet'!$B$10,Paramètres!$A$1:$I$89,5,0)</f>
        <v>176.79792</v>
      </c>
      <c r="AK93" s="14">
        <f t="shared" si="89"/>
        <v>44.609039852547795</v>
      </c>
      <c r="AL93" s="22">
        <f t="shared" si="58"/>
        <v>385.6171217431874</v>
      </c>
      <c r="AM93" s="62">
        <f t="shared" si="59"/>
        <v>678.95045507652071</v>
      </c>
      <c r="AN93" s="62">
        <f ca="1">AVERAGE(OFFSET($AM$3,0,0,'Données projet'!$E$10+1,1))-AVERAGE(OFFSET($H$3,0,0,'Données projet'!$E$10+1,1))</f>
        <v>206.38141226866287</v>
      </c>
      <c r="AO93" s="62">
        <f t="shared" si="90"/>
        <v>89.074420303945885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16.972431076822048</v>
      </c>
      <c r="AV93" s="23">
        <f>EXP(-LN(2)/25)*AV92+(1-EXP(-LN(2)/25))/(LN(2)/25)*Calculateur!AQ93*Calculateur!AS93*VLOOKUP('Données projet'!$B$10,Paramètres!$A$1:$I$89,3,0)*0.475*44/12</f>
        <v>12.492244748197793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29.464675825019839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4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1.738044375088066E-13</v>
      </c>
      <c r="P94" s="14">
        <f t="shared" si="87"/>
        <v>2.4483293633950478E-12</v>
      </c>
      <c r="Q94" s="22">
        <f t="shared" si="54"/>
        <v>4.566883036574213E-12</v>
      </c>
      <c r="R94" s="62">
        <f t="shared" si="55"/>
        <v>293.33333333333786</v>
      </c>
      <c r="S94" s="62">
        <f ca="1">AVERAGE(OFFSET($R$3,0,0,'Données projet'!$E$9+1,1))-AVERAGE(OFFSET($H$3,0,0,'Données projet'!$E$9+1,1))</f>
        <v>234.06296185782384</v>
      </c>
      <c r="T94" s="62">
        <f t="shared" si="88"/>
        <v>300.75555492874378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68.219658496988686</v>
      </c>
      <c r="AA94" s="23">
        <f>EXP(-LN(2)/25)*AA93+(1-EXP(-LN(2)/25))/(LN(2)/25)*Calculateur!V94*Calculateur!X94*VLOOKUP('Données projet'!$B$9,Paramètres!$A$1:$I$89,3,0)*0.475*44/12</f>
        <v>26.766070368812038</v>
      </c>
      <c r="AB94" s="23">
        <f>EXP(-LN(2)/2)*AB93+(1-EXP(-LN(2)/2))/(LN(2)/2)*V94*Y94*VLOOKUP('Données projet'!$B$9,Paramètres!$A$1:$I$89,3,0)*0.475*44/12</f>
        <v>2.8905540407108457E-4</v>
      </c>
      <c r="AC94" s="24">
        <f t="shared" si="57"/>
        <v>94.986017921204791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5.7</v>
      </c>
      <c r="AI94" s="14">
        <f>IF('Données projet'!$A$62&gt;35,AI93+AH94-AQ93,IF(A94&lt;'Données projet'!$A$62,$AF$205^A94,IF(A94='Données projet'!$A$62,'Données projet'!$B$62,AI93+AH94-AQ93)))</f>
        <v>201.10000000000002</v>
      </c>
      <c r="AJ94" s="14">
        <f>AI94*VLOOKUP('Données projet'!$B$10,Paramètres!$A$1:$I$89,3,0)*VLOOKUP('Données projet'!$B$10,Paramètres!$A$1:$I$89,5,0)</f>
        <v>181.95528000000002</v>
      </c>
      <c r="AK94" s="14">
        <f t="shared" si="89"/>
        <v>45.756926029204784</v>
      </c>
      <c r="AL94" s="22">
        <f t="shared" si="58"/>
        <v>396.59875883419835</v>
      </c>
      <c r="AM94" s="62">
        <f t="shared" si="59"/>
        <v>689.93209216753166</v>
      </c>
      <c r="AN94" s="62">
        <f ca="1">AVERAGE(OFFSET($AM$3,0,0,'Données projet'!$E$10+1,1))-AVERAGE(OFFSET($H$3,0,0,'Données projet'!$E$10+1,1))</f>
        <v>206.38141226866287</v>
      </c>
      <c r="AO94" s="62">
        <f t="shared" si="90"/>
        <v>89.074420303945885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16.639612055566332</v>
      </c>
      <c r="AV94" s="23">
        <f>EXP(-LN(2)/25)*AV93+(1-EXP(-LN(2)/25))/(LN(2)/25)*Calculateur!AQ94*Calculateur!AS94*VLOOKUP('Données projet'!$B$10,Paramètres!$A$1:$I$89,3,0)*0.475*44/12</f>
        <v>12.150643658619725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28.790255714186056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4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1.738044375088066E-13</v>
      </c>
      <c r="P95" s="14">
        <f t="shared" si="87"/>
        <v>2.4483293633950478E-12</v>
      </c>
      <c r="Q95" s="22">
        <f t="shared" si="54"/>
        <v>4.566883036574213E-12</v>
      </c>
      <c r="R95" s="62">
        <f t="shared" si="55"/>
        <v>293.33333333333786</v>
      </c>
      <c r="S95" s="62">
        <f ca="1">AVERAGE(OFFSET($R$3,0,0,'Données projet'!$E$9+1,1))-AVERAGE(OFFSET($H$3,0,0,'Données projet'!$E$9+1,1))</f>
        <v>234.06296185782384</v>
      </c>
      <c r="T95" s="62">
        <f t="shared" si="88"/>
        <v>300.75555492874378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66.881912603745789</v>
      </c>
      <c r="AA95" s="23">
        <f>EXP(-LN(2)/25)*AA94+(1-EXP(-LN(2)/25))/(LN(2)/25)*Calculateur!V95*Calculateur!X95*VLOOKUP('Données projet'!$B$9,Paramètres!$A$1:$I$89,3,0)*0.475*44/12</f>
        <v>26.034150767010406</v>
      </c>
      <c r="AB95" s="23">
        <f>EXP(-LN(2)/2)*AB94+(1-EXP(-LN(2)/2))/(LN(2)/2)*V95*Y95*VLOOKUP('Données projet'!$B$9,Paramètres!$A$1:$I$89,3,0)*0.475*44/12</f>
        <v>2.0439303635728148E-4</v>
      </c>
      <c r="AC95" s="24">
        <f t="shared" si="57"/>
        <v>92.916267763792547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5.7</v>
      </c>
      <c r="AI95" s="14">
        <f>IF('Données projet'!$A$62&gt;35,AI94+AH95-AQ94,IF(A95&lt;'Données projet'!$A$62,$AF$205^A95,IF(A95='Données projet'!$A$62,'Données projet'!$B$62,AI94+AH95-AQ94)))</f>
        <v>206.8</v>
      </c>
      <c r="AJ95" s="14">
        <f>AI95*VLOOKUP('Données projet'!$B$10,Paramètres!$A$1:$I$89,3,0)*VLOOKUP('Données projet'!$B$10,Paramètres!$A$1:$I$89,5,0)</f>
        <v>187.11264</v>
      </c>
      <c r="AK95" s="14">
        <f t="shared" si="89"/>
        <v>46.901030743214655</v>
      </c>
      <c r="AL95" s="22">
        <f t="shared" si="58"/>
        <v>407.57380987776543</v>
      </c>
      <c r="AM95" s="62">
        <f t="shared" si="59"/>
        <v>700.90714321109874</v>
      </c>
      <c r="AN95" s="62">
        <f ca="1">AVERAGE(OFFSET($AM$3,0,0,'Données projet'!$E$10+1,1))-AVERAGE(OFFSET($H$3,0,0,'Données projet'!$E$10+1,1))</f>
        <v>206.38141226866287</v>
      </c>
      <c r="AO95" s="62">
        <f t="shared" si="90"/>
        <v>89.074420303945885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16.313319412317885</v>
      </c>
      <c r="AV95" s="23">
        <f>EXP(-LN(2)/25)*AV94+(1-EXP(-LN(2)/25))/(LN(2)/25)*Calculateur!AQ95*Calculateur!AS95*VLOOKUP('Données projet'!$B$10,Paramètres!$A$1:$I$89,3,0)*0.475*44/12</f>
        <v>11.818383668800189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28.131703081118076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4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1.738044375088066E-13</v>
      </c>
      <c r="P96" s="14">
        <f t="shared" si="87"/>
        <v>2.4483293633950478E-12</v>
      </c>
      <c r="Q96" s="22">
        <f t="shared" si="54"/>
        <v>4.566883036574213E-12</v>
      </c>
      <c r="R96" s="62">
        <f t="shared" si="55"/>
        <v>293.33333333333786</v>
      </c>
      <c r="S96" s="62">
        <f ca="1">AVERAGE(OFFSET($R$3,0,0,'Données projet'!$E$9+1,1))-AVERAGE(OFFSET($H$3,0,0,'Données projet'!$E$9+1,1))</f>
        <v>234.06296185782384</v>
      </c>
      <c r="T96" s="62">
        <f t="shared" si="88"/>
        <v>300.75555492874378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65.570399091524962</v>
      </c>
      <c r="AA96" s="23">
        <f>EXP(-LN(2)/25)*AA95+(1-EXP(-LN(2)/25))/(LN(2)/25)*Calculateur!V96*Calculateur!X96*VLOOKUP('Données projet'!$B$9,Paramètres!$A$1:$I$89,3,0)*0.475*44/12</f>
        <v>25.32224554521002</v>
      </c>
      <c r="AB96" s="23">
        <f>EXP(-LN(2)/2)*AB95+(1-EXP(-LN(2)/2))/(LN(2)/2)*V96*Y96*VLOOKUP('Données projet'!$B$9,Paramètres!$A$1:$I$89,3,0)*0.475*44/12</f>
        <v>1.4452770203554228E-4</v>
      </c>
      <c r="AC96" s="24">
        <f t="shared" si="57"/>
        <v>90.892789164437019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5.7</v>
      </c>
      <c r="AI96" s="14">
        <f>IF('Données projet'!$A$62&gt;35,AI95+AH96-AQ95,IF(A96&lt;'Données projet'!$A$62,$AF$205^A96,IF(A96='Données projet'!$A$62,'Données projet'!$B$62,AI95+AH96-AQ95)))</f>
        <v>212.5</v>
      </c>
      <c r="AJ96" s="14">
        <f>AI96*VLOOKUP('Données projet'!$B$10,Paramètres!$A$1:$I$89,3,0)*VLOOKUP('Données projet'!$B$10,Paramètres!$A$1:$I$89,5,0)</f>
        <v>192.26999999999998</v>
      </c>
      <c r="AK96" s="14">
        <f t="shared" si="89"/>
        <v>48.041470197986364</v>
      </c>
      <c r="AL96" s="22">
        <f t="shared" si="58"/>
        <v>418.54247726149288</v>
      </c>
      <c r="AM96" s="62">
        <f t="shared" si="59"/>
        <v>711.87581059482613</v>
      </c>
      <c r="AN96" s="62">
        <f ca="1">AVERAGE(OFFSET($AM$3,0,0,'Données projet'!$E$10+1,1))-AVERAGE(OFFSET($H$3,0,0,'Données projet'!$E$10+1,1))</f>
        <v>206.38141226866287</v>
      </c>
      <c r="AO96" s="62">
        <f t="shared" si="90"/>
        <v>89.074420303945885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15.993425168784677</v>
      </c>
      <c r="AV96" s="23">
        <f>EXP(-LN(2)/25)*AV95+(1-EXP(-LN(2)/25))/(LN(2)/25)*Calculateur!AQ96*Calculateur!AS96*VLOOKUP('Données projet'!$B$10,Paramètres!$A$1:$I$89,3,0)*0.475*44/12</f>
        <v>11.495209345875063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27.48863451465974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4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1.738044375088066E-13</v>
      </c>
      <c r="P97" s="14">
        <f t="shared" si="87"/>
        <v>2.4483293633950478E-12</v>
      </c>
      <c r="Q97" s="22">
        <f t="shared" si="54"/>
        <v>4.566883036574213E-12</v>
      </c>
      <c r="R97" s="62">
        <f t="shared" si="55"/>
        <v>293.33333333333786</v>
      </c>
      <c r="S97" s="62">
        <f ca="1">AVERAGE(OFFSET($R$3,0,0,'Données projet'!$E$9+1,1))-AVERAGE(OFFSET($H$3,0,0,'Données projet'!$E$9+1,1))</f>
        <v>234.06296185782384</v>
      </c>
      <c r="T97" s="62">
        <f t="shared" si="88"/>
        <v>300.75555492874378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64.284603559334528</v>
      </c>
      <c r="AA97" s="23">
        <f>EXP(-LN(2)/25)*AA96+(1-EXP(-LN(2)/25))/(LN(2)/25)*Calculateur!V97*Calculateur!X97*VLOOKUP('Données projet'!$B$9,Paramètres!$A$1:$I$89,3,0)*0.475*44/12</f>
        <v>24.629807409137232</v>
      </c>
      <c r="AB97" s="23">
        <f>EXP(-LN(2)/2)*AB96+(1-EXP(-LN(2)/2))/(LN(2)/2)*V97*Y97*VLOOKUP('Données projet'!$B$9,Paramètres!$A$1:$I$89,3,0)*0.475*44/12</f>
        <v>1.0219651817864074E-4</v>
      </c>
      <c r="AC97" s="24">
        <f t="shared" si="57"/>
        <v>88.914513164989941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5.7</v>
      </c>
      <c r="AI97" s="14">
        <f>IF('Données projet'!$A$62&gt;35,AI96+AH97-AQ96,IF(A97&lt;'Données projet'!$A$62,$AF$205^A97,IF(A97='Données projet'!$A$62,'Données projet'!$B$62,AI96+AH97-AQ96)))</f>
        <v>218.2</v>
      </c>
      <c r="AJ97" s="14">
        <f>AI97*VLOOKUP('Données projet'!$B$10,Paramètres!$A$1:$I$89,3,0)*VLOOKUP('Données projet'!$B$10,Paramètres!$A$1:$I$89,5,0)</f>
        <v>197.42735999999999</v>
      </c>
      <c r="AK97" s="14">
        <f t="shared" si="89"/>
        <v>49.178354008041872</v>
      </c>
      <c r="AL97" s="22">
        <f t="shared" si="58"/>
        <v>429.50495189733959</v>
      </c>
      <c r="AM97" s="62">
        <f t="shared" si="59"/>
        <v>722.83828523067291</v>
      </c>
      <c r="AN97" s="62">
        <f ca="1">AVERAGE(OFFSET($AM$3,0,0,'Données projet'!$E$10+1,1))-AVERAGE(OFFSET($H$3,0,0,'Données projet'!$E$10+1,1))</f>
        <v>206.38141226866287</v>
      </c>
      <c r="AO97" s="62">
        <f t="shared" si="90"/>
        <v>89.074420303945885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15.679803856250933</v>
      </c>
      <c r="AV97" s="23">
        <f>EXP(-LN(2)/25)*AV96+(1-EXP(-LN(2)/25))/(LN(2)/25)*Calculateur!AQ97*Calculateur!AS97*VLOOKUP('Données projet'!$B$10,Paramètres!$A$1:$I$89,3,0)*0.475*44/12</f>
        <v>11.180872241805323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26.860676098056256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4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1.738044375088066E-13</v>
      </c>
      <c r="P98" s="14">
        <f t="shared" si="87"/>
        <v>2.4483293633950478E-12</v>
      </c>
      <c r="Q98" s="22">
        <f t="shared" si="54"/>
        <v>4.566883036574213E-12</v>
      </c>
      <c r="R98" s="62">
        <f t="shared" si="55"/>
        <v>293.33333333333786</v>
      </c>
      <c r="S98" s="62">
        <f ca="1">AVERAGE(OFFSET($R$3,0,0,'Données projet'!$E$9+1,1))-AVERAGE(OFFSET($H$3,0,0,'Données projet'!$E$9+1,1))</f>
        <v>234.06296185782384</v>
      </c>
      <c r="T98" s="62">
        <f t="shared" si="88"/>
        <v>300.75555492874378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63.024021693272509</v>
      </c>
      <c r="AA98" s="23">
        <f>EXP(-LN(2)/25)*AA97+(1-EXP(-LN(2)/25))/(LN(2)/25)*Calculateur!V98*Calculateur!X98*VLOOKUP('Données projet'!$B$9,Paramètres!$A$1:$I$89,3,0)*0.475*44/12</f>
        <v>23.956304030309095</v>
      </c>
      <c r="AB98" s="23">
        <f>EXP(-LN(2)/2)*AB97+(1-EXP(-LN(2)/2))/(LN(2)/2)*V98*Y98*VLOOKUP('Données projet'!$B$9,Paramètres!$A$1:$I$89,3,0)*0.475*44/12</f>
        <v>7.2263851017771141E-5</v>
      </c>
      <c r="AC98" s="24">
        <f t="shared" si="57"/>
        <v>86.980397987432625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5.7</v>
      </c>
      <c r="AI98" s="14">
        <f>IF('Données projet'!$A$62&gt;35,AI97+AH98-AQ97,IF(A98&lt;'Données projet'!$A$62,$AF$205^A98,IF(A98='Données projet'!$A$62,'Données projet'!$B$62,AI97+AH98-AQ97)))</f>
        <v>223.89999999999998</v>
      </c>
      <c r="AJ98" s="14">
        <f>AI98*VLOOKUP('Données projet'!$B$10,Paramètres!$A$1:$I$89,3,0)*VLOOKUP('Données projet'!$B$10,Paramètres!$A$1:$I$89,5,0)</f>
        <v>202.58471999999995</v>
      </c>
      <c r="AK98" s="14">
        <f t="shared" si="89"/>
        <v>50.31178573484361</v>
      </c>
      <c r="AL98" s="22">
        <f t="shared" si="58"/>
        <v>440.46141415485255</v>
      </c>
      <c r="AM98" s="62">
        <f t="shared" si="59"/>
        <v>733.79474748818586</v>
      </c>
      <c r="AN98" s="62">
        <f ca="1">AVERAGE(OFFSET($AM$3,0,0,'Données projet'!$E$10+1,1))-AVERAGE(OFFSET($H$3,0,0,'Données projet'!$E$10+1,1))</f>
        <v>206.38141226866287</v>
      </c>
      <c r="AO98" s="62">
        <f t="shared" si="90"/>
        <v>89.074420303945885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15.372332466365863</v>
      </c>
      <c r="AV98" s="23">
        <f>EXP(-LN(2)/25)*AV97+(1-EXP(-LN(2)/25))/(LN(2)/25)*Calculateur!AQ98*Calculateur!AS98*VLOOKUP('Données projet'!$B$10,Paramètres!$A$1:$I$89,3,0)*0.475*44/12</f>
        <v>10.875130702376639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26.247463168742502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4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1.738044375088066E-13</v>
      </c>
      <c r="P99" s="14">
        <f t="shared" si="87"/>
        <v>2.4483293633950478E-12</v>
      </c>
      <c r="Q99" s="22">
        <f t="shared" ref="Q99:Q130" si="107">(O99+P99)*0.475*44/12</f>
        <v>4.566883036574213E-12</v>
      </c>
      <c r="R99" s="62">
        <f t="shared" si="55"/>
        <v>293.33333333333786</v>
      </c>
      <c r="S99" s="62">
        <f ca="1">AVERAGE(OFFSET($R$3,0,0,'Données projet'!$E$9+1,1))-AVERAGE(OFFSET($H$3,0,0,'Données projet'!$E$9+1,1))</f>
        <v>234.06296185782384</v>
      </c>
      <c r="T99" s="62">
        <f t="shared" si="88"/>
        <v>300.75555492874378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61.788159068724951</v>
      </c>
      <c r="AA99" s="23">
        <f>EXP(-LN(2)/25)*AA98+(1-EXP(-LN(2)/25))/(LN(2)/25)*Calculateur!V99*Calculateur!X99*VLOOKUP('Données projet'!$B$9,Paramètres!$A$1:$I$89,3,0)*0.475*44/12</f>
        <v>23.301217636793016</v>
      </c>
      <c r="AB99" s="23">
        <f>EXP(-LN(2)/2)*AB98+(1-EXP(-LN(2)/2))/(LN(2)/2)*V99*Y99*VLOOKUP('Données projet'!$B$9,Paramètres!$A$1:$I$89,3,0)*0.475*44/12</f>
        <v>5.1098259089320369E-5</v>
      </c>
      <c r="AC99" s="24">
        <f t="shared" si="57"/>
        <v>85.089427803777056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5.7</v>
      </c>
      <c r="AI99" s="14">
        <f>IF('Données projet'!$A$62&gt;35,AI98+AH99-AQ98,IF(A99&lt;'Données projet'!$A$62,$AF$205^A99,IF(A99='Données projet'!$A$62,'Données projet'!$B$62,AI98+AH99-AQ98)))</f>
        <v>229.59999999999997</v>
      </c>
      <c r="AJ99" s="14">
        <f>AI99*VLOOKUP('Données projet'!$B$10,Paramètres!$A$1:$I$89,3,0)*VLOOKUP('Données projet'!$B$10,Paramètres!$A$1:$I$89,5,0)</f>
        <v>207.74207999999996</v>
      </c>
      <c r="AK99" s="14">
        <f t="shared" si="89"/>
        <v>51.441863366522419</v>
      </c>
      <c r="AL99" s="22">
        <f t="shared" si="58"/>
        <v>451.41203469669313</v>
      </c>
      <c r="AM99" s="62">
        <f t="shared" si="59"/>
        <v>744.74536803002638</v>
      </c>
      <c r="AN99" s="62">
        <f ca="1">AVERAGE(OFFSET($AM$3,0,0,'Données projet'!$E$10+1,1))-AVERAGE(OFFSET($H$3,0,0,'Données projet'!$E$10+1,1))</f>
        <v>206.38141226866287</v>
      </c>
      <c r="AO99" s="62">
        <f t="shared" si="90"/>
        <v>89.074420303945885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15.07089040289741</v>
      </c>
      <c r="AV99" s="23">
        <f>EXP(-LN(2)/25)*AV98+(1-EXP(-LN(2)/25))/(LN(2)/25)*Calculateur!AQ99*Calculateur!AS99*VLOOKUP('Données projet'!$B$10,Paramètres!$A$1:$I$89,3,0)*0.475*44/12</f>
        <v>10.577749681421881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25.64864008431929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4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1.738044375088066E-13</v>
      </c>
      <c r="P100" s="14">
        <f t="shared" si="87"/>
        <v>2.4483293633950478E-12</v>
      </c>
      <c r="Q100" s="22">
        <f t="shared" si="107"/>
        <v>4.566883036574213E-12</v>
      </c>
      <c r="R100" s="62">
        <f t="shared" si="55"/>
        <v>293.33333333333786</v>
      </c>
      <c r="S100" s="62">
        <f ca="1">AVERAGE(OFFSET($R$3,0,0,'Données projet'!$E$9+1,1))-AVERAGE(OFFSET($H$3,0,0,'Données projet'!$E$9+1,1))</f>
        <v>234.06296185782384</v>
      </c>
      <c r="T100" s="62">
        <f t="shared" si="88"/>
        <v>300.75555492874378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60.576530956443001</v>
      </c>
      <c r="AA100" s="23">
        <f>EXP(-LN(2)/25)*AA99+(1-EXP(-LN(2)/25))/(LN(2)/25)*Calculateur!V100*Calculateur!X100*VLOOKUP('Données projet'!$B$9,Paramètres!$A$1:$I$89,3,0)*0.475*44/12</f>
        <v>22.664044615157131</v>
      </c>
      <c r="AB100" s="23">
        <f>EXP(-LN(2)/2)*AB99+(1-EXP(-LN(2)/2))/(LN(2)/2)*V100*Y100*VLOOKUP('Données projet'!$B$9,Paramètres!$A$1:$I$89,3,0)*0.475*44/12</f>
        <v>3.6131925508885571E-5</v>
      </c>
      <c r="AC100" s="24">
        <f t="shared" si="57"/>
        <v>83.240611703525644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5.7</v>
      </c>
      <c r="AI100" s="14">
        <f>IF('Données projet'!$A$62&gt;35,AI99+AH100-AQ99,IF(A100&lt;'Données projet'!$A$62,$AF$205^A100,IF(A100='Données projet'!$A$62,'Données projet'!$B$62,AI99+AH100-AQ99)))</f>
        <v>235.29999999999995</v>
      </c>
      <c r="AJ100" s="14">
        <f>AI100*VLOOKUP('Données projet'!$B$10,Paramètres!$A$1:$I$89,3,0)*VLOOKUP('Données projet'!$B$10,Paramètres!$A$1:$I$89,5,0)</f>
        <v>212.89943999999994</v>
      </c>
      <c r="AK100" s="14">
        <f t="shared" si="89"/>
        <v>52.568679748625613</v>
      </c>
      <c r="AL100" s="22">
        <f t="shared" si="58"/>
        <v>462.35697522885613</v>
      </c>
      <c r="AM100" s="62">
        <f t="shared" si="59"/>
        <v>755.69030856218944</v>
      </c>
      <c r="AN100" s="62">
        <f ca="1">AVERAGE(OFFSET($AM$3,0,0,'Données projet'!$E$10+1,1))-AVERAGE(OFFSET($H$3,0,0,'Données projet'!$E$10+1,1))</f>
        <v>206.38141226866287</v>
      </c>
      <c r="AO100" s="62">
        <f t="shared" si="90"/>
        <v>89.074420303945885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14.775359434432071</v>
      </c>
      <c r="AV100" s="23">
        <f>EXP(-LN(2)/25)*AV99+(1-EXP(-LN(2)/25))/(LN(2)/25)*Calculateur!AQ100*Calculateur!AS100*VLOOKUP('Données projet'!$B$10,Paramètres!$A$1:$I$89,3,0)*0.475*44/12</f>
        <v>10.288500560123721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25.063859994555791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4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1.738044375088066E-13</v>
      </c>
      <c r="P101" s="14">
        <f t="shared" si="87"/>
        <v>2.4483293633950478E-12</v>
      </c>
      <c r="Q101" s="22">
        <f t="shared" si="107"/>
        <v>4.566883036574213E-12</v>
      </c>
      <c r="R101" s="62">
        <f t="shared" si="55"/>
        <v>293.33333333333786</v>
      </c>
      <c r="S101" s="62">
        <f ca="1">AVERAGE(OFFSET($R$3,0,0,'Données projet'!$E$9+1,1))-AVERAGE(OFFSET($H$3,0,0,'Données projet'!$E$9+1,1))</f>
        <v>234.06296185782384</v>
      </c>
      <c r="T101" s="62">
        <f t="shared" si="88"/>
        <v>300.75555492874378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59.388662132422724</v>
      </c>
      <c r="AA101" s="23">
        <f>EXP(-LN(2)/25)*AA100+(1-EXP(-LN(2)/25))/(LN(2)/25)*Calculateur!V101*Calculateur!X101*VLOOKUP('Données projet'!$B$9,Paramètres!$A$1:$I$89,3,0)*0.475*44/12</f>
        <v>22.044295123305353</v>
      </c>
      <c r="AB101" s="23">
        <f>EXP(-LN(2)/2)*AB100+(1-EXP(-LN(2)/2))/(LN(2)/2)*V101*Y101*VLOOKUP('Données projet'!$B$9,Paramètres!$A$1:$I$89,3,0)*0.475*44/12</f>
        <v>2.5549129544660185E-5</v>
      </c>
      <c r="AC101" s="24">
        <f t="shared" si="57"/>
        <v>81.432982804857616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>
        <f>VLOOKUP(A101,'Données projet'!$A$61:$I$81,2,0)</f>
        <v>241</v>
      </c>
      <c r="AG101" s="13">
        <f>VLOOKUP(A101,'Données projet'!$A$61:$I$81,9,0)</f>
        <v>5.7</v>
      </c>
      <c r="AH101" s="13">
        <f t="array" ref="AH101">INDEX(AG:AG,MIN(IF(ISNUMBER(AG101:AG297),ROW(AG101:AG297),"")))</f>
        <v>5.7</v>
      </c>
      <c r="AI101" s="14">
        <f>IF('Données projet'!$A$62&gt;35,AI100+AH101-AQ100,IF(A101&lt;'Données projet'!$A$62,$AF$205^A101,IF(A101='Données projet'!$A$62,'Données projet'!$B$62,AI100+AH101-AQ100)))</f>
        <v>240.99999999999994</v>
      </c>
      <c r="AJ101" s="14">
        <f>AI101*VLOOKUP('Données projet'!$B$10,Paramètres!$A$1:$I$89,3,0)*VLOOKUP('Données projet'!$B$10,Paramètres!$A$1:$I$89,5,0)</f>
        <v>218.05679999999992</v>
      </c>
      <c r="AK101" s="14">
        <f t="shared" si="89"/>
        <v>53.69232297195181</v>
      </c>
      <c r="AL101" s="22">
        <f t="shared" si="58"/>
        <v>473.29638917614926</v>
      </c>
      <c r="AM101" s="62">
        <f t="shared" si="59"/>
        <v>766.62972250948258</v>
      </c>
      <c r="AN101" s="62">
        <f ca="1">AVERAGE(OFFSET($AM$3,0,0,'Données projet'!$E$10+1,1))-AVERAGE(OFFSET($H$3,0,0,'Données projet'!$E$10+1,1))</f>
        <v>206.38141226866287</v>
      </c>
      <c r="AO101" s="62">
        <f t="shared" si="90"/>
        <v>89.074420303945885</v>
      </c>
      <c r="AP101" s="16">
        <f>IF(ISNA(VLOOKUP(A101,'Données projet'!$A$61:$I$81,3,0)),0,VLOOKUP(A101,'Données projet'!$A$61:$I$81,3,0))</f>
        <v>8</v>
      </c>
      <c r="AQ101" s="16">
        <f>IF(ISNA(VLOOKUP(A101,'Données projet'!$A$61:$I$81,4,0)),0,VLOOKUP(A101,'Données projet'!$A$61:$I$81,4,0))</f>
        <v>34</v>
      </c>
      <c r="AR101" s="17">
        <f>IF(ISNA(VLOOKUP(A101,'Données projet'!$A$61:$I$81,5,0)),0%,VLOOKUP(A101,'Données projet'!$A$61:$I$81,5,0)*VLOOKUP('Données projet'!$B$10,Paramètres!$A$1:$I$89,7,0))</f>
        <v>0.215</v>
      </c>
      <c r="AS101" s="17">
        <f>IF(ISNA(VLOOKUP(A101,'Données projet'!$A$61:$I$81,6,0)),0%,VLOOKUP(A101,'Données projet'!$A$61:$I$81,6,0)*VLOOKUP('Données projet'!$B$10,Paramètres!$A$1:$I$89,7,0))</f>
        <v>0.17200000000000001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21.797302019626571</v>
      </c>
      <c r="AV101" s="23">
        <f>EXP(-LN(2)/25)*AV100+(1-EXP(-LN(2)/25))/(LN(2)/25)*Calculateur!AQ101*Calculateur!AS101*VLOOKUP('Données projet'!$B$10,Paramètres!$A$1:$I$89,3,0)*0.475*44/12</f>
        <v>15.833472577584306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37.630774597210873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4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1.738044375088066E-13</v>
      </c>
      <c r="P102" s="14">
        <f t="shared" si="87"/>
        <v>2.4483293633950478E-12</v>
      </c>
      <c r="Q102" s="22">
        <f t="shared" si="107"/>
        <v>4.566883036574213E-12</v>
      </c>
      <c r="R102" s="62">
        <f t="shared" si="55"/>
        <v>293.33333333333786</v>
      </c>
      <c r="S102" s="62">
        <f ca="1">AVERAGE(OFFSET($R$3,0,0,'Données projet'!$E$9+1,1))-AVERAGE(OFFSET($H$3,0,0,'Données projet'!$E$9+1,1))</f>
        <v>234.06296185782384</v>
      </c>
      <c r="T102" s="62">
        <f t="shared" si="88"/>
        <v>300.75555492874378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58.224086691513044</v>
      </c>
      <c r="AA102" s="23">
        <f>EXP(-LN(2)/25)*AA101+(1-EXP(-LN(2)/25))/(LN(2)/25)*Calculateur!V102*Calculateur!X102*VLOOKUP('Données projet'!$B$9,Paramètres!$A$1:$I$89,3,0)*0.475*44/12</f>
        <v>21.441492713899471</v>
      </c>
      <c r="AB102" s="23">
        <f>EXP(-LN(2)/2)*AB101+(1-EXP(-LN(2)/2))/(LN(2)/2)*V102*Y102*VLOOKUP('Données projet'!$B$9,Paramètres!$A$1:$I$89,3,0)*0.475*44/12</f>
        <v>1.8065962754442785E-5</v>
      </c>
      <c r="AC102" s="24">
        <f t="shared" si="57"/>
        <v>79.665597471375264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5.7</v>
      </c>
      <c r="AI102" s="14">
        <f>IF('Données projet'!$A$62&gt;35,AI101+AH102-AQ101,IF(A102&lt;'Données projet'!$A$62,$AF$205^A102,IF(A102='Données projet'!$A$62,'Données projet'!$B$62,AI101+AH102-AQ101)))</f>
        <v>212.69999999999993</v>
      </c>
      <c r="AJ102" s="14">
        <f>AI102*VLOOKUP('Données projet'!$B$10,Paramètres!$A$1:$I$89,3,0)*VLOOKUP('Données projet'!$B$10,Paramètres!$A$1:$I$89,5,0)</f>
        <v>192.45095999999995</v>
      </c>
      <c r="AK102" s="14">
        <f t="shared" si="89"/>
        <v>48.081420427304231</v>
      </c>
      <c r="AL102" s="22">
        <f t="shared" si="58"/>
        <v>418.92722924422151</v>
      </c>
      <c r="AM102" s="62">
        <f t="shared" si="59"/>
        <v>712.26056257755477</v>
      </c>
      <c r="AN102" s="62">
        <f ca="1">AVERAGE(OFFSET($AM$3,0,0,'Données projet'!$E$10+1,1))-AVERAGE(OFFSET($H$3,0,0,'Données projet'!$E$10+1,1))</f>
        <v>206.38141226866287</v>
      </c>
      <c r="AO102" s="62">
        <f t="shared" si="90"/>
        <v>89.074420303945885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21.369870222063149</v>
      </c>
      <c r="AV102" s="23">
        <f>EXP(-LN(2)/25)*AV101+(1-EXP(-LN(2)/25))/(LN(2)/25)*Calculateur!AQ102*Calculateur!AS102*VLOOKUP('Données projet'!$B$10,Paramètres!$A$1:$I$89,3,0)*0.475*44/12</f>
        <v>15.400505437304128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36.770375659367275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4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1.738044375088066E-13</v>
      </c>
      <c r="P103" s="14">
        <f t="shared" si="87"/>
        <v>2.4483293633950478E-12</v>
      </c>
      <c r="Q103" s="22">
        <f t="shared" si="107"/>
        <v>4.566883036574213E-12</v>
      </c>
      <c r="R103" s="62">
        <f t="shared" si="55"/>
        <v>293.33333333333786</v>
      </c>
      <c r="S103" s="62">
        <f ca="1">AVERAGE(OFFSET($R$3,0,0,'Données projet'!$E$9+1,1))-AVERAGE(OFFSET($H$3,0,0,'Données projet'!$E$9+1,1))</f>
        <v>234.06296185782384</v>
      </c>
      <c r="T103" s="62">
        <f t="shared" si="88"/>
        <v>300.75555492874378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57.082347864678717</v>
      </c>
      <c r="AA103" s="23">
        <f>EXP(-LN(2)/25)*AA102+(1-EXP(-LN(2)/25))/(LN(2)/25)*Calculateur!V103*Calculateur!X103*VLOOKUP('Données projet'!$B$9,Paramètres!$A$1:$I$89,3,0)*0.475*44/12</f>
        <v>20.855173968078795</v>
      </c>
      <c r="AB103" s="23">
        <f>EXP(-LN(2)/2)*AB102+(1-EXP(-LN(2)/2))/(LN(2)/2)*V103*Y103*VLOOKUP('Données projet'!$B$9,Paramètres!$A$1:$I$89,3,0)*0.475*44/12</f>
        <v>1.2774564772330092E-5</v>
      </c>
      <c r="AC103" s="24">
        <f t="shared" si="57"/>
        <v>77.937534607322277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5.7</v>
      </c>
      <c r="AI103" s="14">
        <f>IF('Données projet'!$A$62&gt;35,AI102+AH103-AQ102,IF(A103&lt;'Données projet'!$A$62,$AF$205^A103,IF(A103='Données projet'!$A$62,'Données projet'!$B$62,AI102+AH103-AQ102)))</f>
        <v>218.39999999999992</v>
      </c>
      <c r="AJ103" s="14">
        <f>AI103*VLOOKUP('Données projet'!$B$10,Paramètres!$A$1:$I$89,3,0)*VLOOKUP('Données projet'!$B$10,Paramètres!$A$1:$I$89,5,0)</f>
        <v>197.60831999999991</v>
      </c>
      <c r="AK103" s="14">
        <f t="shared" si="89"/>
        <v>49.218181392381361</v>
      </c>
      <c r="AL103" s="22">
        <f t="shared" si="58"/>
        <v>429.88948992506403</v>
      </c>
      <c r="AM103" s="62">
        <f t="shared" si="59"/>
        <v>723.22282325839728</v>
      </c>
      <c r="AN103" s="62">
        <f ca="1">AVERAGE(OFFSET($AM$3,0,0,'Données projet'!$E$10+1,1))-AVERAGE(OFFSET($H$3,0,0,'Données projet'!$E$10+1,1))</f>
        <v>206.38141226866287</v>
      </c>
      <c r="AO103" s="62">
        <f t="shared" si="90"/>
        <v>89.074420303945885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20.950820101342291</v>
      </c>
      <c r="AV103" s="23">
        <f>EXP(-LN(2)/25)*AV102+(1-EXP(-LN(2)/25))/(LN(2)/25)*Calculateur!AQ103*Calculateur!AS103*VLOOKUP('Données projet'!$B$10,Paramètres!$A$1:$I$89,3,0)*0.475*44/12</f>
        <v>14.979377806243663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35.930197907585956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4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1.738044375088066E-13</v>
      </c>
      <c r="P104" s="14">
        <f t="shared" si="87"/>
        <v>2.4483293633950478E-12</v>
      </c>
      <c r="Q104" s="22">
        <f t="shared" si="107"/>
        <v>4.566883036574213E-12</v>
      </c>
      <c r="R104" s="62">
        <f t="shared" si="55"/>
        <v>293.33333333333786</v>
      </c>
      <c r="S104" s="62">
        <f ca="1">AVERAGE(OFFSET($R$3,0,0,'Données projet'!$E$9+1,1))-AVERAGE(OFFSET($H$3,0,0,'Données projet'!$E$9+1,1))</f>
        <v>234.06296185782384</v>
      </c>
      <c r="T104" s="62">
        <f t="shared" si="88"/>
        <v>300.75555492874378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55.962997839846693</v>
      </c>
      <c r="AA104" s="23">
        <f>EXP(-LN(2)/25)*AA103+(1-EXP(-LN(2)/25))/(LN(2)/25)*Calculateur!V104*Calculateur!X104*VLOOKUP('Données projet'!$B$9,Paramètres!$A$1:$I$89,3,0)*0.475*44/12</f>
        <v>20.284888139195747</v>
      </c>
      <c r="AB104" s="23">
        <f>EXP(-LN(2)/2)*AB103+(1-EXP(-LN(2)/2))/(LN(2)/2)*V104*Y104*VLOOKUP('Données projet'!$B$9,Paramètres!$A$1:$I$89,3,0)*0.475*44/12</f>
        <v>9.0329813772213927E-6</v>
      </c>
      <c r="AC104" s="24">
        <f t="shared" si="57"/>
        <v>76.247895012023818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5.7</v>
      </c>
      <c r="AI104" s="14">
        <f>IF('Données projet'!$A$62&gt;35,AI103+AH104-AQ103,IF(A104&lt;'Données projet'!$A$62,$AF$205^A104,IF(A104='Données projet'!$A$62,'Données projet'!$B$62,AI103+AH104-AQ103)))</f>
        <v>224.09999999999991</v>
      </c>
      <c r="AJ104" s="14">
        <f>AI104*VLOOKUP('Données projet'!$B$10,Paramètres!$A$1:$I$89,3,0)*VLOOKUP('Données projet'!$B$10,Paramètres!$A$1:$I$89,5,0)</f>
        <v>202.76567999999992</v>
      </c>
      <c r="AK104" s="14">
        <f t="shared" si="89"/>
        <v>50.351493804082949</v>
      </c>
      <c r="AL104" s="22">
        <f t="shared" si="58"/>
        <v>440.84574437544433</v>
      </c>
      <c r="AM104" s="62">
        <f t="shared" si="59"/>
        <v>734.17907770877764</v>
      </c>
      <c r="AN104" s="62">
        <f ca="1">AVERAGE(OFFSET($AM$3,0,0,'Données projet'!$E$10+1,1))-AVERAGE(OFFSET($H$3,0,0,'Données projet'!$E$10+1,1))</f>
        <v>206.38141226866287</v>
      </c>
      <c r="AO104" s="62">
        <f t="shared" si="90"/>
        <v>89.074420303945885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20.539987297893436</v>
      </c>
      <c r="AV104" s="23">
        <f>EXP(-LN(2)/25)*AV103+(1-EXP(-LN(2)/25))/(LN(2)/25)*Calculateur!AQ104*Calculateur!AS104*VLOOKUP('Données projet'!$B$10,Paramètres!$A$1:$I$89,3,0)*0.475*44/12</f>
        <v>14.569765932400687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35.109753230294125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4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1.738044375088066E-13</v>
      </c>
      <c r="P105" s="14">
        <f t="shared" si="87"/>
        <v>2.4483293633950478E-12</v>
      </c>
      <c r="Q105" s="22">
        <f t="shared" si="107"/>
        <v>4.566883036574213E-12</v>
      </c>
      <c r="R105" s="62">
        <f t="shared" si="55"/>
        <v>293.33333333333786</v>
      </c>
      <c r="S105" s="62">
        <f ca="1">AVERAGE(OFFSET($R$3,0,0,'Données projet'!$E$9+1,1))-AVERAGE(OFFSET($H$3,0,0,'Données projet'!$E$9+1,1))</f>
        <v>234.06296185782384</v>
      </c>
      <c r="T105" s="62">
        <f t="shared" si="88"/>
        <v>300.75555492874378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54.865597586265523</v>
      </c>
      <c r="AA105" s="23">
        <f>EXP(-LN(2)/25)*AA104+(1-EXP(-LN(2)/25))/(LN(2)/25)*Calculateur!V105*Calculateur!X105*VLOOKUP('Données projet'!$B$9,Paramètres!$A$1:$I$89,3,0)*0.475*44/12</f>
        <v>19.730196806293534</v>
      </c>
      <c r="AB105" s="23">
        <f>EXP(-LN(2)/2)*AB104+(1-EXP(-LN(2)/2))/(LN(2)/2)*V105*Y105*VLOOKUP('Données projet'!$B$9,Paramètres!$A$1:$I$89,3,0)*0.475*44/12</f>
        <v>6.3872823861650461E-6</v>
      </c>
      <c r="AC105" s="24">
        <f t="shared" si="57"/>
        <v>74.59580077984144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5.7</v>
      </c>
      <c r="AI105" s="14">
        <f>IF('Données projet'!$A$62&gt;35,AI104+AH105-AQ104,IF(A105&lt;'Données projet'!$A$62,$AF$205^A105,IF(A105='Données projet'!$A$62,'Données projet'!$B$62,AI104+AH105-AQ104)))</f>
        <v>229.7999999999999</v>
      </c>
      <c r="AJ105" s="14">
        <f>AI105*VLOOKUP('Données projet'!$B$10,Paramètres!$A$1:$I$89,3,0)*VLOOKUP('Données projet'!$B$10,Paramètres!$A$1:$I$89,5,0)</f>
        <v>207.9230399999999</v>
      </c>
      <c r="AK105" s="14">
        <f t="shared" si="89"/>
        <v>51.481455463073324</v>
      </c>
      <c r="AL105" s="22">
        <f t="shared" si="58"/>
        <v>451.79616293151918</v>
      </c>
      <c r="AM105" s="62">
        <f t="shared" si="59"/>
        <v>745.12949626485249</v>
      </c>
      <c r="AN105" s="62">
        <f ca="1">AVERAGE(OFFSET($AM$3,0,0,'Données projet'!$E$10+1,1))-AVERAGE(OFFSET($H$3,0,0,'Données projet'!$E$10+1,1))</f>
        <v>206.38141226866287</v>
      </c>
      <c r="AO105" s="62">
        <f t="shared" si="90"/>
        <v>89.074420303945885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20.137210675136945</v>
      </c>
      <c r="AV105" s="23">
        <f>EXP(-LN(2)/25)*AV104+(1-EXP(-LN(2)/25))/(LN(2)/25)*Calculateur!AQ105*Calculateur!AS105*VLOOKUP('Données projet'!$B$10,Paramètres!$A$1:$I$89,3,0)*0.475*44/12</f>
        <v>14.171354916788498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34.308565591925444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4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1.738044375088066E-13</v>
      </c>
      <c r="P106" s="14">
        <f t="shared" si="87"/>
        <v>2.4483293633950478E-12</v>
      </c>
      <c r="Q106" s="22">
        <f t="shared" si="107"/>
        <v>4.566883036574213E-12</v>
      </c>
      <c r="R106" s="62">
        <f t="shared" si="55"/>
        <v>293.33333333333786</v>
      </c>
      <c r="S106" s="62">
        <f ca="1">AVERAGE(OFFSET($R$3,0,0,'Données projet'!$E$9+1,1))-AVERAGE(OFFSET($H$3,0,0,'Données projet'!$E$9+1,1))</f>
        <v>234.06296185782384</v>
      </c>
      <c r="T106" s="62">
        <f t="shared" si="88"/>
        <v>300.75555492874378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53.78971668230902</v>
      </c>
      <c r="AA106" s="23">
        <f>EXP(-LN(2)/25)*AA105+(1-EXP(-LN(2)/25))/(LN(2)/25)*Calculateur!V106*Calculateur!X106*VLOOKUP('Données projet'!$B$9,Paramètres!$A$1:$I$89,3,0)*0.475*44/12</f>
        <v>19.190673537059482</v>
      </c>
      <c r="AB106" s="23">
        <f>EXP(-LN(2)/2)*AB105+(1-EXP(-LN(2)/2))/(LN(2)/2)*V106*Y106*VLOOKUP('Données projet'!$B$9,Paramètres!$A$1:$I$89,3,0)*0.475*44/12</f>
        <v>4.5164906886106963E-6</v>
      </c>
      <c r="AC106" s="24">
        <f t="shared" si="57"/>
        <v>72.980394735859193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5.7</v>
      </c>
      <c r="AI106" s="14">
        <f>IF('Données projet'!$A$62&gt;35,AI105+AH106-AQ105,IF(A106&lt;'Données projet'!$A$62,$AF$205^A106,IF(A106='Données projet'!$A$62,'Données projet'!$B$62,AI105+AH106-AQ105)))</f>
        <v>235.49999999999989</v>
      </c>
      <c r="AJ106" s="14">
        <f>AI106*VLOOKUP('Données projet'!$B$10,Paramètres!$A$1:$I$89,3,0)*VLOOKUP('Données projet'!$B$10,Paramètres!$A$1:$I$89,5,0)</f>
        <v>213.08039999999988</v>
      </c>
      <c r="AK106" s="14">
        <f t="shared" si="89"/>
        <v>52.60815904173559</v>
      </c>
      <c r="AL106" s="22">
        <f t="shared" si="58"/>
        <v>462.74090699768925</v>
      </c>
      <c r="AM106" s="62">
        <f t="shared" si="59"/>
        <v>756.07424033102257</v>
      </c>
      <c r="AN106" s="62">
        <f ca="1">AVERAGE(OFFSET($AM$3,0,0,'Données projet'!$E$10+1,1))-AVERAGE(OFFSET($H$3,0,0,'Données projet'!$E$10+1,1))</f>
        <v>206.38141226866287</v>
      </c>
      <c r="AO106" s="62">
        <f t="shared" si="90"/>
        <v>89.074420303945885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19.742332256283227</v>
      </c>
      <c r="AV106" s="23">
        <f>EXP(-LN(2)/25)*AV105+(1-EXP(-LN(2)/25))/(LN(2)/25)*Calculateur!AQ106*Calculateur!AS106*VLOOKUP('Données projet'!$B$10,Paramètres!$A$1:$I$89,3,0)*0.475*44/12</f>
        <v>13.783838471349751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33.52617072763298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4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1.738044375088066E-13</v>
      </c>
      <c r="P107" s="14">
        <f t="shared" si="87"/>
        <v>2.4483293633950478E-12</v>
      </c>
      <c r="Q107" s="22">
        <f t="shared" si="107"/>
        <v>4.566883036574213E-12</v>
      </c>
      <c r="R107" s="62">
        <f t="shared" si="55"/>
        <v>293.33333333333786</v>
      </c>
      <c r="S107" s="62">
        <f ca="1">AVERAGE(OFFSET($R$3,0,0,'Données projet'!$E$9+1,1))-AVERAGE(OFFSET($H$3,0,0,'Données projet'!$E$9+1,1))</f>
        <v>234.06296185782384</v>
      </c>
      <c r="T107" s="62">
        <f t="shared" si="88"/>
        <v>300.75555492874378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52.734933146656545</v>
      </c>
      <c r="AA107" s="23">
        <f>EXP(-LN(2)/25)*AA106+(1-EXP(-LN(2)/25))/(LN(2)/25)*Calculateur!V107*Calculateur!X107*VLOOKUP('Données projet'!$B$9,Paramètres!$A$1:$I$89,3,0)*0.475*44/12</f>
        <v>18.665903559994931</v>
      </c>
      <c r="AB107" s="23">
        <f>EXP(-LN(2)/2)*AB106+(1-EXP(-LN(2)/2))/(LN(2)/2)*V107*Y107*VLOOKUP('Données projet'!$B$9,Paramètres!$A$1:$I$89,3,0)*0.475*44/12</f>
        <v>3.1936411930825231E-6</v>
      </c>
      <c r="AC107" s="24">
        <f t="shared" si="57"/>
        <v>71.400839900292667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5.7</v>
      </c>
      <c r="AI107" s="14">
        <f>IF('Données projet'!$A$62&gt;35,AI106+AH107-AQ106,IF(A107&lt;'Données projet'!$A$62,$AF$205^A107,IF(A107='Données projet'!$A$62,'Données projet'!$B$62,AI106+AH107-AQ106)))</f>
        <v>241.19999999999987</v>
      </c>
      <c r="AJ107" s="14">
        <f>AI107*VLOOKUP('Données projet'!$B$10,Paramètres!$A$1:$I$89,3,0)*VLOOKUP('Données projet'!$B$10,Paramètres!$A$1:$I$89,5,0)</f>
        <v>218.23775999999989</v>
      </c>
      <c r="AK107" s="14">
        <f t="shared" si="89"/>
        <v>53.731692470599022</v>
      </c>
      <c r="AL107" s="22">
        <f t="shared" si="58"/>
        <v>473.68012971962639</v>
      </c>
      <c r="AM107" s="62">
        <f t="shared" si="59"/>
        <v>767.01346305295965</v>
      </c>
      <c r="AN107" s="62">
        <f ca="1">AVERAGE(OFFSET($AM$3,0,0,'Données projet'!$E$10+1,1))-AVERAGE(OFFSET($H$3,0,0,'Données projet'!$E$10+1,1))</f>
        <v>206.38141226866287</v>
      </c>
      <c r="AO107" s="62">
        <f t="shared" si="90"/>
        <v>89.074420303945885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19.355197162371176</v>
      </c>
      <c r="AV107" s="23">
        <f>EXP(-LN(2)/25)*AV106+(1-EXP(-LN(2)/25))/(LN(2)/25)*Calculateur!AQ107*Calculateur!AS107*VLOOKUP('Données projet'!$B$10,Paramètres!$A$1:$I$89,3,0)*0.475*44/12</f>
        <v>13.406918683490131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32.76211584586131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4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1.738044375088066E-13</v>
      </c>
      <c r="P108" s="14">
        <f t="shared" si="87"/>
        <v>2.4483293633950478E-12</v>
      </c>
      <c r="Q108" s="22">
        <f t="shared" si="107"/>
        <v>4.566883036574213E-12</v>
      </c>
      <c r="R108" s="62">
        <f t="shared" si="55"/>
        <v>293.33333333333786</v>
      </c>
      <c r="S108" s="62">
        <f ca="1">AVERAGE(OFFSET($R$3,0,0,'Données projet'!$E$9+1,1))-AVERAGE(OFFSET($H$3,0,0,'Données projet'!$E$9+1,1))</f>
        <v>234.06296185782384</v>
      </c>
      <c r="T108" s="62">
        <f t="shared" si="88"/>
        <v>300.75555492874378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51.700833272783782</v>
      </c>
      <c r="AA108" s="23">
        <f>EXP(-LN(2)/25)*AA107+(1-EXP(-LN(2)/25))/(LN(2)/25)*Calculateur!V108*Calculateur!X108*VLOOKUP('Données projet'!$B$9,Paramètres!$A$1:$I$89,3,0)*0.475*44/12</f>
        <v>18.155483445549663</v>
      </c>
      <c r="AB108" s="23">
        <f>EXP(-LN(2)/2)*AB107+(1-EXP(-LN(2)/2))/(LN(2)/2)*V108*Y108*VLOOKUP('Données projet'!$B$9,Paramètres!$A$1:$I$89,3,0)*0.475*44/12</f>
        <v>2.2582453443053482E-6</v>
      </c>
      <c r="AC108" s="24">
        <f t="shared" si="57"/>
        <v>69.856318976578791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5.7</v>
      </c>
      <c r="AI108" s="14">
        <f>IF('Données projet'!$A$62&gt;35,AI107+AH108-AQ107,IF(A108&lt;'Données projet'!$A$62,$AF$205^A108,IF(A108='Données projet'!$A$62,'Données projet'!$B$62,AI107+AH108-AQ107)))</f>
        <v>246.89999999999986</v>
      </c>
      <c r="AJ108" s="14">
        <f>AI108*VLOOKUP('Données projet'!$B$10,Paramètres!$A$1:$I$89,3,0)*VLOOKUP('Données projet'!$B$10,Paramètres!$A$1:$I$89,5,0)</f>
        <v>223.39511999999988</v>
      </c>
      <c r="AK108" s="14">
        <f t="shared" si="89"/>
        <v>54.852139287210164</v>
      </c>
      <c r="AL108" s="22">
        <f t="shared" si="58"/>
        <v>484.61397659189083</v>
      </c>
      <c r="AM108" s="62">
        <f t="shared" si="59"/>
        <v>777.94730992522409</v>
      </c>
      <c r="AN108" s="62">
        <f ca="1">AVERAGE(OFFSET($AM$3,0,0,'Données projet'!$E$10+1,1))-AVERAGE(OFFSET($H$3,0,0,'Données projet'!$E$10+1,1))</f>
        <v>206.38141226866287</v>
      </c>
      <c r="AO108" s="62">
        <f t="shared" si="90"/>
        <v>89.074420303945885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18.975653551521649</v>
      </c>
      <c r="AV108" s="23">
        <f>EXP(-LN(2)/25)*AV107+(1-EXP(-LN(2)/25))/(LN(2)/25)*Calculateur!AQ108*Calculateur!AS108*VLOOKUP('Données projet'!$B$10,Paramètres!$A$1:$I$89,3,0)*0.475*44/12</f>
        <v>13.040305787050881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32.015959338572529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4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1.738044375088066E-13</v>
      </c>
      <c r="P109" s="14">
        <f t="shared" si="87"/>
        <v>2.4483293633950478E-12</v>
      </c>
      <c r="Q109" s="22">
        <f t="shared" si="107"/>
        <v>4.566883036574213E-12</v>
      </c>
      <c r="R109" s="62">
        <f t="shared" si="55"/>
        <v>293.33333333333786</v>
      </c>
      <c r="S109" s="62">
        <f ca="1">AVERAGE(OFFSET($R$3,0,0,'Données projet'!$E$9+1,1))-AVERAGE(OFFSET($H$3,0,0,'Données projet'!$E$9+1,1))</f>
        <v>234.06296185782384</v>
      </c>
      <c r="T109" s="62">
        <f t="shared" si="88"/>
        <v>300.75555492874378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50.687011466699026</v>
      </c>
      <c r="AA109" s="23">
        <f>EXP(-LN(2)/25)*AA108+(1-EXP(-LN(2)/25))/(LN(2)/25)*Calculateur!V109*Calculateur!X109*VLOOKUP('Données projet'!$B$9,Paramètres!$A$1:$I$89,3,0)*0.475*44/12</f>
        <v>17.659020795975728</v>
      </c>
      <c r="AB109" s="23">
        <f>EXP(-LN(2)/2)*AB108+(1-EXP(-LN(2)/2))/(LN(2)/2)*V109*Y109*VLOOKUP('Données projet'!$B$9,Paramètres!$A$1:$I$89,3,0)*0.475*44/12</f>
        <v>1.5968205965412615E-6</v>
      </c>
      <c r="AC109" s="24">
        <f t="shared" si="57"/>
        <v>68.34603385949535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5.7</v>
      </c>
      <c r="AI109" s="14">
        <f>IF('Données projet'!$A$62&gt;35,AI108+AH109-AQ108,IF(A109&lt;'Données projet'!$A$62,$AF$205^A109,IF(A109='Données projet'!$A$62,'Données projet'!$B$62,AI108+AH109-AQ108)))</f>
        <v>252.59999999999985</v>
      </c>
      <c r="AJ109" s="14">
        <f>AI109*VLOOKUP('Données projet'!$B$10,Paramètres!$A$1:$I$89,3,0)*VLOOKUP('Données projet'!$B$10,Paramètres!$A$1:$I$89,5,0)</f>
        <v>228.55247999999983</v>
      </c>
      <c r="AK109" s="14">
        <f t="shared" si="89"/>
        <v>55.969578951878503</v>
      </c>
      <c r="AL109" s="22">
        <f t="shared" si="58"/>
        <v>495.54258600785471</v>
      </c>
      <c r="AM109" s="62">
        <f t="shared" si="59"/>
        <v>788.87591934118802</v>
      </c>
      <c r="AN109" s="62">
        <f ca="1">AVERAGE(OFFSET($AM$3,0,0,'Données projet'!$E$10+1,1))-AVERAGE(OFFSET($H$3,0,0,'Données projet'!$E$10+1,1))</f>
        <v>206.38141226866287</v>
      </c>
      <c r="AO109" s="62">
        <f t="shared" si="90"/>
        <v>89.074420303945885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18.603552559382138</v>
      </c>
      <c r="AV109" s="23">
        <f>EXP(-LN(2)/25)*AV108+(1-EXP(-LN(2)/25))/(LN(2)/25)*Calculateur!AQ109*Calculateur!AS109*VLOOKUP('Données projet'!$B$10,Paramètres!$A$1:$I$89,3,0)*0.475*44/12</f>
        <v>12.683717939544097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31.287270498926233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4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1.738044375088066E-13</v>
      </c>
      <c r="P110" s="14">
        <f t="shared" si="87"/>
        <v>2.4483293633950478E-12</v>
      </c>
      <c r="Q110" s="22">
        <f t="shared" si="107"/>
        <v>4.566883036574213E-12</v>
      </c>
      <c r="R110" s="62">
        <f t="shared" si="55"/>
        <v>293.33333333333786</v>
      </c>
      <c r="S110" s="62">
        <f ca="1">AVERAGE(OFFSET($R$3,0,0,'Données projet'!$E$9+1,1))-AVERAGE(OFFSET($H$3,0,0,'Données projet'!$E$9+1,1))</f>
        <v>234.06296185782384</v>
      </c>
      <c r="T110" s="62">
        <f t="shared" si="88"/>
        <v>300.75555492874378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49.693070087861351</v>
      </c>
      <c r="AA110" s="23">
        <f>EXP(-LN(2)/25)*AA109+(1-EXP(-LN(2)/25))/(LN(2)/25)*Calculateur!V110*Calculateur!X110*VLOOKUP('Données projet'!$B$9,Paramètres!$A$1:$I$89,3,0)*0.475*44/12</f>
        <v>17.176133943662229</v>
      </c>
      <c r="AB110" s="23">
        <f>EXP(-LN(2)/2)*AB109+(1-EXP(-LN(2)/2))/(LN(2)/2)*V110*Y110*VLOOKUP('Données projet'!$B$9,Paramètres!$A$1:$I$89,3,0)*0.475*44/12</f>
        <v>1.1291226721526741E-6</v>
      </c>
      <c r="AC110" s="24">
        <f t="shared" si="57"/>
        <v>66.869205160646246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5.7</v>
      </c>
      <c r="AI110" s="14">
        <f>IF('Données projet'!$A$62&gt;35,AI109+AH110-AQ109,IF(A110&lt;'Données projet'!$A$62,$AF$205^A110,IF(A110='Données projet'!$A$62,'Données projet'!$B$62,AI109+AH110-AQ109)))</f>
        <v>258.29999999999984</v>
      </c>
      <c r="AJ110" s="14">
        <f>AI110*VLOOKUP('Données projet'!$B$10,Paramètres!$A$1:$I$89,3,0)*VLOOKUP('Données projet'!$B$10,Paramètres!$A$1:$I$89,5,0)</f>
        <v>233.70983999999987</v>
      </c>
      <c r="AK110" s="14">
        <f t="shared" si="89"/>
        <v>57.08408713412036</v>
      </c>
      <c r="AL110" s="22">
        <f t="shared" si="58"/>
        <v>506.46608975859272</v>
      </c>
      <c r="AM110" s="62">
        <f t="shared" si="59"/>
        <v>799.79942309192597</v>
      </c>
      <c r="AN110" s="62">
        <f ca="1">AVERAGE(OFFSET($AM$3,0,0,'Données projet'!$E$10+1,1))-AVERAGE(OFFSET($H$3,0,0,'Données projet'!$E$10+1,1))</f>
        <v>206.38141226866287</v>
      </c>
      <c r="AO110" s="62">
        <f t="shared" si="90"/>
        <v>89.074420303945885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18.238748240739287</v>
      </c>
      <c r="AV110" s="23">
        <f>EXP(-LN(2)/25)*AV109+(1-EXP(-LN(2)/25))/(LN(2)/25)*Calculateur!AQ110*Calculateur!AS110*VLOOKUP('Données projet'!$B$10,Paramètres!$A$1:$I$89,3,0)*0.475*44/12</f>
        <v>12.336881005479526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30.575629246218814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4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1.738044375088066E-13</v>
      </c>
      <c r="P111" s="14">
        <f t="shared" si="87"/>
        <v>2.4483293633950478E-12</v>
      </c>
      <c r="Q111" s="22">
        <f t="shared" si="107"/>
        <v>4.566883036574213E-12</v>
      </c>
      <c r="R111" s="62">
        <f t="shared" si="55"/>
        <v>293.33333333333786</v>
      </c>
      <c r="S111" s="62">
        <f ca="1">AVERAGE(OFFSET($R$3,0,0,'Données projet'!$E$9+1,1))-AVERAGE(OFFSET($H$3,0,0,'Données projet'!$E$9+1,1))</f>
        <v>234.06296185782384</v>
      </c>
      <c r="T111" s="62">
        <f t="shared" si="88"/>
        <v>300.75555492874378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48.718619293218303</v>
      </c>
      <c r="AA111" s="23">
        <f>EXP(-LN(2)/25)*AA110+(1-EXP(-LN(2)/25))/(LN(2)/25)*Calculateur!V111*Calculateur!X111*VLOOKUP('Données projet'!$B$9,Paramètres!$A$1:$I$89,3,0)*0.475*44/12</f>
        <v>16.706451657719157</v>
      </c>
      <c r="AB111" s="23">
        <f>EXP(-LN(2)/2)*AB110+(1-EXP(-LN(2)/2))/(LN(2)/2)*V111*Y111*VLOOKUP('Données projet'!$B$9,Paramètres!$A$1:$I$89,3,0)*0.475*44/12</f>
        <v>7.9841029827063077E-7</v>
      </c>
      <c r="AC111" s="24">
        <f t="shared" si="57"/>
        <v>65.425071749347751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>
        <f>VLOOKUP(A111,'Données projet'!$A$61:$I$81,2,0)</f>
        <v>264</v>
      </c>
      <c r="AG111" s="13">
        <f>VLOOKUP(A111,'Données projet'!$A$61:$I$81,9,0)</f>
        <v>5.7</v>
      </c>
      <c r="AH111" s="13">
        <f t="array" ref="AH111">INDEX(AG:AG,MIN(IF(ISNUMBER(AG111:AG307),ROW(AG111:AG307),"")))</f>
        <v>5.7</v>
      </c>
      <c r="AI111" s="14">
        <f>IF('Données projet'!$A$62&gt;35,AI110+AH111-AQ110,IF(A111&lt;'Données projet'!$A$62,$AF$205^A111,IF(A111='Données projet'!$A$62,'Données projet'!$B$62,AI110+AH111-AQ110)))</f>
        <v>263.99999999999983</v>
      </c>
      <c r="AJ111" s="14">
        <f>AI111*VLOOKUP('Données projet'!$B$10,Paramètres!$A$1:$I$89,3,0)*VLOOKUP('Données projet'!$B$10,Paramètres!$A$1:$I$89,5,0)</f>
        <v>238.86719999999983</v>
      </c>
      <c r="AK111" s="14">
        <f t="shared" si="89"/>
        <v>58.195735973104156</v>
      </c>
      <c r="AL111" s="22">
        <f t="shared" si="58"/>
        <v>517.38461348648946</v>
      </c>
      <c r="AM111" s="62">
        <f t="shared" si="59"/>
        <v>810.71794681982283</v>
      </c>
      <c r="AN111" s="62">
        <f ca="1">AVERAGE(OFFSET($AM$3,0,0,'Données projet'!$E$10+1,1))-AVERAGE(OFFSET($H$3,0,0,'Données projet'!$E$10+1,1))</f>
        <v>206.38141226866287</v>
      </c>
      <c r="AO111" s="62">
        <f t="shared" si="90"/>
        <v>89.074420303945885</v>
      </c>
      <c r="AP111" s="16">
        <f>IF(ISNA(VLOOKUP(A111,'Données projet'!$A$61:$I$81,3,0)),0,VLOOKUP(A111,'Données projet'!$A$61:$I$81,3,0))</f>
        <v>9</v>
      </c>
      <c r="AQ111" s="16">
        <f>IF(ISNA(VLOOKUP(A111,'Données projet'!$A$61:$I$81,4,0)),0,VLOOKUP(A111,'Données projet'!$A$61:$I$81,4,0))</f>
        <v>39</v>
      </c>
      <c r="AR111" s="17">
        <f>IF(ISNA(VLOOKUP(A111,'Données projet'!$A$61:$I$81,5,0)),0%,VLOOKUP(A111,'Données projet'!$A$61:$I$81,5,0)*VLOOKUP('Données projet'!$B$10,Paramètres!$A$1:$I$89,7,0))</f>
        <v>0.215</v>
      </c>
      <c r="AS111" s="17">
        <f>IF(ISNA(VLOOKUP(A111,'Données projet'!$A$61:$I$81,6,0)),0%,VLOOKUP(A111,'Données projet'!$A$61:$I$81,6,0)*VLOOKUP('Données projet'!$B$10,Paramètres!$A$1:$I$89,7,0))</f>
        <v>0.17200000000000001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26.268022703257209</v>
      </c>
      <c r="AV111" s="23">
        <f>EXP(-LN(2)/25)*AV110+(1-EXP(-LN(2)/25))/(LN(2)/25)*Calculateur!AQ111*Calculateur!AS111*VLOOKUP('Données projet'!$B$10,Paramètres!$A$1:$I$89,3,0)*0.475*44/12</f>
        <v>18.682650482284252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44.950673185541461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4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1.738044375088066E-13</v>
      </c>
      <c r="P112" s="14">
        <f t="shared" si="87"/>
        <v>2.4483293633950478E-12</v>
      </c>
      <c r="Q112" s="22">
        <f t="shared" si="107"/>
        <v>4.566883036574213E-12</v>
      </c>
      <c r="R112" s="62">
        <f t="shared" si="55"/>
        <v>293.33333333333786</v>
      </c>
      <c r="S112" s="62">
        <f ca="1">AVERAGE(OFFSET($R$3,0,0,'Données projet'!$E$9+1,1))-AVERAGE(OFFSET($H$3,0,0,'Données projet'!$E$9+1,1))</f>
        <v>234.06296185782384</v>
      </c>
      <c r="T112" s="62">
        <f t="shared" si="88"/>
        <v>300.75555492874378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47.763276884301909</v>
      </c>
      <c r="AA112" s="23">
        <f>EXP(-LN(2)/25)*AA111+(1-EXP(-LN(2)/25))/(LN(2)/25)*Calculateur!V112*Calculateur!X112*VLOOKUP('Données projet'!$B$9,Paramètres!$A$1:$I$89,3,0)*0.475*44/12</f>
        <v>16.249612858584715</v>
      </c>
      <c r="AB112" s="23">
        <f>EXP(-LN(2)/2)*AB111+(1-EXP(-LN(2)/2))/(LN(2)/2)*V112*Y112*VLOOKUP('Données projet'!$B$9,Paramètres!$A$1:$I$89,3,0)*0.475*44/12</f>
        <v>5.6456133607633704E-7</v>
      </c>
      <c r="AC112" s="24">
        <f t="shared" si="57"/>
        <v>64.012890307447961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5.6</v>
      </c>
      <c r="AI112" s="14">
        <f>IF('Données projet'!$A$62&gt;35,AI111+AH112-AQ111,IF(A112&lt;'Données projet'!$A$62,$AF$205^A112,IF(A112='Données projet'!$A$62,'Données projet'!$B$62,AI111+AH112-AQ111)))</f>
        <v>230.59999999999985</v>
      </c>
      <c r="AJ112" s="14">
        <f>AI112*VLOOKUP('Données projet'!$B$10,Paramètres!$A$1:$I$89,3,0)*VLOOKUP('Données projet'!$B$10,Paramètres!$A$1:$I$89,5,0)</f>
        <v>208.64687999999987</v>
      </c>
      <c r="AK112" s="14">
        <f t="shared" si="89"/>
        <v>51.639783781236098</v>
      </c>
      <c r="AL112" s="22">
        <f t="shared" si="58"/>
        <v>453.33260608565269</v>
      </c>
      <c r="AM112" s="62">
        <f t="shared" si="59"/>
        <v>746.665939418986</v>
      </c>
      <c r="AN112" s="62">
        <f ca="1">AVERAGE(OFFSET($AM$3,0,0,'Données projet'!$E$10+1,1))-AVERAGE(OFFSET($H$3,0,0,'Données projet'!$E$10+1,1))</f>
        <v>206.38141226866287</v>
      </c>
      <c r="AO112" s="62">
        <f t="shared" si="90"/>
        <v>89.074420303945885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25.752922799958153</v>
      </c>
      <c r="AV112" s="23">
        <f>EXP(-LN(2)/25)*AV111+(1-EXP(-LN(2)/25))/(LN(2)/25)*Calculateur!AQ112*Calculateur!AS112*VLOOKUP('Données projet'!$B$10,Paramètres!$A$1:$I$89,3,0)*0.475*44/12</f>
        <v>18.171772422368299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43.924695222326449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4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1.738044375088066E-13</v>
      </c>
      <c r="P113" s="14">
        <f t="shared" si="87"/>
        <v>2.4483293633950478E-12</v>
      </c>
      <c r="Q113" s="22">
        <f t="shared" si="107"/>
        <v>4.566883036574213E-12</v>
      </c>
      <c r="R113" s="62">
        <f t="shared" si="55"/>
        <v>293.33333333333786</v>
      </c>
      <c r="S113" s="62">
        <f ca="1">AVERAGE(OFFSET($R$3,0,0,'Données projet'!$E$9+1,1))-AVERAGE(OFFSET($H$3,0,0,'Données projet'!$E$9+1,1))</f>
        <v>234.06296185782384</v>
      </c>
      <c r="T113" s="62">
        <f t="shared" si="88"/>
        <v>300.75555492874378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46.826668157323034</v>
      </c>
      <c r="AA113" s="23">
        <f>EXP(-LN(2)/25)*AA112+(1-EXP(-LN(2)/25))/(LN(2)/25)*Calculateur!V113*Calculateur!X113*VLOOKUP('Données projet'!$B$9,Paramètres!$A$1:$I$89,3,0)*0.475*44/12</f>
        <v>15.805266340436715</v>
      </c>
      <c r="AB113" s="23">
        <f>EXP(-LN(2)/2)*AB112+(1-EXP(-LN(2)/2))/(LN(2)/2)*V113*Y113*VLOOKUP('Données projet'!$B$9,Paramètres!$A$1:$I$89,3,0)*0.475*44/12</f>
        <v>3.9920514913531538E-7</v>
      </c>
      <c r="AC113" s="24">
        <f t="shared" si="57"/>
        <v>62.6319348969649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5.6</v>
      </c>
      <c r="AI113" s="14">
        <f>IF('Données projet'!$A$62&gt;35,AI112+AH113-AQ112,IF(A113&lt;'Données projet'!$A$62,$AF$205^A113,IF(A113='Données projet'!$A$62,'Données projet'!$B$62,AI112+AH113-AQ112)))</f>
        <v>236.19999999999985</v>
      </c>
      <c r="AJ113" s="14">
        <f>AI113*VLOOKUP('Données projet'!$B$10,Paramètres!$A$1:$I$89,3,0)*VLOOKUP('Données projet'!$B$10,Paramètres!$A$1:$I$89,5,0)</f>
        <v>213.71375999999984</v>
      </c>
      <c r="AK113" s="14">
        <f t="shared" si="89"/>
        <v>52.746305859880394</v>
      </c>
      <c r="AL113" s="22">
        <f t="shared" si="58"/>
        <v>464.08461470595802</v>
      </c>
      <c r="AM113" s="62">
        <f t="shared" si="59"/>
        <v>757.41794803929133</v>
      </c>
      <c r="AN113" s="62">
        <f ca="1">AVERAGE(OFFSET($AM$3,0,0,'Données projet'!$E$10+1,1))-AVERAGE(OFFSET($H$3,0,0,'Données projet'!$E$10+1,1))</f>
        <v>206.38141226866287</v>
      </c>
      <c r="AO113" s="62">
        <f t="shared" si="90"/>
        <v>89.074420303945885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25.247923691582873</v>
      </c>
      <c r="AV113" s="23">
        <f>EXP(-LN(2)/25)*AV112+(1-EXP(-LN(2)/25))/(LN(2)/25)*Calculateur!AQ113*Calculateur!AS113*VLOOKUP('Données projet'!$B$10,Paramètres!$A$1:$I$89,3,0)*0.475*44/12</f>
        <v>17.67486434986666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42.922788041449536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4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1.738044375088066E-13</v>
      </c>
      <c r="P114" s="14">
        <f t="shared" si="87"/>
        <v>2.4483293633950478E-12</v>
      </c>
      <c r="Q114" s="22">
        <f t="shared" si="107"/>
        <v>4.566883036574213E-12</v>
      </c>
      <c r="R114" s="62">
        <f t="shared" si="55"/>
        <v>293.33333333333786</v>
      </c>
      <c r="S114" s="62">
        <f ca="1">AVERAGE(OFFSET($R$3,0,0,'Données projet'!$E$9+1,1))-AVERAGE(OFFSET($H$3,0,0,'Données projet'!$E$9+1,1))</f>
        <v>234.06296185782384</v>
      </c>
      <c r="T114" s="62">
        <f t="shared" si="88"/>
        <v>300.75555492874378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45.908425756205297</v>
      </c>
      <c r="AA114" s="23">
        <f>EXP(-LN(2)/25)*AA113+(1-EXP(-LN(2)/25))/(LN(2)/25)*Calculateur!V114*Calculateur!X114*VLOOKUP('Données projet'!$B$9,Paramètres!$A$1:$I$89,3,0)*0.475*44/12</f>
        <v>15.37307050119464</v>
      </c>
      <c r="AB114" s="23">
        <f>EXP(-LN(2)/2)*AB113+(1-EXP(-LN(2)/2))/(LN(2)/2)*V114*Y114*VLOOKUP('Données projet'!$B$9,Paramètres!$A$1:$I$89,3,0)*0.475*44/12</f>
        <v>2.8228066803816852E-7</v>
      </c>
      <c r="AC114" s="24">
        <f t="shared" si="57"/>
        <v>61.281496539680603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5.6</v>
      </c>
      <c r="AI114" s="14">
        <f>IF('Données projet'!$A$62&gt;35,AI113+AH114-AQ113,IF(A114&lt;'Données projet'!$A$62,$AF$205^A114,IF(A114='Données projet'!$A$62,'Données projet'!$B$62,AI113+AH114-AQ113)))</f>
        <v>241.79999999999984</v>
      </c>
      <c r="AJ114" s="14">
        <f>AI114*VLOOKUP('Données projet'!$B$10,Paramètres!$A$1:$I$89,3,0)*VLOOKUP('Données projet'!$B$10,Paramètres!$A$1:$I$89,5,0)</f>
        <v>218.78063999999983</v>
      </c>
      <c r="AK114" s="14">
        <f t="shared" si="89"/>
        <v>53.849778182636136</v>
      </c>
      <c r="AL114" s="22">
        <f t="shared" si="58"/>
        <v>474.8313116680909</v>
      </c>
      <c r="AM114" s="62">
        <f t="shared" si="59"/>
        <v>768.16464500142422</v>
      </c>
      <c r="AN114" s="62">
        <f ca="1">AVERAGE(OFFSET($AM$3,0,0,'Données projet'!$E$10+1,1))-AVERAGE(OFFSET($H$3,0,0,'Données projet'!$E$10+1,1))</f>
        <v>206.38141226866287</v>
      </c>
      <c r="AO114" s="62">
        <f t="shared" si="90"/>
        <v>89.074420303945885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24.752827307703789</v>
      </c>
      <c r="AV114" s="23">
        <f>EXP(-LN(2)/25)*AV113+(1-EXP(-LN(2)/25))/(LN(2)/25)*Calculateur!AQ114*Calculateur!AS114*VLOOKUP('Données projet'!$B$10,Paramètres!$A$1:$I$89,3,0)*0.475*44/12</f>
        <v>17.191544254738837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41.944371562442626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4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1.738044375088066E-13</v>
      </c>
      <c r="P115" s="14">
        <f t="shared" si="87"/>
        <v>2.4483293633950478E-12</v>
      </c>
      <c r="Q115" s="22">
        <f t="shared" si="107"/>
        <v>4.566883036574213E-12</v>
      </c>
      <c r="R115" s="62">
        <f t="shared" si="55"/>
        <v>293.33333333333786</v>
      </c>
      <c r="S115" s="62">
        <f ca="1">AVERAGE(OFFSET($R$3,0,0,'Données projet'!$E$9+1,1))-AVERAGE(OFFSET($H$3,0,0,'Données projet'!$E$9+1,1))</f>
        <v>234.06296185782384</v>
      </c>
      <c r="T115" s="62">
        <f t="shared" si="88"/>
        <v>300.75555492874378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45.008189528500914</v>
      </c>
      <c r="AA115" s="23">
        <f>EXP(-LN(2)/25)*AA114+(1-EXP(-LN(2)/25))/(LN(2)/25)*Calculateur!V115*Calculateur!X115*VLOOKUP('Données projet'!$B$9,Paramètres!$A$1:$I$89,3,0)*0.475*44/12</f>
        <v>14.952693079904831</v>
      </c>
      <c r="AB115" s="23">
        <f>EXP(-LN(2)/2)*AB114+(1-EXP(-LN(2)/2))/(LN(2)/2)*V115*Y115*VLOOKUP('Données projet'!$B$9,Paramètres!$A$1:$I$89,3,0)*0.475*44/12</f>
        <v>1.9960257456765769E-7</v>
      </c>
      <c r="AC115" s="24">
        <f t="shared" si="57"/>
        <v>59.960882808008321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5.6</v>
      </c>
      <c r="AI115" s="14">
        <f>IF('Données projet'!$A$62&gt;35,AI114+AH115-AQ114,IF(A115&lt;'Données projet'!$A$62,$AF$205^A115,IF(A115='Données projet'!$A$62,'Données projet'!$B$62,AI114+AH115-AQ114)))</f>
        <v>247.39999999999984</v>
      </c>
      <c r="AJ115" s="14">
        <f>AI115*VLOOKUP('Données projet'!$B$10,Paramètres!$A$1:$I$89,3,0)*VLOOKUP('Données projet'!$B$10,Paramètres!$A$1:$I$89,5,0)</f>
        <v>223.84751999999986</v>
      </c>
      <c r="AK115" s="14">
        <f t="shared" si="89"/>
        <v>54.950279510257438</v>
      </c>
      <c r="AL115" s="22">
        <f t="shared" si="58"/>
        <v>485.57283414703141</v>
      </c>
      <c r="AM115" s="62">
        <f t="shared" si="59"/>
        <v>778.90616748036473</v>
      </c>
      <c r="AN115" s="62">
        <f ca="1">AVERAGE(OFFSET($AM$3,0,0,'Données projet'!$E$10+1,1))-AVERAGE(OFFSET($H$3,0,0,'Données projet'!$E$10+1,1))</f>
        <v>206.38141226866287</v>
      </c>
      <c r="AO115" s="62">
        <f t="shared" si="90"/>
        <v>89.074420303945885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24.267439461933598</v>
      </c>
      <c r="AV115" s="23">
        <f>EXP(-LN(2)/25)*AV114+(1-EXP(-LN(2)/25))/(LN(2)/25)*Calculateur!AQ115*Calculateur!AS115*VLOOKUP('Données projet'!$B$10,Paramètres!$A$1:$I$89,3,0)*0.475*44/12</f>
        <v>16.721440573028982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40.988880034962577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4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1.738044375088066E-13</v>
      </c>
      <c r="P116" s="14">
        <f t="shared" si="87"/>
        <v>2.4483293633950478E-12</v>
      </c>
      <c r="Q116" s="22">
        <f t="shared" si="107"/>
        <v>4.566883036574213E-12</v>
      </c>
      <c r="R116" s="62">
        <f t="shared" si="55"/>
        <v>293.33333333333786</v>
      </c>
      <c r="S116" s="62">
        <f ca="1">AVERAGE(OFFSET($R$3,0,0,'Données projet'!$E$9+1,1))-AVERAGE(OFFSET($H$3,0,0,'Données projet'!$E$9+1,1))</f>
        <v>234.06296185782384</v>
      </c>
      <c r="T116" s="62">
        <f t="shared" si="88"/>
        <v>300.75555492874378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44.125606384131935</v>
      </c>
      <c r="AA116" s="23">
        <f>EXP(-LN(2)/25)*AA115+(1-EXP(-LN(2)/25))/(LN(2)/25)*Calculateur!V116*Calculateur!X116*VLOOKUP('Données projet'!$B$9,Paramètres!$A$1:$I$89,3,0)*0.475*44/12</f>
        <v>14.543810901306879</v>
      </c>
      <c r="AB116" s="23">
        <f>EXP(-LN(2)/2)*AB115+(1-EXP(-LN(2)/2))/(LN(2)/2)*V116*Y116*VLOOKUP('Données projet'!$B$9,Paramètres!$A$1:$I$89,3,0)*0.475*44/12</f>
        <v>1.4114033401908426E-7</v>
      </c>
      <c r="AC116" s="24">
        <f t="shared" si="57"/>
        <v>58.669417426579145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5.6</v>
      </c>
      <c r="AI116" s="14">
        <f>IF('Données projet'!$A$62&gt;35,AI115+AH116-AQ115,IF(A116&lt;'Données projet'!$A$62,$AF$205^A116,IF(A116='Données projet'!$A$62,'Données projet'!$B$62,AI115+AH116-AQ115)))</f>
        <v>252.99999999999983</v>
      </c>
      <c r="AJ116" s="14">
        <f>AI116*VLOOKUP('Données projet'!$B$10,Paramètres!$A$1:$I$89,3,0)*VLOOKUP('Données projet'!$B$10,Paramètres!$A$1:$I$89,5,0)</f>
        <v>228.91439999999986</v>
      </c>
      <c r="AK116" s="14">
        <f t="shared" si="89"/>
        <v>56.047884834417424</v>
      </c>
      <c r="AL116" s="22">
        <f t="shared" si="58"/>
        <v>496.30931275327674</v>
      </c>
      <c r="AM116" s="62">
        <f t="shared" si="59"/>
        <v>789.64264608661006</v>
      </c>
      <c r="AN116" s="62">
        <f ca="1">AVERAGE(OFFSET($AM$3,0,0,'Données projet'!$E$10+1,1))-AVERAGE(OFFSET($H$3,0,0,'Données projet'!$E$10+1,1))</f>
        <v>206.38141226866287</v>
      </c>
      <c r="AO116" s="62">
        <f t="shared" si="90"/>
        <v>89.074420303945885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23.791569775761609</v>
      </c>
      <c r="AV116" s="23">
        <f>EXP(-LN(2)/25)*AV115+(1-EXP(-LN(2)/25))/(LN(2)/25)*Calculateur!AQ116*Calculateur!AS116*VLOOKUP('Données projet'!$B$10,Paramètres!$A$1:$I$89,3,0)*0.475*44/12</f>
        <v>16.264191901217163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40.055761676978776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4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1.738044375088066E-13</v>
      </c>
      <c r="P117" s="14">
        <f t="shared" si="87"/>
        <v>2.4483293633950478E-12</v>
      </c>
      <c r="Q117" s="22">
        <f t="shared" si="107"/>
        <v>4.566883036574213E-12</v>
      </c>
      <c r="R117" s="62">
        <f t="shared" si="55"/>
        <v>293.33333333333786</v>
      </c>
      <c r="S117" s="62">
        <f ca="1">AVERAGE(OFFSET($R$3,0,0,'Données projet'!$E$9+1,1))-AVERAGE(OFFSET($H$3,0,0,'Données projet'!$E$9+1,1))</f>
        <v>234.06296185782384</v>
      </c>
      <c r="T117" s="62">
        <f t="shared" si="88"/>
        <v>300.75555492874378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43.260330156901468</v>
      </c>
      <c r="AA117" s="23">
        <f>EXP(-LN(2)/25)*AA116+(1-EXP(-LN(2)/25))/(LN(2)/25)*Calculateur!V117*Calculateur!X117*VLOOKUP('Données projet'!$B$9,Paramètres!$A$1:$I$89,3,0)*0.475*44/12</f>
        <v>14.146109627384867</v>
      </c>
      <c r="AB117" s="23">
        <f>EXP(-LN(2)/2)*AB116+(1-EXP(-LN(2)/2))/(LN(2)/2)*V117*Y117*VLOOKUP('Données projet'!$B$9,Paramètres!$A$1:$I$89,3,0)*0.475*44/12</f>
        <v>9.9801287283828846E-8</v>
      </c>
      <c r="AC117" s="24">
        <f t="shared" si="57"/>
        <v>57.406439884087625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5.6</v>
      </c>
      <c r="AI117" s="14">
        <f>IF('Données projet'!$A$62&gt;35,AI116+AH117-AQ116,IF(A117&lt;'Données projet'!$A$62,$AF$205^A117,IF(A117='Données projet'!$A$62,'Données projet'!$B$62,AI116+AH117-AQ116)))</f>
        <v>258.59999999999985</v>
      </c>
      <c r="AJ117" s="14">
        <f>AI117*VLOOKUP('Données projet'!$B$10,Paramètres!$A$1:$I$89,3,0)*VLOOKUP('Données projet'!$B$10,Paramètres!$A$1:$I$89,5,0)</f>
        <v>233.98127999999988</v>
      </c>
      <c r="AK117" s="14">
        <f t="shared" si="89"/>
        <v>57.14266563744804</v>
      </c>
      <c r="AL117" s="22">
        <f t="shared" si="58"/>
        <v>507.04087198522183</v>
      </c>
      <c r="AM117" s="62">
        <f t="shared" si="59"/>
        <v>800.37420531855514</v>
      </c>
      <c r="AN117" s="62">
        <f ca="1">AVERAGE(OFFSET($AM$3,0,0,'Données projet'!$E$10+1,1))-AVERAGE(OFFSET($H$3,0,0,'Données projet'!$E$10+1,1))</f>
        <v>206.38141226866287</v>
      </c>
      <c r="AO117" s="62">
        <f t="shared" si="90"/>
        <v>89.074420303945885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23.325031603883602</v>
      </c>
      <c r="AV117" s="23">
        <f>EXP(-LN(2)/25)*AV116+(1-EXP(-LN(2)/25))/(LN(2)/25)*Calculateur!AQ117*Calculateur!AS117*VLOOKUP('Données projet'!$B$10,Paramètres!$A$1:$I$89,3,0)*0.475*44/12</f>
        <v>15.8194467183817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39.1444783222653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4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1.738044375088066E-13</v>
      </c>
      <c r="P118" s="14">
        <f t="shared" si="87"/>
        <v>2.4483293633950478E-12</v>
      </c>
      <c r="Q118" s="22">
        <f t="shared" si="107"/>
        <v>4.566883036574213E-12</v>
      </c>
      <c r="R118" s="62">
        <f t="shared" si="55"/>
        <v>293.33333333333786</v>
      </c>
      <c r="S118" s="62">
        <f ca="1">AVERAGE(OFFSET($R$3,0,0,'Données projet'!$E$9+1,1))-AVERAGE(OFFSET($H$3,0,0,'Données projet'!$E$9+1,1))</f>
        <v>234.06296185782384</v>
      </c>
      <c r="T118" s="62">
        <f t="shared" si="88"/>
        <v>300.75555492874378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42.412021468720603</v>
      </c>
      <c r="AA118" s="23">
        <f>EXP(-LN(2)/25)*AA117+(1-EXP(-LN(2)/25))/(LN(2)/25)*Calculateur!V118*Calculateur!X118*VLOOKUP('Données projet'!$B$9,Paramètres!$A$1:$I$89,3,0)*0.475*44/12</f>
        <v>13.759283515712454</v>
      </c>
      <c r="AB118" s="23">
        <f>EXP(-LN(2)/2)*AB117+(1-EXP(-LN(2)/2))/(LN(2)/2)*V118*Y118*VLOOKUP('Données projet'!$B$9,Paramètres!$A$1:$I$89,3,0)*0.475*44/12</f>
        <v>7.057016700954213E-8</v>
      </c>
      <c r="AC118" s="24">
        <f t="shared" si="57"/>
        <v>56.171305055003224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5.6</v>
      </c>
      <c r="AI118" s="14">
        <f>IF('Données projet'!$A$62&gt;35,AI117+AH118-AQ117,IF(A118&lt;'Données projet'!$A$62,$AF$205^A118,IF(A118='Données projet'!$A$62,'Données projet'!$B$62,AI117+AH118-AQ117)))</f>
        <v>264.19999999999987</v>
      </c>
      <c r="AJ118" s="14">
        <f>AI118*VLOOKUP('Données projet'!$B$10,Paramètres!$A$1:$I$89,3,0)*VLOOKUP('Données projet'!$B$10,Paramètres!$A$1:$I$89,5,0)</f>
        <v>239.04815999999985</v>
      </c>
      <c r="AK118" s="14">
        <f t="shared" si="89"/>
        <v>58.234690128947292</v>
      </c>
      <c r="AL118" s="22">
        <f t="shared" si="58"/>
        <v>517.76763064124964</v>
      </c>
      <c r="AM118" s="62">
        <f t="shared" si="59"/>
        <v>811.10096397458301</v>
      </c>
      <c r="AN118" s="62">
        <f ca="1">AVERAGE(OFFSET($AM$3,0,0,'Données projet'!$E$10+1,1))-AVERAGE(OFFSET($H$3,0,0,'Données projet'!$E$10+1,1))</f>
        <v>206.38141226866287</v>
      </c>
      <c r="AO118" s="62">
        <f t="shared" si="90"/>
        <v>89.074420303945885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22.867641960995936</v>
      </c>
      <c r="AV118" s="23">
        <f>EXP(-LN(2)/25)*AV117+(1-EXP(-LN(2)/25))/(LN(2)/25)*Calculateur!AQ118*Calculateur!AS118*VLOOKUP('Données projet'!$B$10,Paramètres!$A$1:$I$89,3,0)*0.475*44/12</f>
        <v>15.386863115959006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38.254505076954942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4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1.738044375088066E-13</v>
      </c>
      <c r="P119" s="14">
        <f t="shared" si="87"/>
        <v>2.4483293633950478E-12</v>
      </c>
      <c r="Q119" s="22">
        <f t="shared" si="107"/>
        <v>4.566883036574213E-12</v>
      </c>
      <c r="R119" s="62">
        <f t="shared" si="55"/>
        <v>293.33333333333786</v>
      </c>
      <c r="S119" s="62">
        <f ca="1">AVERAGE(OFFSET($R$3,0,0,'Données projet'!$E$9+1,1))-AVERAGE(OFFSET($H$3,0,0,'Données projet'!$E$9+1,1))</f>
        <v>234.06296185782384</v>
      </c>
      <c r="T119" s="62">
        <f t="shared" si="88"/>
        <v>300.75555492874378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41.580347596497759</v>
      </c>
      <c r="AA119" s="23">
        <f>EXP(-LN(2)/25)*AA118+(1-EXP(-LN(2)/25))/(LN(2)/25)*Calculateur!V119*Calculateur!X119*VLOOKUP('Données projet'!$B$9,Paramètres!$A$1:$I$89,3,0)*0.475*44/12</f>
        <v>13.383035184406024</v>
      </c>
      <c r="AB119" s="23">
        <f>EXP(-LN(2)/2)*AB118+(1-EXP(-LN(2)/2))/(LN(2)/2)*V119*Y119*VLOOKUP('Données projet'!$B$9,Paramètres!$A$1:$I$89,3,0)*0.475*44/12</f>
        <v>4.9900643641914423E-8</v>
      </c>
      <c r="AC119" s="24">
        <f t="shared" si="57"/>
        <v>54.963382830804427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5.6</v>
      </c>
      <c r="AI119" s="14">
        <f>IF('Données projet'!$A$62&gt;35,AI118+AH119-AQ118,IF(A119&lt;'Données projet'!$A$62,$AF$205^A119,IF(A119='Données projet'!$A$62,'Données projet'!$B$62,AI118+AH119-AQ118)))</f>
        <v>269.7999999999999</v>
      </c>
      <c r="AJ119" s="14">
        <f>AI119*VLOOKUP('Données projet'!$B$10,Paramètres!$A$1:$I$89,3,0)*VLOOKUP('Données projet'!$B$10,Paramètres!$A$1:$I$89,5,0)</f>
        <v>244.11503999999988</v>
      </c>
      <c r="AK119" s="14">
        <f t="shared" si="89"/>
        <v>59.324023461759012</v>
      </c>
      <c r="AL119" s="22">
        <f t="shared" si="58"/>
        <v>528.48970219589671</v>
      </c>
      <c r="AM119" s="62">
        <f t="shared" si="59"/>
        <v>821.82303552923008</v>
      </c>
      <c r="AN119" s="62">
        <f ca="1">AVERAGE(OFFSET($AM$3,0,0,'Données projet'!$E$10+1,1))-AVERAGE(OFFSET($H$3,0,0,'Données projet'!$E$10+1,1))</f>
        <v>206.38141226866287</v>
      </c>
      <c r="AO119" s="62">
        <f t="shared" si="90"/>
        <v>89.074420303945885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22.419221450025162</v>
      </c>
      <c r="AV119" s="23">
        <f>EXP(-LN(2)/25)*AV118+(1-EXP(-LN(2)/25))/(LN(2)/25)*Calculateur!AQ119*Calculateur!AS119*VLOOKUP('Données projet'!$B$10,Paramètres!$A$1:$I$89,3,0)*0.475*44/12</f>
        <v>14.966108534893143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37.385329984918307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4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1.738044375088066E-13</v>
      </c>
      <c r="P120" s="14">
        <f t="shared" si="87"/>
        <v>2.4483293633950478E-12</v>
      </c>
      <c r="Q120" s="22">
        <f t="shared" si="107"/>
        <v>4.566883036574213E-12</v>
      </c>
      <c r="R120" s="62">
        <f t="shared" si="55"/>
        <v>293.33333333333786</v>
      </c>
      <c r="S120" s="62">
        <f ca="1">AVERAGE(OFFSET($R$3,0,0,'Données projet'!$E$9+1,1))-AVERAGE(OFFSET($H$3,0,0,'Données projet'!$E$9+1,1))</f>
        <v>234.06296185782384</v>
      </c>
      <c r="T120" s="62">
        <f t="shared" si="88"/>
        <v>300.75555492874378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40.76498234163823</v>
      </c>
      <c r="AA120" s="23">
        <f>EXP(-LN(2)/25)*AA119+(1-EXP(-LN(2)/25))/(LN(2)/25)*Calculateur!V120*Calculateur!X120*VLOOKUP('Données projet'!$B$9,Paramètres!$A$1:$I$89,3,0)*0.475*44/12</f>
        <v>13.017075383505208</v>
      </c>
      <c r="AB120" s="23">
        <f>EXP(-LN(2)/2)*AB119+(1-EXP(-LN(2)/2))/(LN(2)/2)*V120*Y120*VLOOKUP('Données projet'!$B$9,Paramètres!$A$1:$I$89,3,0)*0.475*44/12</f>
        <v>3.5285083504771065E-8</v>
      </c>
      <c r="AC120" s="24">
        <f t="shared" si="57"/>
        <v>53.782057760428522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5.6</v>
      </c>
      <c r="AI120" s="14">
        <f>IF('Données projet'!$A$62&gt;35,AI119+AH120-AQ119,IF(A120&lt;'Données projet'!$A$62,$AF$205^A120,IF(A120='Données projet'!$A$62,'Données projet'!$B$62,AI119+AH120-AQ119)))</f>
        <v>275.39999999999992</v>
      </c>
      <c r="AJ120" s="14">
        <f>AI120*VLOOKUP('Données projet'!$B$10,Paramètres!$A$1:$I$89,3,0)*VLOOKUP('Données projet'!$B$10,Paramètres!$A$1:$I$89,5,0)</f>
        <v>249.18191999999991</v>
      </c>
      <c r="AK120" s="14">
        <f t="shared" si="89"/>
        <v>60.410727929515545</v>
      </c>
      <c r="AL120" s="22">
        <f t="shared" si="58"/>
        <v>539.20719514390612</v>
      </c>
      <c r="AM120" s="62">
        <f t="shared" si="59"/>
        <v>832.54052847723938</v>
      </c>
      <c r="AN120" s="62">
        <f ca="1">AVERAGE(OFFSET($AM$3,0,0,'Données projet'!$E$10+1,1))-AVERAGE(OFFSET($H$3,0,0,'Données projet'!$E$10+1,1))</f>
        <v>206.38141226866287</v>
      </c>
      <c r="AO120" s="62">
        <f t="shared" si="90"/>
        <v>89.074420303945885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21.97959419176502</v>
      </c>
      <c r="AV120" s="23">
        <f>EXP(-LN(2)/25)*AV119+(1-EXP(-LN(2)/25))/(LN(2)/25)*Calculateur!AQ120*Calculateur!AS120*VLOOKUP('Données projet'!$B$10,Paramètres!$A$1:$I$89,3,0)*0.475*44/12</f>
        <v>14.556859509973048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36.536453701738068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4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1.738044375088066E-13</v>
      </c>
      <c r="P121" s="14">
        <f t="shared" si="87"/>
        <v>2.4483293633950478E-12</v>
      </c>
      <c r="Q121" s="22">
        <f t="shared" si="107"/>
        <v>4.566883036574213E-12</v>
      </c>
      <c r="R121" s="62">
        <f t="shared" si="55"/>
        <v>293.33333333333786</v>
      </c>
      <c r="S121" s="62">
        <f ca="1">AVERAGE(OFFSET($R$3,0,0,'Données projet'!$E$9+1,1))-AVERAGE(OFFSET($H$3,0,0,'Données projet'!$E$9+1,1))</f>
        <v>234.06296185782384</v>
      </c>
      <c r="T121" s="62">
        <f t="shared" si="88"/>
        <v>300.75555492874378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39.965605902102801</v>
      </c>
      <c r="AA121" s="23">
        <f>EXP(-LN(2)/25)*AA120+(1-EXP(-LN(2)/25))/(LN(2)/25)*Calculateur!V121*Calculateur!X121*VLOOKUP('Données projet'!$B$9,Paramètres!$A$1:$I$89,3,0)*0.475*44/12</f>
        <v>12.661122772605015</v>
      </c>
      <c r="AB121" s="23">
        <f>EXP(-LN(2)/2)*AB120+(1-EXP(-LN(2)/2))/(LN(2)/2)*V121*Y121*VLOOKUP('Données projet'!$B$9,Paramètres!$A$1:$I$89,3,0)*0.475*44/12</f>
        <v>2.4950321820957212E-8</v>
      </c>
      <c r="AC121" s="24">
        <f t="shared" si="57"/>
        <v>52.626728699658145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>
        <f>VLOOKUP(A121,'Données projet'!$A$61:$I$81,2,0)</f>
        <v>281</v>
      </c>
      <c r="AG121" s="13">
        <f>VLOOKUP(A121,'Données projet'!$A$61:$I$81,9,0)</f>
        <v>5.6</v>
      </c>
      <c r="AH121" s="13">
        <f t="array" ref="AH121">INDEX(AG:AG,MIN(IF(ISNUMBER(AG121:AG317),ROW(AG121:AG317),"")))</f>
        <v>5.6</v>
      </c>
      <c r="AI121" s="14">
        <f>IF('Données projet'!$A$62&gt;35,AI120+AH121-AQ120,IF(A121&lt;'Données projet'!$A$62,$AF$205^A121,IF(A121='Données projet'!$A$62,'Données projet'!$B$62,AI120+AH121-AQ120)))</f>
        <v>280.99999999999994</v>
      </c>
      <c r="AJ121" s="14">
        <f>AI121*VLOOKUP('Données projet'!$B$10,Paramètres!$A$1:$I$89,3,0)*VLOOKUP('Données projet'!$B$10,Paramètres!$A$1:$I$89,5,0)</f>
        <v>254.24879999999996</v>
      </c>
      <c r="AK121" s="14">
        <f t="shared" si="89"/>
        <v>61.494863147658862</v>
      </c>
      <c r="AL121" s="22">
        <f t="shared" si="58"/>
        <v>549.92021331550575</v>
      </c>
      <c r="AM121" s="62">
        <f t="shared" si="59"/>
        <v>843.25354664883912</v>
      </c>
      <c r="AN121" s="62">
        <f ca="1">AVERAGE(OFFSET($AM$3,0,0,'Données projet'!$E$10+1,1))-AVERAGE(OFFSET($H$3,0,0,'Données projet'!$E$10+1,1))</f>
        <v>206.38141226866287</v>
      </c>
      <c r="AO121" s="62">
        <f t="shared" si="90"/>
        <v>89.074420303945885</v>
      </c>
      <c r="AP121" s="16">
        <f>IF(ISNA(VLOOKUP(A121,'Données projet'!$A$61:$I$81,3,0)),0,VLOOKUP(A121,'Données projet'!$A$61:$I$81,3,0))</f>
        <v>10</v>
      </c>
      <c r="AQ121" s="16">
        <f>IF(ISNA(VLOOKUP(A121,'Données projet'!$A$61:$I$81,4,0)),0,VLOOKUP(A121,'Données projet'!$A$61:$I$81,4,0))</f>
        <v>40</v>
      </c>
      <c r="AR121" s="17">
        <f>IF(ISNA(VLOOKUP(A121,'Données projet'!$A$61:$I$81,5,0)),0%,VLOOKUP(A121,'Données projet'!$A$61:$I$81,5,0)*VLOOKUP('Données projet'!$B$10,Paramètres!$A$1:$I$89,7,0))</f>
        <v>0.215</v>
      </c>
      <c r="AS121" s="17">
        <f>IF(ISNA(VLOOKUP(A121,'Données projet'!$A$61:$I$81,6,0)),0%,VLOOKUP(A121,'Données projet'!$A$61:$I$81,6,0)*VLOOKUP('Données projet'!$B$10,Paramètres!$A$1:$I$89,7,0))</f>
        <v>0.17200000000000001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30.150562310745361</v>
      </c>
      <c r="AV121" s="23">
        <f>EXP(-LN(2)/25)*AV120+(1-EXP(-LN(2)/25))/(LN(2)/25)*Calculateur!AQ121*Calculateur!AS121*VLOOKUP('Données projet'!$B$10,Paramètres!$A$1:$I$89,3,0)*0.475*44/12</f>
        <v>21.013285663897211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51.163847974642572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4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1.738044375088066E-13</v>
      </c>
      <c r="P122" s="14">
        <f t="shared" si="87"/>
        <v>2.4483293633950478E-12</v>
      </c>
      <c r="Q122" s="22">
        <f t="shared" si="107"/>
        <v>4.566883036574213E-12</v>
      </c>
      <c r="R122" s="62">
        <f t="shared" si="55"/>
        <v>293.33333333333786</v>
      </c>
      <c r="S122" s="62">
        <f ca="1">AVERAGE(OFFSET($R$3,0,0,'Données projet'!$E$9+1,1))-AVERAGE(OFFSET($H$3,0,0,'Données projet'!$E$9+1,1))</f>
        <v>234.06296185782384</v>
      </c>
      <c r="T122" s="62">
        <f t="shared" si="88"/>
        <v>300.75555492874378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39.181904746975178</v>
      </c>
      <c r="AA122" s="23">
        <f>EXP(-LN(2)/25)*AA121+(1-EXP(-LN(2)/25))/(LN(2)/25)*Calculateur!V122*Calculateur!X122*VLOOKUP('Données projet'!$B$9,Paramètres!$A$1:$I$89,3,0)*0.475*44/12</f>
        <v>12.314903704568621</v>
      </c>
      <c r="AB122" s="23">
        <f>EXP(-LN(2)/2)*AB121+(1-EXP(-LN(2)/2))/(LN(2)/2)*V122*Y122*VLOOKUP('Données projet'!$B$9,Paramètres!$A$1:$I$89,3,0)*0.475*44/12</f>
        <v>1.7642541752385533E-8</v>
      </c>
      <c r="AC122" s="24">
        <f t="shared" si="57"/>
        <v>51.496808469186341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5.6</v>
      </c>
      <c r="AI122" s="14">
        <f>IF('Données projet'!$A$62&gt;35,AI121+AH122-AQ121,IF(A122&lt;'Données projet'!$A$62,$AF$205^A122,IF(A122='Données projet'!$A$62,'Données projet'!$B$62,AI121+AH122-AQ121)))</f>
        <v>246.59999999999997</v>
      </c>
      <c r="AJ122" s="14">
        <f>AI122*VLOOKUP('Données projet'!$B$10,Paramètres!$A$1:$I$89,3,0)*VLOOKUP('Données projet'!$B$10,Paramètres!$A$1:$I$89,5,0)</f>
        <v>223.12367999999995</v>
      </c>
      <c r="AK122" s="14">
        <f t="shared" si="89"/>
        <v>54.793244051140597</v>
      </c>
      <c r="AL122" s="22">
        <f t="shared" si="58"/>
        <v>484.03864272240304</v>
      </c>
      <c r="AM122" s="62">
        <f t="shared" si="59"/>
        <v>777.37197605573635</v>
      </c>
      <c r="AN122" s="62">
        <f ca="1">AVERAGE(OFFSET($AM$3,0,0,'Données projet'!$E$10+1,1))-AVERAGE(OFFSET($H$3,0,0,'Données projet'!$E$10+1,1))</f>
        <v>206.38141226866287</v>
      </c>
      <c r="AO122" s="62">
        <f t="shared" si="90"/>
        <v>89.074420303945885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29.559328173858791</v>
      </c>
      <c r="AV122" s="23">
        <f>EXP(-LN(2)/25)*AV121+(1-EXP(-LN(2)/25))/(LN(2)/25)*Calculateur!AQ122*Calculateur!AS122*VLOOKUP('Données projet'!$B$10,Paramètres!$A$1:$I$89,3,0)*0.475*44/12</f>
        <v>20.438676262377275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49.998004436236066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4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1.738044375088066E-13</v>
      </c>
      <c r="P123" s="14">
        <f t="shared" si="87"/>
        <v>2.4483293633950478E-12</v>
      </c>
      <c r="Q123" s="22">
        <f t="shared" si="107"/>
        <v>4.566883036574213E-12</v>
      </c>
      <c r="R123" s="62">
        <f t="shared" si="55"/>
        <v>293.33333333333786</v>
      </c>
      <c r="S123" s="62">
        <f ca="1">AVERAGE(OFFSET($R$3,0,0,'Données projet'!$E$9+1,1))-AVERAGE(OFFSET($H$3,0,0,'Données projet'!$E$9+1,1))</f>
        <v>234.06296185782384</v>
      </c>
      <c r="T123" s="62">
        <f t="shared" si="88"/>
        <v>300.75555492874378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38.413571493489101</v>
      </c>
      <c r="AA123" s="23">
        <f>EXP(-LN(2)/25)*AA122+(1-EXP(-LN(2)/25))/(LN(2)/25)*Calculateur!V123*Calculateur!X123*VLOOKUP('Données projet'!$B$9,Paramètres!$A$1:$I$89,3,0)*0.475*44/12</f>
        <v>11.978152015154553</v>
      </c>
      <c r="AB123" s="23">
        <f>EXP(-LN(2)/2)*AB122+(1-EXP(-LN(2)/2))/(LN(2)/2)*V123*Y123*VLOOKUP('Données projet'!$B$9,Paramètres!$A$1:$I$89,3,0)*0.475*44/12</f>
        <v>1.2475160910478606E-8</v>
      </c>
      <c r="AC123" s="24">
        <f t="shared" si="57"/>
        <v>50.391723521118813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5.6</v>
      </c>
      <c r="AI123" s="14">
        <f>IF('Données projet'!$A$62&gt;35,AI122+AH123-AQ122,IF(A123&lt;'Données projet'!$A$62,$AF$205^A123,IF(A123='Données projet'!$A$62,'Données projet'!$B$62,AI122+AH123-AQ122)))</f>
        <v>252.19999999999996</v>
      </c>
      <c r="AJ123" s="14">
        <f>AI123*VLOOKUP('Données projet'!$B$10,Paramètres!$A$1:$I$89,3,0)*VLOOKUP('Données projet'!$B$10,Paramètres!$A$1:$I$89,5,0)</f>
        <v>228.19055999999995</v>
      </c>
      <c r="AK123" s="14">
        <f t="shared" si="89"/>
        <v>55.891258634424609</v>
      </c>
      <c r="AL123" s="22">
        <f t="shared" si="58"/>
        <v>494.77583412162284</v>
      </c>
      <c r="AM123" s="62">
        <f t="shared" si="59"/>
        <v>788.10916745495615</v>
      </c>
      <c r="AN123" s="62">
        <f ca="1">AVERAGE(OFFSET($AM$3,0,0,'Données projet'!$E$10+1,1))-AVERAGE(OFFSET($H$3,0,0,'Données projet'!$E$10+1,1))</f>
        <v>206.38141226866287</v>
      </c>
      <c r="AO123" s="62">
        <f t="shared" si="90"/>
        <v>89.074420303945885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28.97968777777935</v>
      </c>
      <c r="AV123" s="23">
        <f>EXP(-LN(2)/25)*AV122+(1-EXP(-LN(2)/25))/(LN(2)/25)*Calculateur!AQ123*Calculateur!AS123*VLOOKUP('Données projet'!$B$10,Paramètres!$A$1:$I$89,3,0)*0.475*44/12</f>
        <v>19.879779585159298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48.859467362938645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4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1.738044375088066E-13</v>
      </c>
      <c r="P124" s="14">
        <f t="shared" si="87"/>
        <v>2.4483293633950478E-12</v>
      </c>
      <c r="Q124" s="22">
        <f t="shared" si="107"/>
        <v>4.566883036574213E-12</v>
      </c>
      <c r="R124" s="62">
        <f t="shared" si="55"/>
        <v>293.33333333333786</v>
      </c>
      <c r="S124" s="62">
        <f ca="1">AVERAGE(OFFSET($R$3,0,0,'Données projet'!$E$9+1,1))-AVERAGE(OFFSET($H$3,0,0,'Données projet'!$E$9+1,1))</f>
        <v>234.06296185782384</v>
      </c>
      <c r="T124" s="62">
        <f t="shared" si="88"/>
        <v>300.75555492874378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37.660304786466874</v>
      </c>
      <c r="AA124" s="23">
        <f>EXP(-LN(2)/25)*AA123+(1-EXP(-LN(2)/25))/(LN(2)/25)*Calculateur!V124*Calculateur!X124*VLOOKUP('Données projet'!$B$9,Paramètres!$A$1:$I$89,3,0)*0.475*44/12</f>
        <v>11.650608818396513</v>
      </c>
      <c r="AB124" s="23">
        <f>EXP(-LN(2)/2)*AB123+(1-EXP(-LN(2)/2))/(LN(2)/2)*V124*Y124*VLOOKUP('Données projet'!$B$9,Paramètres!$A$1:$I$89,3,0)*0.475*44/12</f>
        <v>8.8212708761927663E-9</v>
      </c>
      <c r="AC124" s="24">
        <f t="shared" si="57"/>
        <v>49.310913613684662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5.6</v>
      </c>
      <c r="AI124" s="14">
        <f>IF('Données projet'!$A$62&gt;35,AI123+AH124-AQ123,IF(A124&lt;'Données projet'!$A$62,$AF$205^A124,IF(A124='Données projet'!$A$62,'Données projet'!$B$62,AI123+AH124-AQ123)))</f>
        <v>257.79999999999995</v>
      </c>
      <c r="AJ124" s="14">
        <f>AI124*VLOOKUP('Données projet'!$B$10,Paramètres!$A$1:$I$89,3,0)*VLOOKUP('Données projet'!$B$10,Paramètres!$A$1:$I$89,5,0)</f>
        <v>233.25743999999997</v>
      </c>
      <c r="AK124" s="14">
        <f t="shared" si="89"/>
        <v>56.9864386904733</v>
      </c>
      <c r="AL124" s="22">
        <f t="shared" si="58"/>
        <v>505.5080887192409</v>
      </c>
      <c r="AM124" s="62">
        <f t="shared" si="59"/>
        <v>798.84142205257422</v>
      </c>
      <c r="AN124" s="62">
        <f ca="1">AVERAGE(OFFSET($AM$3,0,0,'Données projet'!$E$10+1,1))-AVERAGE(OFFSET($H$3,0,0,'Données projet'!$E$10+1,1))</f>
        <v>206.38141226866287</v>
      </c>
      <c r="AO124" s="62">
        <f t="shared" si="90"/>
        <v>89.074420303945885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28.411413776321297</v>
      </c>
      <c r="AV124" s="23">
        <f>EXP(-LN(2)/25)*AV123+(1-EXP(-LN(2)/25))/(LN(2)/25)*Calculateur!AQ124*Calculateur!AS124*VLOOKUP('Données projet'!$B$10,Paramètres!$A$1:$I$89,3,0)*0.475*44/12</f>
        <v>19.336165966970945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47.747579743292242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4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1.738044375088066E-13</v>
      </c>
      <c r="P125" s="14">
        <f t="shared" si="87"/>
        <v>2.4483293633950478E-12</v>
      </c>
      <c r="Q125" s="22">
        <f t="shared" si="107"/>
        <v>4.566883036574213E-12</v>
      </c>
      <c r="R125" s="62">
        <f t="shared" si="55"/>
        <v>293.33333333333786</v>
      </c>
      <c r="S125" s="62">
        <f ca="1">AVERAGE(OFFSET($R$3,0,0,'Données projet'!$E$9+1,1))-AVERAGE(OFFSET($H$3,0,0,'Données projet'!$E$9+1,1))</f>
        <v>234.06296185782384</v>
      </c>
      <c r="T125" s="62">
        <f t="shared" si="88"/>
        <v>300.75555492874378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36.921809180122025</v>
      </c>
      <c r="AA125" s="23">
        <f>EXP(-LN(2)/25)*AA124+(1-EXP(-LN(2)/25))/(LN(2)/25)*Calculateur!V125*Calculateur!X125*VLOOKUP('Données projet'!$B$9,Paramètres!$A$1:$I$89,3,0)*0.475*44/12</f>
        <v>11.332022307578571</v>
      </c>
      <c r="AB125" s="23">
        <f>EXP(-LN(2)/2)*AB124+(1-EXP(-LN(2)/2))/(LN(2)/2)*V125*Y125*VLOOKUP('Données projet'!$B$9,Paramètres!$A$1:$I$89,3,0)*0.475*44/12</f>
        <v>6.2375804552393029E-9</v>
      </c>
      <c r="AC125" s="24">
        <f t="shared" si="57"/>
        <v>48.253831493938172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5.6</v>
      </c>
      <c r="AI125" s="14">
        <f>IF('Données projet'!$A$62&gt;35,AI124+AH125-AQ124,IF(A125&lt;'Données projet'!$A$62,$AF$205^A125,IF(A125='Données projet'!$A$62,'Données projet'!$B$62,AI124+AH125-AQ124)))</f>
        <v>263.39999999999998</v>
      </c>
      <c r="AJ125" s="14">
        <f>AI125*VLOOKUP('Données projet'!$B$10,Paramètres!$A$1:$I$89,3,0)*VLOOKUP('Données projet'!$B$10,Paramètres!$A$1:$I$89,5,0)</f>
        <v>238.32431999999994</v>
      </c>
      <c r="AK125" s="14">
        <f t="shared" si="89"/>
        <v>58.078852882738808</v>
      </c>
      <c r="AL125" s="22">
        <f t="shared" si="58"/>
        <v>516.23552610410331</v>
      </c>
      <c r="AM125" s="62">
        <f t="shared" si="59"/>
        <v>809.56885943743669</v>
      </c>
      <c r="AN125" s="62">
        <f ca="1">AVERAGE(OFFSET($AM$3,0,0,'Données projet'!$E$10+1,1))-AVERAGE(OFFSET($H$3,0,0,'Données projet'!$E$10+1,1))</f>
        <v>206.38141226866287</v>
      </c>
      <c r="AO125" s="62">
        <f t="shared" si="90"/>
        <v>89.074420303945885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27.854283281418919</v>
      </c>
      <c r="AV125" s="23">
        <f>EXP(-LN(2)/25)*AV124+(1-EXP(-LN(2)/25))/(LN(2)/25)*Calculateur!AQ125*Calculateur!AS125*VLOOKUP('Données projet'!$B$10,Paramètres!$A$1:$I$89,3,0)*0.475*44/12</f>
        <v>18.807417491759349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46.661700773178268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4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1.738044375088066E-13</v>
      </c>
      <c r="P126" s="14">
        <f t="shared" si="87"/>
        <v>2.4483293633950478E-12</v>
      </c>
      <c r="Q126" s="22">
        <f t="shared" si="107"/>
        <v>4.566883036574213E-12</v>
      </c>
      <c r="R126" s="62">
        <f t="shared" si="55"/>
        <v>293.33333333333786</v>
      </c>
      <c r="S126" s="62">
        <f ca="1">AVERAGE(OFFSET($R$3,0,0,'Données projet'!$E$9+1,1))-AVERAGE(OFFSET($H$3,0,0,'Données projet'!$E$9+1,1))</f>
        <v>234.06296185782384</v>
      </c>
      <c r="T126" s="62">
        <f t="shared" si="88"/>
        <v>300.75555492874378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36.197795022179761</v>
      </c>
      <c r="AA126" s="23">
        <f>EXP(-LN(2)/25)*AA125+(1-EXP(-LN(2)/25))/(LN(2)/25)*Calculateur!V126*Calculateur!X126*VLOOKUP('Données projet'!$B$9,Paramètres!$A$1:$I$89,3,0)*0.475*44/12</f>
        <v>11.022147561652682</v>
      </c>
      <c r="AB126" s="23">
        <f>EXP(-LN(2)/2)*AB125+(1-EXP(-LN(2)/2))/(LN(2)/2)*V126*Y126*VLOOKUP('Données projet'!$B$9,Paramètres!$A$1:$I$89,3,0)*0.475*44/12</f>
        <v>4.4106354380963831E-9</v>
      </c>
      <c r="AC126" s="24">
        <f t="shared" si="57"/>
        <v>47.219942588243079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5.6</v>
      </c>
      <c r="AI126" s="14">
        <f>IF('Données projet'!$A$62&gt;35,AI125+AH126-AQ125,IF(A126&lt;'Données projet'!$A$62,$AF$205^A126,IF(A126='Données projet'!$A$62,'Données projet'!$B$62,AI125+AH126-AQ125)))</f>
        <v>269</v>
      </c>
      <c r="AJ126" s="14">
        <f>AI126*VLOOKUP('Données projet'!$B$10,Paramètres!$A$1:$I$89,3,0)*VLOOKUP('Données projet'!$B$10,Paramètres!$A$1:$I$89,5,0)</f>
        <v>243.39119999999997</v>
      </c>
      <c r="AK126" s="14">
        <f t="shared" si="89"/>
        <v>59.168566788241527</v>
      </c>
      <c r="AL126" s="22">
        <f t="shared" si="58"/>
        <v>526.95826048952063</v>
      </c>
      <c r="AM126" s="62">
        <f t="shared" si="59"/>
        <v>820.29159382285388</v>
      </c>
      <c r="AN126" s="62">
        <f ca="1">AVERAGE(OFFSET($AM$3,0,0,'Données projet'!$E$10+1,1))-AVERAGE(OFFSET($H$3,0,0,'Données projet'!$E$10+1,1))</f>
        <v>206.38141226866287</v>
      </c>
      <c r="AO126" s="62">
        <f t="shared" si="90"/>
        <v>89.074420303945885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27.308077775705527</v>
      </c>
      <c r="AV126" s="23">
        <f>EXP(-LN(2)/25)*AV125+(1-EXP(-LN(2)/25))/(LN(2)/25)*Calculateur!AQ126*Calculateur!AS126*VLOOKUP('Données projet'!$B$10,Paramètres!$A$1:$I$89,3,0)*0.475*44/12</f>
        <v>18.29312767140809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45.601205447113614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4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1.738044375088066E-13</v>
      </c>
      <c r="P127" s="14">
        <f t="shared" si="87"/>
        <v>2.4483293633950478E-12</v>
      </c>
      <c r="Q127" s="22">
        <f t="shared" si="107"/>
        <v>4.566883036574213E-12</v>
      </c>
      <c r="R127" s="62">
        <f t="shared" si="55"/>
        <v>293.33333333333786</v>
      </c>
      <c r="S127" s="62">
        <f ca="1">AVERAGE(OFFSET($R$3,0,0,'Données projet'!$E$9+1,1))-AVERAGE(OFFSET($H$3,0,0,'Données projet'!$E$9+1,1))</f>
        <v>234.06296185782384</v>
      </c>
      <c r="T127" s="62">
        <f t="shared" si="88"/>
        <v>300.75555492874378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35.487978340269713</v>
      </c>
      <c r="AA127" s="23">
        <f>EXP(-LN(2)/25)*AA126+(1-EXP(-LN(2)/25))/(LN(2)/25)*Calculateur!V127*Calculateur!X127*VLOOKUP('Données projet'!$B$9,Paramètres!$A$1:$I$89,3,0)*0.475*44/12</f>
        <v>10.720746356949741</v>
      </c>
      <c r="AB127" s="23">
        <f>EXP(-LN(2)/2)*AB126+(1-EXP(-LN(2)/2))/(LN(2)/2)*V127*Y127*VLOOKUP('Données projet'!$B$9,Paramètres!$A$1:$I$89,3,0)*0.475*44/12</f>
        <v>3.1187902276196514E-9</v>
      </c>
      <c r="AC127" s="24">
        <f t="shared" si="57"/>
        <v>46.208724700338244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5.6</v>
      </c>
      <c r="AI127" s="14">
        <f>IF('Données projet'!$A$62&gt;35,AI126+AH127-AQ126,IF(A127&lt;'Données projet'!$A$62,$AF$205^A127,IF(A127='Données projet'!$A$62,'Données projet'!$B$62,AI126+AH127-AQ126)))</f>
        <v>274.60000000000002</v>
      </c>
      <c r="AJ127" s="14">
        <f>AI127*VLOOKUP('Données projet'!$B$10,Paramètres!$A$1:$I$89,3,0)*VLOOKUP('Données projet'!$B$10,Paramètres!$A$1:$I$89,5,0)</f>
        <v>248.45808</v>
      </c>
      <c r="AK127" s="14">
        <f t="shared" si="89"/>
        <v>60.25564309762369</v>
      </c>
      <c r="AL127" s="22">
        <f t="shared" si="58"/>
        <v>537.67640106169461</v>
      </c>
      <c r="AM127" s="62">
        <f t="shared" si="59"/>
        <v>831.00973439502786</v>
      </c>
      <c r="AN127" s="62">
        <f ca="1">AVERAGE(OFFSET($AM$3,0,0,'Données projet'!$E$10+1,1))-AVERAGE(OFFSET($H$3,0,0,'Données projet'!$E$10+1,1))</f>
        <v>206.38141226866287</v>
      </c>
      <c r="AO127" s="62">
        <f t="shared" si="90"/>
        <v>89.074420303945885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26.772583026806714</v>
      </c>
      <c r="AV127" s="23">
        <f>EXP(-LN(2)/25)*AV126+(1-EXP(-LN(2)/25))/(LN(2)/25)*Calculateur!AQ127*Calculateur!AS127*VLOOKUP('Données projet'!$B$10,Paramètres!$A$1:$I$89,3,0)*0.475*44/12</f>
        <v>17.79290113323966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44.565484160046374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4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1.738044375088066E-13</v>
      </c>
      <c r="P128" s="14">
        <f t="shared" si="87"/>
        <v>2.4483293633950478E-12</v>
      </c>
      <c r="Q128" s="22">
        <f t="shared" si="107"/>
        <v>4.566883036574213E-12</v>
      </c>
      <c r="R128" s="62">
        <f t="shared" si="55"/>
        <v>293.33333333333786</v>
      </c>
      <c r="S128" s="62">
        <f ca="1">AVERAGE(OFFSET($R$3,0,0,'Données projet'!$E$9+1,1))-AVERAGE(OFFSET($H$3,0,0,'Données projet'!$E$9+1,1))</f>
        <v>234.06296185782384</v>
      </c>
      <c r="T128" s="62">
        <f t="shared" si="88"/>
        <v>300.75555492874378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34.792080730546495</v>
      </c>
      <c r="AA128" s="23">
        <f>EXP(-LN(2)/25)*AA127+(1-EXP(-LN(2)/25))/(LN(2)/25)*Calculateur!V128*Calculateur!X128*VLOOKUP('Données projet'!$B$9,Paramètres!$A$1:$I$89,3,0)*0.475*44/12</f>
        <v>10.427586984039403</v>
      </c>
      <c r="AB128" s="23">
        <f>EXP(-LN(2)/2)*AB127+(1-EXP(-LN(2)/2))/(LN(2)/2)*V128*Y128*VLOOKUP('Données projet'!$B$9,Paramètres!$A$1:$I$89,3,0)*0.475*44/12</f>
        <v>2.2053177190481916E-9</v>
      </c>
      <c r="AC128" s="24">
        <f t="shared" si="57"/>
        <v>45.219667716791214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5.6</v>
      </c>
      <c r="AI128" s="14">
        <f>IF('Données projet'!$A$62&gt;35,AI127+AH128-AQ127,IF(A128&lt;'Données projet'!$A$62,$AF$205^A128,IF(A128='Données projet'!$A$62,'Données projet'!$B$62,AI127+AH128-AQ127)))</f>
        <v>280.20000000000005</v>
      </c>
      <c r="AJ128" s="14">
        <f>AI128*VLOOKUP('Données projet'!$B$10,Paramètres!$A$1:$I$89,3,0)*VLOOKUP('Données projet'!$B$10,Paramètres!$A$1:$I$89,5,0)</f>
        <v>253.52496000000005</v>
      </c>
      <c r="AK128" s="14">
        <f t="shared" si="89"/>
        <v>61.340141798422209</v>
      </c>
      <c r="AL128" s="22">
        <f t="shared" si="58"/>
        <v>548.3900522989187</v>
      </c>
      <c r="AM128" s="62">
        <f t="shared" si="59"/>
        <v>841.72338563225208</v>
      </c>
      <c r="AN128" s="62">
        <f ca="1">AVERAGE(OFFSET($AM$3,0,0,'Données projet'!$E$10+1,1))-AVERAGE(OFFSET($H$3,0,0,'Données projet'!$E$10+1,1))</f>
        <v>206.38141226866287</v>
      </c>
      <c r="AO128" s="62">
        <f t="shared" si="90"/>
        <v>89.074420303945885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26.24758900331426</v>
      </c>
      <c r="AV128" s="23">
        <f>EXP(-LN(2)/25)*AV127+(1-EXP(-LN(2)/25))/(LN(2)/25)*Calculateur!AQ128*Calculateur!AS128*VLOOKUP('Données projet'!$B$10,Paramètres!$A$1:$I$89,3,0)*0.475*44/12</f>
        <v>17.306353316063216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43.553942319377477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4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1.738044375088066E-13</v>
      </c>
      <c r="P129" s="14">
        <f t="shared" si="87"/>
        <v>2.4483293633950478E-12</v>
      </c>
      <c r="Q129" s="22">
        <f t="shared" si="107"/>
        <v>4.566883036574213E-12</v>
      </c>
      <c r="R129" s="62">
        <f t="shared" si="55"/>
        <v>293.33333333333786</v>
      </c>
      <c r="S129" s="62">
        <f ca="1">AVERAGE(OFFSET($R$3,0,0,'Données projet'!$E$9+1,1))-AVERAGE(OFFSET($H$3,0,0,'Données projet'!$E$9+1,1))</f>
        <v>234.06296185782384</v>
      </c>
      <c r="T129" s="62">
        <f t="shared" si="88"/>
        <v>300.75555492874378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34.109829248494314</v>
      </c>
      <c r="AA129" s="23">
        <f>EXP(-LN(2)/25)*AA128+(1-EXP(-LN(2)/25))/(LN(2)/25)*Calculateur!V129*Calculateur!X129*VLOOKUP('Données projet'!$B$9,Paramètres!$A$1:$I$89,3,0)*0.475*44/12</f>
        <v>10.142444069597879</v>
      </c>
      <c r="AB129" s="23">
        <f>EXP(-LN(2)/2)*AB128+(1-EXP(-LN(2)/2))/(LN(2)/2)*V129*Y129*VLOOKUP('Données projet'!$B$9,Paramètres!$A$1:$I$89,3,0)*0.475*44/12</f>
        <v>1.5593951138098257E-9</v>
      </c>
      <c r="AC129" s="24">
        <f t="shared" si="57"/>
        <v>44.252273319651586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5.6</v>
      </c>
      <c r="AI129" s="14">
        <f>IF('Données projet'!$A$62&gt;35,AI128+AH129-AQ128,IF(A129&lt;'Données projet'!$A$62,$AF$205^A129,IF(A129='Données projet'!$A$62,'Données projet'!$B$62,AI128+AH129-AQ128)))</f>
        <v>285.80000000000007</v>
      </c>
      <c r="AJ129" s="14">
        <f>AI129*VLOOKUP('Données projet'!$B$10,Paramètres!$A$1:$I$89,3,0)*VLOOKUP('Données projet'!$B$10,Paramètres!$A$1:$I$89,5,0)</f>
        <v>258.59184000000005</v>
      </c>
      <c r="AK129" s="14">
        <f t="shared" si="89"/>
        <v>62.422120343276646</v>
      </c>
      <c r="AL129" s="22">
        <f t="shared" si="58"/>
        <v>559.09931426454034</v>
      </c>
      <c r="AM129" s="62">
        <f t="shared" si="59"/>
        <v>852.43264759787371</v>
      </c>
      <c r="AN129" s="62">
        <f ca="1">AVERAGE(OFFSET($AM$3,0,0,'Données projet'!$E$10+1,1))-AVERAGE(OFFSET($H$3,0,0,'Données projet'!$E$10+1,1))</f>
        <v>206.38141226866287</v>
      </c>
      <c r="AO129" s="62">
        <f t="shared" si="90"/>
        <v>89.074420303945885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25.732889792407757</v>
      </c>
      <c r="AV129" s="23">
        <f>EXP(-LN(2)/25)*AV128+(1-EXP(-LN(2)/25))/(LN(2)/25)*Calculateur!AQ129*Calculateur!AS129*VLOOKUP('Données projet'!$B$10,Paramètres!$A$1:$I$89,3,0)*0.475*44/12</f>
        <v>16.8331101745339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42.565999966941661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4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1.738044375088066E-13</v>
      </c>
      <c r="P130" s="14">
        <f t="shared" si="87"/>
        <v>2.4483293633950478E-12</v>
      </c>
      <c r="Q130" s="22">
        <f t="shared" si="107"/>
        <v>4.566883036574213E-12</v>
      </c>
      <c r="R130" s="62">
        <f t="shared" si="55"/>
        <v>293.33333333333786</v>
      </c>
      <c r="S130" s="62">
        <f ca="1">AVERAGE(OFFSET($R$3,0,0,'Données projet'!$E$9+1,1))-AVERAGE(OFFSET($H$3,0,0,'Données projet'!$E$9+1,1))</f>
        <v>234.06296185782384</v>
      </c>
      <c r="T130" s="62">
        <f t="shared" si="88"/>
        <v>300.75555492874378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33.440956301872866</v>
      </c>
      <c r="AA130" s="23">
        <f>EXP(-LN(2)/25)*AA129+(1-EXP(-LN(2)/25))/(LN(2)/25)*Calculateur!V130*Calculateur!X130*VLOOKUP('Données projet'!$B$9,Paramètres!$A$1:$I$89,3,0)*0.475*44/12</f>
        <v>9.8650984031467726</v>
      </c>
      <c r="AB130" s="23">
        <f>EXP(-LN(2)/2)*AB129+(1-EXP(-LN(2)/2))/(LN(2)/2)*V130*Y130*VLOOKUP('Données projet'!$B$9,Paramètres!$A$1:$I$89,3,0)*0.475*44/12</f>
        <v>1.1026588595240958E-9</v>
      </c>
      <c r="AC130" s="24">
        <f t="shared" si="57"/>
        <v>43.306054706122296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5.6</v>
      </c>
      <c r="AI130" s="14">
        <f>IF('Données projet'!$A$62&gt;35,AI129+AH130-AQ129,IF(A130&lt;'Données projet'!$A$62,$AF$205^A130,IF(A130='Données projet'!$A$62,'Données projet'!$B$62,AI129+AH130-AQ129)))</f>
        <v>291.40000000000009</v>
      </c>
      <c r="AJ130" s="14">
        <f>AI130*VLOOKUP('Données projet'!$B$10,Paramètres!$A$1:$I$89,3,0)*VLOOKUP('Données projet'!$B$10,Paramètres!$A$1:$I$89,5,0)</f>
        <v>263.65872000000007</v>
      </c>
      <c r="AK130" s="14">
        <f t="shared" si="89"/>
        <v>63.50163380458158</v>
      </c>
      <c r="AL130" s="22">
        <f t="shared" si="58"/>
        <v>569.8042828763131</v>
      </c>
      <c r="AM130" s="62">
        <f t="shared" si="59"/>
        <v>863.13761620964647</v>
      </c>
      <c r="AN130" s="62">
        <f ca="1">AVERAGE(OFFSET($AM$3,0,0,'Données projet'!$E$10+1,1))-AVERAGE(OFFSET($H$3,0,0,'Données projet'!$E$10+1,1))</f>
        <v>206.38141226866287</v>
      </c>
      <c r="AO130" s="62">
        <f t="shared" si="90"/>
        <v>89.074420303945885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25.228283519091612</v>
      </c>
      <c r="AV130" s="23">
        <f>EXP(-LN(2)/25)*AV129+(1-EXP(-LN(2)/25))/(LN(2)/25)*Calculateur!AQ130*Calculateur!AS130*VLOOKUP('Données projet'!$B$10,Paramètres!$A$1:$I$89,3,0)*0.475*44/12</f>
        <v>16.37280789159648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41.601091410688092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4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1.738044375088066E-13</v>
      </c>
      <c r="P131" s="14">
        <f t="shared" si="87"/>
        <v>2.4483293633950478E-12</v>
      </c>
      <c r="Q131" s="22">
        <f t="shared" ref="Q131:Q153" si="108">(O131+P131)*0.475*44/12</f>
        <v>4.566883036574213E-12</v>
      </c>
      <c r="R131" s="62">
        <f t="shared" ref="R131:R194" si="109">Q131+(I131+J131)*44/12</f>
        <v>293.33333333333786</v>
      </c>
      <c r="S131" s="62">
        <f ca="1">AVERAGE(OFFSET($R$3,0,0,'Données projet'!$E$9+1,1))-AVERAGE(OFFSET($H$3,0,0,'Données projet'!$E$9+1,1))</f>
        <v>234.06296185782384</v>
      </c>
      <c r="T131" s="62">
        <f t="shared" si="88"/>
        <v>300.75555492874378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32.785199545762453</v>
      </c>
      <c r="AA131" s="23">
        <f>EXP(-LN(2)/25)*AA130+(1-EXP(-LN(2)/25))/(LN(2)/25)*Calculateur!V131*Calculateur!X131*VLOOKUP('Données projet'!$B$9,Paramètres!$A$1:$I$89,3,0)*0.475*44/12</f>
        <v>9.5953367685297462</v>
      </c>
      <c r="AB131" s="23">
        <f>EXP(-LN(2)/2)*AB130+(1-EXP(-LN(2)/2))/(LN(2)/2)*V131*Y131*VLOOKUP('Données projet'!$B$9,Paramètres!$A$1:$I$89,3,0)*0.475*44/12</f>
        <v>7.7969755690491286E-10</v>
      </c>
      <c r="AC131" s="24">
        <f t="shared" si="57"/>
        <v>42.3805363150719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>
        <f>VLOOKUP(A131,'Données projet'!$A$61:$I$81,2,0)</f>
        <v>297</v>
      </c>
      <c r="AG131" s="13">
        <f>VLOOKUP(A131,'Données projet'!$A$61:$I$81,9,0)</f>
        <v>5.6</v>
      </c>
      <c r="AH131" s="13">
        <f t="array" ref="AH131">INDEX(AG:AG,MIN(IF(ISNUMBER(AG131:AG327),ROW(AG131:AG327),"")))</f>
        <v>5.6</v>
      </c>
      <c r="AI131" s="14">
        <f>IF('Données projet'!$A$62&gt;35,AI130+AH131-AQ130,IF(A131&lt;'Données projet'!$A$62,$AF$205^A131,IF(A131='Données projet'!$A$62,'Données projet'!$B$62,AI130+AH131-AQ130)))</f>
        <v>297.00000000000011</v>
      </c>
      <c r="AJ131" s="14">
        <f>AI131*VLOOKUP('Données projet'!$B$10,Paramètres!$A$1:$I$89,3,0)*VLOOKUP('Données projet'!$B$10,Paramètres!$A$1:$I$89,5,0)</f>
        <v>268.7256000000001</v>
      </c>
      <c r="AK131" s="14">
        <f t="shared" si="89"/>
        <v>64.578735016913868</v>
      </c>
      <c r="AL131" s="22">
        <f t="shared" si="58"/>
        <v>580.50505015445844</v>
      </c>
      <c r="AM131" s="62">
        <f t="shared" si="59"/>
        <v>873.83838348779182</v>
      </c>
      <c r="AN131" s="62">
        <f ca="1">AVERAGE(OFFSET($AM$3,0,0,'Données projet'!$E$10+1,1))-AVERAGE(OFFSET($H$3,0,0,'Données projet'!$E$10+1,1))</f>
        <v>206.38141226866287</v>
      </c>
      <c r="AO131" s="62">
        <f t="shared" si="90"/>
        <v>89.074420303945885</v>
      </c>
      <c r="AP131" s="16">
        <f>IF(ISNA(VLOOKUP(A131,'Données projet'!$A$61:$I$81,3,0)),0,VLOOKUP(A131,'Données projet'!$A$61:$I$81,3,0))</f>
        <v>11</v>
      </c>
      <c r="AQ131" s="16">
        <f>IF(ISNA(VLOOKUP(A131,'Données projet'!$A$61:$I$81,4,0)),0,VLOOKUP(A131,'Données projet'!$A$61:$I$81,4,0))</f>
        <v>39</v>
      </c>
      <c r="AR131" s="17">
        <f>IF(ISNA(VLOOKUP(A131,'Données projet'!$A$61:$I$81,5,0)),0%,VLOOKUP(A131,'Données projet'!$A$61:$I$81,5,0)*VLOOKUP('Données projet'!$B$10,Paramètres!$A$1:$I$89,7,0))</f>
        <v>0.215</v>
      </c>
      <c r="AS131" s="17">
        <f>IF(ISNA(VLOOKUP(A131,'Données projet'!$A$61:$I$81,6,0)),0%,VLOOKUP(A131,'Données projet'!$A$61:$I$81,6,0)*VLOOKUP('Données projet'!$B$10,Paramètres!$A$1:$I$89,7,0))</f>
        <v>0.17200000000000001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33.120497457996606</v>
      </c>
      <c r="AV131" s="23">
        <f>EXP(-LN(2)/25)*AV130+(1-EXP(-LN(2)/25))/(LN(2)/25)*Calculateur!AQ131*Calculateur!AS131*VLOOKUP('Données projet'!$B$10,Paramètres!$A$1:$I$89,3,0)*0.475*44/12</f>
        <v>22.608214735460166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55.728712193456772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4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1.738044375088066E-13</v>
      </c>
      <c r="P132" s="14">
        <f t="shared" si="87"/>
        <v>2.4483293633950478E-12</v>
      </c>
      <c r="Q132" s="22">
        <f t="shared" si="108"/>
        <v>4.566883036574213E-12</v>
      </c>
      <c r="R132" s="62">
        <f t="shared" si="109"/>
        <v>293.33333333333786</v>
      </c>
      <c r="S132" s="62">
        <f ca="1">AVERAGE(OFFSET($R$3,0,0,'Données projet'!$E$9+1,1))-AVERAGE(OFFSET($H$3,0,0,'Données projet'!$E$9+1,1))</f>
        <v>234.06296185782384</v>
      </c>
      <c r="T132" s="62">
        <f t="shared" si="88"/>
        <v>300.75555492874378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32.142301779667235</v>
      </c>
      <c r="AA132" s="23">
        <f>EXP(-LN(2)/25)*AA131+(1-EXP(-LN(2)/25))/(LN(2)/25)*Calculateur!V132*Calculateur!X132*VLOOKUP('Données projet'!$B$9,Paramètres!$A$1:$I$89,3,0)*0.475*44/12</f>
        <v>9.3329517799974706</v>
      </c>
      <c r="AB132" s="23">
        <f>EXP(-LN(2)/2)*AB131+(1-EXP(-LN(2)/2))/(LN(2)/2)*V132*Y132*VLOOKUP('Données projet'!$B$9,Paramètres!$A$1:$I$89,3,0)*0.475*44/12</f>
        <v>5.5132942976204789E-10</v>
      </c>
      <c r="AC132" s="24">
        <f t="shared" ref="AC132:AC153" si="111">SUM(Z132:AB132)</f>
        <v>41.475253560216039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5.7</v>
      </c>
      <c r="AI132" s="14">
        <f>IF('Données projet'!$A$62&gt;35,AI131+AH132-AQ131,IF(A132&lt;'Données projet'!$A$62,$AF$205^A132,IF(A132='Données projet'!$A$62,'Données projet'!$B$62,AI131+AH132-AQ131)))</f>
        <v>263.7000000000001</v>
      </c>
      <c r="AJ132" s="14">
        <f>AI132*VLOOKUP('Données projet'!$B$10,Paramètres!$A$1:$I$89,3,0)*VLOOKUP('Données projet'!$B$10,Paramètres!$A$1:$I$89,5,0)</f>
        <v>238.5957600000001</v>
      </c>
      <c r="AK132" s="14">
        <f t="shared" si="89"/>
        <v>58.137298297430824</v>
      </c>
      <c r="AL132" s="22">
        <f t="shared" ref="AL132:AL153" si="112">(AJ132+AK132)*0.475*44/12</f>
        <v>516.81007653469226</v>
      </c>
      <c r="AM132" s="62">
        <f t="shared" ref="AM132:AM195" si="113">AL132+(AD132+AE132)*44/12</f>
        <v>810.14340986802563</v>
      </c>
      <c r="AN132" s="62">
        <f ca="1">AVERAGE(OFFSET($AM$3,0,0,'Données projet'!$E$10+1,1))-AVERAGE(OFFSET($H$3,0,0,'Données projet'!$E$10+1,1))</f>
        <v>206.38141226866287</v>
      </c>
      <c r="AO132" s="62">
        <f t="shared" si="90"/>
        <v>89.074420303945885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32.471024704354008</v>
      </c>
      <c r="AV132" s="23">
        <f>EXP(-LN(2)/25)*AV131+(1-EXP(-LN(2)/25))/(LN(2)/25)*Calculateur!AQ132*Calculateur!AS132*VLOOKUP('Données projet'!$B$10,Paramètres!$A$1:$I$89,3,0)*0.475*44/12</f>
        <v>21.989991914604666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54.461016618958674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4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1.738044375088066E-13</v>
      </c>
      <c r="P133" s="14">
        <f t="shared" ref="P133:P196" si="141">EXP(-1.0587+0.8836*LN(O133)+0.284)</f>
        <v>2.4483293633950478E-12</v>
      </c>
      <c r="Q133" s="22">
        <f t="shared" si="108"/>
        <v>4.566883036574213E-12</v>
      </c>
      <c r="R133" s="62">
        <f t="shared" si="109"/>
        <v>293.33333333333786</v>
      </c>
      <c r="S133" s="62">
        <f ca="1">AVERAGE(OFFSET($R$3,0,0,'Données projet'!$E$9+1,1))-AVERAGE(OFFSET($H$3,0,0,'Données projet'!$E$9+1,1))</f>
        <v>234.06296185782384</v>
      </c>
      <c r="T133" s="62">
        <f t="shared" ref="T133:T196" si="142">$T$3</f>
        <v>300.75555492874378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31.512010846636226</v>
      </c>
      <c r="AA133" s="23">
        <f>EXP(-LN(2)/25)*AA132+(1-EXP(-LN(2)/25))/(LN(2)/25)*Calculateur!V133*Calculateur!X133*VLOOKUP('Données projet'!$B$9,Paramètres!$A$1:$I$89,3,0)*0.475*44/12</f>
        <v>9.0777417227748369</v>
      </c>
      <c r="AB133" s="23">
        <f>EXP(-LN(2)/2)*AB132+(1-EXP(-LN(2)/2))/(LN(2)/2)*V133*Y133*VLOOKUP('Données projet'!$B$9,Paramètres!$A$1:$I$89,3,0)*0.475*44/12</f>
        <v>3.8984877845245643E-10</v>
      </c>
      <c r="AC133" s="24">
        <f t="shared" si="111"/>
        <v>40.589752569800908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5.7</v>
      </c>
      <c r="AI133" s="14">
        <f>IF('Données projet'!$A$62&gt;35,AI132+AH133-AQ132,IF(A133&lt;'Données projet'!$A$62,$AF$205^A133,IF(A133='Données projet'!$A$62,'Données projet'!$B$62,AI132+AH133-AQ132)))</f>
        <v>269.40000000000009</v>
      </c>
      <c r="AJ133" s="14">
        <f>AI133*VLOOKUP('Données projet'!$B$10,Paramètres!$A$1:$I$89,3,0)*VLOOKUP('Données projet'!$B$10,Paramètres!$A$1:$I$89,5,0)</f>
        <v>243.75312000000008</v>
      </c>
      <c r="AK133" s="14">
        <f t="shared" ref="AK133:AK153" si="143">EXP(-1.0587+0.8836*LN(AJ133)+0.284)</f>
        <v>59.246301841839156</v>
      </c>
      <c r="AL133" s="22">
        <f t="shared" si="112"/>
        <v>527.72399304120336</v>
      </c>
      <c r="AM133" s="62">
        <f t="shared" si="113"/>
        <v>821.05732637453661</v>
      </c>
      <c r="AN133" s="62">
        <f ca="1">AVERAGE(OFFSET($AM$3,0,0,'Données projet'!$E$10+1,1))-AVERAGE(OFFSET($H$3,0,0,'Données projet'!$E$10+1,1))</f>
        <v>206.38141226866287</v>
      </c>
      <c r="AO133" s="62">
        <f t="shared" ref="AO133:AO196" si="144">$AO$3</f>
        <v>89.074420303945885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31.834287715271078</v>
      </c>
      <c r="AV133" s="23">
        <f>EXP(-LN(2)/25)*AV132+(1-EXP(-LN(2)/25))/(LN(2)/25)*Calculateur!AQ133*Calculateur!AS133*VLOOKUP('Données projet'!$B$10,Paramètres!$A$1:$I$89,3,0)*0.475*44/12</f>
        <v>21.388674429296383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53.222962144567461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4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1.738044375088066E-13</v>
      </c>
      <c r="P134" s="14">
        <f t="shared" si="141"/>
        <v>2.4483293633950478E-12</v>
      </c>
      <c r="Q134" s="22">
        <f t="shared" si="108"/>
        <v>4.566883036574213E-12</v>
      </c>
      <c r="R134" s="62">
        <f t="shared" si="109"/>
        <v>293.33333333333786</v>
      </c>
      <c r="S134" s="62">
        <f ca="1">AVERAGE(OFFSET($R$3,0,0,'Données projet'!$E$9+1,1))-AVERAGE(OFFSET($H$3,0,0,'Données projet'!$E$9+1,1))</f>
        <v>234.06296185782384</v>
      </c>
      <c r="T134" s="62">
        <f t="shared" si="142"/>
        <v>300.75555492874378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30.894079534362447</v>
      </c>
      <c r="AA134" s="23">
        <f>EXP(-LN(2)/25)*AA133+(1-EXP(-LN(2)/25))/(LN(2)/25)*Calculateur!V134*Calculateur!X134*VLOOKUP('Données projet'!$B$9,Paramètres!$A$1:$I$89,3,0)*0.475*44/12</f>
        <v>8.8295103979878693</v>
      </c>
      <c r="AB134" s="23">
        <f>EXP(-LN(2)/2)*AB133+(1-EXP(-LN(2)/2))/(LN(2)/2)*V134*Y134*VLOOKUP('Données projet'!$B$9,Paramètres!$A$1:$I$89,3,0)*0.475*44/12</f>
        <v>2.7566471488102395E-10</v>
      </c>
      <c r="AC134" s="24">
        <f t="shared" si="111"/>
        <v>39.723589932625977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5.7</v>
      </c>
      <c r="AI134" s="14">
        <f>IF('Données projet'!$A$62&gt;35,AI133+AH134-AQ133,IF(A134&lt;'Données projet'!$A$62,$AF$205^A134,IF(A134='Données projet'!$A$62,'Données projet'!$B$62,AI133+AH134-AQ133)))</f>
        <v>275.10000000000008</v>
      </c>
      <c r="AJ134" s="14">
        <f>AI134*VLOOKUP('Données projet'!$B$10,Paramètres!$A$1:$I$89,3,0)*VLOOKUP('Données projet'!$B$10,Paramètres!$A$1:$I$89,5,0)</f>
        <v>248.91048000000004</v>
      </c>
      <c r="AK134" s="14">
        <f t="shared" si="143"/>
        <v>60.352577270773921</v>
      </c>
      <c r="AL134" s="22">
        <f t="shared" si="112"/>
        <v>538.63315807993138</v>
      </c>
      <c r="AM134" s="62">
        <f t="shared" si="113"/>
        <v>831.96649141326475</v>
      </c>
      <c r="AN134" s="62">
        <f ca="1">AVERAGE(OFFSET($AM$3,0,0,'Données projet'!$E$10+1,1))-AVERAGE(OFFSET($H$3,0,0,'Données projet'!$E$10+1,1))</f>
        <v>206.38141226866287</v>
      </c>
      <c r="AO134" s="62">
        <f t="shared" si="144"/>
        <v>89.074420303945885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31.210036750172851</v>
      </c>
      <c r="AV134" s="23">
        <f>EXP(-LN(2)/25)*AV133+(1-EXP(-LN(2)/25))/(LN(2)/25)*Calculateur!AQ134*Calculateur!AS134*VLOOKUP('Données projet'!$B$10,Paramètres!$A$1:$I$89,3,0)*0.475*44/12</f>
        <v>20.803800002245769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52.013836752418619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4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1.738044375088066E-13</v>
      </c>
      <c r="P135" s="14">
        <f t="shared" si="141"/>
        <v>2.4483293633950478E-12</v>
      </c>
      <c r="Q135" s="22">
        <f t="shared" si="108"/>
        <v>4.566883036574213E-12</v>
      </c>
      <c r="R135" s="62">
        <f t="shared" si="109"/>
        <v>293.33333333333786</v>
      </c>
      <c r="S135" s="62">
        <f ca="1">AVERAGE(OFFSET($R$3,0,0,'Données projet'!$E$9+1,1))-AVERAGE(OFFSET($H$3,0,0,'Données projet'!$E$9+1,1))</f>
        <v>234.06296185782384</v>
      </c>
      <c r="T135" s="62">
        <f t="shared" si="142"/>
        <v>300.75555492874378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30.288265478221472</v>
      </c>
      <c r="AA135" s="23">
        <f>EXP(-LN(2)/25)*AA134+(1-EXP(-LN(2)/25))/(LN(2)/25)*Calculateur!V135*Calculateur!X135*VLOOKUP('Données projet'!$B$9,Paramètres!$A$1:$I$89,3,0)*0.475*44/12</f>
        <v>8.58806697183112</v>
      </c>
      <c r="AB135" s="23">
        <f>EXP(-LN(2)/2)*AB134+(1-EXP(-LN(2)/2))/(LN(2)/2)*V135*Y135*VLOOKUP('Données projet'!$B$9,Paramètres!$A$1:$I$89,3,0)*0.475*44/12</f>
        <v>1.9492438922622821E-10</v>
      </c>
      <c r="AC135" s="24">
        <f t="shared" si="111"/>
        <v>38.876332450247517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5.7</v>
      </c>
      <c r="AI135" s="14">
        <f>IF('Données projet'!$A$62&gt;35,AI134+AH135-AQ134,IF(A135&lt;'Données projet'!$A$62,$AF$205^A135,IF(A135='Données projet'!$A$62,'Données projet'!$B$62,AI134+AH135-AQ134)))</f>
        <v>280.80000000000007</v>
      </c>
      <c r="AJ135" s="14">
        <f>AI135*VLOOKUP('Données projet'!$B$10,Paramètres!$A$1:$I$89,3,0)*VLOOKUP('Données projet'!$B$10,Paramètres!$A$1:$I$89,5,0)</f>
        <v>254.06784000000005</v>
      </c>
      <c r="AK135" s="14">
        <f t="shared" si="143"/>
        <v>61.456187622750775</v>
      </c>
      <c r="AL135" s="22">
        <f t="shared" si="112"/>
        <v>549.53768144295771</v>
      </c>
      <c r="AM135" s="62">
        <f t="shared" si="113"/>
        <v>842.87101477629108</v>
      </c>
      <c r="AN135" s="62">
        <f ca="1">AVERAGE(OFFSET($AM$3,0,0,'Données projet'!$E$10+1,1))-AVERAGE(OFFSET($H$3,0,0,'Données projet'!$E$10+1,1))</f>
        <v>206.38141226866287</v>
      </c>
      <c r="AO135" s="62">
        <f t="shared" si="144"/>
        <v>89.074420303945885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30.598026965744705</v>
      </c>
      <c r="AV135" s="23">
        <f>EXP(-LN(2)/25)*AV134+(1-EXP(-LN(2)/25))/(LN(2)/25)*Calculateur!AQ135*Calculateur!AS135*VLOOKUP('Données projet'!$B$10,Paramètres!$A$1:$I$89,3,0)*0.475*44/12</f>
        <v>20.234918997160065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50.832945962904773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4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1.738044375088066E-13</v>
      </c>
      <c r="P136" s="14">
        <f t="shared" si="141"/>
        <v>2.4483293633950478E-12</v>
      </c>
      <c r="Q136" s="22">
        <f t="shared" si="108"/>
        <v>4.566883036574213E-12</v>
      </c>
      <c r="R136" s="62">
        <f t="shared" si="109"/>
        <v>293.33333333333786</v>
      </c>
      <c r="S136" s="62">
        <f ca="1">AVERAGE(OFFSET($R$3,0,0,'Données projet'!$E$9+1,1))-AVERAGE(OFFSET($H$3,0,0,'Données projet'!$E$9+1,1))</f>
        <v>234.06296185782384</v>
      </c>
      <c r="T136" s="62">
        <f t="shared" si="142"/>
        <v>300.75555492874378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29.694331066211333</v>
      </c>
      <c r="AA136" s="23">
        <f>EXP(-LN(2)/25)*AA135+(1-EXP(-LN(2)/25))/(LN(2)/25)*Calculateur!V136*Calculateur!X136*VLOOKUP('Données projet'!$B$9,Paramètres!$A$1:$I$89,3,0)*0.475*44/12</f>
        <v>8.3532258288595838</v>
      </c>
      <c r="AB136" s="23">
        <f>EXP(-LN(2)/2)*AB135+(1-EXP(-LN(2)/2))/(LN(2)/2)*V136*Y136*VLOOKUP('Données projet'!$B$9,Paramètres!$A$1:$I$89,3,0)*0.475*44/12</f>
        <v>1.3783235744051197E-10</v>
      </c>
      <c r="AC136" s="24">
        <f t="shared" si="111"/>
        <v>38.04755689520875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5.7</v>
      </c>
      <c r="AI136" s="14">
        <f>IF('Données projet'!$A$62&gt;35,AI135+AH136-AQ135,IF(A136&lt;'Données projet'!$A$62,$AF$205^A136,IF(A136='Données projet'!$A$62,'Données projet'!$B$62,AI135+AH136-AQ135)))</f>
        <v>286.50000000000006</v>
      </c>
      <c r="AJ136" s="14">
        <f>AI136*VLOOKUP('Données projet'!$B$10,Paramètres!$A$1:$I$89,3,0)*VLOOKUP('Données projet'!$B$10,Paramètres!$A$1:$I$89,5,0)</f>
        <v>259.22520000000003</v>
      </c>
      <c r="AK136" s="14">
        <f t="shared" si="143"/>
        <v>62.557193230719982</v>
      </c>
      <c r="AL136" s="22">
        <f t="shared" si="112"/>
        <v>560.43766821017061</v>
      </c>
      <c r="AM136" s="62">
        <f t="shared" si="113"/>
        <v>853.77100154350387</v>
      </c>
      <c r="AN136" s="62">
        <f ca="1">AVERAGE(OFFSET($AM$3,0,0,'Données projet'!$E$10+1,1))-AVERAGE(OFFSET($H$3,0,0,'Données projet'!$E$10+1,1))</f>
        <v>206.38141226866287</v>
      </c>
      <c r="AO136" s="62">
        <f t="shared" si="144"/>
        <v>89.074420303945885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29.998018319900087</v>
      </c>
      <c r="AV136" s="23">
        <f>EXP(-LN(2)/25)*AV135+(1-EXP(-LN(2)/25))/(LN(2)/25)*Calculateur!AQ136*Calculateur!AS136*VLOOKUP('Données projet'!$B$10,Paramètres!$A$1:$I$89,3,0)*0.475*44/12</f>
        <v>19.681594073074582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49.679612392974668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4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1.738044375088066E-13</v>
      </c>
      <c r="P137" s="14">
        <f t="shared" si="141"/>
        <v>2.4483293633950478E-12</v>
      </c>
      <c r="Q137" s="22">
        <f t="shared" si="108"/>
        <v>4.566883036574213E-12</v>
      </c>
      <c r="R137" s="62">
        <f t="shared" si="109"/>
        <v>293.33333333333786</v>
      </c>
      <c r="S137" s="62">
        <f ca="1">AVERAGE(OFFSET($R$3,0,0,'Données projet'!$E$9+1,1))-AVERAGE(OFFSET($H$3,0,0,'Données projet'!$E$9+1,1))</f>
        <v>234.06296185782384</v>
      </c>
      <c r="T137" s="62">
        <f t="shared" si="142"/>
        <v>300.75555492874378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29.112043345756494</v>
      </c>
      <c r="AA137" s="23">
        <f>EXP(-LN(2)/25)*AA136+(1-EXP(-LN(2)/25))/(LN(2)/25)*Calculateur!V137*Calculateur!X137*VLOOKUP('Données projet'!$B$9,Paramètres!$A$1:$I$89,3,0)*0.475*44/12</f>
        <v>8.124806429292363</v>
      </c>
      <c r="AB137" s="23">
        <f>EXP(-LN(2)/2)*AB136+(1-EXP(-LN(2)/2))/(LN(2)/2)*V137*Y137*VLOOKUP('Données projet'!$B$9,Paramètres!$A$1:$I$89,3,0)*0.475*44/12</f>
        <v>9.7462194613114107E-11</v>
      </c>
      <c r="AC137" s="24">
        <f t="shared" si="111"/>
        <v>37.236849775146318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5.7</v>
      </c>
      <c r="AI137" s="14">
        <f>IF('Données projet'!$A$62&gt;35,AI136+AH137-AQ136,IF(A137&lt;'Données projet'!$A$62,$AF$205^A137,IF(A137='Données projet'!$A$62,'Données projet'!$B$62,AI136+AH137-AQ136)))</f>
        <v>292.20000000000005</v>
      </c>
      <c r="AJ137" s="14">
        <f>AI137*VLOOKUP('Données projet'!$B$10,Paramètres!$A$1:$I$89,3,0)*VLOOKUP('Données projet'!$B$10,Paramètres!$A$1:$I$89,5,0)</f>
        <v>264.38256000000007</v>
      </c>
      <c r="AK137" s="14">
        <f t="shared" si="143"/>
        <v>63.655651889666466</v>
      </c>
      <c r="AL137" s="22">
        <f t="shared" si="112"/>
        <v>571.33321904116917</v>
      </c>
      <c r="AM137" s="62">
        <f t="shared" si="113"/>
        <v>864.66655237450254</v>
      </c>
      <c r="AN137" s="62">
        <f ca="1">AVERAGE(OFFSET($AM$3,0,0,'Données projet'!$E$10+1,1))-AVERAGE(OFFSET($H$3,0,0,'Données projet'!$E$10+1,1))</f>
        <v>206.38141226866287</v>
      </c>
      <c r="AO137" s="62">
        <f t="shared" si="144"/>
        <v>89.074420303945885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29.409775477631346</v>
      </c>
      <c r="AV137" s="23">
        <f>EXP(-LN(2)/25)*AV136+(1-EXP(-LN(2)/25))/(LN(2)/25)*Calculateur!AQ137*Calculateur!AS137*VLOOKUP('Données projet'!$B$10,Paramètres!$A$1:$I$89,3,0)*0.475*44/12</f>
        <v>19.143399848136308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48.553175325767654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4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1.738044375088066E-13</v>
      </c>
      <c r="P138" s="14">
        <f t="shared" si="141"/>
        <v>2.4483293633950478E-12</v>
      </c>
      <c r="Q138" s="22">
        <f t="shared" si="108"/>
        <v>4.566883036574213E-12</v>
      </c>
      <c r="R138" s="62">
        <f t="shared" si="109"/>
        <v>293.33333333333786</v>
      </c>
      <c r="S138" s="62">
        <f ca="1">AVERAGE(OFFSET($R$3,0,0,'Données projet'!$E$9+1,1))-AVERAGE(OFFSET($H$3,0,0,'Données projet'!$E$9+1,1))</f>
        <v>234.06296185782384</v>
      </c>
      <c r="T138" s="62">
        <f t="shared" si="142"/>
        <v>300.75555492874378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28.541173932339333</v>
      </c>
      <c r="AA138" s="23">
        <f>EXP(-LN(2)/25)*AA137+(1-EXP(-LN(2)/25))/(LN(2)/25)*Calculateur!V138*Calculateur!X138*VLOOKUP('Données projet'!$B$9,Paramètres!$A$1:$I$89,3,0)*0.475*44/12</f>
        <v>7.9026331702183628</v>
      </c>
      <c r="AB138" s="23">
        <f>EXP(-LN(2)/2)*AB137+(1-EXP(-LN(2)/2))/(LN(2)/2)*V138*Y138*VLOOKUP('Données projet'!$B$9,Paramètres!$A$1:$I$89,3,0)*0.475*44/12</f>
        <v>6.8916178720255986E-11</v>
      </c>
      <c r="AC138" s="24">
        <f t="shared" si="111"/>
        <v>36.443807102626614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5.7</v>
      </c>
      <c r="AI138" s="14">
        <f>IF('Données projet'!$A$62&gt;35,AI137+AH138-AQ137,IF(A138&lt;'Données projet'!$A$62,$AF$205^A138,IF(A138='Données projet'!$A$62,'Données projet'!$B$62,AI137+AH138-AQ137)))</f>
        <v>297.90000000000003</v>
      </c>
      <c r="AJ138" s="14">
        <f>AI138*VLOOKUP('Données projet'!$B$10,Paramètres!$A$1:$I$89,3,0)*VLOOKUP('Données projet'!$B$10,Paramètres!$A$1:$I$89,5,0)</f>
        <v>269.53992000000005</v>
      </c>
      <c r="AK138" s="14">
        <f t="shared" si="143"/>
        <v>64.751619010762369</v>
      </c>
      <c r="AL138" s="22">
        <f t="shared" si="112"/>
        <v>582.22443044374461</v>
      </c>
      <c r="AM138" s="62">
        <f t="shared" si="113"/>
        <v>875.55776377707798</v>
      </c>
      <c r="AN138" s="62">
        <f ca="1">AVERAGE(OFFSET($AM$3,0,0,'Données projet'!$E$10+1,1))-AVERAGE(OFFSET($H$3,0,0,'Données projet'!$E$10+1,1))</f>
        <v>206.38141226866287</v>
      </c>
      <c r="AO138" s="62">
        <f t="shared" si="144"/>
        <v>89.074420303945885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28.833067718706786</v>
      </c>
      <c r="AV138" s="23">
        <f>EXP(-LN(2)/25)*AV137+(1-EXP(-LN(2)/25))/(LN(2)/25)*Calculateur!AQ138*Calculateur!AS138*VLOOKUP('Données projet'!$B$10,Paramètres!$A$1:$I$89,3,0)*0.475*44/12</f>
        <v>18.619922572581377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47.45299029128816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4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1.738044375088066E-13</v>
      </c>
      <c r="P139" s="14">
        <f t="shared" si="141"/>
        <v>2.4483293633950478E-12</v>
      </c>
      <c r="Q139" s="22">
        <f t="shared" si="108"/>
        <v>4.566883036574213E-12</v>
      </c>
      <c r="R139" s="62">
        <f t="shared" si="109"/>
        <v>293.33333333333786</v>
      </c>
      <c r="S139" s="62">
        <f ca="1">AVERAGE(OFFSET($R$3,0,0,'Données projet'!$E$9+1,1))-AVERAGE(OFFSET($H$3,0,0,'Données projet'!$E$9+1,1))</f>
        <v>234.06296185782384</v>
      </c>
      <c r="T139" s="62">
        <f t="shared" si="142"/>
        <v>300.75555492874378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27.981498919923322</v>
      </c>
      <c r="AA139" s="23">
        <f>EXP(-LN(2)/25)*AA138+(1-EXP(-LN(2)/25))/(LN(2)/25)*Calculateur!V139*Calculateur!X139*VLOOKUP('Données projet'!$B$9,Paramètres!$A$1:$I$89,3,0)*0.475*44/12</f>
        <v>7.6865352505973252</v>
      </c>
      <c r="AB139" s="23">
        <f>EXP(-LN(2)/2)*AB138+(1-EXP(-LN(2)/2))/(LN(2)/2)*V139*Y139*VLOOKUP('Données projet'!$B$9,Paramètres!$A$1:$I$89,3,0)*0.475*44/12</f>
        <v>4.8731097306557054E-11</v>
      </c>
      <c r="AC139" s="24">
        <f t="shared" si="111"/>
        <v>35.668034170569378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5.7</v>
      </c>
      <c r="AI139" s="14">
        <f>IF('Données projet'!$A$62&gt;35,AI138+AH139-AQ138,IF(A139&lt;'Données projet'!$A$62,$AF$205^A139,IF(A139='Données projet'!$A$62,'Données projet'!$B$62,AI138+AH139-AQ138)))</f>
        <v>303.60000000000002</v>
      </c>
      <c r="AJ139" s="14">
        <f>AI139*VLOOKUP('Données projet'!$B$10,Paramètres!$A$1:$I$89,3,0)*VLOOKUP('Données projet'!$B$10,Paramètres!$A$1:$I$89,5,0)</f>
        <v>274.69727999999998</v>
      </c>
      <c r="AK139" s="14">
        <f t="shared" si="143"/>
        <v>65.845147763387502</v>
      </c>
      <c r="AL139" s="22">
        <f t="shared" si="112"/>
        <v>593.11139502123308</v>
      </c>
      <c r="AM139" s="62">
        <f t="shared" si="113"/>
        <v>886.44472835456645</v>
      </c>
      <c r="AN139" s="62">
        <f ca="1">AVERAGE(OFFSET($AM$3,0,0,'Données projet'!$E$10+1,1))-AVERAGE(OFFSET($H$3,0,0,'Données projet'!$E$10+1,1))</f>
        <v>206.38141226866287</v>
      </c>
      <c r="AO139" s="62">
        <f t="shared" si="144"/>
        <v>89.074420303945885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28.267668847177738</v>
      </c>
      <c r="AV139" s="23">
        <f>EXP(-LN(2)/25)*AV138+(1-EXP(-LN(2)/25))/(LN(2)/25)*Calculateur!AQ139*Calculateur!AS139*VLOOKUP('Données projet'!$B$10,Paramètres!$A$1:$I$89,3,0)*0.475*44/12</f>
        <v>18.110759810654969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46.378428657832707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4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1.738044375088066E-13</v>
      </c>
      <c r="P140" s="14">
        <f t="shared" si="141"/>
        <v>2.4483293633950478E-12</v>
      </c>
      <c r="Q140" s="22">
        <f t="shared" si="108"/>
        <v>4.566883036574213E-12</v>
      </c>
      <c r="R140" s="62">
        <f t="shared" si="109"/>
        <v>293.33333333333786</v>
      </c>
      <c r="S140" s="62">
        <f ca="1">AVERAGE(OFFSET($R$3,0,0,'Données projet'!$E$9+1,1))-AVERAGE(OFFSET($H$3,0,0,'Données projet'!$E$9+1,1))</f>
        <v>234.06296185782384</v>
      </c>
      <c r="T140" s="62">
        <f t="shared" si="142"/>
        <v>300.75555492874378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27.432798793132736</v>
      </c>
      <c r="AA140" s="23">
        <f>EXP(-LN(2)/25)*AA139+(1-EXP(-LN(2)/25))/(LN(2)/25)*Calculateur!V140*Calculateur!X140*VLOOKUP('Données projet'!$B$9,Paramètres!$A$1:$I$89,3,0)*0.475*44/12</f>
        <v>7.47634653995242</v>
      </c>
      <c r="AB140" s="23">
        <f>EXP(-LN(2)/2)*AB139+(1-EXP(-LN(2)/2))/(LN(2)/2)*V140*Y140*VLOOKUP('Données projet'!$B$9,Paramètres!$A$1:$I$89,3,0)*0.475*44/12</f>
        <v>3.4458089360127993E-11</v>
      </c>
      <c r="AC140" s="24">
        <f t="shared" si="111"/>
        <v>34.909145333119618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5.7</v>
      </c>
      <c r="AI140" s="14">
        <f>IF('Données projet'!$A$62&gt;35,AI139+AH140-AQ139,IF(A140&lt;'Données projet'!$A$62,$AF$205^A140,IF(A140='Données projet'!$A$62,'Données projet'!$B$62,AI139+AH140-AQ139)))</f>
        <v>309.3</v>
      </c>
      <c r="AJ140" s="14">
        <f>AI140*VLOOKUP('Données projet'!$B$10,Paramètres!$A$1:$I$89,3,0)*VLOOKUP('Données projet'!$B$10,Paramètres!$A$1:$I$89,5,0)</f>
        <v>279.85464000000002</v>
      </c>
      <c r="AK140" s="14">
        <f t="shared" si="143"/>
        <v>66.936289206183517</v>
      </c>
      <c r="AL140" s="22">
        <f t="shared" si="112"/>
        <v>603.99420170076962</v>
      </c>
      <c r="AM140" s="62">
        <f t="shared" si="113"/>
        <v>897.32753503410299</v>
      </c>
      <c r="AN140" s="62">
        <f ca="1">AVERAGE(OFFSET($AM$3,0,0,'Données projet'!$E$10+1,1))-AVERAGE(OFFSET($H$3,0,0,'Données projet'!$E$10+1,1))</f>
        <v>206.38141226866287</v>
      </c>
      <c r="AO140" s="62">
        <f t="shared" si="144"/>
        <v>89.074420303945885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27.713357102660115</v>
      </c>
      <c r="AV140" s="23">
        <f>EXP(-LN(2)/25)*AV139+(1-EXP(-LN(2)/25))/(LN(2)/25)*Calculateur!AQ140*Calculateur!AS140*VLOOKUP('Données projet'!$B$10,Paramètres!$A$1:$I$89,3,0)*0.475*44/12</f>
        <v>17.615520131229143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45.328877233889258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4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1.738044375088066E-13</v>
      </c>
      <c r="P141" s="14">
        <f t="shared" si="141"/>
        <v>2.4483293633950478E-12</v>
      </c>
      <c r="Q141" s="22">
        <f t="shared" si="108"/>
        <v>4.566883036574213E-12</v>
      </c>
      <c r="R141" s="62">
        <f t="shared" si="109"/>
        <v>293.33333333333786</v>
      </c>
      <c r="S141" s="62">
        <f ca="1">AVERAGE(OFFSET($R$3,0,0,'Données projet'!$E$9+1,1))-AVERAGE(OFFSET($H$3,0,0,'Données projet'!$E$9+1,1))</f>
        <v>234.06296185782384</v>
      </c>
      <c r="T141" s="62">
        <f t="shared" si="142"/>
        <v>300.75555492874378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26.894858341154485</v>
      </c>
      <c r="AA141" s="23">
        <f>EXP(-LN(2)/25)*AA140+(1-EXP(-LN(2)/25))/(LN(2)/25)*Calculateur!V141*Calculateur!X141*VLOOKUP('Données projet'!$B$9,Paramètres!$A$1:$I$89,3,0)*0.475*44/12</f>
        <v>7.2719054506534437</v>
      </c>
      <c r="AB141" s="23">
        <f>EXP(-LN(2)/2)*AB140+(1-EXP(-LN(2)/2))/(LN(2)/2)*V141*Y141*VLOOKUP('Données projet'!$B$9,Paramètres!$A$1:$I$89,3,0)*0.475*44/12</f>
        <v>2.4365548653278527E-11</v>
      </c>
      <c r="AC141" s="24">
        <f t="shared" si="111"/>
        <v>34.166763791832295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>
        <f>VLOOKUP(A141,'Données projet'!$A$61:$I$81,2,0)</f>
        <v>315</v>
      </c>
      <c r="AG141" s="13">
        <f>VLOOKUP(A141,'Données projet'!$A$61:$I$81,9,0)</f>
        <v>5.7</v>
      </c>
      <c r="AH141" s="13">
        <f t="array" ref="AH141">INDEX(AG:AG,MIN(IF(ISNUMBER(AG141:AG337),ROW(AG141:AG337),"")))</f>
        <v>5.7</v>
      </c>
      <c r="AI141" s="14">
        <f>IF('Données projet'!$A$62&gt;35,AI140+AH141-AQ140,IF(A141&lt;'Données projet'!$A$62,$AF$205^A141,IF(A141='Données projet'!$A$62,'Données projet'!$B$62,AI140+AH141-AQ140)))</f>
        <v>315</v>
      </c>
      <c r="AJ141" s="14">
        <f>AI141*VLOOKUP('Données projet'!$B$10,Paramètres!$A$1:$I$89,3,0)*VLOOKUP('Données projet'!$B$10,Paramètres!$A$1:$I$89,5,0)</f>
        <v>285.012</v>
      </c>
      <c r="AK141" s="14">
        <f t="shared" si="143"/>
        <v>68.025092408173109</v>
      </c>
      <c r="AL141" s="22">
        <f t="shared" si="112"/>
        <v>614.87293594423477</v>
      </c>
      <c r="AM141" s="62">
        <f t="shared" si="113"/>
        <v>908.20626927756803</v>
      </c>
      <c r="AN141" s="62">
        <f ca="1">AVERAGE(OFFSET($AM$3,0,0,'Données projet'!$E$10+1,1))-AVERAGE(OFFSET($H$3,0,0,'Données projet'!$E$10+1,1))</f>
        <v>206.38141226866287</v>
      </c>
      <c r="AO141" s="62">
        <f t="shared" si="144"/>
        <v>89.074420303945885</v>
      </c>
      <c r="AP141" s="16">
        <f>IF(ISNA(VLOOKUP(A141,'Données projet'!$A$61:$I$81,3,0)),0,VLOOKUP(A141,'Données projet'!$A$61:$I$81,3,0))</f>
        <v>12</v>
      </c>
      <c r="AQ141" s="16">
        <f>IF(ISNA(VLOOKUP(A141,'Données projet'!$A$61:$I$81,4,0)),0,VLOOKUP(A141,'Données projet'!$A$61:$I$81,4,0))</f>
        <v>39</v>
      </c>
      <c r="AR141" s="17">
        <f>IF(ISNA(VLOOKUP(A141,'Données projet'!$A$61:$I$81,5,0)),0%,VLOOKUP(A141,'Données projet'!$A$61:$I$81,5,0)*VLOOKUP('Données projet'!$B$10,Paramètres!$A$1:$I$89,7,0))</f>
        <v>0.215</v>
      </c>
      <c r="AS141" s="17">
        <f>IF(ISNA(VLOOKUP(A141,'Données projet'!$A$61:$I$81,6,0)),0%,VLOOKUP(A141,'Données projet'!$A$61:$I$81,6,0)*VLOOKUP('Données projet'!$B$10,Paramètres!$A$1:$I$89,7,0))</f>
        <v>0.17200000000000001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35.556840264336557</v>
      </c>
      <c r="AV141" s="23">
        <f>EXP(-LN(2)/25)*AV140+(1-EXP(-LN(2)/25))/(LN(2)/25)*Calculateur!AQ141*Calculateur!AS141*VLOOKUP('Données projet'!$B$10,Paramètres!$A$1:$I$89,3,0)*0.475*44/12</f>
        <v>23.81694494354868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59.373785207885234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4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1.738044375088066E-13</v>
      </c>
      <c r="P142" s="14">
        <f t="shared" si="141"/>
        <v>2.4483293633950478E-12</v>
      </c>
      <c r="Q142" s="22">
        <f t="shared" si="108"/>
        <v>4.566883036574213E-12</v>
      </c>
      <c r="R142" s="62">
        <f t="shared" si="109"/>
        <v>293.33333333333786</v>
      </c>
      <c r="S142" s="62">
        <f ca="1">AVERAGE(OFFSET($R$3,0,0,'Données projet'!$E$9+1,1))-AVERAGE(OFFSET($H$3,0,0,'Données projet'!$E$9+1,1))</f>
        <v>234.06296185782384</v>
      </c>
      <c r="T142" s="62">
        <f t="shared" si="142"/>
        <v>300.75555492874378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26.367466573328251</v>
      </c>
      <c r="AA142" s="23">
        <f>EXP(-LN(2)/25)*AA141+(1-EXP(-LN(2)/25))/(LN(2)/25)*Calculateur!V142*Calculateur!X142*VLOOKUP('Données projet'!$B$9,Paramètres!$A$1:$I$89,3,0)*0.475*44/12</f>
        <v>7.0730548136924378</v>
      </c>
      <c r="AB142" s="23">
        <f>EXP(-LN(2)/2)*AB141+(1-EXP(-LN(2)/2))/(LN(2)/2)*V142*Y142*VLOOKUP('Données projet'!$B$9,Paramètres!$A$1:$I$89,3,0)*0.475*44/12</f>
        <v>1.7229044680063997E-11</v>
      </c>
      <c r="AC142" s="24">
        <f t="shared" si="111"/>
        <v>33.440521387037919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5.8</v>
      </c>
      <c r="AI142" s="14">
        <f>IF('Données projet'!$A$62&gt;35,AI141+AH142-AQ141,IF(A142&lt;'Données projet'!$A$62,$AF$205^A142,IF(A142='Données projet'!$A$62,'Données projet'!$B$62,AI141+AH142-AQ141)))</f>
        <v>281.8</v>
      </c>
      <c r="AJ142" s="14">
        <f>AI142*VLOOKUP('Données projet'!$B$10,Paramètres!$A$1:$I$89,3,0)*VLOOKUP('Données projet'!$B$10,Paramètres!$A$1:$I$89,5,0)</f>
        <v>254.97263999999998</v>
      </c>
      <c r="AK142" s="14">
        <f t="shared" si="143"/>
        <v>61.649533232533919</v>
      </c>
      <c r="AL142" s="22">
        <f t="shared" si="112"/>
        <v>551.45028504666311</v>
      </c>
      <c r="AM142" s="62">
        <f t="shared" si="113"/>
        <v>844.78361837999637</v>
      </c>
      <c r="AN142" s="62">
        <f ca="1">AVERAGE(OFFSET($AM$3,0,0,'Données projet'!$E$10+1,1))-AVERAGE(OFFSET($H$3,0,0,'Données projet'!$E$10+1,1))</f>
        <v>206.38141226866287</v>
      </c>
      <c r="AO142" s="62">
        <f t="shared" si="144"/>
        <v>89.074420303945885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34.859592314284015</v>
      </c>
      <c r="AV142" s="23">
        <f>EXP(-LN(2)/25)*AV141+(1-EXP(-LN(2)/25))/(LN(2)/25)*Calculateur!AQ142*Calculateur!AS142*VLOOKUP('Données projet'!$B$10,Paramètres!$A$1:$I$89,3,0)*0.475*44/12</f>
        <v>23.165669331588642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58.025261645872661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4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1.738044375088066E-13</v>
      </c>
      <c r="P143" s="14">
        <f t="shared" si="141"/>
        <v>2.4483293633950478E-12</v>
      </c>
      <c r="Q143" s="22">
        <f t="shared" si="108"/>
        <v>4.566883036574213E-12</v>
      </c>
      <c r="R143" s="62">
        <f t="shared" si="109"/>
        <v>293.33333333333786</v>
      </c>
      <c r="S143" s="62">
        <f ca="1">AVERAGE(OFFSET($R$3,0,0,'Données projet'!$E$9+1,1))-AVERAGE(OFFSET($H$3,0,0,'Données projet'!$E$9+1,1))</f>
        <v>234.06296185782384</v>
      </c>
      <c r="T143" s="62">
        <f t="shared" si="142"/>
        <v>300.75555492874378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25.850416636391873</v>
      </c>
      <c r="AA143" s="23">
        <f>EXP(-LN(2)/25)*AA142+(1-EXP(-LN(2)/25))/(LN(2)/25)*Calculateur!V143*Calculateur!X143*VLOOKUP('Données projet'!$B$9,Paramètres!$A$1:$I$89,3,0)*0.475*44/12</f>
        <v>6.8796417578562314</v>
      </c>
      <c r="AB143" s="23">
        <f>EXP(-LN(2)/2)*AB142+(1-EXP(-LN(2)/2))/(LN(2)/2)*V143*Y143*VLOOKUP('Données projet'!$B$9,Paramètres!$A$1:$I$89,3,0)*0.475*44/12</f>
        <v>1.2182774326639263E-11</v>
      </c>
      <c r="AC143" s="24">
        <f t="shared" si="111"/>
        <v>32.73005839426029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5.8</v>
      </c>
      <c r="AI143" s="14">
        <f>IF('Données projet'!$A$62&gt;35,AI142+AH143-AQ142,IF(A143&lt;'Données projet'!$A$62,$AF$205^A143,IF(A143='Données projet'!$A$62,'Données projet'!$B$62,AI142+AH143-AQ142)))</f>
        <v>287.60000000000002</v>
      </c>
      <c r="AJ143" s="14">
        <f>AI143*VLOOKUP('Données projet'!$B$10,Paramètres!$A$1:$I$89,3,0)*VLOOKUP('Données projet'!$B$10,Paramètres!$A$1:$I$89,5,0)</f>
        <v>260.22048000000001</v>
      </c>
      <c r="AK143" s="14">
        <f t="shared" si="143"/>
        <v>62.769373063603602</v>
      </c>
      <c r="AL143" s="22">
        <f t="shared" si="112"/>
        <v>562.54066075244293</v>
      </c>
      <c r="AM143" s="62">
        <f t="shared" si="113"/>
        <v>855.8739940857763</v>
      </c>
      <c r="AN143" s="62">
        <f ca="1">AVERAGE(OFFSET($AM$3,0,0,'Données projet'!$E$10+1,1))-AVERAGE(OFFSET($H$3,0,0,'Données projet'!$E$10+1,1))</f>
        <v>206.38141226866287</v>
      </c>
      <c r="AO143" s="62">
        <f t="shared" si="144"/>
        <v>89.074420303945885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34.176016971252743</v>
      </c>
      <c r="AV143" s="23">
        <f>EXP(-LN(2)/25)*AV142+(1-EXP(-LN(2)/25))/(LN(2)/25)*Calculateur!AQ143*Calculateur!AS143*VLOOKUP('Données projet'!$B$10,Paramètres!$A$1:$I$89,3,0)*0.475*44/12</f>
        <v>22.532202885486747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56.70821985673949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4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1.738044375088066E-13</v>
      </c>
      <c r="P144" s="14">
        <f t="shared" si="141"/>
        <v>2.4483293633950478E-12</v>
      </c>
      <c r="Q144" s="22">
        <f t="shared" si="108"/>
        <v>4.566883036574213E-12</v>
      </c>
      <c r="R144" s="62">
        <f t="shared" si="109"/>
        <v>293.33333333333786</v>
      </c>
      <c r="S144" s="62">
        <f ca="1">AVERAGE(OFFSET($R$3,0,0,'Données projet'!$E$9+1,1))-AVERAGE(OFFSET($H$3,0,0,'Données projet'!$E$9+1,1))</f>
        <v>234.06296185782384</v>
      </c>
      <c r="T144" s="62">
        <f t="shared" si="142"/>
        <v>300.75555492874378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25.343505733349495</v>
      </c>
      <c r="AA144" s="23">
        <f>EXP(-LN(2)/25)*AA143+(1-EXP(-LN(2)/25))/(LN(2)/25)*Calculateur!V144*Calculateur!X144*VLOOKUP('Données projet'!$B$9,Paramètres!$A$1:$I$89,3,0)*0.475*44/12</f>
        <v>6.6915175922030166</v>
      </c>
      <c r="AB144" s="23">
        <f>EXP(-LN(2)/2)*AB143+(1-EXP(-LN(2)/2))/(LN(2)/2)*V144*Y144*VLOOKUP('Données projet'!$B$9,Paramètres!$A$1:$I$89,3,0)*0.475*44/12</f>
        <v>8.6145223400319983E-12</v>
      </c>
      <c r="AC144" s="24">
        <f t="shared" si="111"/>
        <v>32.035023325561127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5.8</v>
      </c>
      <c r="AI144" s="14">
        <f>IF('Données projet'!$A$62&gt;35,AI143+AH144-AQ143,IF(A144&lt;'Données projet'!$A$62,$AF$205^A144,IF(A144='Données projet'!$A$62,'Données projet'!$B$62,AI143+AH144-AQ143)))</f>
        <v>293.40000000000003</v>
      </c>
      <c r="AJ144" s="14">
        <f>AI144*VLOOKUP('Données projet'!$B$10,Paramètres!$A$1:$I$89,3,0)*VLOOKUP('Données projet'!$B$10,Paramètres!$A$1:$I$89,5,0)</f>
        <v>265.46832000000001</v>
      </c>
      <c r="AK144" s="14">
        <f t="shared" si="143"/>
        <v>63.886587047268812</v>
      </c>
      <c r="AL144" s="22">
        <f t="shared" si="112"/>
        <v>573.62646310732646</v>
      </c>
      <c r="AM144" s="62">
        <f t="shared" si="113"/>
        <v>866.95979644065983</v>
      </c>
      <c r="AN144" s="62">
        <f ca="1">AVERAGE(OFFSET($AM$3,0,0,'Données projet'!$E$10+1,1))-AVERAGE(OFFSET($H$3,0,0,'Données projet'!$E$10+1,1))</f>
        <v>206.38141226866287</v>
      </c>
      <c r="AO144" s="62">
        <f t="shared" si="144"/>
        <v>89.074420303945885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33.505846123758523</v>
      </c>
      <c r="AV144" s="23">
        <f>EXP(-LN(2)/25)*AV143+(1-EXP(-LN(2)/25))/(LN(2)/25)*Calculateur!AQ144*Calculateur!AS144*VLOOKUP('Données projet'!$B$10,Paramètres!$A$1:$I$89,3,0)*0.475*44/12</f>
        <v>21.91605861266606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55.42190473642458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4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1.738044375088066E-13</v>
      </c>
      <c r="P145" s="14">
        <f t="shared" si="141"/>
        <v>2.4483293633950478E-12</v>
      </c>
      <c r="Q145" s="22">
        <f t="shared" si="108"/>
        <v>4.566883036574213E-12</v>
      </c>
      <c r="R145" s="62">
        <f t="shared" si="109"/>
        <v>293.33333333333786</v>
      </c>
      <c r="S145" s="62">
        <f ca="1">AVERAGE(OFFSET($R$3,0,0,'Données projet'!$E$9+1,1))-AVERAGE(OFFSET($H$3,0,0,'Données projet'!$E$9+1,1))</f>
        <v>234.06296185782384</v>
      </c>
      <c r="T145" s="62">
        <f t="shared" si="142"/>
        <v>300.75555492874378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24.846535043930658</v>
      </c>
      <c r="AA145" s="23">
        <f>EXP(-LN(2)/25)*AA144+(1-EXP(-LN(2)/25))/(LN(2)/25)*Calculateur!V145*Calculateur!X145*VLOOKUP('Données projet'!$B$9,Paramètres!$A$1:$I$89,3,0)*0.475*44/12</f>
        <v>6.5085376917526085</v>
      </c>
      <c r="AB145" s="23">
        <f>EXP(-LN(2)/2)*AB144+(1-EXP(-LN(2)/2))/(LN(2)/2)*V145*Y145*VLOOKUP('Données projet'!$B$9,Paramètres!$A$1:$I$89,3,0)*0.475*44/12</f>
        <v>6.0913871633196317E-12</v>
      </c>
      <c r="AC145" s="24">
        <f t="shared" si="111"/>
        <v>31.355072735689358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5.8</v>
      </c>
      <c r="AI145" s="14">
        <f>IF('Données projet'!$A$62&gt;35,AI144+AH145-AQ144,IF(A145&lt;'Données projet'!$A$62,$AF$205^A145,IF(A145='Données projet'!$A$62,'Données projet'!$B$62,AI144+AH145-AQ144)))</f>
        <v>299.20000000000005</v>
      </c>
      <c r="AJ145" s="14">
        <f>AI145*VLOOKUP('Données projet'!$B$10,Paramètres!$A$1:$I$89,3,0)*VLOOKUP('Données projet'!$B$10,Paramètres!$A$1:$I$89,5,0)</f>
        <v>270.71616</v>
      </c>
      <c r="AK145" s="14">
        <f t="shared" si="143"/>
        <v>65.001233075018177</v>
      </c>
      <c r="AL145" s="22">
        <f t="shared" si="112"/>
        <v>584.70779293899</v>
      </c>
      <c r="AM145" s="62">
        <f t="shared" si="113"/>
        <v>878.04112627232325</v>
      </c>
      <c r="AN145" s="62">
        <f ca="1">AVERAGE(OFFSET($AM$3,0,0,'Données projet'!$E$10+1,1))-AVERAGE(OFFSET($H$3,0,0,'Données projet'!$E$10+1,1))</f>
        <v>206.38141226866287</v>
      </c>
      <c r="AO145" s="62">
        <f t="shared" si="144"/>
        <v>89.074420303945885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32.848816917819811</v>
      </c>
      <c r="AV145" s="23">
        <f>EXP(-LN(2)/25)*AV144+(1-EXP(-LN(2)/25))/(LN(2)/25)*Calculateur!AQ145*Calculateur!AS145*VLOOKUP('Données projet'!$B$10,Paramètres!$A$1:$I$89,3,0)*0.475*44/12</f>
        <v>21.316762837387273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54.165579755207084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4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1.738044375088066E-13</v>
      </c>
      <c r="P146" s="14">
        <f t="shared" si="141"/>
        <v>2.4483293633950478E-12</v>
      </c>
      <c r="Q146" s="22">
        <f t="shared" si="108"/>
        <v>4.566883036574213E-12</v>
      </c>
      <c r="R146" s="62">
        <f t="shared" si="109"/>
        <v>293.33333333333786</v>
      </c>
      <c r="S146" s="62">
        <f ca="1">AVERAGE(OFFSET($R$3,0,0,'Données projet'!$E$9+1,1))-AVERAGE(OFFSET($H$3,0,0,'Données projet'!$E$9+1,1))</f>
        <v>234.06296185782384</v>
      </c>
      <c r="T146" s="62">
        <f t="shared" si="142"/>
        <v>300.75555492874378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24.359309646609134</v>
      </c>
      <c r="AA146" s="23">
        <f>EXP(-LN(2)/25)*AA145+(1-EXP(-LN(2)/25))/(LN(2)/25)*Calculateur!V146*Calculateur!X146*VLOOKUP('Données projet'!$B$9,Paramètres!$A$1:$I$89,3,0)*0.475*44/12</f>
        <v>6.3305613863025121</v>
      </c>
      <c r="AB146" s="23">
        <f>EXP(-LN(2)/2)*AB145+(1-EXP(-LN(2)/2))/(LN(2)/2)*V146*Y146*VLOOKUP('Données projet'!$B$9,Paramètres!$A$1:$I$89,3,0)*0.475*44/12</f>
        <v>4.3072611700159992E-12</v>
      </c>
      <c r="AC146" s="24">
        <f t="shared" si="111"/>
        <v>30.689871032915953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5.8</v>
      </c>
      <c r="AI146" s="14">
        <f>IF('Données projet'!$A$62&gt;35,AI145+AH146-AQ145,IF(A146&lt;'Données projet'!$A$62,$AF$205^A146,IF(A146='Données projet'!$A$62,'Données projet'!$B$62,AI145+AH146-AQ145)))</f>
        <v>305.00000000000006</v>
      </c>
      <c r="AJ146" s="14">
        <f>AI146*VLOOKUP('Données projet'!$B$10,Paramètres!$A$1:$I$89,3,0)*VLOOKUP('Données projet'!$B$10,Paramètres!$A$1:$I$89,5,0)</f>
        <v>275.96400000000006</v>
      </c>
      <c r="AK146" s="14">
        <f t="shared" si="143"/>
        <v>66.113366665488911</v>
      </c>
      <c r="AL146" s="22">
        <f t="shared" si="112"/>
        <v>595.78474694239321</v>
      </c>
      <c r="AM146" s="62">
        <f t="shared" si="113"/>
        <v>889.11808027572647</v>
      </c>
      <c r="AN146" s="62">
        <f ca="1">AVERAGE(OFFSET($AM$3,0,0,'Données projet'!$E$10+1,1))-AVERAGE(OFFSET($H$3,0,0,'Données projet'!$E$10+1,1))</f>
        <v>206.38141226866287</v>
      </c>
      <c r="AO146" s="62">
        <f t="shared" si="144"/>
        <v>89.074420303945885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32.204671653861311</v>
      </c>
      <c r="AV146" s="23">
        <f>EXP(-LN(2)/25)*AV145+(1-EXP(-LN(2)/25))/(LN(2)/25)*Calculateur!AQ146*Calculateur!AS146*VLOOKUP('Données projet'!$B$10,Paramètres!$A$1:$I$89,3,0)*0.475*44/12</f>
        <v>20.733854836599079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52.93852649046039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4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1.738044375088066E-13</v>
      </c>
      <c r="P147" s="14">
        <f t="shared" si="141"/>
        <v>2.4483293633950478E-12</v>
      </c>
      <c r="Q147" s="22">
        <f t="shared" si="108"/>
        <v>4.566883036574213E-12</v>
      </c>
      <c r="R147" s="62">
        <f t="shared" si="109"/>
        <v>293.33333333333786</v>
      </c>
      <c r="S147" s="62">
        <f ca="1">AVERAGE(OFFSET($R$3,0,0,'Données projet'!$E$9+1,1))-AVERAGE(OFFSET($H$3,0,0,'Données projet'!$E$9+1,1))</f>
        <v>234.06296185782384</v>
      </c>
      <c r="T147" s="62">
        <f t="shared" si="142"/>
        <v>300.75555492874378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23.881638442150937</v>
      </c>
      <c r="AA147" s="23">
        <f>EXP(-LN(2)/25)*AA146+(1-EXP(-LN(2)/25))/(LN(2)/25)*Calculateur!V147*Calculateur!X147*VLOOKUP('Données projet'!$B$9,Paramètres!$A$1:$I$89,3,0)*0.475*44/12</f>
        <v>6.1574518522843151</v>
      </c>
      <c r="AB147" s="23">
        <f>EXP(-LN(2)/2)*AB146+(1-EXP(-LN(2)/2))/(LN(2)/2)*V147*Y147*VLOOKUP('Données projet'!$B$9,Paramètres!$A$1:$I$89,3,0)*0.475*44/12</f>
        <v>3.0456935816598159E-12</v>
      </c>
      <c r="AC147" s="24">
        <f t="shared" si="111"/>
        <v>30.039090294438296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5.8</v>
      </c>
      <c r="AI147" s="14">
        <f>IF('Données projet'!$A$62&gt;35,AI146+AH147-AQ146,IF(A147&lt;'Données projet'!$A$62,$AF$205^A147,IF(A147='Données projet'!$A$62,'Données projet'!$B$62,AI146+AH147-AQ146)))</f>
        <v>310.80000000000007</v>
      </c>
      <c r="AJ147" s="14">
        <f>AI147*VLOOKUP('Données projet'!$B$10,Paramètres!$A$1:$I$89,3,0)*VLOOKUP('Données projet'!$B$10,Paramètres!$A$1:$I$89,5,0)</f>
        <v>281.21184000000005</v>
      </c>
      <c r="AK147" s="14">
        <f t="shared" si="143"/>
        <v>67.223041104966697</v>
      </c>
      <c r="AL147" s="22">
        <f t="shared" si="112"/>
        <v>606.85741792448368</v>
      </c>
      <c r="AM147" s="62">
        <f t="shared" si="113"/>
        <v>900.19075125781706</v>
      </c>
      <c r="AN147" s="62">
        <f ca="1">AVERAGE(OFFSET($AM$3,0,0,'Données projet'!$E$10+1,1))-AVERAGE(OFFSET($H$3,0,0,'Données projet'!$E$10+1,1))</f>
        <v>206.38141226866287</v>
      </c>
      <c r="AO147" s="62">
        <f t="shared" si="144"/>
        <v>89.074420303945885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31.573157685639224</v>
      </c>
      <c r="AV147" s="23">
        <f>EXP(-LN(2)/25)*AV146+(1-EXP(-LN(2)/25))/(LN(2)/25)*Calculateur!AQ147*Calculateur!AS147*VLOOKUP('Données projet'!$B$10,Paramètres!$A$1:$I$89,3,0)*0.475*44/12</f>
        <v>20.16688648574624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51.740044171385463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4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1.738044375088066E-13</v>
      </c>
      <c r="P148" s="14">
        <f t="shared" si="141"/>
        <v>2.4483293633950478E-12</v>
      </c>
      <c r="Q148" s="22">
        <f t="shared" si="108"/>
        <v>4.566883036574213E-12</v>
      </c>
      <c r="R148" s="62">
        <f t="shared" si="109"/>
        <v>293.33333333333786</v>
      </c>
      <c r="S148" s="62">
        <f ca="1">AVERAGE(OFFSET($R$3,0,0,'Données projet'!$E$9+1,1))-AVERAGE(OFFSET($H$3,0,0,'Données projet'!$E$9+1,1))</f>
        <v>234.06296185782384</v>
      </c>
      <c r="T148" s="62">
        <f t="shared" si="142"/>
        <v>300.75555492874378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23.413334078661499</v>
      </c>
      <c r="AA148" s="23">
        <f>EXP(-LN(2)/25)*AA147+(1-EXP(-LN(2)/25))/(LN(2)/25)*Calculateur!V148*Calculateur!X148*VLOOKUP('Données projet'!$B$9,Paramètres!$A$1:$I$89,3,0)*0.475*44/12</f>
        <v>5.9890760075772809</v>
      </c>
      <c r="AB148" s="23">
        <f>EXP(-LN(2)/2)*AB147+(1-EXP(-LN(2)/2))/(LN(2)/2)*V148*Y148*VLOOKUP('Données projet'!$B$9,Paramètres!$A$1:$I$89,3,0)*0.475*44/12</f>
        <v>2.1536305850079996E-12</v>
      </c>
      <c r="AC148" s="24">
        <f t="shared" si="111"/>
        <v>29.402410086240934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5.8</v>
      </c>
      <c r="AI148" s="14">
        <f>IF('Données projet'!$A$62&gt;35,AI147+AH148-AQ147,IF(A148&lt;'Données projet'!$A$62,$AF$205^A148,IF(A148='Données projet'!$A$62,'Données projet'!$B$62,AI147+AH148-AQ147)))</f>
        <v>316.60000000000008</v>
      </c>
      <c r="AJ148" s="14">
        <f>AI148*VLOOKUP('Données projet'!$B$10,Paramètres!$A$1:$I$89,3,0)*VLOOKUP('Données projet'!$B$10,Paramètres!$A$1:$I$89,5,0)</f>
        <v>286.45968000000005</v>
      </c>
      <c r="AK148" s="14">
        <f t="shared" si="143"/>
        <v>68.330307577101138</v>
      </c>
      <c r="AL148" s="22">
        <f t="shared" si="112"/>
        <v>617.92589503011789</v>
      </c>
      <c r="AM148" s="62">
        <f t="shared" si="113"/>
        <v>911.25922836345126</v>
      </c>
      <c r="AN148" s="62">
        <f ca="1">AVERAGE(OFFSET($AM$3,0,0,'Données projet'!$E$10+1,1))-AVERAGE(OFFSET($H$3,0,0,'Données projet'!$E$10+1,1))</f>
        <v>206.38141226866287</v>
      </c>
      <c r="AO148" s="62">
        <f t="shared" si="144"/>
        <v>89.074420303945885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30.954027321148484</v>
      </c>
      <c r="AV148" s="23">
        <f>EXP(-LN(2)/25)*AV147+(1-EXP(-LN(2)/25))/(LN(2)/25)*Calculateur!AQ148*Calculateur!AS148*VLOOKUP('Données projet'!$B$10,Paramètres!$A$1:$I$89,3,0)*0.475*44/12</f>
        <v>19.615421914263042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50.569449235411525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4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1.738044375088066E-13</v>
      </c>
      <c r="P149" s="14">
        <f t="shared" si="141"/>
        <v>2.4483293633950478E-12</v>
      </c>
      <c r="Q149" s="22">
        <f t="shared" si="108"/>
        <v>4.566883036574213E-12</v>
      </c>
      <c r="R149" s="62">
        <f t="shared" si="109"/>
        <v>293.33333333333786</v>
      </c>
      <c r="S149" s="62">
        <f ca="1">AVERAGE(OFFSET($R$3,0,0,'Données projet'!$E$9+1,1))-AVERAGE(OFFSET($H$3,0,0,'Données projet'!$E$9+1,1))</f>
        <v>234.06296185782384</v>
      </c>
      <c r="T149" s="62">
        <f t="shared" si="142"/>
        <v>300.75555492874378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22.954212878102631</v>
      </c>
      <c r="AA149" s="23">
        <f>EXP(-LN(2)/25)*AA148+(1-EXP(-LN(2)/25))/(LN(2)/25)*Calculateur!V149*Calculateur!X149*VLOOKUP('Données projet'!$B$9,Paramètres!$A$1:$I$89,3,0)*0.475*44/12</f>
        <v>5.8253044091982611</v>
      </c>
      <c r="AB149" s="23">
        <f>EXP(-LN(2)/2)*AB148+(1-EXP(-LN(2)/2))/(LN(2)/2)*V149*Y149*VLOOKUP('Données projet'!$B$9,Paramètres!$A$1:$I$89,3,0)*0.475*44/12</f>
        <v>1.5228467908299079E-12</v>
      </c>
      <c r="AC149" s="24">
        <f t="shared" si="111"/>
        <v>28.779517287302415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5.8</v>
      </c>
      <c r="AI149" s="14">
        <f>IF('Données projet'!$A$62&gt;35,AI148+AH149-AQ148,IF(A149&lt;'Données projet'!$A$62,$AF$205^A149,IF(A149='Données projet'!$A$62,'Données projet'!$B$62,AI148+AH149-AQ148)))</f>
        <v>322.40000000000009</v>
      </c>
      <c r="AJ149" s="14">
        <f>AI149*VLOOKUP('Données projet'!$B$10,Paramètres!$A$1:$I$89,3,0)*VLOOKUP('Données projet'!$B$10,Paramètres!$A$1:$I$89,5,0)</f>
        <v>291.7075200000001</v>
      </c>
      <c r="AK149" s="14">
        <f t="shared" si="143"/>
        <v>69.435215282847324</v>
      </c>
      <c r="AL149" s="22">
        <f t="shared" si="112"/>
        <v>628.99026395095916</v>
      </c>
      <c r="AM149" s="62">
        <f t="shared" si="113"/>
        <v>922.32359728429242</v>
      </c>
      <c r="AN149" s="62">
        <f ca="1">AVERAGE(OFFSET($AM$3,0,0,'Données projet'!$E$10+1,1))-AVERAGE(OFFSET($H$3,0,0,'Données projet'!$E$10+1,1))</f>
        <v>206.38141226866287</v>
      </c>
      <c r="AO149" s="62">
        <f t="shared" si="144"/>
        <v>89.074420303945885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30.347037725473175</v>
      </c>
      <c r="AV149" s="23">
        <f>EXP(-LN(2)/25)*AV148+(1-EXP(-LN(2)/25))/(LN(2)/25)*Calculateur!AQ149*Calculateur!AS149*VLOOKUP('Données projet'!$B$10,Paramètres!$A$1:$I$89,3,0)*0.475*44/12</f>
        <v>19.079037170487311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49.426074895960483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4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1.738044375088066E-13</v>
      </c>
      <c r="P150" s="14">
        <f t="shared" si="141"/>
        <v>2.4483293633950478E-12</v>
      </c>
      <c r="Q150" s="22">
        <f t="shared" si="108"/>
        <v>4.566883036574213E-12</v>
      </c>
      <c r="R150" s="62">
        <f t="shared" si="109"/>
        <v>293.33333333333786</v>
      </c>
      <c r="S150" s="62">
        <f ca="1">AVERAGE(OFFSET($R$3,0,0,'Données projet'!$E$9+1,1))-AVERAGE(OFFSET($H$3,0,0,'Données projet'!$E$9+1,1))</f>
        <v>234.06296185782384</v>
      </c>
      <c r="T150" s="62">
        <f t="shared" si="142"/>
        <v>300.75555492874378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22.504094764250439</v>
      </c>
      <c r="AA150" s="23">
        <f>EXP(-LN(2)/25)*AA149+(1-EXP(-LN(2)/25))/(LN(2)/25)*Calculateur!V150*Calculateur!X150*VLOOKUP('Données projet'!$B$9,Paramètres!$A$1:$I$89,3,0)*0.475*44/12</f>
        <v>5.6660111537892899</v>
      </c>
      <c r="AB150" s="23">
        <f>EXP(-LN(2)/2)*AB149+(1-EXP(-LN(2)/2))/(LN(2)/2)*V150*Y150*VLOOKUP('Données projet'!$B$9,Paramètres!$A$1:$I$89,3,0)*0.475*44/12</f>
        <v>1.0768152925039998E-12</v>
      </c>
      <c r="AC150" s="24">
        <f t="shared" si="111"/>
        <v>28.170105918040807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5.8</v>
      </c>
      <c r="AI150" s="14">
        <f>IF('Données projet'!$A$62&gt;35,AI149+AH150-AQ149,IF(A150&lt;'Données projet'!$A$62,$AF$205^A150,IF(A150='Données projet'!$A$62,'Données projet'!$B$62,AI149+AH150-AQ149)))</f>
        <v>328.2000000000001</v>
      </c>
      <c r="AJ150" s="14">
        <f>AI150*VLOOKUP('Données projet'!$B$10,Paramètres!$A$1:$I$89,3,0)*VLOOKUP('Données projet'!$B$10,Paramètres!$A$1:$I$89,5,0)</f>
        <v>296.9553600000001</v>
      </c>
      <c r="AK150" s="14">
        <f t="shared" si="143"/>
        <v>70.537811551531092</v>
      </c>
      <c r="AL150" s="22">
        <f t="shared" si="112"/>
        <v>640.0506071189169</v>
      </c>
      <c r="AM150" s="62">
        <f t="shared" si="113"/>
        <v>933.38394045225027</v>
      </c>
      <c r="AN150" s="62">
        <f ca="1">AVERAGE(OFFSET($AM$3,0,0,'Données projet'!$E$10+1,1))-AVERAGE(OFFSET($H$3,0,0,'Données projet'!$E$10+1,1))</f>
        <v>206.38141226866287</v>
      </c>
      <c r="AO150" s="62">
        <f t="shared" si="144"/>
        <v>89.074420303945885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29.751950825541961</v>
      </c>
      <c r="AV150" s="23">
        <f>EXP(-LN(2)/25)*AV149+(1-EXP(-LN(2)/25))/(LN(2)/25)*Calculateur!AQ150*Calculateur!AS150*VLOOKUP('Données projet'!$B$10,Paramètres!$A$1:$I$89,3,0)*0.475*44/12</f>
        <v>18.557319895737376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48.309270721279333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4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1.738044375088066E-13</v>
      </c>
      <c r="P151" s="14">
        <f t="shared" si="141"/>
        <v>2.4483293633950478E-12</v>
      </c>
      <c r="Q151" s="22">
        <f t="shared" si="108"/>
        <v>4.566883036574213E-12</v>
      </c>
      <c r="R151" s="62">
        <f t="shared" si="109"/>
        <v>293.33333333333786</v>
      </c>
      <c r="S151" s="62">
        <f ca="1">AVERAGE(OFFSET($R$3,0,0,'Données projet'!$E$9+1,1))-AVERAGE(OFFSET($H$3,0,0,'Données projet'!$E$9+1,1))</f>
        <v>234.06296185782384</v>
      </c>
      <c r="T151" s="62">
        <f t="shared" si="142"/>
        <v>300.75555492874378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22.06280319206595</v>
      </c>
      <c r="AA151" s="23">
        <f>EXP(-LN(2)/25)*AA150+(1-EXP(-LN(2)/25))/(LN(2)/25)*Calculateur!V151*Calculateur!X151*VLOOKUP('Données projet'!$B$9,Paramètres!$A$1:$I$89,3,0)*0.475*44/12</f>
        <v>5.5110737808263446</v>
      </c>
      <c r="AB151" s="23">
        <f>EXP(-LN(2)/2)*AB150+(1-EXP(-LN(2)/2))/(LN(2)/2)*V151*Y151*VLOOKUP('Données projet'!$B$9,Paramètres!$A$1:$I$89,3,0)*0.475*44/12</f>
        <v>7.6142339541495396E-13</v>
      </c>
      <c r="AC151" s="24">
        <f t="shared" si="111"/>
        <v>27.573876972893054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>
        <f>VLOOKUP(A151,'Données projet'!$A$61:$I$81,2,0)</f>
        <v>334</v>
      </c>
      <c r="AG151" s="13">
        <f>VLOOKUP(A151,'Données projet'!$A$61:$I$81,9,0)</f>
        <v>5.8</v>
      </c>
      <c r="AH151" s="13">
        <f t="array" ref="AH151">INDEX(AG:AG,MIN(IF(ISNUMBER(AG151:AG347),ROW(AG151:AG347),"")))</f>
        <v>5.8</v>
      </c>
      <c r="AI151" s="14">
        <f>IF('Données projet'!$A$62&gt;35,AI150+AH151-AQ150,IF(A151&lt;'Données projet'!$A$62,$AF$205^A151,IF(A151='Données projet'!$A$62,'Données projet'!$B$62,AI150+AH151-AQ150)))</f>
        <v>334.00000000000011</v>
      </c>
      <c r="AJ151" s="14">
        <f>AI151*VLOOKUP('Données projet'!$B$10,Paramètres!$A$1:$I$89,3,0)*VLOOKUP('Données projet'!$B$10,Paramètres!$A$1:$I$89,5,0)</f>
        <v>302.20320000000009</v>
      </c>
      <c r="AK151" s="14">
        <f t="shared" si="143"/>
        <v>71.638141943842299</v>
      </c>
      <c r="AL151" s="22">
        <f t="shared" si="112"/>
        <v>651.1070038855255</v>
      </c>
      <c r="AM151" s="62">
        <f t="shared" si="113"/>
        <v>944.44033721885876</v>
      </c>
      <c r="AN151" s="62">
        <f ca="1">AVERAGE(OFFSET($AM$3,0,0,'Données projet'!$E$10+1,1))-AVERAGE(OFFSET($H$3,0,0,'Données projet'!$E$10+1,1))</f>
        <v>206.38141226866287</v>
      </c>
      <c r="AO151" s="62">
        <f t="shared" si="144"/>
        <v>89.074420303945885</v>
      </c>
      <c r="AP151" s="16">
        <f>IF(ISNA(VLOOKUP(A151,'Données projet'!$A$61:$I$81,3,0)),0,VLOOKUP(A151,'Données projet'!$A$61:$I$81,3,0))</f>
        <v>13</v>
      </c>
      <c r="AQ151" s="16">
        <f>IF(ISNA(VLOOKUP(A151,'Données projet'!$A$61:$I$81,4,0)),0,VLOOKUP(A151,'Données projet'!$A$61:$I$81,4,0))</f>
        <v>41</v>
      </c>
      <c r="AR151" s="17">
        <f>IF(ISNA(VLOOKUP(A151,'Données projet'!$A$61:$I$81,5,0)),0%,VLOOKUP(A151,'Données projet'!$A$61:$I$81,5,0)*VLOOKUP('Données projet'!$B$10,Paramètres!$A$1:$I$89,7,0))</f>
        <v>0.215</v>
      </c>
      <c r="AS151" s="17">
        <f>IF(ISNA(VLOOKUP(A151,'Données projet'!$A$61:$I$81,6,0)),0%,VLOOKUP(A151,'Données projet'!$A$61:$I$81,6,0)*VLOOKUP('Données projet'!$B$10,Paramètres!$A$1:$I$89,7,0))</f>
        <v>0.17200000000000001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37.985557135474686</v>
      </c>
      <c r="AV151" s="23">
        <f>EXP(-LN(2)/25)*AV150+(1-EXP(-LN(2)/25))/(LN(2)/25)*Calculateur!AQ151*Calculateur!AS151*VLOOKUP('Données projet'!$B$10,Paramètres!$A$1:$I$89,3,0)*0.475*44/12</f>
        <v>25.075715356106155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63.061272491580837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4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1.738044375088066E-13</v>
      </c>
      <c r="P152" s="14">
        <f t="shared" si="141"/>
        <v>2.4483293633950478E-12</v>
      </c>
      <c r="Q152" s="22">
        <f t="shared" si="108"/>
        <v>4.566883036574213E-12</v>
      </c>
      <c r="R152" s="62">
        <f t="shared" si="109"/>
        <v>293.33333333333786</v>
      </c>
      <c r="S152" s="62">
        <f ca="1">AVERAGE(OFFSET($R$3,0,0,'Données projet'!$E$9+1,1))-AVERAGE(OFFSET($H$3,0,0,'Données projet'!$E$9+1,1))</f>
        <v>234.06296185782384</v>
      </c>
      <c r="T152" s="62">
        <f t="shared" si="142"/>
        <v>300.75555492874378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21.630165078450716</v>
      </c>
      <c r="AA152" s="23">
        <f>EXP(-LN(2)/25)*AA151+(1-EXP(-LN(2)/25))/(LN(2)/25)*Calculateur!V152*Calculateur!X152*VLOOKUP('Données projet'!$B$9,Paramètres!$A$1:$I$89,3,0)*0.475*44/12</f>
        <v>5.360373178474874</v>
      </c>
      <c r="AB152" s="23">
        <f>EXP(-LN(2)/2)*AB151+(1-EXP(-LN(2)/2))/(LN(2)/2)*V152*Y152*VLOOKUP('Données projet'!$B$9,Paramètres!$A$1:$I$89,3,0)*0.475*44/12</f>
        <v>5.3840764625199989E-13</v>
      </c>
      <c r="AC152" s="24">
        <f t="shared" si="111"/>
        <v>26.990538256926129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-3.4705882352941178</v>
      </c>
      <c r="AI152" s="14">
        <f>IF('Données projet'!$A$62&gt;35,AI151+AH152-AQ151,IF(A152&lt;'Données projet'!$A$62,$AF$205^A152,IF(A152='Données projet'!$A$62,'Données projet'!$B$62,AI151+AH152-AQ151)))</f>
        <v>289.52941176470597</v>
      </c>
      <c r="AJ152" s="14">
        <f>AI152*VLOOKUP('Données projet'!$B$10,Paramètres!$A$1:$I$89,3,0)*VLOOKUP('Données projet'!$B$10,Paramètres!$A$1:$I$89,5,0)</f>
        <v>261.96621176470597</v>
      </c>
      <c r="AK152" s="14">
        <f t="shared" si="143"/>
        <v>63.141310899563408</v>
      </c>
      <c r="AL152" s="22">
        <f t="shared" si="112"/>
        <v>566.2289353069358</v>
      </c>
      <c r="AM152" s="62">
        <f t="shared" si="113"/>
        <v>859.56226864026917</v>
      </c>
      <c r="AN152" s="62">
        <f ca="1">AVERAGE(OFFSET($AM$3,0,0,'Données projet'!$E$10+1,1))-AVERAGE(OFFSET($H$3,0,0,'Données projet'!$E$10+1,1))</f>
        <v>206.38141226866287</v>
      </c>
      <c r="AO152" s="62">
        <f t="shared" si="144"/>
        <v>89.074420303945885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37.240683528950143</v>
      </c>
      <c r="AV152" s="23">
        <f>EXP(-LN(2)/25)*AV151+(1-EXP(-LN(2)/25))/(LN(2)/25)*Calculateur!AQ152*Calculateur!AS152*VLOOKUP('Données projet'!$B$10,Paramètres!$A$1:$I$89,3,0)*0.475*44/12</f>
        <v>24.390018601018873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61.630702129969016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4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1.738044375088066E-13</v>
      </c>
      <c r="P153" s="14">
        <f t="shared" si="141"/>
        <v>2.4483293633950478E-12</v>
      </c>
      <c r="Q153" s="22">
        <f t="shared" si="108"/>
        <v>4.566883036574213E-12</v>
      </c>
      <c r="R153" s="62">
        <f t="shared" si="109"/>
        <v>293.33333333333786</v>
      </c>
      <c r="S153" s="62">
        <f ca="1">AVERAGE(OFFSET($R$3,0,0,'Données projet'!$E$9+1,1))-AVERAGE(OFFSET($H$3,0,0,'Données projet'!$E$9+1,1))</f>
        <v>234.06296185782384</v>
      </c>
      <c r="T153" s="62">
        <f t="shared" si="142"/>
        <v>300.75555492874378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21.206010734360284</v>
      </c>
      <c r="AA153" s="23">
        <f>EXP(-LN(2)/25)*AA152+(1-EXP(-LN(2)/25))/(LN(2)/25)*Calculateur!V153*Calculateur!X153*VLOOKUP('Données projet'!$B$9,Paramètres!$A$1:$I$89,3,0)*0.475*44/12</f>
        <v>5.2137934920197049</v>
      </c>
      <c r="AB153" s="23">
        <f>EXP(-LN(2)/2)*AB152+(1-EXP(-LN(2)/2))/(LN(2)/2)*V153*Y153*VLOOKUP('Données projet'!$B$9,Paramètres!$A$1:$I$89,3,0)*0.475*44/12</f>
        <v>3.8071169770747698E-13</v>
      </c>
      <c r="AC153" s="24">
        <f t="shared" si="111"/>
        <v>26.419804226380368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-3.4705882352941178</v>
      </c>
      <c r="AI153" s="14">
        <f>IF('Données projet'!$A$62&gt;35,AI152+AH153-AQ152,IF(A153&lt;'Données projet'!$A$62,$AF$205^A153,IF(A153='Données projet'!$A$62,'Données projet'!$B$62,AI152+AH153-AQ152)))</f>
        <v>286.05882352941182</v>
      </c>
      <c r="AJ153" s="14">
        <f>AI153*VLOOKUP('Données projet'!$B$10,Paramètres!$A$1:$I$89,3,0)*VLOOKUP('Données projet'!$B$10,Paramètres!$A$1:$I$89,5,0)</f>
        <v>258.82602352941183</v>
      </c>
      <c r="AK153" s="14">
        <f t="shared" si="143"/>
        <v>62.472067741593087</v>
      </c>
      <c r="AL153" s="22">
        <f t="shared" si="112"/>
        <v>559.59417563033355</v>
      </c>
      <c r="AM153" s="62">
        <f t="shared" si="113"/>
        <v>852.92750896366692</v>
      </c>
      <c r="AN153" s="62">
        <f ca="1">AVERAGE(OFFSET($AM$3,0,0,'Données projet'!$E$10+1,1))-AVERAGE(OFFSET($H$3,0,0,'Données projet'!$E$10+1,1))</f>
        <v>206.38141226866287</v>
      </c>
      <c r="AO153" s="62">
        <f t="shared" si="144"/>
        <v>89.074420303945885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36.510416439521507</v>
      </c>
      <c r="AV153" s="23">
        <f>EXP(-LN(2)/25)*AV152+(1-EXP(-LN(2)/25))/(LN(2)/25)*Calculateur!AQ153*Calculateur!AS153*VLOOKUP('Données projet'!$B$10,Paramètres!$A$1:$I$89,3,0)*0.475*44/12</f>
        <v>23.723072259758677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60.233488699280187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4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1.738044375088066E-13</v>
      </c>
      <c r="P154" s="14">
        <f t="shared" si="141"/>
        <v>2.4483293633950478E-12</v>
      </c>
      <c r="Q154" s="22">
        <f t="shared" ref="Q154:Q203" si="162">(O154+P154)*0.475*44/12</f>
        <v>4.566883036574213E-12</v>
      </c>
      <c r="R154" s="62">
        <f t="shared" si="109"/>
        <v>293.33333333333786</v>
      </c>
      <c r="S154" s="62">
        <f ca="1">AVERAGE(OFFSET($R$3,0,0,'Données projet'!$E$9+1,1))-AVERAGE(OFFSET($H$3,0,0,'Données projet'!$E$9+1,1))</f>
        <v>234.06296185782384</v>
      </c>
      <c r="T154" s="62">
        <f t="shared" si="142"/>
        <v>300.75555492874378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20.790173798248862</v>
      </c>
      <c r="AA154" s="23">
        <f>EXP(-LN(2)/25)*AA153+(1-EXP(-LN(2)/25))/(LN(2)/25)*Calculateur!V154*Calculateur!X154*VLOOKUP('Données projet'!$B$9,Paramètres!$A$1:$I$89,3,0)*0.475*44/12</f>
        <v>5.071222034798943</v>
      </c>
      <c r="AB154" s="23">
        <f>EXP(-LN(2)/2)*AB153+(1-EXP(-LN(2)/2))/(LN(2)/2)*V154*Y154*VLOOKUP('Données projet'!$B$9,Paramètres!$A$1:$I$89,3,0)*0.475*44/12</f>
        <v>2.6920382312599995E-13</v>
      </c>
      <c r="AC154" s="24">
        <f t="shared" ref="AC154:AC203" si="163">SUM(Z154:AB154)</f>
        <v>25.861395833048075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-3.4705882352941178</v>
      </c>
      <c r="AI154" s="14">
        <f>IF('Données projet'!$A$62&gt;35,AI153+AH154-AQ153,IF(A154&lt;'Données projet'!$A$62,$AF$205^A154,IF(A154='Données projet'!$A$62,'Données projet'!$B$62,AI153+AH154-AQ153)))</f>
        <v>282.58823529411768</v>
      </c>
      <c r="AJ154" s="14">
        <f>AI154*VLOOKUP('Données projet'!$B$10,Paramètres!$A$1:$I$89,3,0)*VLOOKUP('Données projet'!$B$10,Paramètres!$A$1:$I$89,5,0)</f>
        <v>255.68583529411765</v>
      </c>
      <c r="AK154" s="14">
        <f t="shared" ref="AK154:AK203" si="164">EXP(-1.0587+0.8836*LN(AJ154)+0.284)</f>
        <v>61.80187877637033</v>
      </c>
      <c r="AL154" s="22">
        <f t="shared" ref="AL154:AL203" si="165">(AJ154+AK154)*0.475*44/12</f>
        <v>552.95776867276652</v>
      </c>
      <c r="AM154" s="62">
        <f t="shared" si="113"/>
        <v>846.29110200609989</v>
      </c>
      <c r="AN154" s="62">
        <f ca="1">AVERAGE(OFFSET($AM$3,0,0,'Données projet'!$E$10+1,1))-AVERAGE(OFFSET($H$3,0,0,'Données projet'!$E$10+1,1))</f>
        <v>206.38141226866287</v>
      </c>
      <c r="AO154" s="62">
        <f t="shared" si="144"/>
        <v>89.074420303945885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35.794469442297618</v>
      </c>
      <c r="AV154" s="23">
        <f>EXP(-LN(2)/25)*AV153+(1-EXP(-LN(2)/25))/(LN(2)/25)*Calculateur!AQ154*Calculateur!AS154*VLOOKUP('Données projet'!$B$10,Paramètres!$A$1:$I$89,3,0)*0.475*44/12</f>
        <v>23.074363601273426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58.868833043571044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4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1.738044375088066E-13</v>
      </c>
      <c r="P155" s="14">
        <f t="shared" si="141"/>
        <v>2.4483293633950478E-12</v>
      </c>
      <c r="Q155" s="22">
        <f t="shared" si="162"/>
        <v>4.566883036574213E-12</v>
      </c>
      <c r="R155" s="62">
        <f t="shared" si="109"/>
        <v>293.33333333333786</v>
      </c>
      <c r="S155" s="62">
        <f ca="1">AVERAGE(OFFSET($R$3,0,0,'Données projet'!$E$9+1,1))-AVERAGE(OFFSET($H$3,0,0,'Données projet'!$E$9+1,1))</f>
        <v>234.06296185782384</v>
      </c>
      <c r="T155" s="62">
        <f t="shared" si="142"/>
        <v>300.75555492874378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20.382491170819097</v>
      </c>
      <c r="AA155" s="23">
        <f>EXP(-LN(2)/25)*AA154+(1-EXP(-LN(2)/25))/(LN(2)/25)*Calculateur!V155*Calculateur!X155*VLOOKUP('Données projet'!$B$9,Paramètres!$A$1:$I$89,3,0)*0.475*44/12</f>
        <v>4.9325492015733898</v>
      </c>
      <c r="AB155" s="23">
        <f>EXP(-LN(2)/2)*AB154+(1-EXP(-LN(2)/2))/(LN(2)/2)*V155*Y155*VLOOKUP('Données projet'!$B$9,Paramètres!$A$1:$I$89,3,0)*0.475*44/12</f>
        <v>1.9035584885373849E-13</v>
      </c>
      <c r="AC155" s="24">
        <f t="shared" si="163"/>
        <v>25.31504037239268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-3.4705882352941178</v>
      </c>
      <c r="AI155" s="14">
        <f>IF('Données projet'!$A$62&gt;35,AI154+AH155-AQ154,IF(A155&lt;'Données projet'!$A$62,$AF$205^A155,IF(A155='Données projet'!$A$62,'Données projet'!$B$62,AI154+AH155-AQ154)))</f>
        <v>279.11764705882354</v>
      </c>
      <c r="AJ155" s="14">
        <f>AI155*VLOOKUP('Données projet'!$B$10,Paramètres!$A$1:$I$89,3,0)*VLOOKUP('Données projet'!$B$10,Paramètres!$A$1:$I$89,5,0)</f>
        <v>252.54564705882353</v>
      </c>
      <c r="AK155" s="14">
        <f t="shared" si="164"/>
        <v>61.130731026017962</v>
      </c>
      <c r="AL155" s="22">
        <f t="shared" si="165"/>
        <v>546.31969183109891</v>
      </c>
      <c r="AM155" s="62">
        <f t="shared" si="113"/>
        <v>839.65302516443217</v>
      </c>
      <c r="AN155" s="62">
        <f ca="1">AVERAGE(OFFSET($AM$3,0,0,'Données projet'!$E$10+1,1))-AVERAGE(OFFSET($H$3,0,0,'Données projet'!$E$10+1,1))</f>
        <v>206.38141226866287</v>
      </c>
      <c r="AO155" s="62">
        <f t="shared" si="144"/>
        <v>89.074420303945885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35.092561729004743</v>
      </c>
      <c r="AV155" s="23">
        <f>EXP(-LN(2)/25)*AV154+(1-EXP(-LN(2)/25))/(LN(2)/25)*Calculateur!AQ155*Calculateur!AS155*VLOOKUP('Données projet'!$B$10,Paramètres!$A$1:$I$89,3,0)*0.475*44/12</f>
        <v>22.44339391516856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57.535955644173299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4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1.738044375088066E-13</v>
      </c>
      <c r="P156" s="14">
        <f t="shared" si="141"/>
        <v>2.4483293633950478E-12</v>
      </c>
      <c r="Q156" s="22">
        <f t="shared" si="162"/>
        <v>4.566883036574213E-12</v>
      </c>
      <c r="R156" s="62">
        <f t="shared" si="109"/>
        <v>293.33333333333786</v>
      </c>
      <c r="S156" s="62">
        <f ca="1">AVERAGE(OFFSET($R$3,0,0,'Données projet'!$E$9+1,1))-AVERAGE(OFFSET($H$3,0,0,'Données projet'!$E$9+1,1))</f>
        <v>234.06296185782384</v>
      </c>
      <c r="T156" s="62">
        <f t="shared" si="142"/>
        <v>300.75555492874378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19.982802951051383</v>
      </c>
      <c r="AA156" s="23">
        <f>EXP(-LN(2)/25)*AA155+(1-EXP(-LN(2)/25))/(LN(2)/25)*Calculateur!V156*Calculateur!X156*VLOOKUP('Données projet'!$B$9,Paramètres!$A$1:$I$89,3,0)*0.475*44/12</f>
        <v>4.7976683842648766</v>
      </c>
      <c r="AB156" s="23">
        <f>EXP(-LN(2)/2)*AB155+(1-EXP(-LN(2)/2))/(LN(2)/2)*V156*Y156*VLOOKUP('Données projet'!$B$9,Paramètres!$A$1:$I$89,3,0)*0.475*44/12</f>
        <v>1.3460191156299997E-13</v>
      </c>
      <c r="AC156" s="24">
        <f t="shared" si="163"/>
        <v>24.780471335316395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-3.4705882352941178</v>
      </c>
      <c r="AI156" s="14">
        <f>IF('Données projet'!$A$62&gt;35,AI155+AH156-AQ155,IF(A156&lt;'Données projet'!$A$62,$AF$205^A156,IF(A156='Données projet'!$A$62,'Données projet'!$B$62,AI155+AH156-AQ155)))</f>
        <v>275.64705882352939</v>
      </c>
      <c r="AJ156" s="14">
        <f>AI156*VLOOKUP('Données projet'!$B$10,Paramètres!$A$1:$I$89,3,0)*VLOOKUP('Données projet'!$B$10,Paramètres!$A$1:$I$89,5,0)</f>
        <v>249.40545882352939</v>
      </c>
      <c r="AK156" s="14">
        <f t="shared" si="164"/>
        <v>60.458611170864899</v>
      </c>
      <c r="AL156" s="22">
        <f t="shared" si="165"/>
        <v>539.67992190690336</v>
      </c>
      <c r="AM156" s="62">
        <f t="shared" si="113"/>
        <v>833.01325524023673</v>
      </c>
      <c r="AN156" s="62">
        <f ca="1">AVERAGE(OFFSET($AM$3,0,0,'Données projet'!$E$10+1,1))-AVERAGE(OFFSET($H$3,0,0,'Données projet'!$E$10+1,1))</f>
        <v>206.38141226866287</v>
      </c>
      <c r="AO156" s="62">
        <f t="shared" si="144"/>
        <v>89.074420303945885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34.404417997848114</v>
      </c>
      <c r="AV156" s="23">
        <f>EXP(-LN(2)/25)*AV155+(1-EXP(-LN(2)/25))/(LN(2)/25)*Calculateur!AQ156*Calculateur!AS156*VLOOKUP('Données projet'!$B$10,Paramètres!$A$1:$I$89,3,0)*0.475*44/12</f>
        <v>21.829678128311485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56.234096126159599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4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1.738044375088066E-13</v>
      </c>
      <c r="P157" s="14">
        <f t="shared" si="141"/>
        <v>2.4483293633950478E-12</v>
      </c>
      <c r="Q157" s="22">
        <f t="shared" si="162"/>
        <v>4.566883036574213E-12</v>
      </c>
      <c r="R157" s="62">
        <f t="shared" si="109"/>
        <v>293.33333333333786</v>
      </c>
      <c r="S157" s="62">
        <f ca="1">AVERAGE(OFFSET($R$3,0,0,'Données projet'!$E$9+1,1))-AVERAGE(OFFSET($H$3,0,0,'Données projet'!$E$9+1,1))</f>
        <v>234.06296185782384</v>
      </c>
      <c r="T157" s="62">
        <f t="shared" si="142"/>
        <v>300.75555492874378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19.590952373487571</v>
      </c>
      <c r="AA157" s="23">
        <f>EXP(-LN(2)/25)*AA156+(1-EXP(-LN(2)/25))/(LN(2)/25)*Calculateur!V157*Calculateur!X157*VLOOKUP('Données projet'!$B$9,Paramètres!$A$1:$I$89,3,0)*0.475*44/12</f>
        <v>4.6664758899987389</v>
      </c>
      <c r="AB157" s="23">
        <f>EXP(-LN(2)/2)*AB156+(1-EXP(-LN(2)/2))/(LN(2)/2)*V157*Y157*VLOOKUP('Données projet'!$B$9,Paramètres!$A$1:$I$89,3,0)*0.475*44/12</f>
        <v>9.5177924426869246E-14</v>
      </c>
      <c r="AC157" s="24">
        <f t="shared" si="163"/>
        <v>24.257428263486407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-3.4705882352941178</v>
      </c>
      <c r="AI157" s="14">
        <f>IF('Données projet'!$A$62&gt;35,AI156+AH157-AQ156,IF(A157&lt;'Données projet'!$A$62,$AF$205^A157,IF(A157='Données projet'!$A$62,'Données projet'!$B$62,AI156+AH157-AQ156)))</f>
        <v>272.17647058823525</v>
      </c>
      <c r="AJ157" s="14">
        <f>AI157*VLOOKUP('Données projet'!$B$10,Paramètres!$A$1:$I$89,3,0)*VLOOKUP('Données projet'!$B$10,Paramètres!$A$1:$I$89,5,0)</f>
        <v>246.26527058823524</v>
      </c>
      <c r="AK157" s="14">
        <f t="shared" si="164"/>
        <v>59.785505536024061</v>
      </c>
      <c r="AL157" s="22">
        <f t="shared" si="165"/>
        <v>533.03843508308489</v>
      </c>
      <c r="AM157" s="62">
        <f t="shared" si="113"/>
        <v>826.37176841641826</v>
      </c>
      <c r="AN157" s="62">
        <f ca="1">AVERAGE(OFFSET($AM$3,0,0,'Données projet'!$E$10+1,1))-AVERAGE(OFFSET($H$3,0,0,'Données projet'!$E$10+1,1))</f>
        <v>206.38141226866287</v>
      </c>
      <c r="AO157" s="62">
        <f t="shared" si="144"/>
        <v>89.074420303945885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33.72976834553323</v>
      </c>
      <c r="AV157" s="23">
        <f>EXP(-LN(2)/25)*AV156+(1-EXP(-LN(2)/25))/(LN(2)/25)*Calculateur!AQ157*Calculateur!AS157*VLOOKUP('Données projet'!$B$10,Paramètres!$A$1:$I$89,3,0)*0.475*44/12</f>
        <v>21.232744431919926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54.962512777453156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4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1.738044375088066E-13</v>
      </c>
      <c r="P158" s="14">
        <f t="shared" si="141"/>
        <v>2.4483293633950478E-12</v>
      </c>
      <c r="Q158" s="22">
        <f t="shared" si="162"/>
        <v>4.566883036574213E-12</v>
      </c>
      <c r="R158" s="62">
        <f t="shared" si="109"/>
        <v>293.33333333333786</v>
      </c>
      <c r="S158" s="62">
        <f ca="1">AVERAGE(OFFSET($R$3,0,0,'Données projet'!$E$9+1,1))-AVERAGE(OFFSET($H$3,0,0,'Données projet'!$E$9+1,1))</f>
        <v>234.06296185782384</v>
      </c>
      <c r="T158" s="62">
        <f t="shared" si="142"/>
        <v>300.75555492874378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19.206785746744533</v>
      </c>
      <c r="AA158" s="23">
        <f>EXP(-LN(2)/25)*AA157+(1-EXP(-LN(2)/25))/(LN(2)/25)*Calculateur!V158*Calculateur!X158*VLOOKUP('Données projet'!$B$9,Paramètres!$A$1:$I$89,3,0)*0.475*44/12</f>
        <v>4.538870861387422</v>
      </c>
      <c r="AB158" s="23">
        <f>EXP(-LN(2)/2)*AB157+(1-EXP(-LN(2)/2))/(LN(2)/2)*V158*Y158*VLOOKUP('Données projet'!$B$9,Paramètres!$A$1:$I$89,3,0)*0.475*44/12</f>
        <v>6.7300955781499987E-14</v>
      </c>
      <c r="AC158" s="24">
        <f t="shared" si="163"/>
        <v>23.745656608132023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-3.4705882352941178</v>
      </c>
      <c r="AI158" s="14">
        <f>IF('Données projet'!$A$62&gt;35,AI157+AH158-AQ157,IF(A158&lt;'Données projet'!$A$62,$AF$205^A158,IF(A158='Données projet'!$A$62,'Données projet'!$B$62,AI157+AH158-AQ157)))</f>
        <v>268.7058823529411</v>
      </c>
      <c r="AJ158" s="14">
        <f>AI158*VLOOKUP('Données projet'!$B$10,Paramètres!$A$1:$I$89,3,0)*VLOOKUP('Données projet'!$B$10,Paramètres!$A$1:$I$89,5,0)</f>
        <v>243.12508235294109</v>
      </c>
      <c r="AK158" s="14">
        <f t="shared" si="164"/>
        <v>59.111400077264818</v>
      </c>
      <c r="AL158" s="22">
        <f t="shared" si="165"/>
        <v>526.39520689927519</v>
      </c>
      <c r="AM158" s="62">
        <f t="shared" si="113"/>
        <v>819.72854023260857</v>
      </c>
      <c r="AN158" s="62">
        <f ca="1">AVERAGE(OFFSET($AM$3,0,0,'Données projet'!$E$10+1,1))-AVERAGE(OFFSET($H$3,0,0,'Données projet'!$E$10+1,1))</f>
        <v>206.38141226866287</v>
      </c>
      <c r="AO158" s="62">
        <f t="shared" si="144"/>
        <v>89.074420303945885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33.068348161404586</v>
      </c>
      <c r="AV158" s="23">
        <f>EXP(-LN(2)/25)*AV157+(1-EXP(-LN(2)/25))/(LN(2)/25)*Calculateur!AQ158*Calculateur!AS158*VLOOKUP('Données projet'!$B$10,Paramètres!$A$1:$I$89,3,0)*0.475*44/12</f>
        <v>20.652133918847575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53.720482080252161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4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1.738044375088066E-13</v>
      </c>
      <c r="P159" s="14">
        <f t="shared" si="141"/>
        <v>2.4483293633950478E-12</v>
      </c>
      <c r="Q159" s="22">
        <f t="shared" si="162"/>
        <v>4.566883036574213E-12</v>
      </c>
      <c r="R159" s="62">
        <f t="shared" si="109"/>
        <v>293.33333333333786</v>
      </c>
      <c r="S159" s="62">
        <f ca="1">AVERAGE(OFFSET($R$3,0,0,'Données projet'!$E$9+1,1))-AVERAGE(OFFSET($H$3,0,0,'Données projet'!$E$9+1,1))</f>
        <v>234.06296185782384</v>
      </c>
      <c r="T159" s="62">
        <f t="shared" si="142"/>
        <v>300.75555492874378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18.830152393233419</v>
      </c>
      <c r="AA159" s="23">
        <f>EXP(-LN(2)/25)*AA158+(1-EXP(-LN(2)/25))/(LN(2)/25)*Calculateur!V159*Calculateur!X159*VLOOKUP('Données projet'!$B$9,Paramètres!$A$1:$I$89,3,0)*0.475*44/12</f>
        <v>4.4147551989939382</v>
      </c>
      <c r="AB159" s="23">
        <f>EXP(-LN(2)/2)*AB158+(1-EXP(-LN(2)/2))/(LN(2)/2)*V159*Y159*VLOOKUP('Données projet'!$B$9,Paramètres!$A$1:$I$89,3,0)*0.475*44/12</f>
        <v>4.7588962213434623E-14</v>
      </c>
      <c r="AC159" s="24">
        <f t="shared" si="163"/>
        <v>23.244907592227403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-3.4705882352941178</v>
      </c>
      <c r="AI159" s="14">
        <f>IF('Données projet'!$A$62&gt;35,AI158+AH159-AQ158,IF(A159&lt;'Données projet'!$A$62,$AF$205^A159,IF(A159='Données projet'!$A$62,'Données projet'!$B$62,AI158+AH159-AQ158)))</f>
        <v>265.23529411764696</v>
      </c>
      <c r="AJ159" s="14">
        <f>AI159*VLOOKUP('Données projet'!$B$10,Paramètres!$A$1:$I$89,3,0)*VLOOKUP('Données projet'!$B$10,Paramètres!$A$1:$I$89,5,0)</f>
        <v>239.98489411764695</v>
      </c>
      <c r="AK159" s="14">
        <f t="shared" si="164"/>
        <v>58.436280366133602</v>
      </c>
      <c r="AL159" s="22">
        <f t="shared" si="165"/>
        <v>519.75021222591772</v>
      </c>
      <c r="AM159" s="62">
        <f t="shared" si="113"/>
        <v>813.08354555925098</v>
      </c>
      <c r="AN159" s="62">
        <f ca="1">AVERAGE(OFFSET($AM$3,0,0,'Données projet'!$E$10+1,1))-AVERAGE(OFFSET($H$3,0,0,'Données projet'!$E$10+1,1))</f>
        <v>206.38141226866287</v>
      </c>
      <c r="AO159" s="62">
        <f t="shared" si="144"/>
        <v>89.074420303945885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32.419898023660231</v>
      </c>
      <c r="AV159" s="23">
        <f>EXP(-LN(2)/25)*AV158+(1-EXP(-LN(2)/25))/(LN(2)/25)*Calculateur!AQ159*Calculateur!AS159*VLOOKUP('Données projet'!$B$10,Paramètres!$A$1:$I$89,3,0)*0.475*44/12</f>
        <v>20.087400230788166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52.507298254448401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4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1.738044375088066E-13</v>
      </c>
      <c r="P160" s="14">
        <f t="shared" si="141"/>
        <v>2.4483293633950478E-12</v>
      </c>
      <c r="Q160" s="22">
        <f t="shared" si="162"/>
        <v>4.566883036574213E-12</v>
      </c>
      <c r="R160" s="62">
        <f t="shared" si="109"/>
        <v>293.33333333333786</v>
      </c>
      <c r="S160" s="62">
        <f ca="1">AVERAGE(OFFSET($R$3,0,0,'Données projet'!$E$9+1,1))-AVERAGE(OFFSET($H$3,0,0,'Données projet'!$E$9+1,1))</f>
        <v>234.06296185782384</v>
      </c>
      <c r="T160" s="62">
        <f t="shared" si="142"/>
        <v>300.75555492874378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18.460904590060995</v>
      </c>
      <c r="AA160" s="23">
        <f>EXP(-LN(2)/25)*AA159+(1-EXP(-LN(2)/25))/(LN(2)/25)*Calculateur!V160*Calculateur!X160*VLOOKUP('Données projet'!$B$9,Paramètres!$A$1:$I$89,3,0)*0.475*44/12</f>
        <v>4.2940334859155627</v>
      </c>
      <c r="AB160" s="23">
        <f>EXP(-LN(2)/2)*AB159+(1-EXP(-LN(2)/2))/(LN(2)/2)*V160*Y160*VLOOKUP('Données projet'!$B$9,Paramètres!$A$1:$I$89,3,0)*0.475*44/12</f>
        <v>3.3650477890749993E-14</v>
      </c>
      <c r="AC160" s="24">
        <f t="shared" si="163"/>
        <v>22.75493807597659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-3.4705882352941178</v>
      </c>
      <c r="AI160" s="14">
        <f>IF('Données projet'!$A$62&gt;35,AI159+AH160-AQ159,IF(A160&lt;'Données projet'!$A$62,$AF$205^A160,IF(A160='Données projet'!$A$62,'Données projet'!$B$62,AI159+AH160-AQ159)))</f>
        <v>261.76470588235281</v>
      </c>
      <c r="AJ160" s="14">
        <f>AI160*VLOOKUP('Données projet'!$B$10,Paramètres!$A$1:$I$89,3,0)*VLOOKUP('Données projet'!$B$10,Paramètres!$A$1:$I$89,5,0)</f>
        <v>236.8447058823528</v>
      </c>
      <c r="AK160" s="14">
        <f t="shared" si="164"/>
        <v>57.760131574272513</v>
      </c>
      <c r="AL160" s="22">
        <f t="shared" si="165"/>
        <v>513.10342523695567</v>
      </c>
      <c r="AM160" s="62">
        <f t="shared" si="113"/>
        <v>806.43675857028893</v>
      </c>
      <c r="AN160" s="62">
        <f ca="1">AVERAGE(OFFSET($AM$3,0,0,'Données projet'!$E$10+1,1))-AVERAGE(OFFSET($H$3,0,0,'Données projet'!$E$10+1,1))</f>
        <v>206.38141226866287</v>
      </c>
      <c r="AO160" s="62">
        <f t="shared" si="144"/>
        <v>89.074420303945885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31.784163597601509</v>
      </c>
      <c r="AV160" s="23">
        <f>EXP(-LN(2)/25)*AV159+(1-EXP(-LN(2)/25))/(LN(2)/25)*Calculateur!AQ160*Calculateur!AS160*VLOOKUP('Données projet'!$B$10,Paramètres!$A$1:$I$89,3,0)*0.475*44/12</f>
        <v>19.538109215126795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51.322272812728301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4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1.738044375088066E-13</v>
      </c>
      <c r="P161" s="14">
        <f t="shared" si="141"/>
        <v>2.4483293633950478E-12</v>
      </c>
      <c r="Q161" s="22">
        <f t="shared" si="162"/>
        <v>4.566883036574213E-12</v>
      </c>
      <c r="R161" s="62">
        <f t="shared" si="109"/>
        <v>293.33333333333786</v>
      </c>
      <c r="S161" s="62">
        <f ca="1">AVERAGE(OFFSET($R$3,0,0,'Données projet'!$E$9+1,1))-AVERAGE(OFFSET($H$3,0,0,'Données projet'!$E$9+1,1))</f>
        <v>234.06296185782384</v>
      </c>
      <c r="T161" s="62">
        <f t="shared" si="142"/>
        <v>300.75555492874378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18.098897511089863</v>
      </c>
      <c r="AA161" s="23">
        <f>EXP(-LN(2)/25)*AA160+(1-EXP(-LN(2)/25))/(LN(2)/25)*Calculateur!V161*Calculateur!X161*VLOOKUP('Données projet'!$B$9,Paramètres!$A$1:$I$89,3,0)*0.475*44/12</f>
        <v>4.1766129144297945</v>
      </c>
      <c r="AB161" s="23">
        <f>EXP(-LN(2)/2)*AB160+(1-EXP(-LN(2)/2))/(LN(2)/2)*V161*Y161*VLOOKUP('Données projet'!$B$9,Paramètres!$A$1:$I$89,3,0)*0.475*44/12</f>
        <v>2.3794481106717311E-14</v>
      </c>
      <c r="AC161" s="24">
        <f t="shared" si="163"/>
        <v>22.275510425519681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-3.4705882352941178</v>
      </c>
      <c r="AI161" s="14">
        <f>IF('Données projet'!$A$62&gt;35,AI160+AH161-AQ160,IF(A161&lt;'Données projet'!$A$62,$AF$205^A161,IF(A161='Données projet'!$A$62,'Données projet'!$B$62,AI160+AH161-AQ160)))</f>
        <v>258.29411764705867</v>
      </c>
      <c r="AJ161" s="14">
        <f>AI161*VLOOKUP('Données projet'!$B$10,Paramètres!$A$1:$I$89,3,0)*VLOOKUP('Données projet'!$B$10,Paramètres!$A$1:$I$89,5,0)</f>
        <v>233.70451764705865</v>
      </c>
      <c r="AK161" s="14">
        <f t="shared" si="164"/>
        <v>57.082938456881209</v>
      </c>
      <c r="AL161" s="22">
        <f t="shared" si="165"/>
        <v>506.45481938102859</v>
      </c>
      <c r="AM161" s="62">
        <f t="shared" si="113"/>
        <v>799.7881527143619</v>
      </c>
      <c r="AN161" s="62">
        <f ca="1">AVERAGE(OFFSET($AM$3,0,0,'Données projet'!$E$10+1,1))-AVERAGE(OFFSET($H$3,0,0,'Données projet'!$E$10+1,1))</f>
        <v>206.38141226866287</v>
      </c>
      <c r="AO161" s="62">
        <f t="shared" si="144"/>
        <v>89.074420303945885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31.160895535878087</v>
      </c>
      <c r="AV161" s="23">
        <f>EXP(-LN(2)/25)*AV160+(1-EXP(-LN(2)/25))/(LN(2)/25)*Calculateur!AQ161*Calculateur!AS161*VLOOKUP('Données projet'!$B$10,Paramètres!$A$1:$I$89,3,0)*0.475*44/12</f>
        <v>19.003838591174645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50.164734127052732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4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1.738044375088066E-13</v>
      </c>
      <c r="P162" s="14">
        <f t="shared" si="141"/>
        <v>2.4483293633950478E-12</v>
      </c>
      <c r="Q162" s="22">
        <f t="shared" si="162"/>
        <v>4.566883036574213E-12</v>
      </c>
      <c r="R162" s="62">
        <f t="shared" si="109"/>
        <v>293.33333333333786</v>
      </c>
      <c r="S162" s="62">
        <f ca="1">AVERAGE(OFFSET($R$3,0,0,'Données projet'!$E$9+1,1))-AVERAGE(OFFSET($H$3,0,0,'Données projet'!$E$9+1,1))</f>
        <v>234.06296185782384</v>
      </c>
      <c r="T162" s="62">
        <f t="shared" si="142"/>
        <v>300.75555492874378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17.743989170134839</v>
      </c>
      <c r="AA162" s="23">
        <f>EXP(-LN(2)/25)*AA161+(1-EXP(-LN(2)/25))/(LN(2)/25)*Calculateur!V162*Calculateur!X162*VLOOKUP('Données projet'!$B$9,Paramètres!$A$1:$I$89,3,0)*0.475*44/12</f>
        <v>4.0624032146461841</v>
      </c>
      <c r="AB162" s="23">
        <f>EXP(-LN(2)/2)*AB161+(1-EXP(-LN(2)/2))/(LN(2)/2)*V162*Y162*VLOOKUP('Données projet'!$B$9,Paramètres!$A$1:$I$89,3,0)*0.475*44/12</f>
        <v>1.6825238945374997E-14</v>
      </c>
      <c r="AC162" s="24">
        <f t="shared" si="163"/>
        <v>21.806392384781041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-3.4705882352941178</v>
      </c>
      <c r="AI162" s="14">
        <f>IF('Données projet'!$A$62&gt;35,AI161+AH162-AQ161,IF(A162&lt;'Données projet'!$A$62,$AF$205^A162,IF(A162='Données projet'!$A$62,'Données projet'!$B$62,AI161+AH162-AQ161)))</f>
        <v>254.82352941176455</v>
      </c>
      <c r="AJ162" s="14">
        <f>AI162*VLOOKUP('Données projet'!$B$10,Paramètres!$A$1:$I$89,3,0)*VLOOKUP('Données projet'!$B$10,Paramètres!$A$1:$I$89,5,0)</f>
        <v>230.56432941176456</v>
      </c>
      <c r="AK162" s="14">
        <f t="shared" si="164"/>
        <v>56.404685335263423</v>
      </c>
      <c r="AL162" s="22">
        <f t="shared" si="165"/>
        <v>499.80436735107372</v>
      </c>
      <c r="AM162" s="62">
        <f t="shared" si="113"/>
        <v>793.13770068440704</v>
      </c>
      <c r="AN162" s="62">
        <f ca="1">AVERAGE(OFFSET($AM$3,0,0,'Données projet'!$E$10+1,1))-AVERAGE(OFFSET($H$3,0,0,'Données projet'!$E$10+1,1))</f>
        <v>206.38141226866287</v>
      </c>
      <c r="AO162" s="62">
        <f t="shared" si="144"/>
        <v>89.074420303945885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30.549849380689082</v>
      </c>
      <c r="AV162" s="23">
        <f>EXP(-LN(2)/25)*AV161+(1-EXP(-LN(2)/25))/(LN(2)/25)*Calculateur!AQ162*Calculateur!AS162*VLOOKUP('Données projet'!$B$10,Paramètres!$A$1:$I$89,3,0)*0.475*44/12</f>
        <v>18.484177625530538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49.034027006219617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4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1.738044375088066E-13</v>
      </c>
      <c r="P163" s="14">
        <f t="shared" si="141"/>
        <v>2.4483293633950478E-12</v>
      </c>
      <c r="Q163" s="22">
        <f t="shared" si="162"/>
        <v>4.566883036574213E-12</v>
      </c>
      <c r="R163" s="62">
        <f t="shared" si="109"/>
        <v>293.33333333333786</v>
      </c>
      <c r="S163" s="62">
        <f ca="1">AVERAGE(OFFSET($R$3,0,0,'Données projet'!$E$9+1,1))-AVERAGE(OFFSET($H$3,0,0,'Données projet'!$E$9+1,1))</f>
        <v>234.06296185782384</v>
      </c>
      <c r="T163" s="62">
        <f t="shared" si="142"/>
        <v>300.75555492874378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17.39604036527323</v>
      </c>
      <c r="AA163" s="23">
        <f>EXP(-LN(2)/25)*AA162+(1-EXP(-LN(2)/25))/(LN(2)/25)*Calculateur!V163*Calculateur!X163*VLOOKUP('Données projet'!$B$9,Paramètres!$A$1:$I$89,3,0)*0.475*44/12</f>
        <v>3.951316585109184</v>
      </c>
      <c r="AB163" s="23">
        <f>EXP(-LN(2)/2)*AB162+(1-EXP(-LN(2)/2))/(LN(2)/2)*V163*Y163*VLOOKUP('Données projet'!$B$9,Paramètres!$A$1:$I$89,3,0)*0.475*44/12</f>
        <v>1.1897240553358656E-14</v>
      </c>
      <c r="AC163" s="24">
        <f t="shared" si="163"/>
        <v>21.347356950382423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-3.4705882352941178</v>
      </c>
      <c r="AI163" s="14">
        <f>IF('Données projet'!$A$62&gt;35,AI162+AH163-AQ162,IF(A163&lt;'Données projet'!$A$62,$AF$205^A163,IF(A163='Données projet'!$A$62,'Données projet'!$B$62,AI162+AH163-AQ162)))</f>
        <v>251.35294117647044</v>
      </c>
      <c r="AJ163" s="14">
        <f>AI163*VLOOKUP('Données projet'!$B$10,Paramètres!$A$1:$I$89,3,0)*VLOOKUP('Données projet'!$B$10,Paramètres!$A$1:$I$89,5,0)</f>
        <v>227.42414117647047</v>
      </c>
      <c r="AK163" s="14">
        <f t="shared" si="164"/>
        <v>55.72535607839356</v>
      </c>
      <c r="AL163" s="22">
        <f t="shared" si="165"/>
        <v>493.15204105222148</v>
      </c>
      <c r="AM163" s="62">
        <f t="shared" si="113"/>
        <v>786.48537438555479</v>
      </c>
      <c r="AN163" s="62">
        <f ca="1">AVERAGE(OFFSET($AM$3,0,0,'Données projet'!$E$10+1,1))-AVERAGE(OFFSET($H$3,0,0,'Données projet'!$E$10+1,1))</f>
        <v>206.38141226866287</v>
      </c>
      <c r="AO163" s="62">
        <f t="shared" si="144"/>
        <v>89.074420303945885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29.95078546790198</v>
      </c>
      <c r="AV163" s="23">
        <f>EXP(-LN(2)/25)*AV162+(1-EXP(-LN(2)/25))/(LN(2)/25)*Calculateur!AQ163*Calculateur!AS163*VLOOKUP('Données projet'!$B$10,Paramètres!$A$1:$I$89,3,0)*0.475*44/12</f>
        <v>17.97872681631975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47.92951228422173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4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1.738044375088066E-13</v>
      </c>
      <c r="P164" s="14">
        <f t="shared" si="141"/>
        <v>2.4483293633950478E-12</v>
      </c>
      <c r="Q164" s="22">
        <f t="shared" si="162"/>
        <v>4.566883036574213E-12</v>
      </c>
      <c r="R164" s="62">
        <f t="shared" si="109"/>
        <v>293.33333333333786</v>
      </c>
      <c r="S164" s="62">
        <f ca="1">AVERAGE(OFFSET($R$3,0,0,'Données projet'!$E$9+1,1))-AVERAGE(OFFSET($H$3,0,0,'Données projet'!$E$9+1,1))</f>
        <v>234.06296185782384</v>
      </c>
      <c r="T164" s="62">
        <f t="shared" si="142"/>
        <v>300.75555492874378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17.054914624247139</v>
      </c>
      <c r="AA164" s="23">
        <f>EXP(-LN(2)/25)*AA163+(1-EXP(-LN(2)/25))/(LN(2)/25)*Calculateur!V164*Calculateur!X164*VLOOKUP('Données projet'!$B$9,Paramètres!$A$1:$I$89,3,0)*0.475*44/12</f>
        <v>3.8432676252986648</v>
      </c>
      <c r="AB164" s="23">
        <f>EXP(-LN(2)/2)*AB163+(1-EXP(-LN(2)/2))/(LN(2)/2)*V164*Y164*VLOOKUP('Données projet'!$B$9,Paramètres!$A$1:$I$89,3,0)*0.475*44/12</f>
        <v>8.4126194726874983E-15</v>
      </c>
      <c r="AC164" s="24">
        <f t="shared" si="163"/>
        <v>20.898182249545812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-3.4705882352941178</v>
      </c>
      <c r="AI164" s="14">
        <f>IF('Données projet'!$A$62&gt;35,AI163+AH164-AQ163,IF(A164&lt;'Données projet'!$A$62,$AF$205^A164,IF(A164='Données projet'!$A$62,'Données projet'!$B$62,AI163+AH164-AQ163)))</f>
        <v>247.88235294117632</v>
      </c>
      <c r="AJ164" s="14">
        <f>AI164*VLOOKUP('Données projet'!$B$10,Paramètres!$A$1:$I$89,3,0)*VLOOKUP('Données projet'!$B$10,Paramètres!$A$1:$I$89,5,0)</f>
        <v>224.28395294117632</v>
      </c>
      <c r="AK164" s="14">
        <f t="shared" si="164"/>
        <v>55.04493408343518</v>
      </c>
      <c r="AL164" s="22">
        <f t="shared" si="165"/>
        <v>486.49781156786503</v>
      </c>
      <c r="AM164" s="62">
        <f t="shared" si="113"/>
        <v>779.83114490119829</v>
      </c>
      <c r="AN164" s="62">
        <f ca="1">AVERAGE(OFFSET($AM$3,0,0,'Données projet'!$E$10+1,1))-AVERAGE(OFFSET($H$3,0,0,'Données projet'!$E$10+1,1))</f>
        <v>206.38141226866287</v>
      </c>
      <c r="AO164" s="62">
        <f t="shared" si="144"/>
        <v>89.074420303945885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29.363468833051726</v>
      </c>
      <c r="AV164" s="23">
        <f>EXP(-LN(2)/25)*AV163+(1-EXP(-LN(2)/25))/(LN(2)/25)*Calculateur!AQ164*Calculateur!AS164*VLOOKUP('Données projet'!$B$10,Paramètres!$A$1:$I$89,3,0)*0.475*44/12</f>
        <v>17.487097586067335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46.850566419119062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4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1.738044375088066E-13</v>
      </c>
      <c r="P165" s="14">
        <f t="shared" si="141"/>
        <v>2.4483293633950478E-12</v>
      </c>
      <c r="Q165" s="22">
        <f t="shared" si="162"/>
        <v>4.566883036574213E-12</v>
      </c>
      <c r="R165" s="62">
        <f t="shared" si="109"/>
        <v>293.33333333333786</v>
      </c>
      <c r="S165" s="62">
        <f ca="1">AVERAGE(OFFSET($R$3,0,0,'Données projet'!$E$9+1,1))-AVERAGE(OFFSET($H$3,0,0,'Données projet'!$E$9+1,1))</f>
        <v>234.06296185782384</v>
      </c>
      <c r="T165" s="62">
        <f t="shared" si="142"/>
        <v>300.75555492874378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16.720478150936415</v>
      </c>
      <c r="AA165" s="23">
        <f>EXP(-LN(2)/25)*AA164+(1-EXP(-LN(2)/25))/(LN(2)/25)*Calculateur!V165*Calculateur!X165*VLOOKUP('Données projet'!$B$9,Paramètres!$A$1:$I$89,3,0)*0.475*44/12</f>
        <v>3.7381732699762122</v>
      </c>
      <c r="AB165" s="23">
        <f>EXP(-LN(2)/2)*AB164+(1-EXP(-LN(2)/2))/(LN(2)/2)*V165*Y165*VLOOKUP('Données projet'!$B$9,Paramètres!$A$1:$I$89,3,0)*0.475*44/12</f>
        <v>5.9486202766793278E-15</v>
      </c>
      <c r="AC165" s="24">
        <f t="shared" si="163"/>
        <v>20.458651420912634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-3.4705882352941178</v>
      </c>
      <c r="AI165" s="14">
        <f>IF('Données projet'!$A$62&gt;35,AI164+AH165-AQ164,IF(A165&lt;'Données projet'!$A$62,$AF$205^A165,IF(A165='Données projet'!$A$62,'Données projet'!$B$62,AI164+AH165-AQ164)))</f>
        <v>244.41176470588221</v>
      </c>
      <c r="AJ165" s="14">
        <f>AI165*VLOOKUP('Données projet'!$B$10,Paramètres!$A$1:$I$89,3,0)*VLOOKUP('Données projet'!$B$10,Paramètres!$A$1:$I$89,5,0)</f>
        <v>221.14376470588221</v>
      </c>
      <c r="AK165" s="14">
        <f t="shared" si="164"/>
        <v>54.36340225513532</v>
      </c>
      <c r="AL165" s="22">
        <f t="shared" si="165"/>
        <v>479.84164912377219</v>
      </c>
      <c r="AM165" s="62">
        <f t="shared" si="113"/>
        <v>773.17498245710544</v>
      </c>
      <c r="AN165" s="62">
        <f ca="1">AVERAGE(OFFSET($AM$3,0,0,'Données projet'!$E$10+1,1))-AVERAGE(OFFSET($H$3,0,0,'Données projet'!$E$10+1,1))</f>
        <v>206.38141226866287</v>
      </c>
      <c r="AO165" s="62">
        <f t="shared" si="144"/>
        <v>89.074420303945885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28.787669119183111</v>
      </c>
      <c r="AV165" s="23">
        <f>EXP(-LN(2)/25)*AV164+(1-EXP(-LN(2)/25))/(LN(2)/25)*Calculateur!AQ165*Calculateur!AS165*VLOOKUP('Données projet'!$B$10,Paramètres!$A$1:$I$89,3,0)*0.475*44/12</f>
        <v>17.008911982969828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45.796581102152942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4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1.738044375088066E-13</v>
      </c>
      <c r="P166" s="14">
        <f t="shared" si="141"/>
        <v>2.4483293633950478E-12</v>
      </c>
      <c r="Q166" s="22">
        <f t="shared" si="162"/>
        <v>4.566883036574213E-12</v>
      </c>
      <c r="R166" s="62">
        <f t="shared" si="109"/>
        <v>293.33333333333786</v>
      </c>
      <c r="S166" s="62">
        <f ca="1">AVERAGE(OFFSET($R$3,0,0,'Données projet'!$E$9+1,1))-AVERAGE(OFFSET($H$3,0,0,'Données projet'!$E$9+1,1))</f>
        <v>234.06296185782384</v>
      </c>
      <c r="T166" s="62">
        <f t="shared" si="142"/>
        <v>300.75555492874378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16.392599772881209</v>
      </c>
      <c r="AA166" s="23">
        <f>EXP(-LN(2)/25)*AA165+(1-EXP(-LN(2)/25))/(LN(2)/25)*Calculateur!V166*Calculateur!X166*VLOOKUP('Données projet'!$B$9,Paramètres!$A$1:$I$89,3,0)*0.475*44/12</f>
        <v>3.6359527253267241</v>
      </c>
      <c r="AB166" s="23">
        <f>EXP(-LN(2)/2)*AB165+(1-EXP(-LN(2)/2))/(LN(2)/2)*V166*Y166*VLOOKUP('Données projet'!$B$9,Paramètres!$A$1:$I$89,3,0)*0.475*44/12</f>
        <v>4.2063097363437492E-15</v>
      </c>
      <c r="AC166" s="24">
        <f t="shared" si="163"/>
        <v>20.028552498207937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-3.4705882352941178</v>
      </c>
      <c r="AI166" s="14">
        <f>IF('Données projet'!$A$62&gt;35,AI165+AH166-AQ165,IF(A166&lt;'Données projet'!$A$62,$AF$205^A166,IF(A166='Données projet'!$A$62,'Données projet'!$B$62,AI165+AH166-AQ165)))</f>
        <v>240.94117647058809</v>
      </c>
      <c r="AJ166" s="14">
        <f>AI166*VLOOKUP('Données projet'!$B$10,Paramètres!$A$1:$I$89,3,0)*VLOOKUP('Données projet'!$B$10,Paramètres!$A$1:$I$89,5,0)</f>
        <v>218.00357647058811</v>
      </c>
      <c r="AK166" s="14">
        <f t="shared" si="164"/>
        <v>53.680742984013051</v>
      </c>
      <c r="AL166" s="22">
        <f t="shared" si="165"/>
        <v>473.18352305009699</v>
      </c>
      <c r="AM166" s="62">
        <f t="shared" si="113"/>
        <v>766.51685638343031</v>
      </c>
      <c r="AN166" s="62">
        <f ca="1">AVERAGE(OFFSET($AM$3,0,0,'Données projet'!$E$10+1,1))-AVERAGE(OFFSET($H$3,0,0,'Données projet'!$E$10+1,1))</f>
        <v>206.38141226866287</v>
      </c>
      <c r="AO166" s="62">
        <f t="shared" si="144"/>
        <v>89.074420303945885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28.223160486500312</v>
      </c>
      <c r="AV166" s="23">
        <f>EXP(-LN(2)/25)*AV165+(1-EXP(-LN(2)/25))/(LN(2)/25)*Calculateur!AQ166*Calculateur!AS166*VLOOKUP('Données projet'!$B$10,Paramètres!$A$1:$I$89,3,0)*0.475*44/12</f>
        <v>16.54380239033571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44.766962876836018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4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1.738044375088066E-13</v>
      </c>
      <c r="P167" s="14">
        <f t="shared" si="141"/>
        <v>2.4483293633950478E-12</v>
      </c>
      <c r="Q167" s="22">
        <f t="shared" si="162"/>
        <v>4.566883036574213E-12</v>
      </c>
      <c r="R167" s="62">
        <f t="shared" si="109"/>
        <v>293.33333333333786</v>
      </c>
      <c r="S167" s="62">
        <f ca="1">AVERAGE(OFFSET($R$3,0,0,'Données projet'!$E$9+1,1))-AVERAGE(OFFSET($H$3,0,0,'Données projet'!$E$9+1,1))</f>
        <v>234.06296185782384</v>
      </c>
      <c r="T167" s="62">
        <f t="shared" si="142"/>
        <v>300.75555492874378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16.0711508898336</v>
      </c>
      <c r="AA167" s="23">
        <f>EXP(-LN(2)/25)*AA166+(1-EXP(-LN(2)/25))/(LN(2)/25)*Calculateur!V167*Calculateur!X167*VLOOKUP('Données projet'!$B$9,Paramètres!$A$1:$I$89,3,0)*0.475*44/12</f>
        <v>3.5365274068462211</v>
      </c>
      <c r="AB167" s="23">
        <f>EXP(-LN(2)/2)*AB166+(1-EXP(-LN(2)/2))/(LN(2)/2)*V167*Y167*VLOOKUP('Données projet'!$B$9,Paramètres!$A$1:$I$89,3,0)*0.475*44/12</f>
        <v>2.9743101383396639E-15</v>
      </c>
      <c r="AC167" s="24">
        <f t="shared" si="163"/>
        <v>19.607678296679826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-3.4705882352941178</v>
      </c>
      <c r="AI167" s="14">
        <f>IF('Données projet'!$A$62&gt;35,AI166+AH167-AQ166,IF(A167&lt;'Données projet'!$A$62,$AF$205^A167,IF(A167='Données projet'!$A$62,'Données projet'!$B$62,AI166+AH167-AQ166)))</f>
        <v>237.47058823529397</v>
      </c>
      <c r="AJ167" s="14">
        <f>AI167*VLOOKUP('Données projet'!$B$10,Paramètres!$A$1:$I$89,3,0)*VLOOKUP('Données projet'!$B$10,Paramètres!$A$1:$I$89,5,0)</f>
        <v>214.86338823529397</v>
      </c>
      <c r="AK167" s="14">
        <f t="shared" si="164"/>
        <v>52.996938123253891</v>
      </c>
      <c r="AL167" s="22">
        <f t="shared" si="165"/>
        <v>466.52340174113743</v>
      </c>
      <c r="AM167" s="62">
        <f t="shared" si="113"/>
        <v>759.85673507447075</v>
      </c>
      <c r="AN167" s="62">
        <f ca="1">AVERAGE(OFFSET($AM$3,0,0,'Données projet'!$E$10+1,1))-AVERAGE(OFFSET($H$3,0,0,'Données projet'!$E$10+1,1))</f>
        <v>206.38141226866287</v>
      </c>
      <c r="AO167" s="62">
        <f t="shared" si="144"/>
        <v>89.074420303945885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27.669721523788155</v>
      </c>
      <c r="AV167" s="23">
        <f>EXP(-LN(2)/25)*AV166+(1-EXP(-LN(2)/25))/(LN(2)/25)*Calculateur!AQ167*Calculateur!AS167*VLOOKUP('Données projet'!$B$10,Paramètres!$A$1:$I$89,3,0)*0.475*44/12</f>
        <v>16.091411243971223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43.761132767759378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4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1.738044375088066E-13</v>
      </c>
      <c r="P168" s="14">
        <f t="shared" si="141"/>
        <v>2.4483293633950478E-12</v>
      </c>
      <c r="Q168" s="22">
        <f t="shared" si="162"/>
        <v>4.566883036574213E-12</v>
      </c>
      <c r="R168" s="62">
        <f t="shared" si="109"/>
        <v>293.33333333333786</v>
      </c>
      <c r="S168" s="62">
        <f ca="1">AVERAGE(OFFSET($R$3,0,0,'Données projet'!$E$9+1,1))-AVERAGE(OFFSET($H$3,0,0,'Données projet'!$E$9+1,1))</f>
        <v>234.06296185782384</v>
      </c>
      <c r="T168" s="62">
        <f t="shared" si="142"/>
        <v>300.75555492874378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15.756005423318095</v>
      </c>
      <c r="AA168" s="23">
        <f>EXP(-LN(2)/25)*AA167+(1-EXP(-LN(2)/25))/(LN(2)/25)*Calculateur!V168*Calculateur!X168*VLOOKUP('Données projet'!$B$9,Paramètres!$A$1:$I$89,3,0)*0.475*44/12</f>
        <v>3.4398208789281179</v>
      </c>
      <c r="AB168" s="23">
        <f>EXP(-LN(2)/2)*AB167+(1-EXP(-LN(2)/2))/(LN(2)/2)*V168*Y168*VLOOKUP('Données projet'!$B$9,Paramètres!$A$1:$I$89,3,0)*0.475*44/12</f>
        <v>2.1031548681718746E-15</v>
      </c>
      <c r="AC168" s="24">
        <f t="shared" si="163"/>
        <v>19.195826302246218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-3.4705882352941178</v>
      </c>
      <c r="AI168" s="14">
        <f>IF('Données projet'!$A$62&gt;35,AI167+AH168-AQ167,IF(A168&lt;'Données projet'!$A$62,$AF$205^A168,IF(A168='Données projet'!$A$62,'Données projet'!$B$62,AI167+AH168-AQ167)))</f>
        <v>233.99999999999986</v>
      </c>
      <c r="AJ168" s="14">
        <f>AI168*VLOOKUP('Données projet'!$B$10,Paramètres!$A$1:$I$89,3,0)*VLOOKUP('Données projet'!$B$10,Paramètres!$A$1:$I$89,5,0)</f>
        <v>211.72319999999988</v>
      </c>
      <c r="AK168" s="14">
        <f t="shared" si="164"/>
        <v>52.311968964212028</v>
      </c>
      <c r="AL168" s="22">
        <f t="shared" si="165"/>
        <v>459.86125261266903</v>
      </c>
      <c r="AM168" s="62">
        <f t="shared" si="113"/>
        <v>753.19458594600235</v>
      </c>
      <c r="AN168" s="62">
        <f ca="1">AVERAGE(OFFSET($AM$3,0,0,'Données projet'!$E$10+1,1))-AVERAGE(OFFSET($H$3,0,0,'Données projet'!$E$10+1,1))</f>
        <v>206.38141226866287</v>
      </c>
      <c r="AO168" s="62">
        <f t="shared" si="144"/>
        <v>89.074420303945885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27.127135161570347</v>
      </c>
      <c r="AV168" s="23">
        <f>EXP(-LN(2)/25)*AV167+(1-EXP(-LN(2)/25))/(LN(2)/25)*Calculateur!AQ168*Calculateur!AS168*VLOOKUP('Données projet'!$B$10,Paramètres!$A$1:$I$89,3,0)*0.475*44/12</f>
        <v>15.651390757294291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42.778525918864638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4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1.738044375088066E-13</v>
      </c>
      <c r="P169" s="14">
        <f t="shared" si="141"/>
        <v>2.4483293633950478E-12</v>
      </c>
      <c r="Q169" s="22">
        <f t="shared" si="162"/>
        <v>4.566883036574213E-12</v>
      </c>
      <c r="R169" s="62">
        <f t="shared" si="109"/>
        <v>293.33333333333786</v>
      </c>
      <c r="S169" s="62">
        <f ca="1">AVERAGE(OFFSET($R$3,0,0,'Données projet'!$E$9+1,1))-AVERAGE(OFFSET($H$3,0,0,'Données projet'!$E$9+1,1))</f>
        <v>234.06296185782384</v>
      </c>
      <c r="T169" s="62">
        <f t="shared" si="142"/>
        <v>300.75555492874378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15.447039767181206</v>
      </c>
      <c r="AA169" s="23">
        <f>EXP(-LN(2)/25)*AA168+(1-EXP(-LN(2)/25))/(LN(2)/25)*Calculateur!V169*Calculateur!X169*VLOOKUP('Données projet'!$B$9,Paramètres!$A$1:$I$89,3,0)*0.475*44/12</f>
        <v>3.3457587961015105</v>
      </c>
      <c r="AB169" s="23">
        <f>EXP(-LN(2)/2)*AB168+(1-EXP(-LN(2)/2))/(LN(2)/2)*V169*Y169*VLOOKUP('Données projet'!$B$9,Paramètres!$A$1:$I$89,3,0)*0.475*44/12</f>
        <v>1.487155069169832E-15</v>
      </c>
      <c r="AC169" s="24">
        <f t="shared" si="163"/>
        <v>18.792798563282716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-3.4705882352941178</v>
      </c>
      <c r="AI169" s="14">
        <f>IF('Données projet'!$A$62&gt;35,AI168+AH169-AQ168,IF(A169&lt;'Données projet'!$A$62,$AF$205^A169,IF(A169='Données projet'!$A$62,'Données projet'!$B$62,AI168+AH169-AQ168)))</f>
        <v>230.52941176470574</v>
      </c>
      <c r="AJ169" s="14">
        <f>AI169*VLOOKUP('Données projet'!$B$10,Paramètres!$A$1:$I$89,3,0)*VLOOKUP('Données projet'!$B$10,Paramètres!$A$1:$I$89,5,0)</f>
        <v>208.58301176470573</v>
      </c>
      <c r="AK169" s="14">
        <f t="shared" si="164"/>
        <v>51.625816210416261</v>
      </c>
      <c r="AL169" s="22">
        <f t="shared" si="165"/>
        <v>453.1970420566708</v>
      </c>
      <c r="AM169" s="62">
        <f t="shared" si="113"/>
        <v>746.53037539000411</v>
      </c>
      <c r="AN169" s="62">
        <f ca="1">AVERAGE(OFFSET($AM$3,0,0,'Données projet'!$E$10+1,1))-AVERAGE(OFFSET($H$3,0,0,'Données projet'!$E$10+1,1))</f>
        <v>206.38141226866287</v>
      </c>
      <c r="AO169" s="62">
        <f t="shared" si="144"/>
        <v>89.074420303945885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26.595188586970629</v>
      </c>
      <c r="AV169" s="23">
        <f>EXP(-LN(2)/25)*AV168+(1-EXP(-LN(2)/25))/(LN(2)/25)*Calculateur!AQ169*Calculateur!AS169*VLOOKUP('Données projet'!$B$10,Paramètres!$A$1:$I$89,3,0)*0.475*44/12</f>
        <v>15.223402653965209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41.818591240935838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4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1.738044375088066E-13</v>
      </c>
      <c r="P170" s="14">
        <f t="shared" si="141"/>
        <v>2.4483293633950478E-12</v>
      </c>
      <c r="Q170" s="22">
        <f t="shared" si="162"/>
        <v>4.566883036574213E-12</v>
      </c>
      <c r="R170" s="62">
        <f t="shared" si="109"/>
        <v>293.33333333333786</v>
      </c>
      <c r="S170" s="62">
        <f ca="1">AVERAGE(OFFSET($R$3,0,0,'Données projet'!$E$9+1,1))-AVERAGE(OFFSET($H$3,0,0,'Données projet'!$E$9+1,1))</f>
        <v>234.06296185782384</v>
      </c>
      <c r="T170" s="62">
        <f t="shared" si="142"/>
        <v>300.75555492874378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15.144132739110718</v>
      </c>
      <c r="AA170" s="23">
        <f>EXP(-LN(2)/25)*AA169+(1-EXP(-LN(2)/25))/(LN(2)/25)*Calculateur!V170*Calculateur!X170*VLOOKUP('Données projet'!$B$9,Paramètres!$A$1:$I$89,3,0)*0.475*44/12</f>
        <v>3.2542688458763065</v>
      </c>
      <c r="AB170" s="23">
        <f>EXP(-LN(2)/2)*AB169+(1-EXP(-LN(2)/2))/(LN(2)/2)*V170*Y170*VLOOKUP('Données projet'!$B$9,Paramètres!$A$1:$I$89,3,0)*0.475*44/12</f>
        <v>1.0515774340859373E-15</v>
      </c>
      <c r="AC170" s="24">
        <f t="shared" si="163"/>
        <v>18.398401584987024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-3.4705882352941178</v>
      </c>
      <c r="AI170" s="14">
        <f>IF('Données projet'!$A$62&gt;35,AI169+AH170-AQ169,IF(A170&lt;'Données projet'!$A$62,$AF$205^A170,IF(A170='Données projet'!$A$62,'Données projet'!$B$62,AI169+AH170-AQ169)))</f>
        <v>227.05882352941163</v>
      </c>
      <c r="AJ170" s="14">
        <f>AI170*VLOOKUP('Données projet'!$B$10,Paramètres!$A$1:$I$89,3,0)*VLOOKUP('Données projet'!$B$10,Paramètres!$A$1:$I$89,5,0)</f>
        <v>205.44282352941164</v>
      </c>
      <c r="AK170" s="14">
        <f t="shared" si="164"/>
        <v>50.938459949962592</v>
      </c>
      <c r="AL170" s="22">
        <f t="shared" si="165"/>
        <v>446.5307353932435</v>
      </c>
      <c r="AM170" s="62">
        <f t="shared" si="113"/>
        <v>739.86406872657676</v>
      </c>
      <c r="AN170" s="62">
        <f ca="1">AVERAGE(OFFSET($AM$3,0,0,'Données projet'!$E$10+1,1))-AVERAGE(OFFSET($H$3,0,0,'Données projet'!$E$10+1,1))</f>
        <v>206.38141226866287</v>
      </c>
      <c r="AO170" s="62">
        <f t="shared" si="144"/>
        <v>89.074420303945885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26.073673160243438</v>
      </c>
      <c r="AV170" s="23">
        <f>EXP(-LN(2)/25)*AV169+(1-EXP(-LN(2)/25))/(LN(2)/25)*Calculateur!AQ170*Calculateur!AS170*VLOOKUP('Données projet'!$B$10,Paramètres!$A$1:$I$89,3,0)*0.475*44/12</f>
        <v>14.807117907828578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40.880791068072014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4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1.738044375088066E-13</v>
      </c>
      <c r="P171" s="14">
        <f t="shared" si="141"/>
        <v>2.4483293633950478E-12</v>
      </c>
      <c r="Q171" s="22">
        <f t="shared" si="162"/>
        <v>4.566883036574213E-12</v>
      </c>
      <c r="R171" s="62">
        <f t="shared" si="109"/>
        <v>293.33333333333786</v>
      </c>
      <c r="S171" s="62">
        <f ca="1">AVERAGE(OFFSET($R$3,0,0,'Données projet'!$E$9+1,1))-AVERAGE(OFFSET($H$3,0,0,'Données projet'!$E$9+1,1))</f>
        <v>234.06296185782384</v>
      </c>
      <c r="T171" s="62">
        <f t="shared" si="142"/>
        <v>300.75555492874378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14.847165533105649</v>
      </c>
      <c r="AA171" s="23">
        <f>EXP(-LN(2)/25)*AA170+(1-EXP(-LN(2)/25))/(LN(2)/25)*Calculateur!V171*Calculateur!X171*VLOOKUP('Données projet'!$B$9,Paramètres!$A$1:$I$89,3,0)*0.475*44/12</f>
        <v>3.1652806931512578</v>
      </c>
      <c r="AB171" s="23">
        <f>EXP(-LN(2)/2)*AB170+(1-EXP(-LN(2)/2))/(LN(2)/2)*V171*Y171*VLOOKUP('Données projet'!$B$9,Paramètres!$A$1:$I$89,3,0)*0.475*44/12</f>
        <v>7.4357753458491598E-16</v>
      </c>
      <c r="AC171" s="24">
        <f t="shared" si="163"/>
        <v>18.012446226256905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>
        <f>VLOOKUP(A171,'Données projet'!$A$61:$I$81,2,0)</f>
        <v>369</v>
      </c>
      <c r="AG171" s="13">
        <f>VLOOKUP(A171,'Données projet'!$A$61:$I$81,9,0)</f>
        <v>-3.4705882352941178</v>
      </c>
      <c r="AH171" s="13">
        <f t="array" ref="AH171">INDEX(AG:AG,MIN(IF(ISNUMBER(AG171:AG367),ROW(AG171:AG367),"")))</f>
        <v>-3.4705882352941178</v>
      </c>
      <c r="AI171" s="14">
        <f>IF('Données projet'!$A$62&gt;35,AI170+AH171-AQ170,IF(A171&lt;'Données projet'!$A$62,$AF$205^A171,IF(A171='Données projet'!$A$62,'Données projet'!$B$62,AI170+AH171-AQ170)))</f>
        <v>223.58823529411751</v>
      </c>
      <c r="AJ171" s="14">
        <f>AI171*VLOOKUP('Données projet'!$B$10,Paramètres!$A$1:$I$89,3,0)*VLOOKUP('Données projet'!$B$10,Paramètres!$A$1:$I$89,5,0)</f>
        <v>202.30263529411752</v>
      </c>
      <c r="AK171" s="14">
        <f t="shared" si="164"/>
        <v>50.249879626168386</v>
      </c>
      <c r="AL171" s="22">
        <f t="shared" si="165"/>
        <v>439.86229681949794</v>
      </c>
      <c r="AM171" s="62">
        <f t="shared" si="113"/>
        <v>733.1956301528312</v>
      </c>
      <c r="AN171" s="62">
        <f ca="1">AVERAGE(OFFSET($AM$3,0,0,'Données projet'!$E$10+1,1))-AVERAGE(OFFSET($H$3,0,0,'Données projet'!$E$10+1,1))</f>
        <v>206.38141226866287</v>
      </c>
      <c r="AO171" s="62">
        <f t="shared" si="144"/>
        <v>89.074420303945885</v>
      </c>
      <c r="AP171" s="16">
        <f>IF(ISNA(VLOOKUP(A171,'Données projet'!$A$61:$I$81,3,0)),0,VLOOKUP(A171,'Données projet'!$A$61:$I$81,3,0))</f>
        <v>15</v>
      </c>
      <c r="AQ171" s="16">
        <f>IF(ISNA(VLOOKUP(A171,'Données projet'!$A$61:$I$81,4,0)),0,VLOOKUP(A171,'Données projet'!$A$61:$I$81,4,0))</f>
        <v>41</v>
      </c>
      <c r="AR171" s="17">
        <f>IF(ISNA(VLOOKUP(A171,'Données projet'!$A$61:$I$81,5,0)),0%,VLOOKUP(A171,'Données projet'!$A$61:$I$81,5,0)*VLOOKUP('Données projet'!$B$10,Paramètres!$A$1:$I$89,7,0))</f>
        <v>0.215</v>
      </c>
      <c r="AS171" s="17">
        <f>IF(ISNA(VLOOKUP(A171,'Données projet'!$A$61:$I$81,6,0)),0%,VLOOKUP(A171,'Données projet'!$A$61:$I$81,6,0)*VLOOKUP('Données projet'!$B$10,Paramètres!$A$1:$I$89,7,0))</f>
        <v>0.17200000000000001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34.37940825166482</v>
      </c>
      <c r="AV171" s="23">
        <f>EXP(-LN(2)/25)*AV170+(1-EXP(-LN(2)/25))/(LN(2)/25)*Calculateur!AQ171*Calculateur!AS171*VLOOKUP('Données projet'!$B$10,Paramètres!$A$1:$I$89,3,0)*0.475*44/12</f>
        <v>21.428062838771275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55.807471090436096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4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1.738044375088066E-13</v>
      </c>
      <c r="P172" s="14">
        <f t="shared" si="141"/>
        <v>2.4483293633950478E-12</v>
      </c>
      <c r="Q172" s="22">
        <f t="shared" si="162"/>
        <v>4.566883036574213E-12</v>
      </c>
      <c r="R172" s="62">
        <f t="shared" si="109"/>
        <v>293.33333333333786</v>
      </c>
      <c r="S172" s="62">
        <f ca="1">AVERAGE(OFFSET($R$3,0,0,'Données projet'!$E$9+1,1))-AVERAGE(OFFSET($H$3,0,0,'Données projet'!$E$9+1,1))</f>
        <v>234.06296185782384</v>
      </c>
      <c r="T172" s="62">
        <f t="shared" si="142"/>
        <v>300.75555492874378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14.556021672878229</v>
      </c>
      <c r="AA172" s="23">
        <f>EXP(-LN(2)/25)*AA171+(1-EXP(-LN(2)/25))/(LN(2)/25)*Calculateur!V172*Calculateur!X172*VLOOKUP('Données projet'!$B$9,Paramètres!$A$1:$I$89,3,0)*0.475*44/12</f>
        <v>3.0787259261421593</v>
      </c>
      <c r="AB172" s="23">
        <f>EXP(-LN(2)/2)*AB171+(1-EXP(-LN(2)/2))/(LN(2)/2)*V172*Y172*VLOOKUP('Données projet'!$B$9,Paramètres!$A$1:$I$89,3,0)*0.475*44/12</f>
        <v>5.2578871704296865E-16</v>
      </c>
      <c r="AC172" s="24">
        <f t="shared" si="163"/>
        <v>17.63474759902039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3.3333333333333335</v>
      </c>
      <c r="AI172" s="14">
        <f>IF('Données projet'!$A$62&gt;35,AI171+AH172-AQ171,IF(A172&lt;'Données projet'!$A$62,$AF$205^A172,IF(A172='Données projet'!$A$62,'Données projet'!$B$62,AI171+AH172-AQ171)))</f>
        <v>185.92156862745085</v>
      </c>
      <c r="AJ172" s="14">
        <f>AI172*VLOOKUP('Données projet'!$B$10,Paramètres!$A$1:$I$89,3,0)*VLOOKUP('Données projet'!$B$10,Paramètres!$A$1:$I$89,5,0)</f>
        <v>168.22183529411754</v>
      </c>
      <c r="AK172" s="14">
        <f t="shared" si="164"/>
        <v>42.69153045558064</v>
      </c>
      <c r="AL172" s="22">
        <f t="shared" si="165"/>
        <v>367.34077868072433</v>
      </c>
      <c r="AM172" s="62">
        <f t="shared" si="113"/>
        <v>660.67411201405764</v>
      </c>
      <c r="AN172" s="62">
        <f ca="1">AVERAGE(OFFSET($AM$3,0,0,'Données projet'!$E$10+1,1))-AVERAGE(OFFSET($H$3,0,0,'Données projet'!$E$10+1,1))</f>
        <v>206.38141226866287</v>
      </c>
      <c r="AO172" s="62">
        <f t="shared" si="144"/>
        <v>89.074420303945885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33.705249025218151</v>
      </c>
      <c r="AV172" s="23">
        <f>EXP(-LN(2)/25)*AV171+(1-EXP(-LN(2)/25))/(LN(2)/25)*Calculateur!AQ172*Calculateur!AS172*VLOOKUP('Données projet'!$B$10,Paramètres!$A$1:$I$89,3,0)*0.475*44/12</f>
        <v>20.842111333592225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54.54736035881038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4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1.738044375088066E-13</v>
      </c>
      <c r="P173" s="14">
        <f t="shared" si="141"/>
        <v>2.4483293633950478E-12</v>
      </c>
      <c r="Q173" s="22">
        <f t="shared" si="162"/>
        <v>4.566883036574213E-12</v>
      </c>
      <c r="R173" s="62">
        <f t="shared" si="109"/>
        <v>293.33333333333786</v>
      </c>
      <c r="S173" s="62">
        <f ca="1">AVERAGE(OFFSET($R$3,0,0,'Données projet'!$E$9+1,1))-AVERAGE(OFFSET($H$3,0,0,'Données projet'!$E$9+1,1))</f>
        <v>234.06296185782384</v>
      </c>
      <c r="T173" s="62">
        <f t="shared" si="142"/>
        <v>300.75555492874378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14.270586966169649</v>
      </c>
      <c r="AA173" s="23">
        <f>EXP(-LN(2)/25)*AA172+(1-EXP(-LN(2)/25))/(LN(2)/25)*Calculateur!V173*Calculateur!X173*VLOOKUP('Données projet'!$B$9,Paramètres!$A$1:$I$89,3,0)*0.475*44/12</f>
        <v>2.9945380037886422</v>
      </c>
      <c r="AB173" s="23">
        <f>EXP(-LN(2)/2)*AB172+(1-EXP(-LN(2)/2))/(LN(2)/2)*V173*Y173*VLOOKUP('Données projet'!$B$9,Paramètres!$A$1:$I$89,3,0)*0.475*44/12</f>
        <v>3.7178876729245799E-16</v>
      </c>
      <c r="AC173" s="24">
        <f t="shared" si="163"/>
        <v>17.26512496995829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3.3333333333333335</v>
      </c>
      <c r="AI173" s="14">
        <f>IF('Données projet'!$A$62&gt;35,AI172+AH173-AQ172,IF(A173&lt;'Données projet'!$A$62,$AF$205^A173,IF(A173='Données projet'!$A$62,'Données projet'!$B$62,AI172+AH173-AQ172)))</f>
        <v>189.2549019607842</v>
      </c>
      <c r="AJ173" s="14">
        <f>AI173*VLOOKUP('Données projet'!$B$10,Paramètres!$A$1:$I$89,3,0)*VLOOKUP('Données projet'!$B$10,Paramètres!$A$1:$I$89,5,0)</f>
        <v>171.23783529411753</v>
      </c>
      <c r="AK173" s="14">
        <f t="shared" si="164"/>
        <v>43.367140345686025</v>
      </c>
      <c r="AL173" s="22">
        <f t="shared" si="165"/>
        <v>373.77033257265788</v>
      </c>
      <c r="AM173" s="62">
        <f t="shared" si="113"/>
        <v>667.10366590599119</v>
      </c>
      <c r="AN173" s="62">
        <f ca="1">AVERAGE(OFFSET($AM$3,0,0,'Données projet'!$E$10+1,1))-AVERAGE(OFFSET($H$3,0,0,'Données projet'!$E$10+1,1))</f>
        <v>206.38141226866287</v>
      </c>
      <c r="AO173" s="62">
        <f t="shared" si="144"/>
        <v>89.074420303945885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33.04430965000558</v>
      </c>
      <c r="AV173" s="23">
        <f>EXP(-LN(2)/25)*AV172+(1-EXP(-LN(2)/25))/(LN(2)/25)*Calculateur!AQ173*Calculateur!AS173*VLOOKUP('Données projet'!$B$10,Paramètres!$A$1:$I$89,3,0)*0.475*44/12</f>
        <v>20.272182703136146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53.316492353141726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4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1.738044375088066E-13</v>
      </c>
      <c r="P174" s="14">
        <f t="shared" si="141"/>
        <v>2.4483293633950478E-12</v>
      </c>
      <c r="Q174" s="22">
        <f t="shared" si="162"/>
        <v>4.566883036574213E-12</v>
      </c>
      <c r="R174" s="62">
        <f t="shared" si="109"/>
        <v>293.33333333333786</v>
      </c>
      <c r="S174" s="62">
        <f ca="1">AVERAGE(OFFSET($R$3,0,0,'Données projet'!$E$9+1,1))-AVERAGE(OFFSET($H$3,0,0,'Données projet'!$E$9+1,1))</f>
        <v>234.06296185782384</v>
      </c>
      <c r="T174" s="62">
        <f t="shared" si="142"/>
        <v>300.75555492874378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13.990749459961643</v>
      </c>
      <c r="AA174" s="23">
        <f>EXP(-LN(2)/25)*AA173+(1-EXP(-LN(2)/25))/(LN(2)/25)*Calculateur!V174*Calculateur!X174*VLOOKUP('Données projet'!$B$9,Paramètres!$A$1:$I$89,3,0)*0.475*44/12</f>
        <v>2.9126522045991323</v>
      </c>
      <c r="AB174" s="23">
        <f>EXP(-LN(2)/2)*AB173+(1-EXP(-LN(2)/2))/(LN(2)/2)*V174*Y174*VLOOKUP('Données projet'!$B$9,Paramètres!$A$1:$I$89,3,0)*0.475*44/12</f>
        <v>2.6289435852148432E-16</v>
      </c>
      <c r="AC174" s="24">
        <f t="shared" si="163"/>
        <v>16.903401664560775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3.3333333333333335</v>
      </c>
      <c r="AI174" s="14">
        <f>IF('Données projet'!$A$62&gt;35,AI173+AH174-AQ173,IF(A174&lt;'Données projet'!$A$62,$AF$205^A174,IF(A174='Données projet'!$A$62,'Données projet'!$B$62,AI173+AH174-AQ173)))</f>
        <v>192.58823529411754</v>
      </c>
      <c r="AJ174" s="14">
        <f>AI174*VLOOKUP('Données projet'!$B$10,Paramètres!$A$1:$I$89,3,0)*VLOOKUP('Données projet'!$B$10,Paramètres!$A$1:$I$89,5,0)</f>
        <v>174.25383529411755</v>
      </c>
      <c r="AK174" s="14">
        <f t="shared" si="164"/>
        <v>44.041366480741843</v>
      </c>
      <c r="AL174" s="22">
        <f t="shared" si="165"/>
        <v>380.19747642454672</v>
      </c>
      <c r="AM174" s="62">
        <f t="shared" si="113"/>
        <v>673.53080975787998</v>
      </c>
      <c r="AN174" s="62">
        <f ca="1">AVERAGE(OFFSET($AM$3,0,0,'Données projet'!$E$10+1,1))-AVERAGE(OFFSET($H$3,0,0,'Données projet'!$E$10+1,1))</f>
        <v>206.38141226866287</v>
      </c>
      <c r="AO174" s="62">
        <f t="shared" si="144"/>
        <v>89.074420303945885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32.396330892807711</v>
      </c>
      <c r="AV174" s="23">
        <f>EXP(-LN(2)/25)*AV173+(1-EXP(-LN(2)/25))/(LN(2)/25)*Calculateur!AQ174*Calculateur!AS174*VLOOKUP('Données projet'!$B$10,Paramètres!$A$1:$I$89,3,0)*0.475*44/12</f>
        <v>19.717838801051133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52.114169693858841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4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1.738044375088066E-13</v>
      </c>
      <c r="P175" s="14">
        <f t="shared" si="141"/>
        <v>2.4483293633950478E-12</v>
      </c>
      <c r="Q175" s="22">
        <f t="shared" si="162"/>
        <v>4.566883036574213E-12</v>
      </c>
      <c r="R175" s="62">
        <f t="shared" si="109"/>
        <v>293.33333333333786</v>
      </c>
      <c r="S175" s="62">
        <f ca="1">AVERAGE(OFFSET($R$3,0,0,'Données projet'!$E$9+1,1))-AVERAGE(OFFSET($H$3,0,0,'Données projet'!$E$9+1,1))</f>
        <v>234.06296185782384</v>
      </c>
      <c r="T175" s="62">
        <f t="shared" si="142"/>
        <v>300.75555492874378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13.71639939656635</v>
      </c>
      <c r="AA175" s="23">
        <f>EXP(-LN(2)/25)*AA174+(1-EXP(-LN(2)/25))/(LN(2)/25)*Calculateur!V175*Calculateur!X175*VLOOKUP('Données projet'!$B$9,Paramètres!$A$1:$I$89,3,0)*0.475*44/12</f>
        <v>2.8330055768946467</v>
      </c>
      <c r="AB175" s="23">
        <f>EXP(-LN(2)/2)*AB174+(1-EXP(-LN(2)/2))/(LN(2)/2)*V175*Y175*VLOOKUP('Données projet'!$B$9,Paramètres!$A$1:$I$89,3,0)*0.475*44/12</f>
        <v>1.85894383646229E-16</v>
      </c>
      <c r="AC175" s="24">
        <f t="shared" si="163"/>
        <v>16.549404973460998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3.3333333333333335</v>
      </c>
      <c r="AI175" s="14">
        <f>IF('Données projet'!$A$62&gt;35,AI174+AH175-AQ174,IF(A175&lt;'Données projet'!$A$62,$AF$205^A175,IF(A175='Données projet'!$A$62,'Données projet'!$B$62,AI174+AH175-AQ174)))</f>
        <v>195.92156862745088</v>
      </c>
      <c r="AJ175" s="14">
        <f>AI175*VLOOKUP('Données projet'!$B$10,Paramètres!$A$1:$I$89,3,0)*VLOOKUP('Données projet'!$B$10,Paramètres!$A$1:$I$89,5,0)</f>
        <v>177.26983529411754</v>
      </c>
      <c r="AK175" s="14">
        <f t="shared" si="164"/>
        <v>44.714235574466507</v>
      </c>
      <c r="AL175" s="22">
        <f t="shared" si="165"/>
        <v>386.62225676278382</v>
      </c>
      <c r="AM175" s="62">
        <f t="shared" si="113"/>
        <v>679.95559009611713</v>
      </c>
      <c r="AN175" s="62">
        <f ca="1">AVERAGE(OFFSET($AM$3,0,0,'Données projet'!$E$10+1,1))-AVERAGE(OFFSET($H$3,0,0,'Données projet'!$E$10+1,1))</f>
        <v>206.38141226866287</v>
      </c>
      <c r="AO175" s="62">
        <f t="shared" si="144"/>
        <v>89.074420303945885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31.761058603810476</v>
      </c>
      <c r="AV175" s="23">
        <f>EXP(-LN(2)/25)*AV174+(1-EXP(-LN(2)/25))/(LN(2)/25)*Calculateur!AQ175*Calculateur!AS175*VLOOKUP('Données projet'!$B$10,Paramètres!$A$1:$I$89,3,0)*0.475*44/12</f>
        <v>19.178653462120312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50.939712065930792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4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1.738044375088066E-13</v>
      </c>
      <c r="P176" s="14">
        <f t="shared" si="141"/>
        <v>2.4483293633950478E-12</v>
      </c>
      <c r="Q176" s="22">
        <f t="shared" si="162"/>
        <v>4.566883036574213E-12</v>
      </c>
      <c r="R176" s="62">
        <f t="shared" si="109"/>
        <v>293.33333333333786</v>
      </c>
      <c r="S176" s="62">
        <f ca="1">AVERAGE(OFFSET($R$3,0,0,'Données projet'!$E$9+1,1))-AVERAGE(OFFSET($H$3,0,0,'Données projet'!$E$9+1,1))</f>
        <v>234.06296185782384</v>
      </c>
      <c r="T176" s="62">
        <f t="shared" si="142"/>
        <v>300.75555492874378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13.447429170577225</v>
      </c>
      <c r="AA176" s="23">
        <f>EXP(-LN(2)/25)*AA175+(1-EXP(-LN(2)/25))/(LN(2)/25)*Calculateur!V176*Calculateur!X176*VLOOKUP('Données projet'!$B$9,Paramètres!$A$1:$I$89,3,0)*0.475*44/12</f>
        <v>2.7555368904131741</v>
      </c>
      <c r="AB176" s="23">
        <f>EXP(-LN(2)/2)*AB175+(1-EXP(-LN(2)/2))/(LN(2)/2)*V176*Y176*VLOOKUP('Données projet'!$B$9,Paramètres!$A$1:$I$89,3,0)*0.475*44/12</f>
        <v>1.3144717926074216E-16</v>
      </c>
      <c r="AC176" s="24">
        <f t="shared" si="163"/>
        <v>16.202966060990398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3.3333333333333335</v>
      </c>
      <c r="AI176" s="14">
        <f>IF('Données projet'!$A$62&gt;35,AI175+AH176-AQ175,IF(A176&lt;'Données projet'!$A$62,$AF$205^A176,IF(A176='Données projet'!$A$62,'Données projet'!$B$62,AI175+AH176-AQ175)))</f>
        <v>199.25490196078422</v>
      </c>
      <c r="AJ176" s="14">
        <f>AI176*VLOOKUP('Données projet'!$B$10,Paramètres!$A$1:$I$89,3,0)*VLOOKUP('Données projet'!$B$10,Paramètres!$A$1:$I$89,5,0)</f>
        <v>180.28583529411756</v>
      </c>
      <c r="AK176" s="14">
        <f t="shared" si="164"/>
        <v>45.385773379494488</v>
      </c>
      <c r="AL176" s="22">
        <f t="shared" si="165"/>
        <v>393.04471843987426</v>
      </c>
      <c r="AM176" s="62">
        <f t="shared" si="113"/>
        <v>686.37805177320752</v>
      </c>
      <c r="AN176" s="62">
        <f ca="1">AVERAGE(OFFSET($AM$3,0,0,'Données projet'!$E$10+1,1))-AVERAGE(OFFSET($H$3,0,0,'Données projet'!$E$10+1,1))</f>
        <v>206.38141226866287</v>
      </c>
      <c r="AO176" s="62">
        <f t="shared" si="144"/>
        <v>89.074420303945885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31.13824361692264</v>
      </c>
      <c r="AV176" s="23">
        <f>EXP(-LN(2)/25)*AV175+(1-EXP(-LN(2)/25))/(LN(2)/25)*Calculateur!AQ176*Calculateur!AS176*VLOOKUP('Données projet'!$B$10,Paramètres!$A$1:$I$89,3,0)*0.475*44/12</f>
        <v>18.654212174637081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49.792455791559718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4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1.738044375088066E-13</v>
      </c>
      <c r="P177" s="14">
        <f t="shared" si="141"/>
        <v>2.4483293633950478E-12</v>
      </c>
      <c r="Q177" s="22">
        <f t="shared" si="162"/>
        <v>4.566883036574213E-12</v>
      </c>
      <c r="R177" s="62">
        <f t="shared" si="109"/>
        <v>293.33333333333786</v>
      </c>
      <c r="S177" s="62">
        <f ca="1">AVERAGE(OFFSET($R$3,0,0,'Données projet'!$E$9+1,1))-AVERAGE(OFFSET($H$3,0,0,'Données projet'!$E$9+1,1))</f>
        <v>234.06296185782384</v>
      </c>
      <c r="T177" s="62">
        <f t="shared" si="142"/>
        <v>300.75555492874378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13.183733286664108</v>
      </c>
      <c r="AA177" s="23">
        <f>EXP(-LN(2)/25)*AA176+(1-EXP(-LN(2)/25))/(LN(2)/25)*Calculateur!V177*Calculateur!X177*VLOOKUP('Données projet'!$B$9,Paramètres!$A$1:$I$89,3,0)*0.475*44/12</f>
        <v>2.6801865892374388</v>
      </c>
      <c r="AB177" s="23">
        <f>EXP(-LN(2)/2)*AB176+(1-EXP(-LN(2)/2))/(LN(2)/2)*V177*Y177*VLOOKUP('Données projet'!$B$9,Paramètres!$A$1:$I$89,3,0)*0.475*44/12</f>
        <v>9.2947191823114498E-17</v>
      </c>
      <c r="AC177" s="24">
        <f t="shared" si="163"/>
        <v>15.863919875901546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3.3333333333333335</v>
      </c>
      <c r="AI177" s="14">
        <f>IF('Données projet'!$A$62&gt;35,AI176+AH177-AQ176,IF(A177&lt;'Données projet'!$A$62,$AF$205^A177,IF(A177='Données projet'!$A$62,'Données projet'!$B$62,AI176+AH177-AQ176)))</f>
        <v>202.58823529411757</v>
      </c>
      <c r="AJ177" s="14">
        <f>AI177*VLOOKUP('Données projet'!$B$10,Paramètres!$A$1:$I$89,3,0)*VLOOKUP('Données projet'!$B$10,Paramètres!$A$1:$I$89,5,0)</f>
        <v>183.30183529411755</v>
      </c>
      <c r="AK177" s="14">
        <f t="shared" si="164"/>
        <v>46.056004737442407</v>
      </c>
      <c r="AL177" s="22">
        <f t="shared" si="165"/>
        <v>399.46490472163356</v>
      </c>
      <c r="AM177" s="62">
        <f t="shared" si="113"/>
        <v>692.79823805496687</v>
      </c>
      <c r="AN177" s="62">
        <f ca="1">AVERAGE(OFFSET($AM$3,0,0,'Données projet'!$E$10+1,1))-AVERAGE(OFFSET($H$3,0,0,'Données projet'!$E$10+1,1))</f>
        <v>206.38141226866287</v>
      </c>
      <c r="AO177" s="62">
        <f t="shared" si="144"/>
        <v>89.074420303945885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30.527641652048043</v>
      </c>
      <c r="AV177" s="23">
        <f>EXP(-LN(2)/25)*AV176+(1-EXP(-LN(2)/25))/(LN(2)/25)*Calculateur!AQ177*Calculateur!AS177*VLOOKUP('Données projet'!$B$10,Paramètres!$A$1:$I$89,3,0)*0.475*44/12</f>
        <v>18.144111761739246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48.671753413787286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4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1.738044375088066E-13</v>
      </c>
      <c r="P178" s="14">
        <f t="shared" si="141"/>
        <v>2.4483293633950478E-12</v>
      </c>
      <c r="Q178" s="22">
        <f t="shared" si="162"/>
        <v>4.566883036574213E-12</v>
      </c>
      <c r="R178" s="62">
        <f t="shared" si="109"/>
        <v>293.33333333333786</v>
      </c>
      <c r="S178" s="62">
        <f ca="1">AVERAGE(OFFSET($R$3,0,0,'Données projet'!$E$9+1,1))-AVERAGE(OFFSET($H$3,0,0,'Données projet'!$E$9+1,1))</f>
        <v>234.06296185782384</v>
      </c>
      <c r="T178" s="62">
        <f t="shared" si="142"/>
        <v>300.75555492874378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12.925208318195919</v>
      </c>
      <c r="AA178" s="23">
        <f>EXP(-LN(2)/25)*AA177+(1-EXP(-LN(2)/25))/(LN(2)/25)*Calculateur!V178*Calculateur!X178*VLOOKUP('Données projet'!$B$9,Paramètres!$A$1:$I$89,3,0)*0.475*44/12</f>
        <v>2.6068967460098538</v>
      </c>
      <c r="AB178" s="23">
        <f>EXP(-LN(2)/2)*AB177+(1-EXP(-LN(2)/2))/(LN(2)/2)*V178*Y178*VLOOKUP('Données projet'!$B$9,Paramètres!$A$1:$I$89,3,0)*0.475*44/12</f>
        <v>6.5723589630371081E-17</v>
      </c>
      <c r="AC178" s="24">
        <f t="shared" si="163"/>
        <v>15.532105064205773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3.3333333333333335</v>
      </c>
      <c r="AI178" s="14">
        <f>IF('Données projet'!$A$62&gt;35,AI177+AH178-AQ177,IF(A178&lt;'Données projet'!$A$62,$AF$205^A178,IF(A178='Données projet'!$A$62,'Données projet'!$B$62,AI177+AH178-AQ177)))</f>
        <v>205.92156862745091</v>
      </c>
      <c r="AJ178" s="14">
        <f>AI178*VLOOKUP('Données projet'!$B$10,Paramètres!$A$1:$I$89,3,0)*VLOOKUP('Données projet'!$B$10,Paramètres!$A$1:$I$89,5,0)</f>
        <v>186.31783529411757</v>
      </c>
      <c r="AK178" s="14">
        <f t="shared" si="164"/>
        <v>46.724953625586231</v>
      </c>
      <c r="AL178" s="22">
        <f t="shared" si="165"/>
        <v>405.88285736848411</v>
      </c>
      <c r="AM178" s="62">
        <f t="shared" si="113"/>
        <v>699.21619070181737</v>
      </c>
      <c r="AN178" s="62">
        <f ca="1">AVERAGE(OFFSET($AM$3,0,0,'Données projet'!$E$10+1,1))-AVERAGE(OFFSET($H$3,0,0,'Données projet'!$E$10+1,1))</f>
        <v>206.38141226866287</v>
      </c>
      <c r="AO178" s="62">
        <f t="shared" si="144"/>
        <v>89.074420303945885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29.929013219274214</v>
      </c>
      <c r="AV178" s="23">
        <f>EXP(-LN(2)/25)*AV177+(1-EXP(-LN(2)/25))/(LN(2)/25)*Calculateur!AQ178*Calculateur!AS178*VLOOKUP('Données projet'!$B$10,Paramètres!$A$1:$I$89,3,0)*0.475*44/12</f>
        <v>17.647960071457117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47.576973290731331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4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1.738044375088066E-13</v>
      </c>
      <c r="P179" s="14">
        <f t="shared" si="141"/>
        <v>2.4483293633950478E-12</v>
      </c>
      <c r="Q179" s="22">
        <f t="shared" si="162"/>
        <v>4.566883036574213E-12</v>
      </c>
      <c r="R179" s="62">
        <f t="shared" si="109"/>
        <v>293.33333333333786</v>
      </c>
      <c r="S179" s="62">
        <f ca="1">AVERAGE(OFFSET($R$3,0,0,'Données projet'!$E$9+1,1))-AVERAGE(OFFSET($H$3,0,0,'Données projet'!$E$9+1,1))</f>
        <v>234.06296185782384</v>
      </c>
      <c r="T179" s="62">
        <f t="shared" si="142"/>
        <v>300.75555492874378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12.67175286667473</v>
      </c>
      <c r="AA179" s="23">
        <f>EXP(-LN(2)/25)*AA178+(1-EXP(-LN(2)/25))/(LN(2)/25)*Calculateur!V179*Calculateur!X179*VLOOKUP('Données projet'!$B$9,Paramètres!$A$1:$I$89,3,0)*0.475*44/12</f>
        <v>2.5356110173994728</v>
      </c>
      <c r="AB179" s="23">
        <f>EXP(-LN(2)/2)*AB178+(1-EXP(-LN(2)/2))/(LN(2)/2)*V179*Y179*VLOOKUP('Données projet'!$B$9,Paramètres!$A$1:$I$89,3,0)*0.475*44/12</f>
        <v>4.6473595911557249E-17</v>
      </c>
      <c r="AC179" s="24">
        <f t="shared" si="163"/>
        <v>15.207363884074203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3.3333333333333335</v>
      </c>
      <c r="AI179" s="14">
        <f>IF('Données projet'!$A$62&gt;35,AI178+AH179-AQ178,IF(A179&lt;'Données projet'!$A$62,$AF$205^A179,IF(A179='Données projet'!$A$62,'Données projet'!$B$62,AI178+AH179-AQ178)))</f>
        <v>209.25490196078425</v>
      </c>
      <c r="AJ179" s="14">
        <f>AI179*VLOOKUP('Données projet'!$B$10,Paramètres!$A$1:$I$89,3,0)*VLOOKUP('Données projet'!$B$10,Paramètres!$A$1:$I$89,5,0)</f>
        <v>189.33383529411756</v>
      </c>
      <c r="AK179" s="14">
        <f t="shared" si="164"/>
        <v>47.392643200430875</v>
      </c>
      <c r="AL179" s="22">
        <f t="shared" si="165"/>
        <v>412.29861671133852</v>
      </c>
      <c r="AM179" s="62">
        <f t="shared" si="113"/>
        <v>705.63195004467184</v>
      </c>
      <c r="AN179" s="62">
        <f ca="1">AVERAGE(OFFSET($AM$3,0,0,'Données projet'!$E$10+1,1))-AVERAGE(OFFSET($H$3,0,0,'Données projet'!$E$10+1,1))</f>
        <v>206.38141226866287</v>
      </c>
      <c r="AO179" s="62">
        <f t="shared" si="144"/>
        <v>89.074420303945885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29.34212352493979</v>
      </c>
      <c r="AV179" s="23">
        <f>EXP(-LN(2)/25)*AV178+(1-EXP(-LN(2)/25))/(LN(2)/25)*Calculateur!AQ179*Calculateur!AS179*VLOOKUP('Données projet'!$B$10,Paramètres!$A$1:$I$89,3,0)*0.475*44/12</f>
        <v>17.165375675237236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46.507499200177023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4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1.738044375088066E-13</v>
      </c>
      <c r="P180" s="14">
        <f t="shared" si="141"/>
        <v>2.4483293633950478E-12</v>
      </c>
      <c r="Q180" s="22">
        <f t="shared" si="162"/>
        <v>4.566883036574213E-12</v>
      </c>
      <c r="R180" s="62">
        <f t="shared" si="109"/>
        <v>293.33333333333786</v>
      </c>
      <c r="S180" s="62">
        <f ca="1">AVERAGE(OFFSET($R$3,0,0,'Données projet'!$E$9+1,1))-AVERAGE(OFFSET($H$3,0,0,'Données projet'!$E$9+1,1))</f>
        <v>234.06296185782384</v>
      </c>
      <c r="T180" s="62">
        <f t="shared" si="142"/>
        <v>300.75555492874378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12.423267521965311</v>
      </c>
      <c r="AA180" s="23">
        <f>EXP(-LN(2)/25)*AA179+(1-EXP(-LN(2)/25))/(LN(2)/25)*Calculateur!V180*Calculateur!X180*VLOOKUP('Données projet'!$B$9,Paramètres!$A$1:$I$89,3,0)*0.475*44/12</f>
        <v>2.4662746007866962</v>
      </c>
      <c r="AB180" s="23">
        <f>EXP(-LN(2)/2)*AB179+(1-EXP(-LN(2)/2))/(LN(2)/2)*V180*Y180*VLOOKUP('Données projet'!$B$9,Paramètres!$A$1:$I$89,3,0)*0.475*44/12</f>
        <v>3.286179481518554E-17</v>
      </c>
      <c r="AC180" s="24">
        <f t="shared" si="163"/>
        <v>14.889542122752008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3.3333333333333335</v>
      </c>
      <c r="AI180" s="14">
        <f>IF('Données projet'!$A$62&gt;35,AI179+AH180-AQ179,IF(A180&lt;'Données projet'!$A$62,$AF$205^A180,IF(A180='Données projet'!$A$62,'Données projet'!$B$62,AI179+AH180-AQ179)))</f>
        <v>212.5882352941176</v>
      </c>
      <c r="AJ180" s="14">
        <f>AI180*VLOOKUP('Données projet'!$B$10,Paramètres!$A$1:$I$89,3,0)*VLOOKUP('Données projet'!$B$10,Paramètres!$A$1:$I$89,5,0)</f>
        <v>192.34983529411761</v>
      </c>
      <c r="AK180" s="14">
        <f t="shared" si="164"/>
        <v>48.059095838424433</v>
      </c>
      <c r="AL180" s="22">
        <f t="shared" si="165"/>
        <v>418.71222172251072</v>
      </c>
      <c r="AM180" s="62">
        <f t="shared" si="113"/>
        <v>712.04555505584403</v>
      </c>
      <c r="AN180" s="62">
        <f ca="1">AVERAGE(OFFSET($AM$3,0,0,'Données projet'!$E$10+1,1))-AVERAGE(OFFSET($H$3,0,0,'Données projet'!$E$10+1,1))</f>
        <v>206.38141226866287</v>
      </c>
      <c r="AO180" s="62">
        <f t="shared" si="144"/>
        <v>89.074420303945885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28.766742379543896</v>
      </c>
      <c r="AV180" s="23">
        <f>EXP(-LN(2)/25)*AV179+(1-EXP(-LN(2)/25))/(LN(2)/25)*Calculateur!AQ180*Calculateur!AS180*VLOOKUP('Données projet'!$B$10,Paramètres!$A$1:$I$89,3,0)*0.475*44/12</f>
        <v>16.695987574709999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45.462729954253895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4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1.738044375088066E-13</v>
      </c>
      <c r="P181" s="14">
        <f t="shared" si="141"/>
        <v>2.4483293633950478E-12</v>
      </c>
      <c r="Q181" s="22">
        <f t="shared" si="162"/>
        <v>4.566883036574213E-12</v>
      </c>
      <c r="R181" s="62">
        <f t="shared" si="109"/>
        <v>293.33333333333786</v>
      </c>
      <c r="S181" s="62">
        <f ca="1">AVERAGE(OFFSET($R$3,0,0,'Données projet'!$E$9+1,1))-AVERAGE(OFFSET($H$3,0,0,'Données projet'!$E$9+1,1))</f>
        <v>234.06296185782384</v>
      </c>
      <c r="T181" s="62">
        <f t="shared" si="142"/>
        <v>300.75555492874378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12.179654823304549</v>
      </c>
      <c r="AA181" s="23">
        <f>EXP(-LN(2)/25)*AA180+(1-EXP(-LN(2)/25))/(LN(2)/25)*Calculateur!V181*Calculateur!X181*VLOOKUP('Données projet'!$B$9,Paramètres!$A$1:$I$89,3,0)*0.475*44/12</f>
        <v>2.3988341921324396</v>
      </c>
      <c r="AB181" s="23">
        <f>EXP(-LN(2)/2)*AB180+(1-EXP(-LN(2)/2))/(LN(2)/2)*V181*Y181*VLOOKUP('Données projet'!$B$9,Paramètres!$A$1:$I$89,3,0)*0.475*44/12</f>
        <v>2.3236797955778624E-17</v>
      </c>
      <c r="AC181" s="24">
        <f t="shared" si="163"/>
        <v>14.57848901543699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3.3333333333333335</v>
      </c>
      <c r="AI181" s="14">
        <f>IF('Données projet'!$A$62&gt;35,AI180+AH181-AQ180,IF(A181&lt;'Données projet'!$A$62,$AF$205^A181,IF(A181='Données projet'!$A$62,'Données projet'!$B$62,AI180+AH181-AQ180)))</f>
        <v>215.92156862745094</v>
      </c>
      <c r="AJ181" s="14">
        <f>AI181*VLOOKUP('Données projet'!$B$10,Paramètres!$A$1:$I$89,3,0)*VLOOKUP('Données projet'!$B$10,Paramètres!$A$1:$I$89,5,0)</f>
        <v>195.3658352941176</v>
      </c>
      <c r="AK181" s="14">
        <f t="shared" si="164"/>
        <v>48.724333174046819</v>
      </c>
      <c r="AL181" s="22">
        <f t="shared" si="165"/>
        <v>425.12371008205304</v>
      </c>
      <c r="AM181" s="62">
        <f t="shared" si="113"/>
        <v>718.45704341538635</v>
      </c>
      <c r="AN181" s="62">
        <f ca="1">AVERAGE(OFFSET($AM$3,0,0,'Données projet'!$E$10+1,1))-AVERAGE(OFFSET($H$3,0,0,'Données projet'!$E$10+1,1))</f>
        <v>206.38141226866287</v>
      </c>
      <c r="AO181" s="62">
        <f t="shared" si="144"/>
        <v>89.074420303945885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28.202644107461371</v>
      </c>
      <c r="AV181" s="23">
        <f>EXP(-LN(2)/25)*AV180+(1-EXP(-LN(2)/25))/(LN(2)/25)*Calculateur!AQ181*Calculateur!AS181*VLOOKUP('Données projet'!$B$10,Paramètres!$A$1:$I$89,3,0)*0.475*44/12</f>
        <v>16.239434916475727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44.442079023937097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4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1.738044375088066E-13</v>
      </c>
      <c r="P182" s="14">
        <f t="shared" si="141"/>
        <v>2.4483293633950478E-12</v>
      </c>
      <c r="Q182" s="22">
        <f t="shared" si="162"/>
        <v>4.566883036574213E-12</v>
      </c>
      <c r="R182" s="62">
        <f t="shared" si="109"/>
        <v>293.33333333333786</v>
      </c>
      <c r="S182" s="62">
        <f ca="1">AVERAGE(OFFSET($R$3,0,0,'Données projet'!$E$9+1,1))-AVERAGE(OFFSET($H$3,0,0,'Données projet'!$E$9+1,1))</f>
        <v>234.06296185782384</v>
      </c>
      <c r="T182" s="62">
        <f t="shared" si="142"/>
        <v>300.75555492874378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11.940819221075451</v>
      </c>
      <c r="AA182" s="23">
        <f>EXP(-LN(2)/25)*AA181+(1-EXP(-LN(2)/25))/(LN(2)/25)*Calculateur!V182*Calculateur!X182*VLOOKUP('Données projet'!$B$9,Paramètres!$A$1:$I$89,3,0)*0.475*44/12</f>
        <v>2.3332379449993703</v>
      </c>
      <c r="AB182" s="23">
        <f>EXP(-LN(2)/2)*AB181+(1-EXP(-LN(2)/2))/(LN(2)/2)*V182*Y182*VLOOKUP('Données projet'!$B$9,Paramètres!$A$1:$I$89,3,0)*0.475*44/12</f>
        <v>1.643089740759277E-17</v>
      </c>
      <c r="AC182" s="24">
        <f t="shared" si="163"/>
        <v>14.274057166074821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3.3333333333333335</v>
      </c>
      <c r="AI182" s="14">
        <f>IF('Données projet'!$A$62&gt;35,AI181+AH182-AQ181,IF(A182&lt;'Données projet'!$A$62,$AF$205^A182,IF(A182='Données projet'!$A$62,'Données projet'!$B$62,AI181+AH182-AQ181)))</f>
        <v>219.25490196078428</v>
      </c>
      <c r="AJ182" s="14">
        <f>AI182*VLOOKUP('Données projet'!$B$10,Paramètres!$A$1:$I$89,3,0)*VLOOKUP('Données projet'!$B$10,Paramètres!$A$1:$I$89,5,0)</f>
        <v>198.38183529411762</v>
      </c>
      <c r="AK182" s="14">
        <f t="shared" si="164"/>
        <v>49.388376135479355</v>
      </c>
      <c r="AL182" s="22">
        <f t="shared" si="165"/>
        <v>431.53311823988139</v>
      </c>
      <c r="AM182" s="62">
        <f t="shared" si="113"/>
        <v>724.8664515732147</v>
      </c>
      <c r="AN182" s="62">
        <f ca="1">AVERAGE(OFFSET($AM$3,0,0,'Données projet'!$E$10+1,1))-AVERAGE(OFFSET($H$3,0,0,'Données projet'!$E$10+1,1))</f>
        <v>206.38141226866287</v>
      </c>
      <c r="AO182" s="62">
        <f t="shared" si="144"/>
        <v>89.074420303945885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27.64960745842841</v>
      </c>
      <c r="AV182" s="23">
        <f>EXP(-LN(2)/25)*AV181+(1-EXP(-LN(2)/25))/(LN(2)/25)*Calculateur!AQ182*Calculateur!AS182*VLOOKUP('Données projet'!$B$10,Paramètres!$A$1:$I$89,3,0)*0.475*44/12</f>
        <v>15.795366714689932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43.444974173118339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4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1.738044375088066E-13</v>
      </c>
      <c r="P183" s="14">
        <f t="shared" si="141"/>
        <v>2.4483293633950478E-12</v>
      </c>
      <c r="Q183" s="22">
        <f t="shared" si="162"/>
        <v>4.566883036574213E-12</v>
      </c>
      <c r="R183" s="62">
        <f t="shared" si="109"/>
        <v>293.33333333333786</v>
      </c>
      <c r="S183" s="62">
        <f ca="1">AVERAGE(OFFSET($R$3,0,0,'Données projet'!$E$9+1,1))-AVERAGE(OFFSET($H$3,0,0,'Données projet'!$E$9+1,1))</f>
        <v>234.06296185782384</v>
      </c>
      <c r="T183" s="62">
        <f t="shared" si="142"/>
        <v>300.75555492874378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11.706667039330732</v>
      </c>
      <c r="AA183" s="23">
        <f>EXP(-LN(2)/25)*AA182+(1-EXP(-LN(2)/25))/(LN(2)/25)*Calculateur!V183*Calculateur!X183*VLOOKUP('Données projet'!$B$9,Paramètres!$A$1:$I$89,3,0)*0.475*44/12</f>
        <v>2.2694354306937119</v>
      </c>
      <c r="AB183" s="23">
        <f>EXP(-LN(2)/2)*AB182+(1-EXP(-LN(2)/2))/(LN(2)/2)*V183*Y183*VLOOKUP('Données projet'!$B$9,Paramètres!$A$1:$I$89,3,0)*0.475*44/12</f>
        <v>1.1618398977889312E-17</v>
      </c>
      <c r="AC183" s="24">
        <f t="shared" si="163"/>
        <v>13.976102470024443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>
        <f>VLOOKUP(A183,'Données projet'!$A$61:$I$81,2,0)</f>
        <v>368</v>
      </c>
      <c r="AG183" s="13">
        <f>VLOOKUP(A183,'Données projet'!$A$61:$I$81,9,0)</f>
        <v>3.3333333333333335</v>
      </c>
      <c r="AH183" s="13">
        <f t="array" ref="AH183">INDEX(AG:AG,MIN(IF(ISNUMBER(AG183:AG379),ROW(AG183:AG379),"")))</f>
        <v>3.3333333333333335</v>
      </c>
      <c r="AI183" s="14">
        <f>IF('Données projet'!$A$62&gt;35,AI182+AH183-AQ182,IF(A183&lt;'Données projet'!$A$62,$AF$205^A183,IF(A183='Données projet'!$A$62,'Données projet'!$B$62,AI182+AH183-AQ182)))</f>
        <v>222.58823529411762</v>
      </c>
      <c r="AJ183" s="14">
        <f>AI183*VLOOKUP('Données projet'!$B$10,Paramètres!$A$1:$I$89,3,0)*VLOOKUP('Données projet'!$B$10,Paramètres!$A$1:$I$89,5,0)</f>
        <v>201.39783529411761</v>
      </c>
      <c r="AK183" s="14">
        <f t="shared" si="164"/>
        <v>50.051244978044025</v>
      </c>
      <c r="AL183" s="22">
        <f t="shared" si="165"/>
        <v>437.94048147401486</v>
      </c>
      <c r="AM183" s="62">
        <f t="shared" si="113"/>
        <v>731.27381480734812</v>
      </c>
      <c r="AN183" s="62">
        <f ca="1">AVERAGE(OFFSET($AM$3,0,0,'Données projet'!$E$10+1,1))-AVERAGE(OFFSET($H$3,0,0,'Données projet'!$E$10+1,1))</f>
        <v>206.38141226866287</v>
      </c>
      <c r="AO183" s="62">
        <f t="shared" si="144"/>
        <v>89.074420303945885</v>
      </c>
      <c r="AP183" s="16" t="str">
        <f>IF(ISNA(VLOOKUP(A183,'Données projet'!$A$61:$I$81,3,0)),0,VLOOKUP(A183,'Données projet'!$A$61:$I$81,3,0))</f>
        <v>CR</v>
      </c>
      <c r="AQ183" s="16">
        <f>IF(ISNA(VLOOKUP(A183,'Données projet'!$A$61:$I$81,4,0)),0,VLOOKUP(A183,'Données projet'!$A$61:$I$81,4,0))</f>
        <v>368</v>
      </c>
      <c r="AR183" s="17">
        <f>IF(ISNA(VLOOKUP(A183,'Données projet'!$A$61:$I$81,5,0)),0%,VLOOKUP(A183,'Données projet'!$A$61:$I$81,5,0)*VLOOKUP('Données projet'!$B$10,Paramètres!$A$1:$I$89,7,0))</f>
        <v>0.43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185.3837473300436</v>
      </c>
      <c r="AV183" s="23">
        <f>EXP(-LN(2)/25)*AV182+(1-EXP(-LN(2)/25))/(LN(2)/25)*Calculateur!AQ183*Calculateur!AS183*VLOOKUP('Données projet'!$B$10,Paramètres!$A$1:$I$89,3,0)*0.475*44/12</f>
        <v>15.3634415812345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200.7471889112781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4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1.738044375088066E-13</v>
      </c>
      <c r="P184" s="14">
        <f t="shared" si="141"/>
        <v>2.4483293633950478E-12</v>
      </c>
      <c r="Q184" s="22">
        <f t="shared" si="162"/>
        <v>4.566883036574213E-12</v>
      </c>
      <c r="R184" s="62">
        <f t="shared" si="109"/>
        <v>293.33333333333786</v>
      </c>
      <c r="S184" s="62">
        <f ca="1">AVERAGE(OFFSET($R$3,0,0,'Données projet'!$E$9+1,1))-AVERAGE(OFFSET($H$3,0,0,'Données projet'!$E$9+1,1))</f>
        <v>234.06296185782384</v>
      </c>
      <c r="T184" s="62">
        <f t="shared" si="142"/>
        <v>300.75555492874378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11.477106439051298</v>
      </c>
      <c r="AA184" s="23">
        <f>EXP(-LN(2)/25)*AA183+(1-EXP(-LN(2)/25))/(LN(2)/25)*Calculateur!V184*Calculateur!X184*VLOOKUP('Données projet'!$B$9,Paramètres!$A$1:$I$89,3,0)*0.475*44/12</f>
        <v>2.20737759949697</v>
      </c>
      <c r="AB184" s="23">
        <f>EXP(-LN(2)/2)*AB183+(1-EXP(-LN(2)/2))/(LN(2)/2)*V184*Y184*VLOOKUP('Données projet'!$B$9,Paramètres!$A$1:$I$89,3,0)*0.475*44/12</f>
        <v>8.2154487037963851E-18</v>
      </c>
      <c r="AC184" s="24">
        <f t="shared" si="163"/>
        <v>13.684484038548268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1.5675675675675675</v>
      </c>
      <c r="AI184" s="14">
        <f>IF('Données projet'!$A$62&gt;35,AI183+AH184-AQ183,IF(A184&lt;'Données projet'!$A$62,$AF$205^A184,IF(A184='Données projet'!$A$62,'Données projet'!$B$62,AI183+AH184-AQ183)))</f>
        <v>-143.8441971383148</v>
      </c>
      <c r="AJ184" s="14">
        <f>AI184*VLOOKUP('Données projet'!$B$10,Paramètres!$A$1:$I$89,3,0)*VLOOKUP('Données projet'!$B$10,Paramètres!$A$1:$I$89,5,0)</f>
        <v>-130.15022957074723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206.38141226866287</v>
      </c>
      <c r="AO184" s="62">
        <f t="shared" si="144"/>
        <v>89.074420303945885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181.7484851178223</v>
      </c>
      <c r="AV184" s="23">
        <f>EXP(-LN(2)/25)*AV183+(1-EXP(-LN(2)/25))/(LN(2)/25)*Calculateur!AQ184*Calculateur!AS184*VLOOKUP('Données projet'!$B$10,Paramètres!$A$1:$I$89,3,0)*0.475*44/12</f>
        <v>14.943327463267364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196.69181258108966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4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1.738044375088066E-13</v>
      </c>
      <c r="P185" s="14">
        <f t="shared" si="141"/>
        <v>2.4483293633950478E-12</v>
      </c>
      <c r="Q185" s="22">
        <f t="shared" si="162"/>
        <v>4.566883036574213E-12</v>
      </c>
      <c r="R185" s="62">
        <f t="shared" si="109"/>
        <v>293.33333333333786</v>
      </c>
      <c r="S185" s="62">
        <f ca="1">AVERAGE(OFFSET($R$3,0,0,'Données projet'!$E$9+1,1))-AVERAGE(OFFSET($H$3,0,0,'Données projet'!$E$9+1,1))</f>
        <v>234.06296185782384</v>
      </c>
      <c r="T185" s="62">
        <f t="shared" si="142"/>
        <v>300.75555492874378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11.252047382125204</v>
      </c>
      <c r="AA185" s="23">
        <f>EXP(-LN(2)/25)*AA184+(1-EXP(-LN(2)/25))/(LN(2)/25)*Calculateur!V185*Calculateur!X185*VLOOKUP('Données projet'!$B$9,Paramètres!$A$1:$I$89,3,0)*0.475*44/12</f>
        <v>2.1470167429577822</v>
      </c>
      <c r="AB185" s="23">
        <f>EXP(-LN(2)/2)*AB184+(1-EXP(-LN(2)/2))/(LN(2)/2)*V185*Y185*VLOOKUP('Données projet'!$B$9,Paramètres!$A$1:$I$89,3,0)*0.475*44/12</f>
        <v>5.8091994889446561E-18</v>
      </c>
      <c r="AC185" s="24">
        <f t="shared" si="163"/>
        <v>13.399064125082987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1.5675675675675675</v>
      </c>
      <c r="AI185" s="14">
        <f>IF('Données projet'!$A$62&gt;35,AI184+AH185-AQ184,IF(A185&lt;'Données projet'!$A$62,$AF$205^A185,IF(A185='Données projet'!$A$62,'Données projet'!$B$62,AI184+AH185-AQ184)))</f>
        <v>-142.27662957074722</v>
      </c>
      <c r="AJ185" s="14">
        <f>AI185*VLOOKUP('Données projet'!$B$10,Paramètres!$A$1:$I$89,3,0)*VLOOKUP('Données projet'!$B$10,Paramètres!$A$1:$I$89,5,0)</f>
        <v>-128.73189443561208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206.38141226866287</v>
      </c>
      <c r="AO185" s="62">
        <f t="shared" si="144"/>
        <v>89.074420303945885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178.18450818029163</v>
      </c>
      <c r="AV185" s="23">
        <f>EXP(-LN(2)/25)*AV184+(1-EXP(-LN(2)/25))/(LN(2)/25)*Calculateur!AQ185*Calculateur!AS185*VLOOKUP('Données projet'!$B$10,Paramètres!$A$1:$I$89,3,0)*0.475*44/12</f>
        <v>14.53470138794888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192.7192095682405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4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1.738044375088066E-13</v>
      </c>
      <c r="P186" s="14">
        <f t="shared" si="141"/>
        <v>2.4483293633950478E-12</v>
      </c>
      <c r="Q186" s="22">
        <f t="shared" si="162"/>
        <v>4.566883036574213E-12</v>
      </c>
      <c r="R186" s="62">
        <f t="shared" si="109"/>
        <v>293.33333333333786</v>
      </c>
      <c r="S186" s="62">
        <f ca="1">AVERAGE(OFFSET($R$3,0,0,'Données projet'!$E$9+1,1))-AVERAGE(OFFSET($H$3,0,0,'Données projet'!$E$9+1,1))</f>
        <v>234.06296185782384</v>
      </c>
      <c r="T186" s="62">
        <f t="shared" si="142"/>
        <v>300.75555492874378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11.031401596032959</v>
      </c>
      <c r="AA186" s="23">
        <f>EXP(-LN(2)/25)*AA185+(1-EXP(-LN(2)/25))/(LN(2)/25)*Calculateur!V186*Calculateur!X186*VLOOKUP('Données projet'!$B$9,Paramètres!$A$1:$I$89,3,0)*0.475*44/12</f>
        <v>2.0883064572148982</v>
      </c>
      <c r="AB186" s="23">
        <f>EXP(-LN(2)/2)*AB185+(1-EXP(-LN(2)/2))/(LN(2)/2)*V186*Y186*VLOOKUP('Données projet'!$B$9,Paramètres!$A$1:$I$89,3,0)*0.475*44/12</f>
        <v>4.1077243518981926E-18</v>
      </c>
      <c r="AC186" s="24">
        <f t="shared" si="163"/>
        <v>13.119708053247857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1.5675675675675675</v>
      </c>
      <c r="AI186" s="14">
        <f>IF('Données projet'!$A$62&gt;35,AI185+AH186-AQ185,IF(A186&lt;'Données projet'!$A$62,$AF$205^A186,IF(A186='Données projet'!$A$62,'Données projet'!$B$62,AI185+AH186-AQ185)))</f>
        <v>-140.70906200317964</v>
      </c>
      <c r="AJ186" s="14">
        <f>AI186*VLOOKUP('Données projet'!$B$10,Paramètres!$A$1:$I$89,3,0)*VLOOKUP('Données projet'!$B$10,Paramètres!$A$1:$I$89,5,0)</f>
        <v>-127.31355930047692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206.38141226866287</v>
      </c>
      <c r="AO186" s="62">
        <f t="shared" si="144"/>
        <v>89.074420303945885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174.69041865669467</v>
      </c>
      <c r="AV186" s="23">
        <f>EXP(-LN(2)/25)*AV185+(1-EXP(-LN(2)/25))/(LN(2)/25)*Calculateur!AQ186*Calculateur!AS186*VLOOKUP('Données projet'!$B$10,Paramètres!$A$1:$I$89,3,0)*0.475*44/12</f>
        <v>14.137249214148692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188.82766787084336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4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1.738044375088066E-13</v>
      </c>
      <c r="P187" s="14">
        <f t="shared" si="141"/>
        <v>2.4483293633950478E-12</v>
      </c>
      <c r="Q187" s="22">
        <f t="shared" si="162"/>
        <v>4.566883036574213E-12</v>
      </c>
      <c r="R187" s="62">
        <f t="shared" si="109"/>
        <v>293.33333333333786</v>
      </c>
      <c r="S187" s="62">
        <f ca="1">AVERAGE(OFFSET($R$3,0,0,'Données projet'!$E$9+1,1))-AVERAGE(OFFSET($H$3,0,0,'Données projet'!$E$9+1,1))</f>
        <v>234.06296185782384</v>
      </c>
      <c r="T187" s="62">
        <f t="shared" si="142"/>
        <v>300.75555492874378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10.815082539225342</v>
      </c>
      <c r="AA187" s="23">
        <f>EXP(-LN(2)/25)*AA186+(1-EXP(-LN(2)/25))/(LN(2)/25)*Calculateur!V187*Calculateur!X187*VLOOKUP('Données projet'!$B$9,Paramètres!$A$1:$I$89,3,0)*0.475*44/12</f>
        <v>2.031201607323093</v>
      </c>
      <c r="AB187" s="23">
        <f>EXP(-LN(2)/2)*AB186+(1-EXP(-LN(2)/2))/(LN(2)/2)*V187*Y187*VLOOKUP('Données projet'!$B$9,Paramètres!$A$1:$I$89,3,0)*0.475*44/12</f>
        <v>2.9045997444723281E-18</v>
      </c>
      <c r="AC187" s="24">
        <f t="shared" si="163"/>
        <v>12.846284146548435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1.5675675675675675</v>
      </c>
      <c r="AI187" s="14">
        <f>IF('Données projet'!$A$62&gt;35,AI186+AH187-AQ186,IF(A187&lt;'Données projet'!$A$62,$AF$205^A187,IF(A187='Données projet'!$A$62,'Données projet'!$B$62,AI186+AH187-AQ186)))</f>
        <v>-139.14149443561206</v>
      </c>
      <c r="AJ187" s="14">
        <f>AI187*VLOOKUP('Données projet'!$B$10,Paramètres!$A$1:$I$89,3,0)*VLOOKUP('Données projet'!$B$10,Paramètres!$A$1:$I$89,5,0)</f>
        <v>-125.89522416534179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206.38141226866287</v>
      </c>
      <c r="AO187" s="62">
        <f t="shared" si="144"/>
        <v>89.074420303945885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171.26484609747126</v>
      </c>
      <c r="AV187" s="23">
        <f>EXP(-LN(2)/25)*AV186+(1-EXP(-LN(2)/25))/(LN(2)/25)*Calculateur!AQ187*Calculateur!AS187*VLOOKUP('Données projet'!$B$10,Paramètres!$A$1:$I$89,3,0)*0.475*44/12</f>
        <v>13.750665390942171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185.01551148841344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4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1.738044375088066E-13</v>
      </c>
      <c r="P188" s="14">
        <f t="shared" si="141"/>
        <v>2.4483293633950478E-12</v>
      </c>
      <c r="Q188" s="22">
        <f t="shared" si="162"/>
        <v>4.566883036574213E-12</v>
      </c>
      <c r="R188" s="62">
        <f t="shared" si="109"/>
        <v>293.33333333333786</v>
      </c>
      <c r="S188" s="62">
        <f ca="1">AVERAGE(OFFSET($R$3,0,0,'Données projet'!$E$9+1,1))-AVERAGE(OFFSET($H$3,0,0,'Données projet'!$E$9+1,1))</f>
        <v>234.06296185782384</v>
      </c>
      <c r="T188" s="62">
        <f t="shared" si="142"/>
        <v>300.75555492874378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10.603005367180128</v>
      </c>
      <c r="AA188" s="23">
        <f>EXP(-LN(2)/25)*AA187+(1-EXP(-LN(2)/25))/(LN(2)/25)*Calculateur!V188*Calculateur!X188*VLOOKUP('Données projet'!$B$9,Paramètres!$A$1:$I$89,3,0)*0.475*44/12</f>
        <v>1.9756582925545929</v>
      </c>
      <c r="AB188" s="23">
        <f>EXP(-LN(2)/2)*AB187+(1-EXP(-LN(2)/2))/(LN(2)/2)*V188*Y188*VLOOKUP('Données projet'!$B$9,Paramètres!$A$1:$I$89,3,0)*0.475*44/12</f>
        <v>2.0538621759490963E-18</v>
      </c>
      <c r="AC188" s="24">
        <f t="shared" si="163"/>
        <v>12.578663659734721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>
        <f>VLOOKUP(A188,'Données projet'!$A$61:$I$81,2,0)</f>
        <v>351</v>
      </c>
      <c r="AG188" s="13">
        <f>VLOOKUP(A188,'Données projet'!$A$61:$I$81,9,0)</f>
        <v>1.5675675675675675</v>
      </c>
      <c r="AH188" s="13">
        <f t="array" ref="AH188">INDEX(AG:AG,MIN(IF(ISNUMBER(AG188:AG384),ROW(AG188:AG384),"")))</f>
        <v>1.5675675675675675</v>
      </c>
      <c r="AI188" s="14">
        <f>IF('Données projet'!$A$62&gt;35,AI187+AH188-AQ187,IF(A188&lt;'Données projet'!$A$62,$AF$205^A188,IF(A188='Données projet'!$A$62,'Données projet'!$B$62,AI187+AH188-AQ187)))</f>
        <v>-137.57392686804448</v>
      </c>
      <c r="AJ188" s="14">
        <f>AI188*VLOOKUP('Données projet'!$B$10,Paramètres!$A$1:$I$89,3,0)*VLOOKUP('Données projet'!$B$10,Paramètres!$A$1:$I$89,5,0)</f>
        <v>-124.47688903020665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206.38141226866287</v>
      </c>
      <c r="AO188" s="62">
        <f t="shared" si="144"/>
        <v>89.074420303945885</v>
      </c>
      <c r="AP188" s="16">
        <f>IF(ISNA(VLOOKUP(A188,'Données projet'!$A$61:$I$81,3,0)),0,VLOOKUP(A188,'Données projet'!$A$61:$I$81,3,0))</f>
        <v>14</v>
      </c>
      <c r="AQ188" s="16">
        <f>IF(ISNA(VLOOKUP(A188,'Données projet'!$A$61:$I$81,4,0)),0,VLOOKUP(A188,'Données projet'!$A$61:$I$81,4,0))</f>
        <v>41</v>
      </c>
      <c r="AR188" s="17">
        <f>IF(ISNA(VLOOKUP(A188,'Données projet'!$A$61:$I$81,5,0)),0%,VLOOKUP(A188,'Données projet'!$A$61:$I$81,5,0)*VLOOKUP('Données projet'!$B$10,Paramètres!$A$1:$I$89,7,0))</f>
        <v>0.215</v>
      </c>
      <c r="AS188" s="17">
        <f>IF(ISNA(VLOOKUP(A188,'Données projet'!$A$61:$I$81,6,0)),0%,VLOOKUP(A188,'Données projet'!$A$61:$I$81,6,0)*VLOOKUP('Données projet'!$B$10,Paramètres!$A$1:$I$89,7,0))</f>
        <v>0.17200000000000001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176.72347084546473</v>
      </c>
      <c r="AV188" s="23">
        <f>EXP(-LN(2)/25)*AV187+(1-EXP(-LN(2)/25))/(LN(2)/25)*Calculateur!AQ188*Calculateur!AS188*VLOOKUP('Données projet'!$B$10,Paramètres!$A$1:$I$89,3,0)*0.475*44/12</f>
        <v>20.400499071515551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197.12396991698029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4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1.738044375088066E-13</v>
      </c>
      <c r="P189" s="14">
        <f t="shared" si="141"/>
        <v>2.4483293633950478E-12</v>
      </c>
      <c r="Q189" s="22">
        <f t="shared" si="162"/>
        <v>4.566883036574213E-12</v>
      </c>
      <c r="R189" s="62">
        <f t="shared" si="109"/>
        <v>293.33333333333786</v>
      </c>
      <c r="S189" s="62">
        <f ca="1">AVERAGE(OFFSET($R$3,0,0,'Données projet'!$E$9+1,1))-AVERAGE(OFFSET($H$3,0,0,'Données projet'!$E$9+1,1))</f>
        <v>234.06296185782384</v>
      </c>
      <c r="T189" s="62">
        <f t="shared" si="142"/>
        <v>300.75555492874378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10.395086899124417</v>
      </c>
      <c r="AA189" s="23">
        <f>EXP(-LN(2)/25)*AA188+(1-EXP(-LN(2)/25))/(LN(2)/25)*Calculateur!V189*Calculateur!X189*VLOOKUP('Données projet'!$B$9,Paramètres!$A$1:$I$89,3,0)*0.475*44/12</f>
        <v>1.9216338126493333</v>
      </c>
      <c r="AB189" s="23">
        <f>EXP(-LN(2)/2)*AB188+(1-EXP(-LN(2)/2))/(LN(2)/2)*V189*Y189*VLOOKUP('Données projet'!$B$9,Paramètres!$A$1:$I$89,3,0)*0.475*44/12</f>
        <v>1.452299872236164E-18</v>
      </c>
      <c r="AC189" s="24">
        <f t="shared" si="163"/>
        <v>12.316720711773749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-178.57392686804448</v>
      </c>
      <c r="AJ189" s="14">
        <f>AI189*VLOOKUP('Données projet'!$B$10,Paramètres!$A$1:$I$89,3,0)*VLOOKUP('Données projet'!$B$10,Paramètres!$A$1:$I$89,5,0)</f>
        <v>-161.57368903020665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206.38141226866287</v>
      </c>
      <c r="AO189" s="62">
        <f t="shared" si="144"/>
        <v>89.074420303945885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173.25803137285894</v>
      </c>
      <c r="AV189" s="23">
        <f>EXP(-LN(2)/25)*AV188+(1-EXP(-LN(2)/25))/(LN(2)/25)*Calculateur!AQ189*Calculateur!AS189*VLOOKUP('Données projet'!$B$10,Paramètres!$A$1:$I$89,3,0)*0.475*44/12</f>
        <v>19.842646351589337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193.10067772444827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4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1.738044375088066E-13</v>
      </c>
      <c r="P190" s="14">
        <f t="shared" si="141"/>
        <v>2.4483293633950478E-12</v>
      </c>
      <c r="Q190" s="22">
        <f t="shared" si="162"/>
        <v>4.566883036574213E-12</v>
      </c>
      <c r="R190" s="62">
        <f t="shared" si="109"/>
        <v>293.33333333333786</v>
      </c>
      <c r="S190" s="62">
        <f ca="1">AVERAGE(OFFSET($R$3,0,0,'Données projet'!$E$9+1,1))-AVERAGE(OFFSET($H$3,0,0,'Données projet'!$E$9+1,1))</f>
        <v>234.06296185782384</v>
      </c>
      <c r="T190" s="62">
        <f t="shared" si="142"/>
        <v>300.75555492874378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10.191245585409535</v>
      </c>
      <c r="AA190" s="23">
        <f>EXP(-LN(2)/25)*AA189+(1-EXP(-LN(2)/25))/(LN(2)/25)*Calculateur!V190*Calculateur!X190*VLOOKUP('Données projet'!$B$9,Paramètres!$A$1:$I$89,3,0)*0.475*44/12</f>
        <v>1.869086634988107</v>
      </c>
      <c r="AB190" s="23">
        <f>EXP(-LN(2)/2)*AB189+(1-EXP(-LN(2)/2))/(LN(2)/2)*V190*Y190*VLOOKUP('Données projet'!$B$9,Paramètres!$A$1:$I$89,3,0)*0.475*44/12</f>
        <v>1.0269310879745481E-18</v>
      </c>
      <c r="AC190" s="24">
        <f t="shared" si="163"/>
        <v>12.060332220397642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-178.57392686804448</v>
      </c>
      <c r="AJ190" s="14">
        <f>AI190*VLOOKUP('Données projet'!$B$10,Paramètres!$A$1:$I$89,3,0)*VLOOKUP('Données projet'!$B$10,Paramètres!$A$1:$I$89,5,0)</f>
        <v>-161.57368903020665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206.38141226866287</v>
      </c>
      <c r="AO190" s="62">
        <f t="shared" si="144"/>
        <v>89.074420303945885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169.86054705460157</v>
      </c>
      <c r="AV190" s="23">
        <f>EXP(-LN(2)/25)*AV189+(1-EXP(-LN(2)/25))/(LN(2)/25)*Calculateur!AQ190*Calculateur!AS190*VLOOKUP('Données projet'!$B$10,Paramètres!$A$1:$I$89,3,0)*0.475*44/12</f>
        <v>19.300048143625705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189.16059519822727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4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1.738044375088066E-13</v>
      </c>
      <c r="P191" s="14">
        <f t="shared" si="141"/>
        <v>2.4483293633950478E-12</v>
      </c>
      <c r="Q191" s="22">
        <f t="shared" si="162"/>
        <v>4.566883036574213E-12</v>
      </c>
      <c r="R191" s="62">
        <f t="shared" si="109"/>
        <v>293.33333333333786</v>
      </c>
      <c r="S191" s="62">
        <f ca="1">AVERAGE(OFFSET($R$3,0,0,'Données projet'!$E$9+1,1))-AVERAGE(OFFSET($H$3,0,0,'Données projet'!$E$9+1,1))</f>
        <v>234.06296185782384</v>
      </c>
      <c r="T191" s="62">
        <f t="shared" si="142"/>
        <v>300.75555492874378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9.9914014755256773</v>
      </c>
      <c r="AA191" s="23">
        <f>EXP(-LN(2)/25)*AA190+(1-EXP(-LN(2)/25))/(LN(2)/25)*Calculateur!V191*Calculateur!X191*VLOOKUP('Données projet'!$B$9,Paramètres!$A$1:$I$89,3,0)*0.475*44/12</f>
        <v>1.8179763626633629</v>
      </c>
      <c r="AB191" s="23">
        <f>EXP(-LN(2)/2)*AB190+(1-EXP(-LN(2)/2))/(LN(2)/2)*V191*Y191*VLOOKUP('Données projet'!$B$9,Paramètres!$A$1:$I$89,3,0)*0.475*44/12</f>
        <v>7.2614993611808201E-19</v>
      </c>
      <c r="AC191" s="24">
        <f t="shared" si="163"/>
        <v>11.80937783818904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-178.57392686804448</v>
      </c>
      <c r="AJ191" s="14">
        <f>AI191*VLOOKUP('Données projet'!$B$10,Paramètres!$A$1:$I$89,3,0)*VLOOKUP('Données projet'!$B$10,Paramètres!$A$1:$I$89,5,0)</f>
        <v>-161.57368903020665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206.38141226866287</v>
      </c>
      <c r="AO191" s="62">
        <f t="shared" si="144"/>
        <v>89.074420303945885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166.52968533156442</v>
      </c>
      <c r="AV191" s="23">
        <f>EXP(-LN(2)/25)*AV190+(1-EXP(-LN(2)/25))/(LN(2)/25)*Calculateur!AQ191*Calculateur!AS191*VLOOKUP('Données projet'!$B$10,Paramètres!$A$1:$I$89,3,0)*0.475*44/12</f>
        <v>18.772287312192841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185.30197264375727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4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1.738044375088066E-13</v>
      </c>
      <c r="P192" s="14">
        <f t="shared" si="141"/>
        <v>2.4483293633950478E-12</v>
      </c>
      <c r="Q192" s="22">
        <f t="shared" si="162"/>
        <v>4.566883036574213E-12</v>
      </c>
      <c r="R192" s="62">
        <f t="shared" si="109"/>
        <v>293.33333333333786</v>
      </c>
      <c r="S192" s="62">
        <f ca="1">AVERAGE(OFFSET($R$3,0,0,'Données projet'!$E$9+1,1))-AVERAGE(OFFSET($H$3,0,0,'Données projet'!$E$9+1,1))</f>
        <v>234.06296185782384</v>
      </c>
      <c r="T192" s="62">
        <f t="shared" si="142"/>
        <v>300.75555492874378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9.7954761867437714</v>
      </c>
      <c r="AA192" s="23">
        <f>EXP(-LN(2)/25)*AA191+(1-EXP(-LN(2)/25))/(LN(2)/25)*Calculateur!V192*Calculateur!X192*VLOOKUP('Données projet'!$B$9,Paramètres!$A$1:$I$89,3,0)*0.475*44/12</f>
        <v>1.7682637034231115</v>
      </c>
      <c r="AB192" s="23">
        <f>EXP(-LN(2)/2)*AB191+(1-EXP(-LN(2)/2))/(LN(2)/2)*V192*Y192*VLOOKUP('Données projet'!$B$9,Paramètres!$A$1:$I$89,3,0)*0.475*44/12</f>
        <v>5.1346554398727407E-19</v>
      </c>
      <c r="AC192" s="24">
        <f t="shared" si="163"/>
        <v>11.563739890166882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-178.57392686804448</v>
      </c>
      <c r="AJ192" s="14">
        <f>AI192*VLOOKUP('Données projet'!$B$10,Paramètres!$A$1:$I$89,3,0)*VLOOKUP('Données projet'!$B$10,Paramètres!$A$1:$I$89,5,0)</f>
        <v>-161.57368903020665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206.38141226866287</v>
      </c>
      <c r="AO192" s="62">
        <f t="shared" si="144"/>
        <v>89.074420303945885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163.264139775291</v>
      </c>
      <c r="AV192" s="23">
        <f>EXP(-LN(2)/25)*AV191+(1-EXP(-LN(2)/25))/(LN(2)/25)*Calculateur!AQ192*Calculateur!AS192*VLOOKUP('Données projet'!$B$10,Paramètres!$A$1:$I$89,3,0)*0.475*44/12</f>
        <v>18.258958128449244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181.52309790374025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4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1.738044375088066E-13</v>
      </c>
      <c r="P193" s="14">
        <f t="shared" si="141"/>
        <v>2.4483293633950478E-12</v>
      </c>
      <c r="Q193" s="22">
        <f t="shared" si="162"/>
        <v>4.566883036574213E-12</v>
      </c>
      <c r="R193" s="62">
        <f t="shared" si="109"/>
        <v>293.33333333333786</v>
      </c>
      <c r="S193" s="62">
        <f ca="1">AVERAGE(OFFSET($R$3,0,0,'Données projet'!$E$9+1,1))-AVERAGE(OFFSET($H$3,0,0,'Données projet'!$E$9+1,1))</f>
        <v>234.06296185782384</v>
      </c>
      <c r="T193" s="62">
        <f t="shared" si="142"/>
        <v>300.75555492874378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9.6033928733722522</v>
      </c>
      <c r="AA193" s="23">
        <f>EXP(-LN(2)/25)*AA192+(1-EXP(-LN(2)/25))/(LN(2)/25)*Calculateur!V193*Calculateur!X193*VLOOKUP('Données projet'!$B$9,Paramètres!$A$1:$I$89,3,0)*0.475*44/12</f>
        <v>1.7199104394640596</v>
      </c>
      <c r="AB193" s="23">
        <f>EXP(-LN(2)/2)*AB192+(1-EXP(-LN(2)/2))/(LN(2)/2)*V193*Y193*VLOOKUP('Données projet'!$B$9,Paramètres!$A$1:$I$89,3,0)*0.475*44/12</f>
        <v>3.6307496805904101E-19</v>
      </c>
      <c r="AC193" s="24">
        <f t="shared" si="163"/>
        <v>11.323303312836313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-178.57392686804448</v>
      </c>
      <c r="AJ193" s="14">
        <f>AI193*VLOOKUP('Données projet'!$B$10,Paramètres!$A$1:$I$89,3,0)*VLOOKUP('Données projet'!$B$10,Paramètres!$A$1:$I$89,5,0)</f>
        <v>-161.57368903020665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206.38141226866287</v>
      </c>
      <c r="AO193" s="62">
        <f t="shared" si="144"/>
        <v>89.074420303945885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160.06262957558997</v>
      </c>
      <c r="AV193" s="23">
        <f>EXP(-LN(2)/25)*AV192+(1-EXP(-LN(2)/25))/(LN(2)/25)*Calculateur!AQ193*Calculateur!AS193*VLOOKUP('Données projet'!$B$10,Paramètres!$A$1:$I$89,3,0)*0.475*44/12</f>
        <v>17.759665958229924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177.8222955338199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4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1.738044375088066E-13</v>
      </c>
      <c r="P194" s="14">
        <f t="shared" si="141"/>
        <v>2.4483293633950478E-12</v>
      </c>
      <c r="Q194" s="22">
        <f t="shared" si="162"/>
        <v>4.566883036574213E-12</v>
      </c>
      <c r="R194" s="62">
        <f t="shared" si="109"/>
        <v>293.33333333333786</v>
      </c>
      <c r="S194" s="62">
        <f ca="1">AVERAGE(OFFSET($R$3,0,0,'Données projet'!$E$9+1,1))-AVERAGE(OFFSET($H$3,0,0,'Données projet'!$E$9+1,1))</f>
        <v>234.06296185782384</v>
      </c>
      <c r="T194" s="62">
        <f t="shared" si="142"/>
        <v>300.75555492874378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9.4150761966166954</v>
      </c>
      <c r="AA194" s="23">
        <f>EXP(-LN(2)/25)*AA193+(1-EXP(-LN(2)/25))/(LN(2)/25)*Calculateur!V194*Calculateur!X194*VLOOKUP('Données projet'!$B$9,Paramètres!$A$1:$I$89,3,0)*0.475*44/12</f>
        <v>1.6728793980507559</v>
      </c>
      <c r="AB194" s="23">
        <f>EXP(-LN(2)/2)*AB193+(1-EXP(-LN(2)/2))/(LN(2)/2)*V194*Y194*VLOOKUP('Données projet'!$B$9,Paramètres!$A$1:$I$89,3,0)*0.475*44/12</f>
        <v>2.5673277199363703E-19</v>
      </c>
      <c r="AC194" s="24">
        <f t="shared" si="163"/>
        <v>11.087955594667452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-178.57392686804448</v>
      </c>
      <c r="AJ194" s="14">
        <f>AI194*VLOOKUP('Données projet'!$B$10,Paramètres!$A$1:$I$89,3,0)*VLOOKUP('Données projet'!$B$10,Paramètres!$A$1:$I$89,5,0)</f>
        <v>-161.57368903020665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206.38141226866287</v>
      </c>
      <c r="AO194" s="62">
        <f t="shared" si="144"/>
        <v>89.074420303945885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156.92389903817667</v>
      </c>
      <c r="AV194" s="23">
        <f>EXP(-LN(2)/25)*AV193+(1-EXP(-LN(2)/25))/(LN(2)/25)*Calculateur!AQ194*Calculateur!AS194*VLOOKUP('Données projet'!$B$10,Paramètres!$A$1:$I$89,3,0)*0.475*44/12</f>
        <v>17.274026958661885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174.19792599683856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4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1.738044375088066E-13</v>
      </c>
      <c r="P195" s="14">
        <f t="shared" si="141"/>
        <v>2.4483293633950478E-12</v>
      </c>
      <c r="Q195" s="22">
        <f t="shared" si="162"/>
        <v>4.566883036574213E-12</v>
      </c>
      <c r="R195" s="62">
        <f t="shared" ref="R195:R203" si="191">Q195+(I195+J195)*44/12</f>
        <v>293.33333333333786</v>
      </c>
      <c r="S195" s="62">
        <f ca="1">AVERAGE(OFFSET($R$3,0,0,'Données projet'!$E$9+1,1))-AVERAGE(OFFSET($H$3,0,0,'Données projet'!$E$9+1,1))</f>
        <v>234.06296185782384</v>
      </c>
      <c r="T195" s="62">
        <f t="shared" si="142"/>
        <v>300.75555492874378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9.230452295030485</v>
      </c>
      <c r="AA195" s="23">
        <f>EXP(-LN(2)/25)*AA194+(1-EXP(-LN(2)/25))/(LN(2)/25)*Calculateur!V195*Calculateur!X195*VLOOKUP('Données projet'!$B$9,Paramètres!$A$1:$I$89,3,0)*0.475*44/12</f>
        <v>1.6271344229381539</v>
      </c>
      <c r="AB195" s="23">
        <f>EXP(-LN(2)/2)*AB194+(1-EXP(-LN(2)/2))/(LN(2)/2)*V195*Y195*VLOOKUP('Données projet'!$B$9,Paramètres!$A$1:$I$89,3,0)*0.475*44/12</f>
        <v>1.815374840295205E-19</v>
      </c>
      <c r="AC195" s="24">
        <f t="shared" si="163"/>
        <v>10.857586717968639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-178.57392686804448</v>
      </c>
      <c r="AJ195" s="14">
        <f>AI195*VLOOKUP('Données projet'!$B$10,Paramètres!$A$1:$I$89,3,0)*VLOOKUP('Données projet'!$B$10,Paramètres!$A$1:$I$89,5,0)</f>
        <v>-161.57368903020665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206.38141226866287</v>
      </c>
      <c r="AO195" s="62">
        <f t="shared" si="144"/>
        <v>89.074420303945885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153.84671709216545</v>
      </c>
      <c r="AV195" s="23">
        <f>EXP(-LN(2)/25)*AV194+(1-EXP(-LN(2)/25))/(LN(2)/25)*Calculateur!AQ195*Calculateur!AS195*VLOOKUP('Données projet'!$B$10,Paramètres!$A$1:$I$89,3,0)*0.475*44/12</f>
        <v>16.801667783075679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170.64838487524113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4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1.738044375088066E-13</v>
      </c>
      <c r="P196" s="14">
        <f t="shared" si="141"/>
        <v>2.4483293633950478E-12</v>
      </c>
      <c r="Q196" s="22">
        <f t="shared" si="162"/>
        <v>4.566883036574213E-12</v>
      </c>
      <c r="R196" s="62">
        <f t="shared" si="191"/>
        <v>293.33333333333786</v>
      </c>
      <c r="S196" s="62">
        <f ca="1">AVERAGE(OFFSET($R$3,0,0,'Données projet'!$E$9+1,1))-AVERAGE(OFFSET($H$3,0,0,'Données projet'!$E$9+1,1))</f>
        <v>234.06296185782384</v>
      </c>
      <c r="T196" s="62">
        <f t="shared" si="142"/>
        <v>300.75555492874378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9.049448755544919</v>
      </c>
      <c r="AA196" s="23">
        <f>EXP(-LN(2)/25)*AA195+(1-EXP(-LN(2)/25))/(LN(2)/25)*Calculateur!V196*Calculateur!X196*VLOOKUP('Données projet'!$B$9,Paramètres!$A$1:$I$89,3,0)*0.475*44/12</f>
        <v>1.5826403465756296</v>
      </c>
      <c r="AB196" s="23">
        <f>EXP(-LN(2)/2)*AB195+(1-EXP(-LN(2)/2))/(LN(2)/2)*V196*Y196*VLOOKUP('Données projet'!$B$9,Paramètres!$A$1:$I$89,3,0)*0.475*44/12</f>
        <v>1.2836638599681852E-19</v>
      </c>
      <c r="AC196" s="24">
        <f t="shared" si="163"/>
        <v>10.632089102120549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-178.57392686804448</v>
      </c>
      <c r="AJ196" s="14">
        <f>AI196*VLOOKUP('Données projet'!$B$10,Paramètres!$A$1:$I$89,3,0)*VLOOKUP('Données projet'!$B$10,Paramètres!$A$1:$I$89,5,0)</f>
        <v>-161.57368903020665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206.38141226866287</v>
      </c>
      <c r="AO196" s="62">
        <f t="shared" si="144"/>
        <v>89.074420303945885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150.82987680721985</v>
      </c>
      <c r="AV196" s="23">
        <f>EXP(-LN(2)/25)*AV195+(1-EXP(-LN(2)/25))/(LN(2)/25)*Calculateur!AQ196*Calculateur!AS196*VLOOKUP('Données projet'!$B$10,Paramètres!$A$1:$I$89,3,0)*0.475*44/12</f>
        <v>16.342225293986168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167.17210210120601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4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1.738044375088066E-13</v>
      </c>
      <c r="P197" s="14">
        <f t="shared" ref="P197:P203" si="203">EXP(-1.0587+0.8836*LN(O197)+0.284)</f>
        <v>2.4483293633950478E-12</v>
      </c>
      <c r="Q197" s="22">
        <f t="shared" si="162"/>
        <v>4.566883036574213E-12</v>
      </c>
      <c r="R197" s="62">
        <f t="shared" si="191"/>
        <v>293.33333333333786</v>
      </c>
      <c r="S197" s="62">
        <f ca="1">AVERAGE(OFFSET($R$3,0,0,'Données projet'!$E$9+1,1))-AVERAGE(OFFSET($H$3,0,0,'Données projet'!$E$9+1,1))</f>
        <v>234.06296185782384</v>
      </c>
      <c r="T197" s="62">
        <f t="shared" ref="T197:T203" si="204">$T$3</f>
        <v>300.75555492874378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8.8719945850674069</v>
      </c>
      <c r="AA197" s="23">
        <f>EXP(-LN(2)/25)*AA196+(1-EXP(-LN(2)/25))/(LN(2)/25)*Calculateur!V197*Calculateur!X197*VLOOKUP('Données projet'!$B$9,Paramètres!$A$1:$I$89,3,0)*0.475*44/12</f>
        <v>1.5393629630710803</v>
      </c>
      <c r="AB197" s="23">
        <f>EXP(-LN(2)/2)*AB196+(1-EXP(-LN(2)/2))/(LN(2)/2)*V197*Y197*VLOOKUP('Données projet'!$B$9,Paramètres!$A$1:$I$89,3,0)*0.475*44/12</f>
        <v>9.0768742014760252E-20</v>
      </c>
      <c r="AC197" s="24">
        <f t="shared" si="163"/>
        <v>10.411357548138486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-178.57392686804448</v>
      </c>
      <c r="AJ197" s="14">
        <f>AI197*VLOOKUP('Données projet'!$B$10,Paramètres!$A$1:$I$89,3,0)*VLOOKUP('Données projet'!$B$10,Paramètres!$A$1:$I$89,5,0)</f>
        <v>-161.57368903020665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206.38141226866287</v>
      </c>
      <c r="AO197" s="62">
        <f t="shared" ref="AO197:AO203" si="205">$AO$3</f>
        <v>89.074420303945885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147.87219492017115</v>
      </c>
      <c r="AV197" s="23">
        <f>EXP(-LN(2)/25)*AV196+(1-EXP(-LN(2)/25))/(LN(2)/25)*Calculateur!AQ197*Calculateur!AS197*VLOOKUP('Données projet'!$B$10,Paramètres!$A$1:$I$89,3,0)*0.475*44/12</f>
        <v>15.895346283921839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163.76754120409299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4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1.738044375088066E-13</v>
      </c>
      <c r="P198" s="14">
        <f t="shared" si="203"/>
        <v>2.4483293633950478E-12</v>
      </c>
      <c r="Q198" s="22">
        <f t="shared" si="162"/>
        <v>4.566883036574213E-12</v>
      </c>
      <c r="R198" s="62">
        <f t="shared" si="191"/>
        <v>293.33333333333786</v>
      </c>
      <c r="S198" s="62">
        <f ca="1">AVERAGE(OFFSET($R$3,0,0,'Données projet'!$E$9+1,1))-AVERAGE(OFFSET($H$3,0,0,'Données projet'!$E$9+1,1))</f>
        <v>234.06296185782384</v>
      </c>
      <c r="T198" s="62">
        <f t="shared" si="204"/>
        <v>300.75555492874378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8.6980201826366024</v>
      </c>
      <c r="AA198" s="23">
        <f>EXP(-LN(2)/25)*AA197+(1-EXP(-LN(2)/25))/(LN(2)/25)*Calculateur!V198*Calculateur!X198*VLOOKUP('Données projet'!$B$9,Paramètres!$A$1:$I$89,3,0)*0.475*44/12</f>
        <v>1.4972690018943218</v>
      </c>
      <c r="AB198" s="23">
        <f>EXP(-LN(2)/2)*AB197+(1-EXP(-LN(2)/2))/(LN(2)/2)*V198*Y198*VLOOKUP('Données projet'!$B$9,Paramètres!$A$1:$I$89,3,0)*0.475*44/12</f>
        <v>6.4183192998409259E-20</v>
      </c>
      <c r="AC198" s="24">
        <f t="shared" si="163"/>
        <v>10.195289184530925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-178.57392686804448</v>
      </c>
      <c r="AJ198" s="14">
        <f>AI198*VLOOKUP('Données projet'!$B$10,Paramètres!$A$1:$I$89,3,0)*VLOOKUP('Données projet'!$B$10,Paramètres!$A$1:$I$89,5,0)</f>
        <v>-161.57368903020665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206.38141226866287</v>
      </c>
      <c r="AO198" s="62">
        <f t="shared" si="205"/>
        <v>89.074420303945885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144.97251137091968</v>
      </c>
      <c r="AV198" s="23">
        <f>EXP(-LN(2)/25)*AV197+(1-EXP(-LN(2)/25))/(LN(2)/25)*Calculateur!AQ198*Calculateur!AS198*VLOOKUP('Données projet'!$B$10,Paramètres!$A$1:$I$89,3,0)*0.475*44/12</f>
        <v>15.460687203888064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160.43319857480773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4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1.738044375088066E-13</v>
      </c>
      <c r="P199" s="14">
        <f t="shared" si="203"/>
        <v>2.4483293633950478E-12</v>
      </c>
      <c r="Q199" s="22">
        <f t="shared" si="162"/>
        <v>4.566883036574213E-12</v>
      </c>
      <c r="R199" s="62">
        <f t="shared" si="191"/>
        <v>293.33333333333786</v>
      </c>
      <c r="S199" s="62">
        <f ca="1">AVERAGE(OFFSET($R$3,0,0,'Données projet'!$E$9+1,1))-AVERAGE(OFFSET($H$3,0,0,'Données projet'!$E$9+1,1))</f>
        <v>234.06296185782384</v>
      </c>
      <c r="T199" s="62">
        <f t="shared" si="204"/>
        <v>300.75555492874378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8.5274573121235591</v>
      </c>
      <c r="AA199" s="23">
        <f>EXP(-LN(2)/25)*AA198+(1-EXP(-LN(2)/25))/(LN(2)/25)*Calculateur!V199*Calculateur!X199*VLOOKUP('Données projet'!$B$9,Paramètres!$A$1:$I$89,3,0)*0.475*44/12</f>
        <v>1.4563261022995668</v>
      </c>
      <c r="AB199" s="23">
        <f>EXP(-LN(2)/2)*AB198+(1-EXP(-LN(2)/2))/(LN(2)/2)*V199*Y199*VLOOKUP('Données projet'!$B$9,Paramètres!$A$1:$I$89,3,0)*0.475*44/12</f>
        <v>4.5384371007380126E-20</v>
      </c>
      <c r="AC199" s="24">
        <f t="shared" si="163"/>
        <v>9.9837834144231259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-178.57392686804448</v>
      </c>
      <c r="AJ199" s="14">
        <f>AI199*VLOOKUP('Données projet'!$B$10,Paramètres!$A$1:$I$89,3,0)*VLOOKUP('Données projet'!$B$10,Paramètres!$A$1:$I$89,5,0)</f>
        <v>-161.57368903020665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206.38141226866287</v>
      </c>
      <c r="AO199" s="62">
        <f t="shared" si="205"/>
        <v>89.074420303945885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142.12968884743668</v>
      </c>
      <c r="AV199" s="23">
        <f>EXP(-LN(2)/25)*AV198+(1-EXP(-LN(2)/25))/(LN(2)/25)*Calculateur!AQ199*Calculateur!AS199*VLOOKUP('Données projet'!$B$10,Paramètres!$A$1:$I$89,3,0)*0.475*44/12</f>
        <v>15.037913899255541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157.16760274669221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4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1.738044375088066E-13</v>
      </c>
      <c r="P200" s="14">
        <f t="shared" si="203"/>
        <v>2.4483293633950478E-12</v>
      </c>
      <c r="Q200" s="22">
        <f t="shared" si="162"/>
        <v>4.566883036574213E-12</v>
      </c>
      <c r="R200" s="62">
        <f t="shared" si="191"/>
        <v>293.33333333333786</v>
      </c>
      <c r="S200" s="62">
        <f ca="1">AVERAGE(OFFSET($R$3,0,0,'Données projet'!$E$9+1,1))-AVERAGE(OFFSET($H$3,0,0,'Données projet'!$E$9+1,1))</f>
        <v>234.06296185782384</v>
      </c>
      <c r="T200" s="62">
        <f t="shared" si="204"/>
        <v>300.75555492874378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8.360239075468197</v>
      </c>
      <c r="AA200" s="23">
        <f>EXP(-LN(2)/25)*AA199+(1-EXP(-LN(2)/25))/(LN(2)/25)*Calculateur!V200*Calculateur!X200*VLOOKUP('Données projet'!$B$9,Paramètres!$A$1:$I$89,3,0)*0.475*44/12</f>
        <v>1.416502788447324</v>
      </c>
      <c r="AB200" s="23">
        <f>EXP(-LN(2)/2)*AB199+(1-EXP(-LN(2)/2))/(LN(2)/2)*V200*Y200*VLOOKUP('Données projet'!$B$9,Paramètres!$A$1:$I$89,3,0)*0.475*44/12</f>
        <v>3.2091596499204629E-20</v>
      </c>
      <c r="AC200" s="24">
        <f t="shared" si="163"/>
        <v>9.7767418639155217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-178.57392686804448</v>
      </c>
      <c r="AJ200" s="14">
        <f>AI200*VLOOKUP('Données projet'!$B$10,Paramètres!$A$1:$I$89,3,0)*VLOOKUP('Données projet'!$B$10,Paramètres!$A$1:$I$89,5,0)</f>
        <v>-161.57368903020665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206.38141226866287</v>
      </c>
      <c r="AO200" s="62">
        <f t="shared" si="205"/>
        <v>89.074420303945885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139.34261233968866</v>
      </c>
      <c r="AV200" s="23">
        <f>EXP(-LN(2)/25)*AV199+(1-EXP(-LN(2)/25))/(LN(2)/25)*Calculateur!AQ200*Calculateur!AS200*VLOOKUP('Données projet'!$B$10,Paramètres!$A$1:$I$89,3,0)*0.475*44/12</f>
        <v>14.626701352870876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153.96931369255952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4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1.738044375088066E-13</v>
      </c>
      <c r="P201" s="14">
        <f t="shared" si="203"/>
        <v>2.4483293633950478E-12</v>
      </c>
      <c r="Q201" s="22">
        <f t="shared" si="162"/>
        <v>4.566883036574213E-12</v>
      </c>
      <c r="R201" s="62">
        <f t="shared" si="191"/>
        <v>293.33333333333786</v>
      </c>
      <c r="S201" s="62">
        <f ca="1">AVERAGE(OFFSET($R$3,0,0,'Données projet'!$E$9+1,1))-AVERAGE(OFFSET($H$3,0,0,'Données projet'!$E$9+1,1))</f>
        <v>234.06296185782384</v>
      </c>
      <c r="T201" s="62">
        <f t="shared" si="204"/>
        <v>300.75555492874378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8.1962998864405936</v>
      </c>
      <c r="AA201" s="23">
        <f>EXP(-LN(2)/25)*AA200+(1-EXP(-LN(2)/25))/(LN(2)/25)*Calculateur!V201*Calculateur!X201*VLOOKUP('Données projet'!$B$9,Paramètres!$A$1:$I$89,3,0)*0.475*44/12</f>
        <v>1.3777684452065877</v>
      </c>
      <c r="AB201" s="23">
        <f>EXP(-LN(2)/2)*AB200+(1-EXP(-LN(2)/2))/(LN(2)/2)*V201*Y201*VLOOKUP('Données projet'!$B$9,Paramètres!$A$1:$I$89,3,0)*0.475*44/12</f>
        <v>2.2692185503690063E-20</v>
      </c>
      <c r="AC201" s="24">
        <f t="shared" si="163"/>
        <v>9.5740683316471813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-178.57392686804448</v>
      </c>
      <c r="AJ201" s="14">
        <f>AI201*VLOOKUP('Données projet'!$B$10,Paramètres!$A$1:$I$89,3,0)*VLOOKUP('Données projet'!$B$10,Paramètres!$A$1:$I$89,5,0)</f>
        <v>-161.57368903020665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206.38141226866287</v>
      </c>
      <c r="AO201" s="62">
        <f t="shared" si="205"/>
        <v>89.074420303945885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136.61018870230876</v>
      </c>
      <c r="AV201" s="23">
        <f>EXP(-LN(2)/25)*AV200+(1-EXP(-LN(2)/25))/(LN(2)/25)*Calculateur!AQ201*Calculateur!AS201*VLOOKUP('Données projet'!$B$10,Paramètres!$A$1:$I$89,3,0)*0.475*44/12</f>
        <v>14.226733435191829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150.83692213750058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4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1.738044375088066E-13</v>
      </c>
      <c r="P202" s="14">
        <f t="shared" si="203"/>
        <v>2.4483293633950478E-12</v>
      </c>
      <c r="Q202" s="22">
        <f t="shared" si="162"/>
        <v>4.566883036574213E-12</v>
      </c>
      <c r="R202" s="62">
        <f t="shared" si="191"/>
        <v>293.33333333333786</v>
      </c>
      <c r="S202" s="62">
        <f ca="1">AVERAGE(OFFSET($R$3,0,0,'Données projet'!$E$9+1,1))-AVERAGE(OFFSET($H$3,0,0,'Données projet'!$E$9+1,1))</f>
        <v>234.06296185782384</v>
      </c>
      <c r="T202" s="62">
        <f t="shared" si="204"/>
        <v>300.75555492874378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8.0355754449167893</v>
      </c>
      <c r="AA202" s="23">
        <f>EXP(-LN(2)/25)*AA201+(1-EXP(-LN(2)/25))/(LN(2)/25)*Calculateur!V202*Calculateur!X202*VLOOKUP('Données projet'!$B$9,Paramètres!$A$1:$I$89,3,0)*0.475*44/12</f>
        <v>1.3400932946187201</v>
      </c>
      <c r="AB202" s="23">
        <f>EXP(-LN(2)/2)*AB201+(1-EXP(-LN(2)/2))/(LN(2)/2)*V202*Y202*VLOOKUP('Données projet'!$B$9,Paramètres!$A$1:$I$89,3,0)*0.475*44/12</f>
        <v>1.6045798249602315E-20</v>
      </c>
      <c r="AC202" s="24">
        <f t="shared" si="163"/>
        <v>9.3756687395355094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-178.57392686804448</v>
      </c>
      <c r="AJ202" s="14">
        <f>AI202*VLOOKUP('Données projet'!$B$10,Paramètres!$A$1:$I$89,3,0)*VLOOKUP('Données projet'!$B$10,Paramètres!$A$1:$I$89,5,0)</f>
        <v>-161.57368903020665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206.38141226866287</v>
      </c>
      <c r="AO202" s="62">
        <f t="shared" si="205"/>
        <v>89.074420303945885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133.93134622584404</v>
      </c>
      <c r="AV202" s="23">
        <f>EXP(-LN(2)/25)*AV201+(1-EXP(-LN(2)/25))/(LN(2)/25)*Calculateur!AQ202*Calculateur!AS202*VLOOKUP('Données projet'!$B$10,Paramètres!$A$1:$I$89,3,0)*0.475*44/12</f>
        <v>13.837702661255113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147.76904888709916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4.65" thickBot="1" x14ac:dyDescent="0.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1.738044375088066E-13</v>
      </c>
      <c r="P203" s="14">
        <f t="shared" si="203"/>
        <v>2.4483293633950478E-12</v>
      </c>
      <c r="Q203" s="22">
        <f t="shared" si="162"/>
        <v>4.566883036574213E-12</v>
      </c>
      <c r="R203" s="62">
        <f t="shared" si="191"/>
        <v>293.33333333333786</v>
      </c>
      <c r="S203" s="62">
        <f ca="1">AVERAGE(OFFSET($R$3,0,0,'Données projet'!$E$9+1,1))-AVERAGE(OFFSET($H$3,0,0,'Données projet'!$E$9+1,1))</f>
        <v>234.06296185782384</v>
      </c>
      <c r="T203" s="62">
        <f t="shared" si="204"/>
        <v>300.75555492874378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7.8780027116590379</v>
      </c>
      <c r="AA203" s="23">
        <f>EXP(-LN(2)/25)*AA202+(1-EXP(-LN(2)/25))/(LN(2)/25)*Calculateur!V203*Calculateur!X203*VLOOKUP('Données projet'!$B$9,Paramètres!$A$1:$I$89,3,0)*0.475*44/12</f>
        <v>1.3034483730049276</v>
      </c>
      <c r="AB203" s="23">
        <f>EXP(-LN(2)/2)*AB202+(1-EXP(-LN(2)/2))/(LN(2)/2)*V203*Y203*VLOOKUP('Données projet'!$B$9,Paramètres!$A$1:$I$89,3,0)*0.475*44/12</f>
        <v>1.1346092751845031E-20</v>
      </c>
      <c r="AC203" s="24">
        <f t="shared" si="163"/>
        <v>9.1814510846639656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-178.57392686804448</v>
      </c>
      <c r="AJ203" s="14">
        <f>AI203*VLOOKUP('Données projet'!$B$10,Paramètres!$A$1:$I$89,3,0)*VLOOKUP('Données projet'!$B$10,Paramètres!$A$1:$I$89,5,0)</f>
        <v>-161.57368903020665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206.38141226866287</v>
      </c>
      <c r="AO203" s="62">
        <f t="shared" si="205"/>
        <v>89.074420303945885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131.30503421641021</v>
      </c>
      <c r="AV203" s="23">
        <f>EXP(-LN(2)/25)*AV202+(1-EXP(-LN(2)/25))/(LN(2)/25)*Calculateur!AQ203*Calculateur!AS203*VLOOKUP('Données projet'!$B$10,Paramètres!$A$1:$I$89,3,0)*0.475*44/12</f>
        <v>13.459309954289935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144.76434417070016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4.65" thickBot="1" x14ac:dyDescent="0.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4.65" thickBot="1" x14ac:dyDescent="0.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1.3467943429205997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1.1305210406333175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5" bestFit="1" customWidth="1"/>
    <col min="2" max="2" width="27.796875" style="5" bestFit="1" customWidth="1"/>
    <col min="3" max="3" width="11.86328125" style="5" bestFit="1" customWidth="1"/>
    <col min="4" max="4" width="40" style="5" bestFit="1" customWidth="1"/>
    <col min="5" max="5" width="11.86328125" style="5" bestFit="1" customWidth="1"/>
    <col min="6" max="6" width="13.796875" style="5" bestFit="1" customWidth="1"/>
    <col min="7" max="7" width="11.46484375" style="5" bestFit="1" customWidth="1"/>
    <col min="8" max="8" width="39" style="5" bestFit="1" customWidth="1"/>
    <col min="9" max="9" width="16.796875" style="5" customWidth="1"/>
    <col min="10" max="14" width="11.46484375" style="5"/>
    <col min="15" max="15" width="23.46484375" style="5" bestFit="1" customWidth="1"/>
    <col min="16" max="16384" width="11.46484375" style="5"/>
  </cols>
  <sheetData>
    <row r="1" spans="1:16" ht="43.15" thickBot="1" x14ac:dyDescent="0.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4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4.65" thickBot="1" x14ac:dyDescent="0.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4.65" thickBot="1" x14ac:dyDescent="0.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4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4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4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4.65" thickBot="1" x14ac:dyDescent="0.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4.65" thickBot="1" x14ac:dyDescent="0.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4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4.65" thickBot="1" x14ac:dyDescent="0.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4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4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4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4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4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4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4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4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4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4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4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4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4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4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4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4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4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4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4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4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4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4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4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4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4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4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4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4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4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4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4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4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4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4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4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4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4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4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4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4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4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4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4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4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4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4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4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4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4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4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4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4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4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4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4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4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4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4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4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4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4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4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4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4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4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4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4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4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4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4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4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4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4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4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4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4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4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4.65" thickBot="1" x14ac:dyDescent="0.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45">
      <c r="A93" s="131" t="s">
        <v>208</v>
      </c>
    </row>
    <row r="94" spans="1:14" x14ac:dyDescent="0.45">
      <c r="A94" s="131" t="s">
        <v>209</v>
      </c>
    </row>
    <row r="95" spans="1:14" x14ac:dyDescent="0.4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7" zoomScale="85" zoomScaleNormal="85" workbookViewId="0">
      <selection activeCell="L20" sqref="L20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5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5.9" thickBot="1" x14ac:dyDescent="0.8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4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4.65" thickBot="1" x14ac:dyDescent="0.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7.4" thickBot="1" x14ac:dyDescent="0.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45">
      <c r="A6" s="154" t="str">
        <f>IF('Données projet'!$B$9="","",'Données projet'!$B$9)</f>
        <v>Chêne rouge d'Amérique</v>
      </c>
      <c r="B6" s="155">
        <f>'Données projet'!D9</f>
        <v>3.6998000000000002</v>
      </c>
      <c r="C6" s="156">
        <f ca="1">IF(OR('Données projet'!B9="",'Données projet'!C9="",'Données projet'!C9=0%),0,Calculateur!S3)</f>
        <v>234.06296185782384</v>
      </c>
      <c r="D6" s="156">
        <f>IF(OR('Données projet'!B9="",'Données projet'!C9="",'Données projet'!C9=0%),0,Calculateur!T3)</f>
        <v>300.75555492874378</v>
      </c>
      <c r="E6" s="156">
        <f ca="1">MIN(C6,D6)</f>
        <v>234.06296185782384</v>
      </c>
      <c r="F6" s="156">
        <f ca="1">E6*B6</f>
        <v>865.98614628157668</v>
      </c>
      <c r="G6" s="156">
        <f ca="1">F6*(100%-'Données projet'!$C$24)*(100%-'Données projet'!$C$25)*(100%-'Données projet'!$C$26)*(100%-'Données projet'!$C$27)</f>
        <v>779.38753165341905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140.5924</v>
      </c>
      <c r="K6" s="160">
        <f>J6*(100%-'Données projet'!$C$24)*(100%-'Données projet'!$C$25)*(100%-'Données projet'!$C$26)*(100%-'Données projet'!$C$27)</f>
        <v>126.53316</v>
      </c>
      <c r="L6" s="161">
        <f ca="1">G6+I6+K6</f>
        <v>905.920691653419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45">
      <c r="A7" s="162" t="str">
        <f>IF('Données projet'!$B$10="","",'Données projet'!$B$10)</f>
        <v>Chêne sessile</v>
      </c>
      <c r="B7" s="163">
        <f>'Données projet'!D10</f>
        <v>1.5002</v>
      </c>
      <c r="C7" s="156">
        <f ca="1">IF(OR('Données projet'!B10="",'Données projet'!C10="",'Données projet'!C10=0%),0,Calculateur!AN3)</f>
        <v>206.38141226866287</v>
      </c>
      <c r="D7" s="156">
        <f>IF(OR('Données projet'!B10="",'Données projet'!C10="",'Données projet'!C10=0%),0,Calculateur!AO3)</f>
        <v>89.074420303945885</v>
      </c>
      <c r="E7" s="156">
        <f t="shared" ref="E7:E15" ca="1" si="0">MIN(C7,D7)</f>
        <v>89.074420303945885</v>
      </c>
      <c r="F7" s="156">
        <f t="shared" ref="F7:F15" ca="1" si="1">E7*B7</f>
        <v>133.62944533997961</v>
      </c>
      <c r="G7" s="156">
        <f ca="1">F7*(100%-'Données projet'!$C$24)*(100%-'Données projet'!$C$25)*(100%-'Données projet'!$C$26)*(100%-'Données projet'!$C$27)</f>
        <v>120.26650080598165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120.26650080598165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4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4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4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4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4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4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.65" thickBot="1" x14ac:dyDescent="0.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4.65" thickBot="1" x14ac:dyDescent="0.5">
      <c r="A16" s="226"/>
      <c r="B16" s="233"/>
      <c r="C16" s="234"/>
      <c r="D16" s="25"/>
      <c r="E16" s="25"/>
      <c r="F16" s="174">
        <f t="shared" ref="F16:L16" ca="1" si="3">SUM(F6:F15)</f>
        <v>999.61559162155629</v>
      </c>
      <c r="G16" s="175">
        <f t="shared" ca="1" si="3"/>
        <v>899.6540324594007</v>
      </c>
      <c r="H16" s="176">
        <f t="shared" si="3"/>
        <v>0</v>
      </c>
      <c r="I16" s="176">
        <f t="shared" si="3"/>
        <v>0</v>
      </c>
      <c r="J16" s="177">
        <f t="shared" si="3"/>
        <v>140.5924</v>
      </c>
      <c r="K16" s="177">
        <f t="shared" si="3"/>
        <v>126.53316</v>
      </c>
      <c r="L16" s="178">
        <f t="shared" ca="1" si="3"/>
        <v>1026.1871924594006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4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4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4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65" thickBot="1" x14ac:dyDescent="0.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.65" thickBot="1" x14ac:dyDescent="0.5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4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4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4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4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4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4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4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4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4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4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4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4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4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4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4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4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4.65" thickBot="1" x14ac:dyDescent="0.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4.65" thickBot="1" x14ac:dyDescent="0.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4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4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4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4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4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4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4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4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4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4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4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4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4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4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4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4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4.65" thickBot="1" x14ac:dyDescent="0.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4.65" thickBot="1" x14ac:dyDescent="0.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4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4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4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4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4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4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4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4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4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4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4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4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4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4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4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4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4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4.65" thickBot="1" x14ac:dyDescent="0.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4.65" thickBot="1" x14ac:dyDescent="0.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4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4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4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4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4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4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4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4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4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4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4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4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4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4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4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4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4.65" thickBot="1" x14ac:dyDescent="0.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4.65" thickBot="1" x14ac:dyDescent="0.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4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4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4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4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4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4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4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4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4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4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4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4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4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4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4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4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4.65" thickBot="1" x14ac:dyDescent="0.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4.65" thickBot="1" x14ac:dyDescent="0.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4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4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4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4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4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4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4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4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4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4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4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4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4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4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4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4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4.65" thickBot="1" x14ac:dyDescent="0.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4.65" thickBot="1" x14ac:dyDescent="0.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4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4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4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4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4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4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4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4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4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4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4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4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4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4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4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4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4.65" thickBot="1" x14ac:dyDescent="0.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4.65" thickBot="1" x14ac:dyDescent="0.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4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4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4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4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4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4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4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4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4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4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4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4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4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4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4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4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4.65" thickBot="1" x14ac:dyDescent="0.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4.65" thickBot="1" x14ac:dyDescent="0.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4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4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4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4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4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4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4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4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4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4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4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4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4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4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4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4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4.65" thickBot="1" x14ac:dyDescent="0.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4.65" thickBot="1" x14ac:dyDescent="0.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4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4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4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4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4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4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4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4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4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4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4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4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4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4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4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4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4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4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4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4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4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4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4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4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4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4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4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4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4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4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4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4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4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4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4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4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4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4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4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4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4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4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4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4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4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4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4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4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4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4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4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4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4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4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4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4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4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4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4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4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4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4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4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4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4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4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4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4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4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4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4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4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4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4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4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4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4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4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4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4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4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4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4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4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4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4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4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4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4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4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4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4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4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4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4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4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4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4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4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4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4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4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4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4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4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4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4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4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4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4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4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4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4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4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4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4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4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4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4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4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4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4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4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4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4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4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4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4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4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4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4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4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4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4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4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4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4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4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4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4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4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4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4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4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4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4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4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4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4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4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4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4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4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4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4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4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4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4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11" zoomScale="70" zoomScaleNormal="70" workbookViewId="0">
      <selection activeCell="H20" sqref="H20:I21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3" customWidth="1"/>
    <col min="7" max="7" width="17.53125" style="3" customWidth="1"/>
    <col min="8" max="8" width="21.79687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5.9" thickBot="1" x14ac:dyDescent="0.8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4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4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4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4.65" thickBot="1" x14ac:dyDescent="0.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8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4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4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4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1687.9751493960659</v>
      </c>
      <c r="U10" s="190">
        <f>'Données projet'!D9</f>
        <v>3.6998000000000002</v>
      </c>
      <c r="V10" s="189">
        <f>U10*T10</f>
        <v>6245.1704577355649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4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523.13083850173666</v>
      </c>
      <c r="U11" s="190">
        <f>'Données projet'!D10</f>
        <v>1.5002</v>
      </c>
      <c r="V11" s="189">
        <f t="shared" ref="V11" si="0">U11*T11</f>
        <v>784.8008839203053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4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4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4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45">
      <c r="A15" s="5"/>
      <c r="B15" s="5"/>
      <c r="C15" s="5"/>
      <c r="D15" s="5"/>
      <c r="E15" s="5"/>
      <c r="F15" s="261"/>
      <c r="G15" s="342" t="s">
        <v>318</v>
      </c>
      <c r="H15" s="203">
        <v>1</v>
      </c>
      <c r="I15" s="204">
        <v>2621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4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4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69.999999999999872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4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4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559.99999999999898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4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>
        <v>6900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4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1396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4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45">
      <c r="A23" s="192">
        <f>'Données projet'!A36</f>
        <v>15</v>
      </c>
      <c r="B23" s="193">
        <f>'Données projet'!D36</f>
        <v>21</v>
      </c>
      <c r="C23" s="206">
        <v>8</v>
      </c>
      <c r="D23" s="194">
        <f>B23*C23</f>
        <v>168</v>
      </c>
      <c r="E23" s="206">
        <v>60</v>
      </c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-22455.198869648822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45">
      <c r="A24" s="192">
        <f>'Données projet'!A37</f>
        <v>20</v>
      </c>
      <c r="B24" s="193">
        <f>'Données projet'!D37</f>
        <v>43</v>
      </c>
      <c r="C24" s="206">
        <v>8</v>
      </c>
      <c r="D24" s="194">
        <f t="shared" ref="D24:D42" si="2">B24*C24</f>
        <v>344</v>
      </c>
      <c r="E24" s="206">
        <v>60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133.67526057394539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45">
      <c r="A25" s="192">
        <f>'Données projet'!A38</f>
        <v>25</v>
      </c>
      <c r="B25" s="193">
        <f>'Données projet'!D38</f>
        <v>44</v>
      </c>
      <c r="C25" s="206">
        <v>8</v>
      </c>
      <c r="D25" s="194">
        <f t="shared" si="2"/>
        <v>352</v>
      </c>
      <c r="E25" s="206">
        <v>60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-22588.874130222768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45">
      <c r="A26" s="192">
        <f>'Données projet'!A39</f>
        <v>30</v>
      </c>
      <c r="B26" s="193">
        <f>'Données projet'!D39</f>
        <v>44</v>
      </c>
      <c r="C26" s="206">
        <v>8</v>
      </c>
      <c r="D26" s="194">
        <f t="shared" si="2"/>
        <v>352</v>
      </c>
      <c r="E26" s="206">
        <v>60</v>
      </c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45">
      <c r="A27" s="192">
        <f>'Données projet'!A40</f>
        <v>35</v>
      </c>
      <c r="B27" s="193">
        <f>'Données projet'!D40</f>
        <v>42</v>
      </c>
      <c r="C27" s="206">
        <v>16</v>
      </c>
      <c r="D27" s="194">
        <f t="shared" si="2"/>
        <v>672</v>
      </c>
      <c r="E27" s="206">
        <v>60</v>
      </c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45">
      <c r="A28" s="192">
        <f>'Données projet'!A41</f>
        <v>40</v>
      </c>
      <c r="B28" s="193">
        <f>'Données projet'!D41</f>
        <v>39</v>
      </c>
      <c r="C28" s="206">
        <v>16</v>
      </c>
      <c r="D28" s="194">
        <f t="shared" si="2"/>
        <v>624</v>
      </c>
      <c r="E28" s="206">
        <v>60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45">
      <c r="A29" s="192">
        <f>'Données projet'!A42</f>
        <v>45</v>
      </c>
      <c r="B29" s="193">
        <f>'Données projet'!D42</f>
        <v>36</v>
      </c>
      <c r="C29" s="206">
        <v>24</v>
      </c>
      <c r="D29" s="194">
        <f t="shared" si="2"/>
        <v>864</v>
      </c>
      <c r="E29" s="206">
        <v>60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45">
      <c r="A30" s="192">
        <f>'Données projet'!A43</f>
        <v>50</v>
      </c>
      <c r="B30" s="193">
        <f>'Données projet'!D43</f>
        <v>33</v>
      </c>
      <c r="C30" s="206">
        <v>32</v>
      </c>
      <c r="D30" s="194">
        <f t="shared" si="2"/>
        <v>1056</v>
      </c>
      <c r="E30" s="206">
        <v>60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45">
      <c r="A31" s="192">
        <f>'Données projet'!A44</f>
        <v>55</v>
      </c>
      <c r="B31" s="193">
        <f>'Données projet'!D44</f>
        <v>29</v>
      </c>
      <c r="C31" s="206">
        <v>40</v>
      </c>
      <c r="D31" s="194">
        <f t="shared" si="2"/>
        <v>1160</v>
      </c>
      <c r="E31" s="206">
        <v>60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45">
      <c r="A32" s="192">
        <f>'Données projet'!A45</f>
        <v>60</v>
      </c>
      <c r="B32" s="193">
        <f>'Données projet'!D45</f>
        <v>26</v>
      </c>
      <c r="C32" s="206">
        <v>48</v>
      </c>
      <c r="D32" s="194">
        <f t="shared" si="2"/>
        <v>1248</v>
      </c>
      <c r="E32" s="206">
        <v>60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45">
      <c r="A33" s="192">
        <f>'Données projet'!A46</f>
        <v>65</v>
      </c>
      <c r="B33" s="193">
        <f>'Données projet'!D46</f>
        <v>23</v>
      </c>
      <c r="C33" s="206">
        <v>56</v>
      </c>
      <c r="D33" s="194">
        <f t="shared" si="2"/>
        <v>1288</v>
      </c>
      <c r="E33" s="206">
        <v>60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45">
      <c r="A34" s="192">
        <f>'Données projet'!A47</f>
        <v>70</v>
      </c>
      <c r="B34" s="193">
        <f>'Données projet'!D47</f>
        <v>249</v>
      </c>
      <c r="C34" s="206">
        <v>56</v>
      </c>
      <c r="D34" s="194">
        <f t="shared" si="2"/>
        <v>13944</v>
      </c>
      <c r="E34" s="206">
        <v>60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4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4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4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4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4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4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4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4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4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4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4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4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4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4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4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4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4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4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4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45">
      <c r="A54" s="192">
        <f>'Données projet'!A62</f>
        <v>36</v>
      </c>
      <c r="B54" s="193">
        <f>'Données projet'!D62</f>
        <v>0</v>
      </c>
      <c r="C54" s="204">
        <v>8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45">
      <c r="A55" s="192">
        <f>'Données projet'!A63</f>
        <v>44</v>
      </c>
      <c r="B55" s="193">
        <f>'Données projet'!D63</f>
        <v>0</v>
      </c>
      <c r="C55" s="204">
        <v>20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45">
      <c r="A56" s="192">
        <f>'Données projet'!A64</f>
        <v>52</v>
      </c>
      <c r="B56" s="193">
        <f>'Données projet'!D64</f>
        <v>29</v>
      </c>
      <c r="C56" s="204">
        <v>20</v>
      </c>
      <c r="D56" s="191">
        <f t="shared" si="4"/>
        <v>580</v>
      </c>
      <c r="E56" s="206">
        <v>60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45">
      <c r="A57" s="192">
        <f>'Données projet'!A65</f>
        <v>60</v>
      </c>
      <c r="B57" s="193">
        <f>'Données projet'!D65</f>
        <v>30</v>
      </c>
      <c r="C57" s="204">
        <v>40</v>
      </c>
      <c r="D57" s="191">
        <f t="shared" si="4"/>
        <v>1200</v>
      </c>
      <c r="E57" s="206">
        <v>60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45">
      <c r="A58" s="192">
        <f>'Données projet'!A66</f>
        <v>68</v>
      </c>
      <c r="B58" s="193">
        <f>'Données projet'!D66</f>
        <v>31</v>
      </c>
      <c r="C58" s="204">
        <v>40</v>
      </c>
      <c r="D58" s="191">
        <f t="shared" si="4"/>
        <v>1240</v>
      </c>
      <c r="E58" s="206">
        <v>60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45">
      <c r="A59" s="192">
        <f>'Données projet'!A67</f>
        <v>78</v>
      </c>
      <c r="B59" s="193">
        <f>'Données projet'!D67</f>
        <v>32</v>
      </c>
      <c r="C59" s="204">
        <v>60</v>
      </c>
      <c r="D59" s="191">
        <f t="shared" si="4"/>
        <v>1920</v>
      </c>
      <c r="E59" s="206">
        <v>60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45">
      <c r="A60" s="192">
        <f>'Données projet'!A68</f>
        <v>88</v>
      </c>
      <c r="B60" s="193">
        <f>'Données projet'!D68</f>
        <v>35</v>
      </c>
      <c r="C60" s="204">
        <v>120</v>
      </c>
      <c r="D60" s="191">
        <f t="shared" si="4"/>
        <v>4200</v>
      </c>
      <c r="E60" s="206">
        <v>60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45">
      <c r="A61" s="192">
        <f>'Données projet'!A69</f>
        <v>98</v>
      </c>
      <c r="B61" s="193">
        <f>'Données projet'!D69</f>
        <v>34</v>
      </c>
      <c r="C61" s="204">
        <v>120</v>
      </c>
      <c r="D61" s="191">
        <f t="shared" si="4"/>
        <v>4080</v>
      </c>
      <c r="E61" s="206">
        <v>60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45">
      <c r="A62" s="192">
        <f>'Données projet'!A70</f>
        <v>108</v>
      </c>
      <c r="B62" s="193">
        <f>'Données projet'!D70</f>
        <v>39</v>
      </c>
      <c r="C62" s="204">
        <v>120</v>
      </c>
      <c r="D62" s="191">
        <f t="shared" si="4"/>
        <v>4680</v>
      </c>
      <c r="E62" s="206">
        <v>60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45">
      <c r="A63" s="192">
        <f>'Données projet'!A71</f>
        <v>118</v>
      </c>
      <c r="B63" s="193">
        <f>'Données projet'!D71</f>
        <v>40</v>
      </c>
      <c r="C63" s="204">
        <v>120</v>
      </c>
      <c r="D63" s="191">
        <f t="shared" si="4"/>
        <v>4800</v>
      </c>
      <c r="E63" s="206">
        <v>60</v>
      </c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45">
      <c r="A64" s="192">
        <f>'Données projet'!A72</f>
        <v>128</v>
      </c>
      <c r="B64" s="193">
        <f>'Données projet'!D72</f>
        <v>39</v>
      </c>
      <c r="C64" s="204">
        <v>120</v>
      </c>
      <c r="D64" s="191">
        <f t="shared" si="4"/>
        <v>4680</v>
      </c>
      <c r="E64" s="206">
        <v>60</v>
      </c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45">
      <c r="A65" s="192">
        <f>'Données projet'!A73</f>
        <v>138</v>
      </c>
      <c r="B65" s="193">
        <f>'Données projet'!D73</f>
        <v>39</v>
      </c>
      <c r="C65" s="204">
        <v>120</v>
      </c>
      <c r="D65" s="191">
        <f t="shared" si="4"/>
        <v>4680</v>
      </c>
      <c r="E65" s="206">
        <v>60</v>
      </c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45">
      <c r="A66" s="192">
        <f>'Données projet'!A74</f>
        <v>148</v>
      </c>
      <c r="B66" s="193">
        <f>'Données projet'!D74</f>
        <v>41</v>
      </c>
      <c r="C66" s="204">
        <v>160</v>
      </c>
      <c r="D66" s="191">
        <f t="shared" si="4"/>
        <v>6560</v>
      </c>
      <c r="E66" s="206">
        <v>60</v>
      </c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45">
      <c r="A67" s="192">
        <f>'Données projet'!A75</f>
        <v>185</v>
      </c>
      <c r="B67" s="193">
        <f>'Données projet'!D75</f>
        <v>41</v>
      </c>
      <c r="C67" s="204">
        <v>160</v>
      </c>
      <c r="D67" s="191">
        <f t="shared" si="4"/>
        <v>6560</v>
      </c>
      <c r="E67" s="206">
        <v>60</v>
      </c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45">
      <c r="A68" s="192">
        <f>'Données projet'!A76</f>
        <v>168</v>
      </c>
      <c r="B68" s="193">
        <f>'Données projet'!D76</f>
        <v>41</v>
      </c>
      <c r="C68" s="204">
        <v>160</v>
      </c>
      <c r="D68" s="191">
        <f t="shared" si="4"/>
        <v>6560</v>
      </c>
      <c r="E68" s="206">
        <v>60</v>
      </c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45">
      <c r="A69" s="192">
        <f>'Données projet'!A77</f>
        <v>180</v>
      </c>
      <c r="B69" s="193">
        <f>'Données projet'!D77</f>
        <v>368</v>
      </c>
      <c r="C69" s="204">
        <v>160</v>
      </c>
      <c r="D69" s="191">
        <f t="shared" si="4"/>
        <v>58880</v>
      </c>
      <c r="E69" s="206">
        <v>60</v>
      </c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4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4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4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4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4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4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4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4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4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4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4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4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4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4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4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4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4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4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4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4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4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4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4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4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4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4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4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4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4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4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4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4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4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4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4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4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4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4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4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4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4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4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4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4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4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4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4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4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4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4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4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4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4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4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4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4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4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4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4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4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4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4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4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4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4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4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4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4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4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4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4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4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4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4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4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4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4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4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4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4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4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4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4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4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4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4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4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4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4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4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4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4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4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4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4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4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4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4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4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4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4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4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4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4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4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4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4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4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4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4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4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4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4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4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4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4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4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4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4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4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4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4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4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4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4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4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4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4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4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4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4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4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4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4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4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4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4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4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4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4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4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4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4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4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4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4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4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4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4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4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4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4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4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4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4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4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4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4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4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4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4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4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4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4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4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4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4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4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4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4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4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4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4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4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4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4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4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4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4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4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4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4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4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4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4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4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4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4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4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4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4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4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4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4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4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4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4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4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4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4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4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4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4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4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4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4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4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4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4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4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4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4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4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4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4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4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4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4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4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4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4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4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4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4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4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4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4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4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4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4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4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4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4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4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4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4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4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4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4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4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4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4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4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4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4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4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4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4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4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4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4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4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4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4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4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4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4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4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4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4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4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4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4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4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4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4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4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4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4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4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4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4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4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4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4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4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4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4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4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4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4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4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4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4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4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4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4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4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4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4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4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4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4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4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4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4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4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4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4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4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4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4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4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4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4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4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4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4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4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4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4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4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4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4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4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4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4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4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4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4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4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4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4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4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4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4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4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4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4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4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4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4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4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4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4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4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4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4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4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4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4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4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4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4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4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4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4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4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4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4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4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4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4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4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4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4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4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4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4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4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4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4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4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4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4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4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4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4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4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4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4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4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4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4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4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4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4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4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4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4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4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4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4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4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4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4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4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4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4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4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4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4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4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4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4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4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4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4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4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4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4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4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4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4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4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4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4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4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4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4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4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4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4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4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4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4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4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4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4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4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4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4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4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4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4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4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4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4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4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4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4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4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4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4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4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4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4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4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4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4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4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4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4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4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4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4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4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4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4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4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4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4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4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4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4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4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4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4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4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4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4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4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4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4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4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4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4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4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4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4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4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4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4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4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4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4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4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4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4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4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4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4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4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2022-06-09T15:54:57Z</dcterms:modified>
</cp:coreProperties>
</file>