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on\Desktop\Google Drive\CABINET LORNE\2_LABEL CARBONE\Projet\RECONSTITUTION - PUCEUL (44)\DOSSIER LBC\"/>
    </mc:Choice>
  </mc:AlternateContent>
  <bookViews>
    <workbookView xWindow="0" yWindow="0" windowWidth="2370" windowHeight="0" tabRatio="764"/>
  </bookViews>
  <sheets>
    <sheet name="2-REA " sheetId="28" r:id="rId1"/>
    <sheet name="VAN " sheetId="31" r:id="rId2"/>
    <sheet name="Inputs" sheetId="19" r:id="rId3"/>
    <sheet name="Inputs - Tables de production" sheetId="10" r:id="rId4"/>
    <sheet name="VERRA" sheetId="32" r:id="rId5"/>
    <sheet name="Lexique" sheetId="30" r:id="rId6"/>
  </sheets>
  <externalReferences>
    <externalReference r:id="rId7"/>
    <externalReference r:id="rId8"/>
  </externalReferences>
  <definedNames>
    <definedName name="CF" localSheetId="1">[1]Inputs!$B$1:$D$1</definedName>
    <definedName name="CF">Class_Fertilite[Classe de fertilité]</definedName>
    <definedName name="d" localSheetId="0">infradensite[]</definedName>
    <definedName name="ESS" localSheetId="1">[1]Inputs!$A$2:$A$11</definedName>
    <definedName name="ESS">Inputs!$A$2:$A$13</definedName>
    <definedName name="Rab" localSheetId="1">[1]Inputs!$A$34:$A$37</definedName>
    <definedName name="Rab">Inputs!$A$78:$A$81</definedName>
    <definedName name="SMLT">Inputs!$B$17:$G$28</definedName>
    <definedName name="Tc">'2-REA '!$C$32</definedName>
    <definedName name="TPR" localSheetId="1">[1]Inputs!#REF!</definedName>
    <definedName name="TPR">Inputs!$A$62:$A$75</definedName>
    <definedName name="Vbi" localSheetId="1">[1]Inputs!$L$2:$N$109</definedName>
    <definedName name="Vbi">Inputs!$R$2:$W$13</definedName>
    <definedName name="Vbo">[1]Inputs!$G$2:$I$11</definedName>
    <definedName name="Vt" localSheetId="1">[1]Inputs!$B$2:$D$11</definedName>
    <definedName name="Vt">Inputs!$B$2:$G$13</definedName>
    <definedName name="_xlnm.Print_Area" localSheetId="0">'2-REA '!$A$1:$T$84</definedName>
    <definedName name="_xlnm.Print_Area" localSheetId="2">Inputs!$A$1:$W$186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28" l="1"/>
  <c r="C36" i="28"/>
  <c r="D58" i="31" l="1"/>
  <c r="F39" i="31"/>
  <c r="F38" i="31"/>
  <c r="F40" i="31"/>
  <c r="F41" i="31"/>
  <c r="F42" i="31"/>
  <c r="F43" i="31"/>
  <c r="F44" i="31"/>
  <c r="F45" i="31"/>
  <c r="F46" i="31"/>
  <c r="F47" i="31"/>
  <c r="F48" i="31"/>
  <c r="F49" i="31"/>
  <c r="F50" i="31"/>
  <c r="F51" i="31"/>
  <c r="F35" i="31"/>
  <c r="D61" i="31"/>
  <c r="D4" i="31"/>
  <c r="L56" i="31"/>
  <c r="L36" i="31"/>
  <c r="L37" i="31"/>
  <c r="L38" i="31"/>
  <c r="L39" i="31"/>
  <c r="L40" i="31"/>
  <c r="L41" i="31"/>
  <c r="L42" i="31"/>
  <c r="L43" i="31"/>
  <c r="L44" i="31"/>
  <c r="L45" i="31"/>
  <c r="L46" i="31"/>
  <c r="L47" i="31"/>
  <c r="L48" i="31"/>
  <c r="L49" i="31"/>
  <c r="L50" i="31"/>
  <c r="L51" i="31"/>
  <c r="L52" i="31"/>
  <c r="L53" i="31"/>
  <c r="L54" i="31"/>
  <c r="L55" i="31"/>
  <c r="J37" i="31"/>
  <c r="K36" i="31"/>
  <c r="D37" i="31"/>
  <c r="J26" i="31"/>
  <c r="H26" i="31"/>
  <c r="D41" i="31"/>
  <c r="D42" i="31"/>
  <c r="D43" i="31"/>
  <c r="D44" i="31"/>
  <c r="D45" i="31"/>
  <c r="D46" i="31"/>
  <c r="D47" i="31"/>
  <c r="D48" i="31"/>
  <c r="D49" i="31"/>
  <c r="D50" i="31"/>
  <c r="D51" i="31"/>
  <c r="D40" i="31"/>
  <c r="C41" i="31"/>
  <c r="C42" i="31"/>
  <c r="C43" i="31"/>
  <c r="C44" i="31"/>
  <c r="C45" i="31"/>
  <c r="C46" i="31"/>
  <c r="C47" i="31"/>
  <c r="C48" i="31"/>
  <c r="C49" i="31"/>
  <c r="C50" i="31"/>
  <c r="C51" i="31"/>
  <c r="C40" i="31"/>
  <c r="J41" i="31"/>
  <c r="J42" i="31"/>
  <c r="J43" i="31"/>
  <c r="J44" i="31"/>
  <c r="J45" i="31"/>
  <c r="J46" i="31"/>
  <c r="J47" i="31"/>
  <c r="J48" i="31"/>
  <c r="J49" i="31"/>
  <c r="J50" i="31"/>
  <c r="J51" i="31"/>
  <c r="J52" i="31"/>
  <c r="J53" i="31"/>
  <c r="J54" i="31"/>
  <c r="J55" i="31"/>
  <c r="J40" i="31"/>
  <c r="I41" i="31"/>
  <c r="I42" i="31"/>
  <c r="I43" i="31"/>
  <c r="I44" i="31"/>
  <c r="I45" i="31"/>
  <c r="I46" i="31"/>
  <c r="I47" i="31"/>
  <c r="I48" i="31"/>
  <c r="I49" i="31"/>
  <c r="I50" i="31"/>
  <c r="I51" i="31"/>
  <c r="I52" i="31"/>
  <c r="I53" i="31"/>
  <c r="I54" i="31"/>
  <c r="I55" i="31"/>
  <c r="I40" i="31"/>
  <c r="E38" i="31"/>
  <c r="H22" i="31" l="1"/>
  <c r="B20" i="31"/>
  <c r="B15" i="31"/>
  <c r="H14" i="31"/>
  <c r="F14" i="31" s="1"/>
  <c r="H13" i="31"/>
  <c r="H12" i="31"/>
  <c r="D3" i="19" l="1"/>
  <c r="H24" i="28"/>
  <c r="D30" i="31" l="1"/>
  <c r="H16" i="31"/>
  <c r="F13" i="31"/>
  <c r="E36" i="31" s="1"/>
  <c r="F36" i="31" s="1"/>
  <c r="H11" i="31"/>
  <c r="X49" i="31" l="1"/>
  <c r="X51" i="31"/>
  <c r="R39" i="31"/>
  <c r="X47" i="31"/>
  <c r="R40" i="31"/>
  <c r="X48" i="31"/>
  <c r="R52" i="31"/>
  <c r="L35" i="31"/>
  <c r="R53" i="31"/>
  <c r="X40" i="31"/>
  <c r="R44" i="31"/>
  <c r="R54" i="31"/>
  <c r="X41" i="31"/>
  <c r="X52" i="31"/>
  <c r="R35" i="31"/>
  <c r="R45" i="31"/>
  <c r="X43" i="31"/>
  <c r="X53" i="31"/>
  <c r="X36" i="31"/>
  <c r="R50" i="31"/>
  <c r="R37" i="31"/>
  <c r="R46" i="31"/>
  <c r="X44" i="31"/>
  <c r="X55" i="31"/>
  <c r="R49" i="31"/>
  <c r="X37" i="31"/>
  <c r="R41" i="31"/>
  <c r="X38" i="31"/>
  <c r="R42" i="31"/>
  <c r="R38" i="31"/>
  <c r="R48" i="31"/>
  <c r="X45" i="31"/>
  <c r="F37" i="31"/>
  <c r="F52" i="31" s="1"/>
  <c r="D63" i="31" s="1"/>
  <c r="R36" i="31"/>
  <c r="R43" i="31"/>
  <c r="R47" i="31"/>
  <c r="R51" i="31"/>
  <c r="R55" i="31"/>
  <c r="X35" i="31"/>
  <c r="X39" i="31"/>
  <c r="X42" i="31"/>
  <c r="X46" i="31"/>
  <c r="X50" i="31"/>
  <c r="X54" i="31"/>
  <c r="H15" i="31"/>
  <c r="F15" i="31" s="1"/>
  <c r="H20" i="31"/>
  <c r="F20" i="31" s="1"/>
  <c r="H21" i="31" l="1"/>
  <c r="H23" i="31" s="1"/>
  <c r="H24" i="31" s="1"/>
  <c r="H25" i="31" s="1"/>
  <c r="AS13" i="32" l="1"/>
  <c r="AT13" i="32" s="1"/>
  <c r="AU13" i="32" s="1"/>
  <c r="AS14" i="32"/>
  <c r="AS15" i="32"/>
  <c r="AS16" i="32"/>
  <c r="AS17" i="32"/>
  <c r="AS18" i="32"/>
  <c r="AS19" i="32"/>
  <c r="AT19" i="32" s="1"/>
  <c r="AU19" i="32" s="1"/>
  <c r="AS20" i="32"/>
  <c r="AS21" i="32"/>
  <c r="AT21" i="32" s="1"/>
  <c r="AU21" i="32" s="1"/>
  <c r="AS22" i="32"/>
  <c r="AS23" i="32"/>
  <c r="AT23" i="32" s="1"/>
  <c r="AU23" i="32" s="1"/>
  <c r="AS24" i="32"/>
  <c r="AS25" i="32"/>
  <c r="AS26" i="32"/>
  <c r="AS27" i="32"/>
  <c r="AS28" i="32"/>
  <c r="AT28" i="32" s="1"/>
  <c r="AU28" i="32" s="1"/>
  <c r="AS29" i="32"/>
  <c r="AT29" i="32" s="1"/>
  <c r="AU29" i="32" s="1"/>
  <c r="AS30" i="32"/>
  <c r="AS31" i="32"/>
  <c r="AT31" i="32" s="1"/>
  <c r="AU31" i="32" s="1"/>
  <c r="AS32" i="32"/>
  <c r="AS33" i="32"/>
  <c r="AS34" i="32"/>
  <c r="AS12" i="32"/>
  <c r="AT12" i="32" s="1"/>
  <c r="AU12" i="32" s="1"/>
  <c r="AT18" i="32"/>
  <c r="AU18" i="32" s="1"/>
  <c r="AT20" i="32"/>
  <c r="AU20" i="32" s="1"/>
  <c r="AT26" i="32"/>
  <c r="AU26" i="32" s="1"/>
  <c r="AT34" i="32"/>
  <c r="AU34" i="32" s="1"/>
  <c r="AT14" i="32"/>
  <c r="AU14" i="32" s="1"/>
  <c r="AT15" i="32"/>
  <c r="AU15" i="32" s="1"/>
  <c r="AT16" i="32"/>
  <c r="AU16" i="32" s="1"/>
  <c r="AT17" i="32"/>
  <c r="AU17" i="32" s="1"/>
  <c r="AT22" i="32"/>
  <c r="AU22" i="32" s="1"/>
  <c r="AT32" i="32"/>
  <c r="AU32" i="32" s="1"/>
  <c r="AT24" i="32"/>
  <c r="AU24" i="32" s="1"/>
  <c r="AT25" i="32"/>
  <c r="AU25" i="32" s="1"/>
  <c r="AT27" i="32"/>
  <c r="AU27" i="32" s="1"/>
  <c r="AT30" i="32"/>
  <c r="AU30" i="32" s="1"/>
  <c r="AT33" i="32"/>
  <c r="AU33" i="32" s="1"/>
  <c r="AU35" i="32" l="1"/>
  <c r="AP7" i="32" s="1"/>
  <c r="AQ13" i="32"/>
  <c r="AQ14" i="32"/>
  <c r="AQ15" i="32"/>
  <c r="AQ16" i="32"/>
  <c r="AQ17" i="32"/>
  <c r="AQ18" i="32"/>
  <c r="AQ19" i="32"/>
  <c r="AQ20" i="32"/>
  <c r="AQ21" i="32"/>
  <c r="AQ22" i="32"/>
  <c r="AQ23" i="32"/>
  <c r="AQ24" i="32"/>
  <c r="AQ25" i="32"/>
  <c r="AQ26" i="32"/>
  <c r="AQ27" i="32"/>
  <c r="AQ28" i="32"/>
  <c r="AQ29" i="32"/>
  <c r="AQ30" i="32"/>
  <c r="AQ31" i="32"/>
  <c r="AQ32" i="32"/>
  <c r="AQ33" i="32"/>
  <c r="AQ34" i="32"/>
  <c r="AQ12" i="32"/>
  <c r="AK50" i="32" l="1"/>
  <c r="AK51" i="32"/>
  <c r="AK52" i="32"/>
  <c r="AK53" i="32"/>
  <c r="AK54" i="32"/>
  <c r="AK55" i="32"/>
  <c r="AK56" i="32"/>
  <c r="AK57" i="32"/>
  <c r="AK58" i="32"/>
  <c r="AK59" i="32"/>
  <c r="AK60" i="32"/>
  <c r="AK61" i="32"/>
  <c r="AK62" i="32"/>
  <c r="AK63" i="32"/>
  <c r="AK64" i="32"/>
  <c r="AK65" i="32"/>
  <c r="AK66" i="32"/>
  <c r="AK67" i="32"/>
  <c r="AK68" i="32"/>
  <c r="AK69" i="32"/>
  <c r="AK70" i="32"/>
  <c r="AK71" i="32"/>
  <c r="AK72" i="32"/>
  <c r="AK73" i="32"/>
  <c r="AK74" i="32"/>
  <c r="AK75" i="32"/>
  <c r="AK76" i="32"/>
  <c r="AK77" i="32"/>
  <c r="AK78" i="32"/>
  <c r="AK79" i="32"/>
  <c r="AK80" i="32"/>
  <c r="AK81" i="32"/>
  <c r="AK82" i="32"/>
  <c r="AK83" i="32"/>
  <c r="AK84" i="32"/>
  <c r="AK85" i="32"/>
  <c r="AK86" i="32"/>
  <c r="AK87" i="32"/>
  <c r="AK88" i="32"/>
  <c r="AK89" i="32"/>
  <c r="AK90" i="32"/>
  <c r="AK91" i="32"/>
  <c r="AK92" i="32"/>
  <c r="AK93" i="32"/>
  <c r="AK94" i="32"/>
  <c r="AK95" i="32"/>
  <c r="AK96" i="32"/>
  <c r="AK97" i="32"/>
  <c r="AK98" i="32"/>
  <c r="AK99" i="32"/>
  <c r="AK100" i="32"/>
  <c r="AK101" i="32"/>
  <c r="AK102" i="32"/>
  <c r="AK103" i="32"/>
  <c r="AK104" i="32"/>
  <c r="AK105" i="32"/>
  <c r="AK106" i="32"/>
  <c r="AK107" i="32"/>
  <c r="AK108" i="32"/>
  <c r="AK109" i="32"/>
  <c r="AK110" i="32"/>
  <c r="AK49" i="32"/>
  <c r="AL49" i="32" s="1"/>
  <c r="AI50" i="32"/>
  <c r="AI51" i="32"/>
  <c r="AI52" i="32"/>
  <c r="AI53" i="32"/>
  <c r="AI54" i="32"/>
  <c r="AI55" i="32"/>
  <c r="AI56" i="32"/>
  <c r="AI57" i="32"/>
  <c r="AI58" i="32"/>
  <c r="AI59" i="32"/>
  <c r="AI60" i="32"/>
  <c r="AI61" i="32"/>
  <c r="AI62" i="32"/>
  <c r="AI63" i="32"/>
  <c r="AI64" i="32"/>
  <c r="AI65" i="32"/>
  <c r="AI66" i="32"/>
  <c r="AI67" i="32"/>
  <c r="AI68" i="32"/>
  <c r="AI69" i="32"/>
  <c r="AI70" i="32"/>
  <c r="AI71" i="32"/>
  <c r="AI72" i="32"/>
  <c r="AI73" i="32"/>
  <c r="AI74" i="32"/>
  <c r="AI75" i="32"/>
  <c r="AI76" i="32"/>
  <c r="AI77" i="32"/>
  <c r="AI78" i="32"/>
  <c r="AI79" i="32"/>
  <c r="AI80" i="32"/>
  <c r="AI81" i="32"/>
  <c r="AI82" i="32"/>
  <c r="AI83" i="32"/>
  <c r="AI84" i="32"/>
  <c r="AI85" i="32"/>
  <c r="AI86" i="32"/>
  <c r="AI87" i="32"/>
  <c r="AI88" i="32"/>
  <c r="AI89" i="32"/>
  <c r="AI90" i="32"/>
  <c r="AI91" i="32"/>
  <c r="AI92" i="32"/>
  <c r="AI93" i="32"/>
  <c r="AI94" i="32"/>
  <c r="AI95" i="32"/>
  <c r="AI96" i="32"/>
  <c r="AI97" i="32"/>
  <c r="AI98" i="32"/>
  <c r="AI99" i="32"/>
  <c r="AI100" i="32"/>
  <c r="AI101" i="32"/>
  <c r="AI102" i="32"/>
  <c r="AI103" i="32"/>
  <c r="AI104" i="32"/>
  <c r="AI105" i="32"/>
  <c r="AI106" i="32"/>
  <c r="AI107" i="32"/>
  <c r="AI108" i="32"/>
  <c r="AI109" i="32"/>
  <c r="AI110" i="32"/>
  <c r="AI49" i="32"/>
  <c r="AJ49" i="32" s="1"/>
  <c r="AG50" i="32"/>
  <c r="AG51" i="32"/>
  <c r="AG52" i="32"/>
  <c r="AG53" i="32"/>
  <c r="AG54" i="32"/>
  <c r="AG55" i="32"/>
  <c r="AG56" i="32"/>
  <c r="AG57" i="32"/>
  <c r="AG58" i="32"/>
  <c r="AG59" i="32"/>
  <c r="AG60" i="32"/>
  <c r="AG61" i="32"/>
  <c r="AG62" i="32"/>
  <c r="AG63" i="32"/>
  <c r="AG64" i="32"/>
  <c r="AG65" i="32"/>
  <c r="AG66" i="32"/>
  <c r="AG67" i="32"/>
  <c r="AG68" i="32"/>
  <c r="AG69" i="32"/>
  <c r="AG70" i="32"/>
  <c r="AG71" i="32"/>
  <c r="AG72" i="32"/>
  <c r="AG73" i="32"/>
  <c r="AG74" i="32"/>
  <c r="AG75" i="32"/>
  <c r="AG76" i="32"/>
  <c r="AG77" i="32"/>
  <c r="AG78" i="32"/>
  <c r="AG79" i="32"/>
  <c r="AG80" i="32"/>
  <c r="AG81" i="32"/>
  <c r="AG82" i="32"/>
  <c r="AG83" i="32"/>
  <c r="AG84" i="32"/>
  <c r="AG85" i="32"/>
  <c r="AG86" i="32"/>
  <c r="AG87" i="32"/>
  <c r="AG88" i="32"/>
  <c r="AG89" i="32"/>
  <c r="AG90" i="32"/>
  <c r="AG91" i="32"/>
  <c r="AG92" i="32"/>
  <c r="AG93" i="32"/>
  <c r="AG94" i="32"/>
  <c r="AG95" i="32"/>
  <c r="AG96" i="32"/>
  <c r="AG97" i="32"/>
  <c r="AG98" i="32"/>
  <c r="AG99" i="32"/>
  <c r="AG100" i="32"/>
  <c r="AG101" i="32"/>
  <c r="AG102" i="32"/>
  <c r="AG103" i="32"/>
  <c r="AG104" i="32"/>
  <c r="AG105" i="32"/>
  <c r="AG106" i="32"/>
  <c r="AG107" i="32"/>
  <c r="AG108" i="32"/>
  <c r="AG109" i="32"/>
  <c r="AG110" i="32"/>
  <c r="AG49" i="32"/>
  <c r="AM12" i="32"/>
  <c r="AM13" i="32"/>
  <c r="AM14" i="32"/>
  <c r="AM15" i="32"/>
  <c r="AM16" i="32"/>
  <c r="AM17" i="32"/>
  <c r="AM18" i="32"/>
  <c r="AM19" i="32"/>
  <c r="AM20" i="32"/>
  <c r="AM21" i="32"/>
  <c r="AL13" i="32"/>
  <c r="AL14" i="32"/>
  <c r="AL15" i="32"/>
  <c r="AL16" i="32"/>
  <c r="AL17" i="32"/>
  <c r="AL18" i="32"/>
  <c r="AL19" i="32"/>
  <c r="AL20" i="32"/>
  <c r="AL21" i="32"/>
  <c r="AL12" i="32"/>
  <c r="AJ12" i="32"/>
  <c r="AJ13" i="32"/>
  <c r="AJ14" i="32"/>
  <c r="AJ15" i="32"/>
  <c r="AJ16" i="32"/>
  <c r="AJ17" i="32"/>
  <c r="AJ18" i="32"/>
  <c r="AJ19" i="32"/>
  <c r="AJ20" i="32"/>
  <c r="AJ21" i="32"/>
  <c r="AI13" i="32"/>
  <c r="AI14" i="32"/>
  <c r="AI15" i="32"/>
  <c r="AI16" i="32"/>
  <c r="AI17" i="32"/>
  <c r="AI18" i="32"/>
  <c r="AI19" i="32"/>
  <c r="AI20" i="32"/>
  <c r="AI21" i="32"/>
  <c r="AI12" i="32"/>
  <c r="AG13" i="32"/>
  <c r="AG14" i="32"/>
  <c r="AG15" i="32"/>
  <c r="AG16" i="32"/>
  <c r="AG17" i="32"/>
  <c r="AG18" i="32"/>
  <c r="AG19" i="32"/>
  <c r="AG20" i="32"/>
  <c r="AG21" i="32"/>
  <c r="AG12" i="32"/>
  <c r="AF13" i="32"/>
  <c r="AF14" i="32"/>
  <c r="AF15" i="32"/>
  <c r="AF16" i="32"/>
  <c r="AF17" i="32"/>
  <c r="AF18" i="32"/>
  <c r="AF19" i="32"/>
  <c r="AF20" i="32"/>
  <c r="AF21" i="32"/>
  <c r="AF12" i="32"/>
  <c r="AH49" i="32"/>
  <c r="AG4" i="32"/>
  <c r="AJ52" i="32" l="1"/>
  <c r="AH50" i="32"/>
  <c r="AL52" i="32"/>
  <c r="AJ55" i="32"/>
  <c r="AL51" i="32"/>
  <c r="AL55" i="32"/>
  <c r="AJ54" i="32"/>
  <c r="AJ50" i="32"/>
  <c r="AH53" i="32"/>
  <c r="AL50" i="32"/>
  <c r="AJ53" i="32"/>
  <c r="AH51" i="32"/>
  <c r="AL53" i="32"/>
  <c r="AJ51" i="32"/>
  <c r="AL56" i="32"/>
  <c r="AH52" i="32"/>
  <c r="AL54" i="32"/>
  <c r="C42" i="28"/>
  <c r="E42" i="28" s="1"/>
  <c r="R42" i="28"/>
  <c r="T42" i="28" s="1"/>
  <c r="M42" i="28"/>
  <c r="O42" i="28" s="1"/>
  <c r="H42" i="28"/>
  <c r="J42" i="28" s="1"/>
  <c r="AB50" i="32"/>
  <c r="AB51" i="32"/>
  <c r="AB52" i="32"/>
  <c r="AB53" i="32"/>
  <c r="AB54" i="32"/>
  <c r="AB55" i="32"/>
  <c r="AB56" i="32"/>
  <c r="AB57" i="32"/>
  <c r="AB58" i="32"/>
  <c r="AB59" i="32"/>
  <c r="AB60" i="32"/>
  <c r="AB61" i="32"/>
  <c r="AB62" i="32"/>
  <c r="AB63" i="32"/>
  <c r="AB64" i="32"/>
  <c r="AB65" i="32"/>
  <c r="AB66" i="32"/>
  <c r="AB67" i="32"/>
  <c r="AB68" i="32"/>
  <c r="AB69" i="32"/>
  <c r="AB70" i="32"/>
  <c r="AB71" i="32"/>
  <c r="AB72" i="32"/>
  <c r="AB73" i="32"/>
  <c r="AB74" i="32"/>
  <c r="AB75" i="32"/>
  <c r="AB76" i="32"/>
  <c r="AB77" i="32"/>
  <c r="AB78" i="32"/>
  <c r="AB79" i="32"/>
  <c r="AB80" i="32"/>
  <c r="AB81" i="32"/>
  <c r="AB82" i="32"/>
  <c r="AB83" i="32"/>
  <c r="AB84" i="32"/>
  <c r="AB85" i="32"/>
  <c r="AB86" i="32"/>
  <c r="AB87" i="32"/>
  <c r="AB88" i="32"/>
  <c r="AB89" i="32"/>
  <c r="AB90" i="32"/>
  <c r="AB91" i="32"/>
  <c r="AB92" i="32"/>
  <c r="AB93" i="32"/>
  <c r="AB94" i="32"/>
  <c r="AB95" i="32"/>
  <c r="AB96" i="32"/>
  <c r="AB97" i="32"/>
  <c r="AB98" i="32"/>
  <c r="AB99" i="32"/>
  <c r="AB100" i="32"/>
  <c r="AB101" i="32"/>
  <c r="AB102" i="32"/>
  <c r="AB103" i="32"/>
  <c r="AB104" i="32"/>
  <c r="AB105" i="32"/>
  <c r="AB106" i="32"/>
  <c r="AB107" i="32"/>
  <c r="AB108" i="32"/>
  <c r="AB109" i="32"/>
  <c r="AB110" i="32"/>
  <c r="AB111" i="32"/>
  <c r="AB112" i="32"/>
  <c r="AB113" i="32"/>
  <c r="AB114" i="32"/>
  <c r="AB115" i="32"/>
  <c r="AB116" i="32"/>
  <c r="AB117" i="32"/>
  <c r="AB118" i="32"/>
  <c r="AB49" i="32"/>
  <c r="Z59" i="32"/>
  <c r="Z60" i="32"/>
  <c r="Z61" i="32"/>
  <c r="Z62" i="32"/>
  <c r="Z63" i="32"/>
  <c r="Z64" i="32"/>
  <c r="Z65" i="32"/>
  <c r="Z66" i="32"/>
  <c r="Z67" i="32"/>
  <c r="Z68" i="32"/>
  <c r="Z69" i="32"/>
  <c r="Z70" i="32"/>
  <c r="Z71" i="32"/>
  <c r="Z72" i="32"/>
  <c r="Z73" i="32"/>
  <c r="Z74" i="32"/>
  <c r="Z75" i="32"/>
  <c r="Z76" i="32"/>
  <c r="Z77" i="32"/>
  <c r="Z78" i="32"/>
  <c r="Z79" i="32"/>
  <c r="Z80" i="32"/>
  <c r="Z81" i="32"/>
  <c r="Z82" i="32"/>
  <c r="Z83" i="32"/>
  <c r="Z84" i="32"/>
  <c r="Z85" i="32"/>
  <c r="Z86" i="32"/>
  <c r="Z87" i="32"/>
  <c r="Z88" i="32"/>
  <c r="Z89" i="32"/>
  <c r="Z90" i="32"/>
  <c r="Z91" i="32"/>
  <c r="Z92" i="32"/>
  <c r="Z93" i="32"/>
  <c r="Z94" i="32"/>
  <c r="Z95" i="32"/>
  <c r="Z96" i="32"/>
  <c r="Z97" i="32"/>
  <c r="Z98" i="32"/>
  <c r="Z99" i="32"/>
  <c r="Z100" i="32"/>
  <c r="Z101" i="32"/>
  <c r="Z102" i="32"/>
  <c r="Z103" i="32"/>
  <c r="Z104" i="32"/>
  <c r="Z105" i="32"/>
  <c r="Z106" i="32"/>
  <c r="Z107" i="32"/>
  <c r="Z108" i="32"/>
  <c r="Z109" i="32"/>
  <c r="Z110" i="32"/>
  <c r="Z111" i="32"/>
  <c r="Z112" i="32"/>
  <c r="Z113" i="32"/>
  <c r="Z114" i="32"/>
  <c r="Z115" i="32"/>
  <c r="Z116" i="32"/>
  <c r="Z117" i="32"/>
  <c r="Z118" i="32"/>
  <c r="Z50" i="32"/>
  <c r="Z51" i="32"/>
  <c r="Z52" i="32"/>
  <c r="Z53" i="32"/>
  <c r="Z54" i="32"/>
  <c r="Z55" i="32"/>
  <c r="Z56" i="32"/>
  <c r="Z57" i="32"/>
  <c r="Z58" i="32"/>
  <c r="Z49" i="32"/>
  <c r="X59" i="32"/>
  <c r="X60" i="32"/>
  <c r="X61" i="32"/>
  <c r="X62" i="32"/>
  <c r="X63" i="32"/>
  <c r="X64" i="32"/>
  <c r="X65" i="32"/>
  <c r="X66" i="32"/>
  <c r="X67" i="32"/>
  <c r="X68" i="32"/>
  <c r="X69" i="32"/>
  <c r="X70" i="32"/>
  <c r="X71" i="32"/>
  <c r="X72" i="32"/>
  <c r="X73" i="32"/>
  <c r="X74" i="32"/>
  <c r="X75" i="32"/>
  <c r="X76" i="32"/>
  <c r="X77" i="32"/>
  <c r="X78" i="32"/>
  <c r="X79" i="32"/>
  <c r="X80" i="32"/>
  <c r="X81" i="32"/>
  <c r="X82" i="32"/>
  <c r="X83" i="32"/>
  <c r="X84" i="32"/>
  <c r="X85" i="32"/>
  <c r="X86" i="32"/>
  <c r="X87" i="32"/>
  <c r="X88" i="32"/>
  <c r="X89" i="32"/>
  <c r="X90" i="32"/>
  <c r="X91" i="32"/>
  <c r="X92" i="32"/>
  <c r="X93" i="32"/>
  <c r="X94" i="32"/>
  <c r="X95" i="32"/>
  <c r="X96" i="32"/>
  <c r="X97" i="32"/>
  <c r="X98" i="32"/>
  <c r="X99" i="32"/>
  <c r="X100" i="32"/>
  <c r="X101" i="32"/>
  <c r="X102" i="32"/>
  <c r="X103" i="32"/>
  <c r="X104" i="32"/>
  <c r="X105" i="32"/>
  <c r="X106" i="32"/>
  <c r="X107" i="32"/>
  <c r="X108" i="32"/>
  <c r="X109" i="32"/>
  <c r="X110" i="32"/>
  <c r="X111" i="32"/>
  <c r="X112" i="32"/>
  <c r="X113" i="32"/>
  <c r="X114" i="32"/>
  <c r="X115" i="32"/>
  <c r="X116" i="32"/>
  <c r="X117" i="32"/>
  <c r="X118" i="32"/>
  <c r="X50" i="32"/>
  <c r="X51" i="32"/>
  <c r="X52" i="32"/>
  <c r="X53" i="32"/>
  <c r="X54" i="32"/>
  <c r="X55" i="32"/>
  <c r="X56" i="32"/>
  <c r="X57" i="32"/>
  <c r="X58" i="32"/>
  <c r="X49" i="32"/>
  <c r="Y49" i="32" s="1"/>
  <c r="AC13" i="32"/>
  <c r="AC14" i="32"/>
  <c r="AC15" i="32"/>
  <c r="AC16" i="32"/>
  <c r="AC17" i="32"/>
  <c r="AC18" i="32"/>
  <c r="AC19" i="32"/>
  <c r="AC20" i="32"/>
  <c r="AC21" i="32"/>
  <c r="AC22" i="32"/>
  <c r="AC23" i="32"/>
  <c r="AC12" i="32"/>
  <c r="Z13" i="32"/>
  <c r="Z14" i="32"/>
  <c r="Z15" i="32"/>
  <c r="Z16" i="32"/>
  <c r="Z17" i="32"/>
  <c r="Z18" i="32"/>
  <c r="Z19" i="32"/>
  <c r="Z20" i="32"/>
  <c r="Z21" i="32"/>
  <c r="Z22" i="32"/>
  <c r="Z23" i="32"/>
  <c r="Z12" i="32"/>
  <c r="W13" i="32"/>
  <c r="W14" i="32"/>
  <c r="W15" i="32"/>
  <c r="W16" i="32"/>
  <c r="W17" i="32"/>
  <c r="W18" i="32"/>
  <c r="W19" i="32"/>
  <c r="W20" i="32"/>
  <c r="W21" i="32"/>
  <c r="W22" i="32"/>
  <c r="W23" i="32"/>
  <c r="W12" i="32"/>
  <c r="X4" i="32"/>
  <c r="S129" i="32"/>
  <c r="S130" i="32"/>
  <c r="S131" i="32"/>
  <c r="S132" i="32"/>
  <c r="S133" i="32"/>
  <c r="S134" i="32"/>
  <c r="S135" i="32"/>
  <c r="S136" i="32"/>
  <c r="S137" i="32"/>
  <c r="S138" i="32"/>
  <c r="S139" i="32"/>
  <c r="S140" i="32"/>
  <c r="S141" i="32"/>
  <c r="S142" i="32"/>
  <c r="S143" i="32"/>
  <c r="S144" i="32"/>
  <c r="S145" i="32"/>
  <c r="S146" i="32"/>
  <c r="S147" i="32"/>
  <c r="S148" i="32"/>
  <c r="S149" i="32"/>
  <c r="S150" i="32"/>
  <c r="S151" i="32"/>
  <c r="S152" i="32"/>
  <c r="S153" i="32"/>
  <c r="S154" i="32"/>
  <c r="S155" i="32"/>
  <c r="S156" i="32"/>
  <c r="S157" i="32"/>
  <c r="S158" i="32"/>
  <c r="S159" i="32"/>
  <c r="S160" i="32"/>
  <c r="S161" i="32"/>
  <c r="S162" i="32"/>
  <c r="S163" i="32"/>
  <c r="S164" i="32"/>
  <c r="S165" i="32"/>
  <c r="S166" i="32"/>
  <c r="S167" i="32"/>
  <c r="S168" i="32"/>
  <c r="S169" i="32"/>
  <c r="S170" i="32"/>
  <c r="S171" i="32"/>
  <c r="S172" i="32"/>
  <c r="S173" i="32"/>
  <c r="S174" i="32"/>
  <c r="S175" i="32"/>
  <c r="S176" i="32"/>
  <c r="S177" i="32"/>
  <c r="S178" i="32"/>
  <c r="S179" i="32"/>
  <c r="S180" i="32"/>
  <c r="S181" i="32"/>
  <c r="S182" i="32"/>
  <c r="S183" i="32"/>
  <c r="S184" i="32"/>
  <c r="S185" i="32"/>
  <c r="S186" i="32"/>
  <c r="S187" i="32"/>
  <c r="S188" i="32"/>
  <c r="S189" i="32"/>
  <c r="S190" i="32"/>
  <c r="S191" i="32"/>
  <c r="S192" i="32"/>
  <c r="S193" i="32"/>
  <c r="S194" i="32"/>
  <c r="S195" i="32"/>
  <c r="S196" i="32"/>
  <c r="S197" i="32"/>
  <c r="S198" i="32"/>
  <c r="S199" i="32"/>
  <c r="S200" i="32"/>
  <c r="S201" i="32"/>
  <c r="S202" i="32"/>
  <c r="S203" i="32"/>
  <c r="S204" i="32"/>
  <c r="S205" i="32"/>
  <c r="S206" i="32"/>
  <c r="S207" i="32"/>
  <c r="S208" i="32"/>
  <c r="S209" i="32"/>
  <c r="S210" i="32"/>
  <c r="S211" i="32"/>
  <c r="S212" i="32"/>
  <c r="S213" i="32"/>
  <c r="S214" i="32"/>
  <c r="S215" i="32"/>
  <c r="S216" i="32"/>
  <c r="S217" i="32"/>
  <c r="S218" i="32"/>
  <c r="S219" i="32"/>
  <c r="S220" i="32"/>
  <c r="S221" i="32"/>
  <c r="S222" i="32"/>
  <c r="S223" i="32"/>
  <c r="S224" i="32"/>
  <c r="S225" i="32"/>
  <c r="S226" i="32"/>
  <c r="S227" i="32"/>
  <c r="S228" i="32"/>
  <c r="S229" i="32"/>
  <c r="S230" i="32"/>
  <c r="S231" i="32"/>
  <c r="S232" i="32"/>
  <c r="S233" i="32"/>
  <c r="S234" i="32"/>
  <c r="S235" i="32"/>
  <c r="S236" i="32"/>
  <c r="S237" i="32"/>
  <c r="S238" i="32"/>
  <c r="Q131" i="32"/>
  <c r="Q132" i="32"/>
  <c r="Q133" i="32"/>
  <c r="Q134" i="32"/>
  <c r="Q135" i="32"/>
  <c r="Q136" i="32"/>
  <c r="Q137" i="32"/>
  <c r="Q138" i="32"/>
  <c r="Q139" i="32"/>
  <c r="Q140" i="32"/>
  <c r="Q141" i="32"/>
  <c r="Q142" i="32"/>
  <c r="Q143" i="32"/>
  <c r="Q144" i="32"/>
  <c r="Q145" i="32"/>
  <c r="Q146" i="32"/>
  <c r="Q147" i="32"/>
  <c r="Q148" i="32"/>
  <c r="Q149" i="32"/>
  <c r="Q150" i="32"/>
  <c r="Q151" i="32"/>
  <c r="Q152" i="32"/>
  <c r="Q153" i="32"/>
  <c r="Q154" i="32"/>
  <c r="Q155" i="32"/>
  <c r="Q156" i="32"/>
  <c r="Q157" i="32"/>
  <c r="Q158" i="32"/>
  <c r="Q159" i="32"/>
  <c r="Q160" i="32"/>
  <c r="Q161" i="32"/>
  <c r="Q162" i="32"/>
  <c r="Q163" i="32"/>
  <c r="Q164" i="32"/>
  <c r="Q165" i="32"/>
  <c r="Q166" i="32"/>
  <c r="Q167" i="32"/>
  <c r="Q168" i="32"/>
  <c r="Q169" i="32"/>
  <c r="Q170" i="32"/>
  <c r="Q171" i="32"/>
  <c r="Q172" i="32"/>
  <c r="Q173" i="32"/>
  <c r="Q174" i="32"/>
  <c r="Q175" i="32"/>
  <c r="Q176" i="32"/>
  <c r="Q177" i="32"/>
  <c r="Q178" i="32"/>
  <c r="Q179" i="32"/>
  <c r="Q180" i="32"/>
  <c r="Q181" i="32"/>
  <c r="Q182" i="32"/>
  <c r="Q183" i="32"/>
  <c r="Q184" i="32"/>
  <c r="Q185" i="32"/>
  <c r="Q186" i="32"/>
  <c r="Q187" i="32"/>
  <c r="Q188" i="32"/>
  <c r="Q189" i="32"/>
  <c r="Q190" i="32"/>
  <c r="Q191" i="32"/>
  <c r="Q192" i="32"/>
  <c r="Q193" i="32"/>
  <c r="Q194" i="32"/>
  <c r="Q195" i="32"/>
  <c r="Q196" i="32"/>
  <c r="Q197" i="32"/>
  <c r="Q198" i="32"/>
  <c r="Q199" i="32"/>
  <c r="Q200" i="32"/>
  <c r="Q201" i="32"/>
  <c r="Q202" i="32"/>
  <c r="Q203" i="32"/>
  <c r="Q204" i="32"/>
  <c r="Q205" i="32"/>
  <c r="Q206" i="32"/>
  <c r="Q207" i="32"/>
  <c r="Q208" i="32"/>
  <c r="Q209" i="32"/>
  <c r="Q210" i="32"/>
  <c r="Q211" i="32"/>
  <c r="Q212" i="32"/>
  <c r="Q213" i="32"/>
  <c r="Q214" i="32"/>
  <c r="Q215" i="32"/>
  <c r="Q216" i="32"/>
  <c r="Q217" i="32"/>
  <c r="Q218" i="32"/>
  <c r="Q219" i="32"/>
  <c r="Q220" i="32"/>
  <c r="Q221" i="32"/>
  <c r="Q222" i="32"/>
  <c r="Q223" i="32"/>
  <c r="Q224" i="32"/>
  <c r="Q225" i="32"/>
  <c r="Q226" i="32"/>
  <c r="Q227" i="32"/>
  <c r="Q228" i="32"/>
  <c r="O180" i="32"/>
  <c r="O181" i="32"/>
  <c r="O182" i="32"/>
  <c r="O183" i="32"/>
  <c r="O184" i="32"/>
  <c r="O185" i="32"/>
  <c r="O186" i="32"/>
  <c r="O187" i="32"/>
  <c r="O188" i="32"/>
  <c r="O189" i="32"/>
  <c r="O190" i="32"/>
  <c r="O191" i="32"/>
  <c r="O192" i="32"/>
  <c r="O193" i="32"/>
  <c r="O194" i="32"/>
  <c r="O195" i="32"/>
  <c r="O196" i="32"/>
  <c r="O197" i="32"/>
  <c r="O198" i="32"/>
  <c r="O199" i="32"/>
  <c r="O200" i="32"/>
  <c r="O201" i="32"/>
  <c r="O202" i="32"/>
  <c r="O203" i="32"/>
  <c r="O204" i="32"/>
  <c r="O205" i="32"/>
  <c r="O206" i="32"/>
  <c r="O207" i="32"/>
  <c r="O208" i="32"/>
  <c r="O209" i="32"/>
  <c r="O210" i="32"/>
  <c r="O211" i="32"/>
  <c r="O212" i="32"/>
  <c r="O213" i="32"/>
  <c r="O214" i="32"/>
  <c r="O215" i="32"/>
  <c r="O216" i="32"/>
  <c r="O217" i="32"/>
  <c r="O218" i="32"/>
  <c r="O114" i="32"/>
  <c r="O115" i="32"/>
  <c r="O116" i="32"/>
  <c r="O117" i="32"/>
  <c r="O118" i="32"/>
  <c r="O119" i="32"/>
  <c r="O120" i="32"/>
  <c r="O121" i="32"/>
  <c r="O122" i="32"/>
  <c r="O123" i="32"/>
  <c r="O124" i="32"/>
  <c r="O125" i="32"/>
  <c r="O126" i="32"/>
  <c r="O127" i="32"/>
  <c r="O128" i="32"/>
  <c r="O129" i="32"/>
  <c r="O130" i="32"/>
  <c r="O131" i="32"/>
  <c r="O132" i="32"/>
  <c r="O133" i="32"/>
  <c r="O134" i="32"/>
  <c r="O135" i="32"/>
  <c r="O136" i="32"/>
  <c r="O137" i="32"/>
  <c r="O138" i="32"/>
  <c r="O139" i="32"/>
  <c r="O140" i="32"/>
  <c r="O141" i="32"/>
  <c r="O142" i="32"/>
  <c r="O143" i="32"/>
  <c r="O144" i="32"/>
  <c r="O145" i="32"/>
  <c r="O146" i="32"/>
  <c r="O147" i="32"/>
  <c r="O148" i="32"/>
  <c r="O149" i="32"/>
  <c r="O150" i="32"/>
  <c r="O151" i="32"/>
  <c r="O152" i="32"/>
  <c r="O153" i="32"/>
  <c r="O154" i="32"/>
  <c r="O155" i="32"/>
  <c r="O156" i="32"/>
  <c r="O157" i="32"/>
  <c r="O158" i="32"/>
  <c r="O159" i="32"/>
  <c r="O160" i="32"/>
  <c r="O161" i="32"/>
  <c r="O162" i="32"/>
  <c r="O163" i="32"/>
  <c r="O164" i="32"/>
  <c r="O165" i="32"/>
  <c r="O166" i="32"/>
  <c r="O167" i="32"/>
  <c r="O168" i="32"/>
  <c r="O169" i="32"/>
  <c r="O170" i="32"/>
  <c r="O171" i="32"/>
  <c r="O172" i="32"/>
  <c r="O173" i="32"/>
  <c r="O174" i="32"/>
  <c r="O175" i="32"/>
  <c r="O176" i="32"/>
  <c r="P176" i="32" s="1"/>
  <c r="O177" i="32"/>
  <c r="O178" i="32"/>
  <c r="O179" i="32"/>
  <c r="S50" i="32"/>
  <c r="S51" i="32"/>
  <c r="S52" i="32"/>
  <c r="S53" i="32"/>
  <c r="S54" i="32"/>
  <c r="S55" i="32"/>
  <c r="S56" i="32"/>
  <c r="S57" i="32"/>
  <c r="S58" i="32"/>
  <c r="S59" i="32"/>
  <c r="S60" i="32"/>
  <c r="S61" i="32"/>
  <c r="S62" i="32"/>
  <c r="S63" i="32"/>
  <c r="S64" i="32"/>
  <c r="S65" i="32"/>
  <c r="S66" i="32"/>
  <c r="S67" i="32"/>
  <c r="S68" i="32"/>
  <c r="S69" i="32"/>
  <c r="S70" i="32"/>
  <c r="S71" i="32"/>
  <c r="S72" i="32"/>
  <c r="S73" i="32"/>
  <c r="S74" i="32"/>
  <c r="S75" i="32"/>
  <c r="S76" i="32"/>
  <c r="S77" i="32"/>
  <c r="S78" i="32"/>
  <c r="S79" i="32"/>
  <c r="S80" i="32"/>
  <c r="S81" i="32"/>
  <c r="S82" i="32"/>
  <c r="S83" i="32"/>
  <c r="S84" i="32"/>
  <c r="S85" i="32"/>
  <c r="S86" i="32"/>
  <c r="S87" i="32"/>
  <c r="S88" i="32"/>
  <c r="S89" i="32"/>
  <c r="S90" i="32"/>
  <c r="S91" i="32"/>
  <c r="S92" i="32"/>
  <c r="S93" i="32"/>
  <c r="S94" i="32"/>
  <c r="S95" i="32"/>
  <c r="S96" i="32"/>
  <c r="S97" i="32"/>
  <c r="S98" i="32"/>
  <c r="S99" i="32"/>
  <c r="S100" i="32"/>
  <c r="S101" i="32"/>
  <c r="S102" i="32"/>
  <c r="S103" i="32"/>
  <c r="S104" i="32"/>
  <c r="S105" i="32"/>
  <c r="S106" i="32"/>
  <c r="S107" i="32"/>
  <c r="S108" i="32"/>
  <c r="S109" i="32"/>
  <c r="S110" i="32"/>
  <c r="S111" i="32"/>
  <c r="S112" i="32"/>
  <c r="S113" i="32"/>
  <c r="S114" i="32"/>
  <c r="S115" i="32"/>
  <c r="S116" i="32"/>
  <c r="S117" i="32"/>
  <c r="S118" i="32"/>
  <c r="S119" i="32"/>
  <c r="S120" i="32"/>
  <c r="S121" i="32"/>
  <c r="S122" i="32"/>
  <c r="S123" i="32"/>
  <c r="S124" i="32"/>
  <c r="S125" i="32"/>
  <c r="S126" i="32"/>
  <c r="S127" i="32"/>
  <c r="S128" i="32"/>
  <c r="S49" i="32"/>
  <c r="O50" i="32"/>
  <c r="P50" i="32" s="1"/>
  <c r="O51" i="32"/>
  <c r="O52" i="32"/>
  <c r="O53" i="32"/>
  <c r="O54" i="32"/>
  <c r="P54" i="32" s="1"/>
  <c r="O55" i="32"/>
  <c r="O56" i="32"/>
  <c r="O57" i="32"/>
  <c r="O58" i="32"/>
  <c r="O59" i="32"/>
  <c r="O60" i="32"/>
  <c r="O61" i="32"/>
  <c r="O62" i="32"/>
  <c r="O63" i="32"/>
  <c r="O64" i="32"/>
  <c r="O65" i="32"/>
  <c r="O66" i="32"/>
  <c r="O67" i="32"/>
  <c r="O68" i="32"/>
  <c r="O69" i="32"/>
  <c r="O70" i="32"/>
  <c r="O71" i="32"/>
  <c r="O72" i="32"/>
  <c r="O73" i="32"/>
  <c r="O74" i="32"/>
  <c r="O75" i="32"/>
  <c r="O76" i="32"/>
  <c r="O77" i="32"/>
  <c r="O78" i="32"/>
  <c r="O79" i="32"/>
  <c r="O80" i="32"/>
  <c r="O81" i="32"/>
  <c r="O82" i="32"/>
  <c r="O83" i="32"/>
  <c r="O84" i="32"/>
  <c r="O85" i="32"/>
  <c r="O86" i="32"/>
  <c r="O87" i="32"/>
  <c r="O88" i="32"/>
  <c r="O89" i="32"/>
  <c r="O90" i="32"/>
  <c r="O91" i="32"/>
  <c r="O92" i="32"/>
  <c r="O93" i="32"/>
  <c r="O94" i="32"/>
  <c r="O95" i="32"/>
  <c r="O96" i="32"/>
  <c r="O97" i="32"/>
  <c r="O98" i="32"/>
  <c r="O99" i="32"/>
  <c r="O100" i="32"/>
  <c r="O101" i="32"/>
  <c r="O102" i="32"/>
  <c r="O103" i="32"/>
  <c r="O104" i="32"/>
  <c r="O105" i="32"/>
  <c r="O106" i="32"/>
  <c r="O107" i="32"/>
  <c r="O108" i="32"/>
  <c r="O109" i="32"/>
  <c r="O110" i="32"/>
  <c r="O111" i="32"/>
  <c r="O112" i="32"/>
  <c r="O113" i="32"/>
  <c r="Q50" i="32"/>
  <c r="Q51" i="32"/>
  <c r="Q52" i="32"/>
  <c r="Q53" i="32"/>
  <c r="Q54" i="32"/>
  <c r="Q55" i="32"/>
  <c r="Q56" i="32"/>
  <c r="Q57" i="32"/>
  <c r="Q58" i="32"/>
  <c r="Q59" i="32"/>
  <c r="Q60" i="32"/>
  <c r="Q61" i="32"/>
  <c r="Q62" i="32"/>
  <c r="Q63" i="32"/>
  <c r="Q64" i="32"/>
  <c r="Q65" i="32"/>
  <c r="Q66" i="32"/>
  <c r="Q67" i="32"/>
  <c r="Q68" i="32"/>
  <c r="Q69" i="32"/>
  <c r="Q70" i="32"/>
  <c r="Q71" i="32"/>
  <c r="Q72" i="32"/>
  <c r="Q73" i="32"/>
  <c r="Q74" i="32"/>
  <c r="Q75" i="32"/>
  <c r="Q76" i="32"/>
  <c r="Q77" i="32"/>
  <c r="Q78" i="32"/>
  <c r="Q79" i="32"/>
  <c r="Q80" i="32"/>
  <c r="Q81" i="32"/>
  <c r="Q82" i="32"/>
  <c r="Q83" i="32"/>
  <c r="Q84" i="32"/>
  <c r="Q85" i="32"/>
  <c r="Q86" i="32"/>
  <c r="Q87" i="32"/>
  <c r="Q88" i="32"/>
  <c r="Q89" i="32"/>
  <c r="Q90" i="32"/>
  <c r="Q91" i="32"/>
  <c r="Q92" i="32"/>
  <c r="Q93" i="32"/>
  <c r="Q94" i="32"/>
  <c r="Q95" i="32"/>
  <c r="Q96" i="32"/>
  <c r="Q97" i="32"/>
  <c r="Q98" i="32"/>
  <c r="Q99" i="32"/>
  <c r="Q100" i="32"/>
  <c r="Q101" i="32"/>
  <c r="Q102" i="32"/>
  <c r="Q103" i="32"/>
  <c r="Q104" i="32"/>
  <c r="Q105" i="32"/>
  <c r="Q106" i="32"/>
  <c r="Q107" i="32"/>
  <c r="Q108" i="32"/>
  <c r="Q109" i="32"/>
  <c r="Q110" i="32"/>
  <c r="Q111" i="32"/>
  <c r="Q112" i="32"/>
  <c r="Q113" i="32"/>
  <c r="Q114" i="32"/>
  <c r="Q115" i="32"/>
  <c r="Q116" i="32"/>
  <c r="Q117" i="32"/>
  <c r="Q118" i="32"/>
  <c r="Q119" i="32"/>
  <c r="Q120" i="32"/>
  <c r="Q121" i="32"/>
  <c r="Q122" i="32"/>
  <c r="Q123" i="32"/>
  <c r="Q124" i="32"/>
  <c r="Q125" i="32"/>
  <c r="Q126" i="32"/>
  <c r="Q127" i="32"/>
  <c r="Q128" i="32"/>
  <c r="Q129" i="32"/>
  <c r="Q130" i="32"/>
  <c r="Q49" i="32"/>
  <c r="O49" i="32"/>
  <c r="U14" i="32"/>
  <c r="U15" i="32"/>
  <c r="U16" i="32"/>
  <c r="U17" i="32"/>
  <c r="U18" i="32"/>
  <c r="U19" i="32"/>
  <c r="U20" i="32"/>
  <c r="U21" i="32"/>
  <c r="U22" i="32"/>
  <c r="U23" i="32"/>
  <c r="U24" i="32"/>
  <c r="U25" i="32"/>
  <c r="T25" i="32"/>
  <c r="T13" i="32"/>
  <c r="T14" i="32"/>
  <c r="T15" i="32"/>
  <c r="T16" i="32"/>
  <c r="T17" i="32"/>
  <c r="T18" i="32"/>
  <c r="T19" i="32"/>
  <c r="T20" i="32"/>
  <c r="T21" i="32"/>
  <c r="T22" i="32"/>
  <c r="T23" i="32"/>
  <c r="T24" i="32"/>
  <c r="T12" i="32"/>
  <c r="R14" i="32"/>
  <c r="R15" i="32"/>
  <c r="R16" i="32"/>
  <c r="R17" i="32"/>
  <c r="R18" i="32"/>
  <c r="R19" i="32"/>
  <c r="R20" i="32"/>
  <c r="R21" i="32"/>
  <c r="R22" i="32"/>
  <c r="R23" i="32"/>
  <c r="R24" i="32"/>
  <c r="R25" i="32"/>
  <c r="R26" i="32"/>
  <c r="R27" i="32"/>
  <c r="Q13" i="32"/>
  <c r="Q14" i="32"/>
  <c r="Q15" i="32"/>
  <c r="Q16" i="32"/>
  <c r="Q17" i="32"/>
  <c r="Q18" i="32"/>
  <c r="Q19" i="32"/>
  <c r="Q20" i="32"/>
  <c r="Q21" i="32"/>
  <c r="Q22" i="32"/>
  <c r="Q23" i="32"/>
  <c r="Q24" i="32"/>
  <c r="Q26" i="32"/>
  <c r="Q27" i="32"/>
  <c r="Q12" i="32"/>
  <c r="N28" i="32"/>
  <c r="O28" i="32"/>
  <c r="O14" i="32"/>
  <c r="O15" i="32"/>
  <c r="O16" i="32"/>
  <c r="O17" i="32"/>
  <c r="O18" i="32"/>
  <c r="O19" i="32"/>
  <c r="O20" i="32"/>
  <c r="O21" i="32"/>
  <c r="O22" i="32"/>
  <c r="O23" i="32"/>
  <c r="O24" i="32"/>
  <c r="O25" i="32"/>
  <c r="O26" i="32"/>
  <c r="O27" i="32"/>
  <c r="N27" i="32"/>
  <c r="N13" i="32"/>
  <c r="N14" i="32"/>
  <c r="N15" i="32"/>
  <c r="N16" i="32"/>
  <c r="N17" i="32"/>
  <c r="N18" i="32"/>
  <c r="N19" i="32"/>
  <c r="N20" i="32"/>
  <c r="N21" i="32"/>
  <c r="N22" i="32"/>
  <c r="N23" i="32"/>
  <c r="N24" i="32"/>
  <c r="N25" i="32"/>
  <c r="N26" i="32"/>
  <c r="N12" i="32"/>
  <c r="O3" i="32"/>
  <c r="P133" i="32" s="1"/>
  <c r="O4" i="32"/>
  <c r="P53" i="32"/>
  <c r="P52" i="32"/>
  <c r="H49" i="32"/>
  <c r="G49" i="32"/>
  <c r="F49" i="32"/>
  <c r="L12" i="32"/>
  <c r="L13" i="32"/>
  <c r="L14" i="32"/>
  <c r="L15" i="32"/>
  <c r="L16" i="32"/>
  <c r="L17" i="32"/>
  <c r="L18" i="32"/>
  <c r="L19" i="32"/>
  <c r="K13" i="32"/>
  <c r="K14" i="32"/>
  <c r="K15" i="32"/>
  <c r="K16" i="32"/>
  <c r="K17" i="32"/>
  <c r="K18" i="32"/>
  <c r="K19" i="32"/>
  <c r="K12" i="32"/>
  <c r="I12" i="32"/>
  <c r="I13" i="32"/>
  <c r="I14" i="32"/>
  <c r="I15" i="32"/>
  <c r="I16" i="32"/>
  <c r="I17" i="32"/>
  <c r="I18" i="32"/>
  <c r="I19" i="32"/>
  <c r="I20" i="32"/>
  <c r="I21" i="32"/>
  <c r="I22" i="32"/>
  <c r="H13" i="32"/>
  <c r="H14" i="32"/>
  <c r="H15" i="32"/>
  <c r="H16" i="32"/>
  <c r="H17" i="32"/>
  <c r="H18" i="32"/>
  <c r="H19" i="32"/>
  <c r="H20" i="32"/>
  <c r="H21" i="32"/>
  <c r="H22" i="32"/>
  <c r="H12" i="32"/>
  <c r="F13" i="32"/>
  <c r="F14" i="32"/>
  <c r="F15" i="32"/>
  <c r="F16" i="32"/>
  <c r="F17" i="32"/>
  <c r="F18" i="32"/>
  <c r="F19" i="32"/>
  <c r="F20" i="32"/>
  <c r="F21" i="32"/>
  <c r="F22" i="32"/>
  <c r="F12" i="32"/>
  <c r="F4" i="32"/>
  <c r="H130" i="32"/>
  <c r="H129" i="32"/>
  <c r="J128" i="32"/>
  <c r="H128" i="32"/>
  <c r="J127" i="32"/>
  <c r="H127" i="32"/>
  <c r="J126" i="32"/>
  <c r="H126" i="32"/>
  <c r="J125" i="32"/>
  <c r="H125" i="32"/>
  <c r="J124" i="32"/>
  <c r="H124" i="32"/>
  <c r="J123" i="32"/>
  <c r="H123" i="32"/>
  <c r="J122" i="32"/>
  <c r="H122" i="32"/>
  <c r="J121" i="32"/>
  <c r="H121" i="32"/>
  <c r="J120" i="32"/>
  <c r="H120" i="32"/>
  <c r="J119" i="32"/>
  <c r="H119" i="32"/>
  <c r="J118" i="32"/>
  <c r="H118" i="32"/>
  <c r="J117" i="32"/>
  <c r="H117" i="32"/>
  <c r="J116" i="32"/>
  <c r="H116" i="32"/>
  <c r="J115" i="32"/>
  <c r="H115" i="32"/>
  <c r="J114" i="32"/>
  <c r="H114" i="32"/>
  <c r="J113" i="32"/>
  <c r="H113" i="32"/>
  <c r="F113" i="32"/>
  <c r="J112" i="32"/>
  <c r="H112" i="32"/>
  <c r="F112" i="32"/>
  <c r="J111" i="32"/>
  <c r="H111" i="32"/>
  <c r="F111" i="32"/>
  <c r="J110" i="32"/>
  <c r="H110" i="32"/>
  <c r="F110" i="32"/>
  <c r="J109" i="32"/>
  <c r="H109" i="32"/>
  <c r="F109" i="32"/>
  <c r="J108" i="32"/>
  <c r="H108" i="32"/>
  <c r="F108" i="32"/>
  <c r="J107" i="32"/>
  <c r="H107" i="32"/>
  <c r="F107" i="32"/>
  <c r="J106" i="32"/>
  <c r="H106" i="32"/>
  <c r="F106" i="32"/>
  <c r="J105" i="32"/>
  <c r="H105" i="32"/>
  <c r="F105" i="32"/>
  <c r="J104" i="32"/>
  <c r="H104" i="32"/>
  <c r="F104" i="32"/>
  <c r="J103" i="32"/>
  <c r="H103" i="32"/>
  <c r="F103" i="32"/>
  <c r="J102" i="32"/>
  <c r="H102" i="32"/>
  <c r="F102" i="32"/>
  <c r="J101" i="32"/>
  <c r="H101" i="32"/>
  <c r="F101" i="32"/>
  <c r="J100" i="32"/>
  <c r="H100" i="32"/>
  <c r="F100" i="32"/>
  <c r="J99" i="32"/>
  <c r="H99" i="32"/>
  <c r="F99" i="32"/>
  <c r="J98" i="32"/>
  <c r="H98" i="32"/>
  <c r="F98" i="32"/>
  <c r="J97" i="32"/>
  <c r="H97" i="32"/>
  <c r="F97" i="32"/>
  <c r="J96" i="32"/>
  <c r="H96" i="32"/>
  <c r="F96" i="32"/>
  <c r="J95" i="32"/>
  <c r="H95" i="32"/>
  <c r="F95" i="32"/>
  <c r="J94" i="32"/>
  <c r="H94" i="32"/>
  <c r="F94" i="32"/>
  <c r="J93" i="32"/>
  <c r="H93" i="32"/>
  <c r="F93" i="32"/>
  <c r="J92" i="32"/>
  <c r="H92" i="32"/>
  <c r="F92" i="32"/>
  <c r="J91" i="32"/>
  <c r="H91" i="32"/>
  <c r="F91" i="32"/>
  <c r="J90" i="32"/>
  <c r="H90" i="32"/>
  <c r="F90" i="32"/>
  <c r="J89" i="32"/>
  <c r="H89" i="32"/>
  <c r="F89" i="32"/>
  <c r="J88" i="32"/>
  <c r="H88" i="32"/>
  <c r="F88" i="32"/>
  <c r="J87" i="32"/>
  <c r="H87" i="32"/>
  <c r="F87" i="32"/>
  <c r="J86" i="32"/>
  <c r="H86" i="32"/>
  <c r="F86" i="32"/>
  <c r="J85" i="32"/>
  <c r="H85" i="32"/>
  <c r="F85" i="32"/>
  <c r="J84" i="32"/>
  <c r="H84" i="32"/>
  <c r="F84" i="32"/>
  <c r="J83" i="32"/>
  <c r="H83" i="32"/>
  <c r="F83" i="32"/>
  <c r="J82" i="32"/>
  <c r="H82" i="32"/>
  <c r="F82" i="32"/>
  <c r="J81" i="32"/>
  <c r="H81" i="32"/>
  <c r="F81" i="32"/>
  <c r="J80" i="32"/>
  <c r="H80" i="32"/>
  <c r="F80" i="32"/>
  <c r="J79" i="32"/>
  <c r="H79" i="32"/>
  <c r="F79" i="32"/>
  <c r="J78" i="32"/>
  <c r="H78" i="32"/>
  <c r="F78" i="32"/>
  <c r="J77" i="32"/>
  <c r="H77" i="32"/>
  <c r="F77" i="32"/>
  <c r="J76" i="32"/>
  <c r="H76" i="32"/>
  <c r="F76" i="32"/>
  <c r="J75" i="32"/>
  <c r="H75" i="32"/>
  <c r="F75" i="32"/>
  <c r="J74" i="32"/>
  <c r="H74" i="32"/>
  <c r="F74" i="32"/>
  <c r="J73" i="32"/>
  <c r="H73" i="32"/>
  <c r="F73" i="32"/>
  <c r="J72" i="32"/>
  <c r="H72" i="32"/>
  <c r="F72" i="32"/>
  <c r="J71" i="32"/>
  <c r="H71" i="32"/>
  <c r="F71" i="32"/>
  <c r="J70" i="32"/>
  <c r="H70" i="32"/>
  <c r="F70" i="32"/>
  <c r="J69" i="32"/>
  <c r="H69" i="32"/>
  <c r="F69" i="32"/>
  <c r="J68" i="32"/>
  <c r="H68" i="32"/>
  <c r="F68" i="32"/>
  <c r="J67" i="32"/>
  <c r="H67" i="32"/>
  <c r="F67" i="32"/>
  <c r="J66" i="32"/>
  <c r="H66" i="32"/>
  <c r="F66" i="32"/>
  <c r="J65" i="32"/>
  <c r="H65" i="32"/>
  <c r="F65" i="32"/>
  <c r="J64" i="32"/>
  <c r="H64" i="32"/>
  <c r="F64" i="32"/>
  <c r="J63" i="32"/>
  <c r="H63" i="32"/>
  <c r="F63" i="32"/>
  <c r="J62" i="32"/>
  <c r="H62" i="32"/>
  <c r="F62" i="32"/>
  <c r="J61" i="32"/>
  <c r="H61" i="32"/>
  <c r="F61" i="32"/>
  <c r="J60" i="32"/>
  <c r="H60" i="32"/>
  <c r="F60" i="32"/>
  <c r="J59" i="32"/>
  <c r="H59" i="32"/>
  <c r="F59" i="32"/>
  <c r="J58" i="32"/>
  <c r="H58" i="32"/>
  <c r="F58" i="32"/>
  <c r="J57" i="32"/>
  <c r="H57" i="32"/>
  <c r="F57" i="32"/>
  <c r="J56" i="32"/>
  <c r="H56" i="32"/>
  <c r="F56" i="32"/>
  <c r="J55" i="32"/>
  <c r="H55" i="32"/>
  <c r="F55" i="32"/>
  <c r="J54" i="32"/>
  <c r="H54" i="32"/>
  <c r="F54" i="32"/>
  <c r="G54" i="32" s="1"/>
  <c r="J53" i="32"/>
  <c r="H53" i="32"/>
  <c r="F53" i="32"/>
  <c r="G53" i="32" s="1"/>
  <c r="J52" i="32"/>
  <c r="H52" i="32"/>
  <c r="F52" i="32"/>
  <c r="G52" i="32" s="1"/>
  <c r="J51" i="32"/>
  <c r="H51" i="32"/>
  <c r="F51" i="32"/>
  <c r="G51" i="32" s="1"/>
  <c r="J50" i="32"/>
  <c r="H50" i="32"/>
  <c r="F50" i="32"/>
  <c r="G50" i="32" s="1"/>
  <c r="J49" i="32"/>
  <c r="B74" i="28" l="1"/>
  <c r="P175" i="32"/>
  <c r="P167" i="32"/>
  <c r="P163" i="32"/>
  <c r="P159" i="32"/>
  <c r="P145" i="32"/>
  <c r="P138" i="32"/>
  <c r="P131" i="32"/>
  <c r="P128" i="32"/>
  <c r="P124" i="32"/>
  <c r="P121" i="32"/>
  <c r="P117" i="32"/>
  <c r="R221" i="32"/>
  <c r="R213" i="32"/>
  <c r="R205" i="32"/>
  <c r="R197" i="32"/>
  <c r="R189" i="32"/>
  <c r="R185" i="32"/>
  <c r="P51" i="32"/>
  <c r="P49" i="32"/>
  <c r="P178" i="32"/>
  <c r="P147" i="32"/>
  <c r="P144" i="32"/>
  <c r="P140" i="32"/>
  <c r="P137" i="32"/>
  <c r="P127" i="32"/>
  <c r="P120" i="32"/>
  <c r="P215" i="32"/>
  <c r="P211" i="32"/>
  <c r="P207" i="32"/>
  <c r="P203" i="32"/>
  <c r="P199" i="32"/>
  <c r="P195" i="32"/>
  <c r="P191" i="32"/>
  <c r="P187" i="32"/>
  <c r="P183" i="32"/>
  <c r="T129" i="32"/>
  <c r="T131" i="32"/>
  <c r="T133" i="32"/>
  <c r="T135" i="32"/>
  <c r="T137" i="32"/>
  <c r="T139" i="32"/>
  <c r="T141" i="32"/>
  <c r="T143" i="32"/>
  <c r="T145" i="32"/>
  <c r="T147" i="32"/>
  <c r="T149" i="32"/>
  <c r="T151" i="32"/>
  <c r="T153" i="32"/>
  <c r="T155" i="32"/>
  <c r="T157" i="32"/>
  <c r="T159" i="32"/>
  <c r="T161" i="32"/>
  <c r="T163" i="32"/>
  <c r="T165" i="32"/>
  <c r="T167" i="32"/>
  <c r="T169" i="32"/>
  <c r="T171" i="32"/>
  <c r="T173" i="32"/>
  <c r="T175" i="32"/>
  <c r="T177" i="32"/>
  <c r="T179" i="32"/>
  <c r="T181" i="32"/>
  <c r="T183" i="32"/>
  <c r="T185" i="32"/>
  <c r="T187" i="32"/>
  <c r="T189" i="32"/>
  <c r="T191" i="32"/>
  <c r="T193" i="32"/>
  <c r="T195" i="32"/>
  <c r="T197" i="32"/>
  <c r="T199" i="32"/>
  <c r="T201" i="32"/>
  <c r="T203" i="32"/>
  <c r="T205" i="32"/>
  <c r="T207" i="32"/>
  <c r="T209" i="32"/>
  <c r="T211" i="32"/>
  <c r="T213" i="32"/>
  <c r="T215" i="32"/>
  <c r="T217" i="32"/>
  <c r="T219" i="32"/>
  <c r="T221" i="32"/>
  <c r="T223" i="32"/>
  <c r="T225" i="32"/>
  <c r="T227" i="32"/>
  <c r="T229" i="32"/>
  <c r="T231" i="32"/>
  <c r="T233" i="32"/>
  <c r="T235" i="32"/>
  <c r="T237" i="32"/>
  <c r="R134" i="32"/>
  <c r="R149" i="32"/>
  <c r="R151" i="32"/>
  <c r="R166" i="32"/>
  <c r="R181" i="32"/>
  <c r="R183" i="32"/>
  <c r="R193" i="32"/>
  <c r="R195" i="32"/>
  <c r="R202" i="32"/>
  <c r="R209" i="32"/>
  <c r="R211" i="32"/>
  <c r="R218" i="32"/>
  <c r="R225" i="32"/>
  <c r="R227" i="32"/>
  <c r="P116" i="32"/>
  <c r="P123" i="32"/>
  <c r="P125" i="32"/>
  <c r="P132" i="32"/>
  <c r="P139" i="32"/>
  <c r="P141" i="32"/>
  <c r="P148" i="32"/>
  <c r="R141" i="32"/>
  <c r="R143" i="32"/>
  <c r="R158" i="32"/>
  <c r="R173" i="32"/>
  <c r="R175" i="32"/>
  <c r="T130" i="32"/>
  <c r="T132" i="32"/>
  <c r="T134" i="32"/>
  <c r="T136" i="32"/>
  <c r="T138" i="32"/>
  <c r="T140" i="32"/>
  <c r="T142" i="32"/>
  <c r="T144" i="32"/>
  <c r="T146" i="32"/>
  <c r="T148" i="32"/>
  <c r="T150" i="32"/>
  <c r="T152" i="32"/>
  <c r="T154" i="32"/>
  <c r="T156" i="32"/>
  <c r="T158" i="32"/>
  <c r="T160" i="32"/>
  <c r="T162" i="32"/>
  <c r="T164" i="32"/>
  <c r="T166" i="32"/>
  <c r="T168" i="32"/>
  <c r="T170" i="32"/>
  <c r="T172" i="32"/>
  <c r="T174" i="32"/>
  <c r="T176" i="32"/>
  <c r="T178" i="32"/>
  <c r="T180" i="32"/>
  <c r="T182" i="32"/>
  <c r="T184" i="32"/>
  <c r="T186" i="32"/>
  <c r="T188" i="32"/>
  <c r="T190" i="32"/>
  <c r="T192" i="32"/>
  <c r="T194" i="32"/>
  <c r="T196" i="32"/>
  <c r="T198" i="32"/>
  <c r="T200" i="32"/>
  <c r="T202" i="32"/>
  <c r="T204" i="32"/>
  <c r="T206" i="32"/>
  <c r="T208" i="32"/>
  <c r="T210" i="32"/>
  <c r="T212" i="32"/>
  <c r="T214" i="32"/>
  <c r="T216" i="32"/>
  <c r="T218" i="32"/>
  <c r="T220" i="32"/>
  <c r="T222" i="32"/>
  <c r="T224" i="32"/>
  <c r="T226" i="32"/>
  <c r="T228" i="32"/>
  <c r="T230" i="32"/>
  <c r="T232" i="32"/>
  <c r="T234" i="32"/>
  <c r="T236" i="32"/>
  <c r="T238" i="32"/>
  <c r="R133" i="32"/>
  <c r="R135" i="32"/>
  <c r="R150" i="32"/>
  <c r="R165" i="32"/>
  <c r="R167" i="32"/>
  <c r="R182" i="32"/>
  <c r="R187" i="32"/>
  <c r="R194" i="32"/>
  <c r="R201" i="32"/>
  <c r="R203" i="32"/>
  <c r="R210" i="32"/>
  <c r="R217" i="32"/>
  <c r="R219" i="32"/>
  <c r="R226" i="32"/>
  <c r="R142" i="32"/>
  <c r="R157" i="32"/>
  <c r="R159" i="32"/>
  <c r="R174" i="32"/>
  <c r="P177" i="32"/>
  <c r="P173" i="32"/>
  <c r="P169" i="32"/>
  <c r="P157" i="32"/>
  <c r="P153" i="32"/>
  <c r="P150" i="32"/>
  <c r="P143" i="32"/>
  <c r="P136" i="32"/>
  <c r="P119" i="32"/>
  <c r="P218" i="32"/>
  <c r="P214" i="32"/>
  <c r="P210" i="32"/>
  <c r="P206" i="32"/>
  <c r="P202" i="32"/>
  <c r="P198" i="32"/>
  <c r="P194" i="32"/>
  <c r="P190" i="32"/>
  <c r="P186" i="32"/>
  <c r="P182" i="32"/>
  <c r="R223" i="32"/>
  <c r="R215" i="32"/>
  <c r="R207" i="32"/>
  <c r="R199" i="32"/>
  <c r="R191" i="32"/>
  <c r="P168" i="32"/>
  <c r="P160" i="32"/>
  <c r="P135" i="32"/>
  <c r="P129" i="32"/>
  <c r="P122" i="32"/>
  <c r="P115" i="32"/>
  <c r="R222" i="32"/>
  <c r="R214" i="32"/>
  <c r="R206" i="32"/>
  <c r="R198" i="32"/>
  <c r="R190" i="32"/>
  <c r="P179" i="32"/>
  <c r="P174" i="32"/>
  <c r="P170" i="32"/>
  <c r="P164" i="32"/>
  <c r="P158" i="32"/>
  <c r="P154" i="32"/>
  <c r="P151" i="32"/>
  <c r="P134" i="32"/>
  <c r="P118" i="32"/>
  <c r="P213" i="32"/>
  <c r="P205" i="32"/>
  <c r="P197" i="32"/>
  <c r="P189" i="32"/>
  <c r="P181" i="32"/>
  <c r="R220" i="32"/>
  <c r="R204" i="32"/>
  <c r="R188" i="32"/>
  <c r="R177" i="32"/>
  <c r="R172" i="32"/>
  <c r="R163" i="32"/>
  <c r="R154" i="32"/>
  <c r="R145" i="32"/>
  <c r="R140" i="32"/>
  <c r="P212" i="32"/>
  <c r="P204" i="32"/>
  <c r="P196" i="32"/>
  <c r="P188" i="32"/>
  <c r="P180" i="32"/>
  <c r="R224" i="32"/>
  <c r="R208" i="32"/>
  <c r="R192" i="32"/>
  <c r="R180" i="32"/>
  <c r="R171" i="32"/>
  <c r="R162" i="32"/>
  <c r="R153" i="32"/>
  <c r="R148" i="32"/>
  <c r="R139" i="32"/>
  <c r="P172" i="32"/>
  <c r="P166" i="32"/>
  <c r="P162" i="32"/>
  <c r="P156" i="32"/>
  <c r="P149" i="32"/>
  <c r="P142" i="32"/>
  <c r="P126" i="32"/>
  <c r="P217" i="32"/>
  <c r="P209" i="32"/>
  <c r="P201" i="32"/>
  <c r="P193" i="32"/>
  <c r="P185" i="32"/>
  <c r="R228" i="32"/>
  <c r="R212" i="32"/>
  <c r="R196" i="32"/>
  <c r="R179" i="32"/>
  <c r="R170" i="32"/>
  <c r="R161" i="32"/>
  <c r="R156" i="32"/>
  <c r="R147" i="32"/>
  <c r="R138" i="32"/>
  <c r="P171" i="32"/>
  <c r="P165" i="32"/>
  <c r="P161" i="32"/>
  <c r="P155" i="32"/>
  <c r="P152" i="32"/>
  <c r="P146" i="32"/>
  <c r="P130" i="32"/>
  <c r="P114" i="32"/>
  <c r="P216" i="32"/>
  <c r="P208" i="32"/>
  <c r="P200" i="32"/>
  <c r="P192" i="32"/>
  <c r="P184" i="32"/>
  <c r="R216" i="32"/>
  <c r="R200" i="32"/>
  <c r="R186" i="32"/>
  <c r="R178" i="32"/>
  <c r="R169" i="32"/>
  <c r="R164" i="32"/>
  <c r="R155" i="32"/>
  <c r="R146" i="32"/>
  <c r="R137" i="32"/>
  <c r="R132" i="32"/>
  <c r="R176" i="32"/>
  <c r="R160" i="32"/>
  <c r="R144" i="32"/>
  <c r="R184" i="32"/>
  <c r="R168" i="32"/>
  <c r="R152" i="32"/>
  <c r="R136" i="32"/>
  <c r="R131" i="32"/>
  <c r="AC49" i="32"/>
  <c r="AA49" i="32"/>
  <c r="T52" i="32"/>
  <c r="R55" i="32"/>
  <c r="P58" i="32"/>
  <c r="T60" i="32"/>
  <c r="P66" i="32"/>
  <c r="T68" i="32"/>
  <c r="R71" i="32"/>
  <c r="P74" i="32"/>
  <c r="T76" i="32"/>
  <c r="R79" i="32"/>
  <c r="P82" i="32"/>
  <c r="T84" i="32"/>
  <c r="R87" i="32"/>
  <c r="P90" i="32"/>
  <c r="T92" i="32"/>
  <c r="R95" i="32"/>
  <c r="P98" i="32"/>
  <c r="T100" i="32"/>
  <c r="R103" i="32"/>
  <c r="R63" i="32"/>
  <c r="P106" i="32"/>
  <c r="T108" i="32"/>
  <c r="R111" i="32"/>
  <c r="R114" i="32"/>
  <c r="R118" i="32"/>
  <c r="R122" i="32"/>
  <c r="R126" i="32"/>
  <c r="R50" i="32"/>
  <c r="T55" i="32"/>
  <c r="R58" i="32"/>
  <c r="P61" i="32"/>
  <c r="T63" i="32"/>
  <c r="R66" i="32"/>
  <c r="P69" i="32"/>
  <c r="T71" i="32"/>
  <c r="R74" i="32"/>
  <c r="P77" i="32"/>
  <c r="T79" i="32"/>
  <c r="R82" i="32"/>
  <c r="P85" i="32"/>
  <c r="T87" i="32"/>
  <c r="R90" i="32"/>
  <c r="P93" i="32"/>
  <c r="T95" i="32"/>
  <c r="R98" i="32"/>
  <c r="P101" i="32"/>
  <c r="T103" i="32"/>
  <c r="R106" i="32"/>
  <c r="P109" i="32"/>
  <c r="T111" i="32"/>
  <c r="T114" i="32"/>
  <c r="T118" i="32"/>
  <c r="T122" i="32"/>
  <c r="T126" i="32"/>
  <c r="T50" i="32"/>
  <c r="R53" i="32"/>
  <c r="P56" i="32"/>
  <c r="T58" i="32"/>
  <c r="R61" i="32"/>
  <c r="P64" i="32"/>
  <c r="T66" i="32"/>
  <c r="R69" i="32"/>
  <c r="P72" i="32"/>
  <c r="T74" i="32"/>
  <c r="R77" i="32"/>
  <c r="P80" i="32"/>
  <c r="T82" i="32"/>
  <c r="R85" i="32"/>
  <c r="P88" i="32"/>
  <c r="T90" i="32"/>
  <c r="R93" i="32"/>
  <c r="P96" i="32"/>
  <c r="T98" i="32"/>
  <c r="R101" i="32"/>
  <c r="P104" i="32"/>
  <c r="T106" i="32"/>
  <c r="R109" i="32"/>
  <c r="P112" i="32"/>
  <c r="R115" i="32"/>
  <c r="R119" i="32"/>
  <c r="R123" i="32"/>
  <c r="R127" i="32"/>
  <c r="T53" i="32"/>
  <c r="R56" i="32"/>
  <c r="P59" i="32"/>
  <c r="T61" i="32"/>
  <c r="R64" i="32"/>
  <c r="P67" i="32"/>
  <c r="T69" i="32"/>
  <c r="R72" i="32"/>
  <c r="P75" i="32"/>
  <c r="T77" i="32"/>
  <c r="R80" i="32"/>
  <c r="P83" i="32"/>
  <c r="T85" i="32"/>
  <c r="R88" i="32"/>
  <c r="P91" i="32"/>
  <c r="T93" i="32"/>
  <c r="R96" i="32"/>
  <c r="P99" i="32"/>
  <c r="T101" i="32"/>
  <c r="R104" i="32"/>
  <c r="P107" i="32"/>
  <c r="T109" i="32"/>
  <c r="R112" i="32"/>
  <c r="T115" i="32"/>
  <c r="T119" i="32"/>
  <c r="T123" i="32"/>
  <c r="T127" i="32"/>
  <c r="R51" i="32"/>
  <c r="T56" i="32"/>
  <c r="R59" i="32"/>
  <c r="P62" i="32"/>
  <c r="T64" i="32"/>
  <c r="R67" i="32"/>
  <c r="P70" i="32"/>
  <c r="T72" i="32"/>
  <c r="R75" i="32"/>
  <c r="P78" i="32"/>
  <c r="T80" i="32"/>
  <c r="R83" i="32"/>
  <c r="P86" i="32"/>
  <c r="T88" i="32"/>
  <c r="R91" i="32"/>
  <c r="P94" i="32"/>
  <c r="T96" i="32"/>
  <c r="R99" i="32"/>
  <c r="P102" i="32"/>
  <c r="T104" i="32"/>
  <c r="R107" i="32"/>
  <c r="P110" i="32"/>
  <c r="T112" i="32"/>
  <c r="R116" i="32"/>
  <c r="R120" i="32"/>
  <c r="R124" i="32"/>
  <c r="R128" i="32"/>
  <c r="T51" i="32"/>
  <c r="R54" i="32"/>
  <c r="P57" i="32"/>
  <c r="T59" i="32"/>
  <c r="R62" i="32"/>
  <c r="P65" i="32"/>
  <c r="T67" i="32"/>
  <c r="R70" i="32"/>
  <c r="P73" i="32"/>
  <c r="T75" i="32"/>
  <c r="R78" i="32"/>
  <c r="P81" i="32"/>
  <c r="T83" i="32"/>
  <c r="R86" i="32"/>
  <c r="P89" i="32"/>
  <c r="T91" i="32"/>
  <c r="R94" i="32"/>
  <c r="P97" i="32"/>
  <c r="T99" i="32"/>
  <c r="R102" i="32"/>
  <c r="P105" i="32"/>
  <c r="T107" i="32"/>
  <c r="R110" i="32"/>
  <c r="P113" i="32"/>
  <c r="T116" i="32"/>
  <c r="T120" i="32"/>
  <c r="T124" i="32"/>
  <c r="T128" i="32"/>
  <c r="R49" i="32"/>
  <c r="T54" i="32"/>
  <c r="R57" i="32"/>
  <c r="P60" i="32"/>
  <c r="T62" i="32"/>
  <c r="R65" i="32"/>
  <c r="P68" i="32"/>
  <c r="T70" i="32"/>
  <c r="R73" i="32"/>
  <c r="P76" i="32"/>
  <c r="T78" i="32"/>
  <c r="R81" i="32"/>
  <c r="P84" i="32"/>
  <c r="T86" i="32"/>
  <c r="R89" i="32"/>
  <c r="P92" i="32"/>
  <c r="T94" i="32"/>
  <c r="R97" i="32"/>
  <c r="P100" i="32"/>
  <c r="T102" i="32"/>
  <c r="R105" i="32"/>
  <c r="P108" i="32"/>
  <c r="T110" i="32"/>
  <c r="R113" i="32"/>
  <c r="R117" i="32"/>
  <c r="R121" i="32"/>
  <c r="R125" i="32"/>
  <c r="R129" i="32"/>
  <c r="T49" i="32"/>
  <c r="R52" i="32"/>
  <c r="P55" i="32"/>
  <c r="T57" i="32"/>
  <c r="R60" i="32"/>
  <c r="P63" i="32"/>
  <c r="T65" i="32"/>
  <c r="R68" i="32"/>
  <c r="P71" i="32"/>
  <c r="T73" i="32"/>
  <c r="R76" i="32"/>
  <c r="P79" i="32"/>
  <c r="T81" i="32"/>
  <c r="R84" i="32"/>
  <c r="P87" i="32"/>
  <c r="T89" i="32"/>
  <c r="R92" i="32"/>
  <c r="P95" i="32"/>
  <c r="T97" i="32"/>
  <c r="R100" i="32"/>
  <c r="P103" i="32"/>
  <c r="T105" i="32"/>
  <c r="R108" i="32"/>
  <c r="P111" i="32"/>
  <c r="T113" i="32"/>
  <c r="T117" i="32"/>
  <c r="T121" i="32"/>
  <c r="T125" i="32"/>
  <c r="R130" i="32"/>
  <c r="P7" i="32" l="1"/>
  <c r="C18" i="19" s="1"/>
  <c r="O7" i="32"/>
  <c r="B18" i="19" s="1"/>
  <c r="Q7" i="32"/>
  <c r="D18" i="19" s="1"/>
  <c r="B41" i="32" l="1"/>
  <c r="C41" i="32" s="1"/>
  <c r="B40" i="32"/>
  <c r="C40" i="32" s="1"/>
  <c r="B39" i="32"/>
  <c r="C39" i="32" s="1"/>
  <c r="B38" i="32"/>
  <c r="C38" i="32" s="1"/>
  <c r="B37" i="32"/>
  <c r="C37" i="32" s="1"/>
  <c r="B36" i="32"/>
  <c r="C36" i="32" s="1"/>
  <c r="B35" i="32"/>
  <c r="C35" i="32" s="1"/>
  <c r="B34" i="32"/>
  <c r="C34" i="32" s="1"/>
  <c r="B33" i="32"/>
  <c r="C33" i="32" s="1"/>
  <c r="B32" i="32"/>
  <c r="C32" i="32" s="1"/>
  <c r="B31" i="32"/>
  <c r="C31" i="32" s="1"/>
  <c r="B30" i="32"/>
  <c r="C30" i="32" s="1"/>
  <c r="B29" i="32"/>
  <c r="C29" i="32" s="1"/>
  <c r="B28" i="32"/>
  <c r="C28" i="32" s="1"/>
  <c r="B27" i="32"/>
  <c r="C27" i="32" s="1"/>
  <c r="B26" i="32"/>
  <c r="C26" i="32" s="1"/>
  <c r="B25" i="32"/>
  <c r="C25" i="32" s="1"/>
  <c r="B24" i="32"/>
  <c r="C24" i="32" s="1"/>
  <c r="B23" i="32"/>
  <c r="C23" i="32" s="1"/>
  <c r="B22" i="32"/>
  <c r="C22" i="32" s="1"/>
  <c r="B21" i="32"/>
  <c r="C21" i="32" s="1"/>
  <c r="B20" i="32"/>
  <c r="C20" i="32" s="1"/>
  <c r="B19" i="32"/>
  <c r="C19" i="32" s="1"/>
  <c r="B18" i="32"/>
  <c r="C18" i="32" s="1"/>
  <c r="B17" i="32"/>
  <c r="C17" i="32" s="1"/>
  <c r="B16" i="32"/>
  <c r="C16" i="32" s="1"/>
  <c r="B15" i="32"/>
  <c r="C15" i="32" s="1"/>
  <c r="B14" i="32"/>
  <c r="C14" i="32" s="1"/>
  <c r="B13" i="32"/>
  <c r="C13" i="32" s="1"/>
  <c r="B12" i="32"/>
  <c r="C12" i="32" s="1"/>
  <c r="B7" i="32" l="1"/>
  <c r="AQ7" i="32"/>
  <c r="AR7" i="32" s="1"/>
  <c r="J133" i="10"/>
  <c r="L133" i="10" s="1"/>
  <c r="J121" i="10"/>
  <c r="J122" i="10"/>
  <c r="L122" i="10" s="1"/>
  <c r="J123" i="10"/>
  <c r="J124" i="10"/>
  <c r="L124" i="10" s="1"/>
  <c r="J125" i="10"/>
  <c r="L125" i="10" s="1"/>
  <c r="J126" i="10"/>
  <c r="L126" i="10" s="1"/>
  <c r="J127" i="10"/>
  <c r="L127" i="10" s="1"/>
  <c r="J128" i="10"/>
  <c r="L128" i="10" s="1"/>
  <c r="J129" i="10"/>
  <c r="J130" i="10"/>
  <c r="L130" i="10" s="1"/>
  <c r="J131" i="10"/>
  <c r="J132" i="10"/>
  <c r="J120" i="10"/>
  <c r="L120" i="10" s="1"/>
  <c r="J112" i="10"/>
  <c r="J98" i="10"/>
  <c r="L98" i="10" s="1"/>
  <c r="J99" i="10"/>
  <c r="J100" i="10"/>
  <c r="J101" i="10"/>
  <c r="J102" i="10"/>
  <c r="J103" i="10"/>
  <c r="J104" i="10"/>
  <c r="J105" i="10"/>
  <c r="J106" i="10"/>
  <c r="L106" i="10" s="1"/>
  <c r="J107" i="10"/>
  <c r="J108" i="10"/>
  <c r="J109" i="10"/>
  <c r="J110" i="10"/>
  <c r="L110" i="10" s="1"/>
  <c r="J111" i="10"/>
  <c r="J97" i="10"/>
  <c r="J89" i="10"/>
  <c r="J74" i="10"/>
  <c r="L74" i="10" s="1"/>
  <c r="J75" i="10"/>
  <c r="J76" i="10"/>
  <c r="J77" i="10"/>
  <c r="J78" i="10"/>
  <c r="L78" i="10" s="1"/>
  <c r="J79" i="10"/>
  <c r="J80" i="10"/>
  <c r="J81" i="10"/>
  <c r="J82" i="10"/>
  <c r="L82" i="10" s="1"/>
  <c r="J83" i="10"/>
  <c r="J84" i="10"/>
  <c r="J85" i="10"/>
  <c r="J86" i="10"/>
  <c r="L86" i="10" s="1"/>
  <c r="J87" i="10"/>
  <c r="J88" i="10"/>
  <c r="J73" i="10"/>
  <c r="L4" i="10"/>
  <c r="L132" i="10"/>
  <c r="L131" i="10"/>
  <c r="L129" i="10"/>
  <c r="L123" i="10"/>
  <c r="L121" i="10"/>
  <c r="L119" i="10"/>
  <c r="L118" i="10"/>
  <c r="L117" i="10"/>
  <c r="L116" i="10"/>
  <c r="K112" i="10"/>
  <c r="K111" i="10"/>
  <c r="K110" i="10"/>
  <c r="K109" i="10"/>
  <c r="K108" i="10"/>
  <c r="K107" i="10"/>
  <c r="K106" i="10"/>
  <c r="K105" i="10"/>
  <c r="K104" i="10"/>
  <c r="K103" i="10"/>
  <c r="K102" i="10"/>
  <c r="K101" i="10"/>
  <c r="L101" i="10"/>
  <c r="K100" i="10"/>
  <c r="K99" i="10"/>
  <c r="L99" i="10" s="1"/>
  <c r="K98" i="10"/>
  <c r="K97" i="10"/>
  <c r="L96" i="10"/>
  <c r="L95" i="10"/>
  <c r="L94" i="10"/>
  <c r="L93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K77" i="10"/>
  <c r="L77" i="10"/>
  <c r="K76" i="10"/>
  <c r="K75" i="10"/>
  <c r="K74" i="10"/>
  <c r="K73" i="10"/>
  <c r="L72" i="10"/>
  <c r="L71" i="10"/>
  <c r="L70" i="10"/>
  <c r="L69" i="10"/>
  <c r="O63" i="10"/>
  <c r="O62" i="10"/>
  <c r="O61" i="10"/>
  <c r="O60" i="10"/>
  <c r="O59" i="10"/>
  <c r="O58" i="10"/>
  <c r="O57" i="10"/>
  <c r="O56" i="10"/>
  <c r="O55" i="10"/>
  <c r="O54" i="10"/>
  <c r="O53" i="10"/>
  <c r="O52" i="10"/>
  <c r="M51" i="10"/>
  <c r="M50" i="10"/>
  <c r="I6" i="10" s="1"/>
  <c r="O47" i="10"/>
  <c r="O46" i="10"/>
  <c r="O45" i="10"/>
  <c r="O44" i="10"/>
  <c r="O43" i="10"/>
  <c r="O42" i="10"/>
  <c r="O41" i="10"/>
  <c r="O40" i="10"/>
  <c r="O39" i="10"/>
  <c r="O38" i="10"/>
  <c r="O37" i="10"/>
  <c r="O36" i="10"/>
  <c r="O35" i="10"/>
  <c r="O34" i="10"/>
  <c r="M33" i="10"/>
  <c r="M32" i="10"/>
  <c r="O29" i="10"/>
  <c r="O28" i="10"/>
  <c r="O27" i="10"/>
  <c r="O26" i="10"/>
  <c r="O25" i="10"/>
  <c r="O24" i="10"/>
  <c r="O23" i="10"/>
  <c r="O22" i="10"/>
  <c r="O21" i="10"/>
  <c r="O20" i="10"/>
  <c r="O19" i="10"/>
  <c r="O18" i="10"/>
  <c r="O17" i="10"/>
  <c r="O16" i="10"/>
  <c r="O15" i="10"/>
  <c r="M14" i="10"/>
  <c r="M13" i="10"/>
  <c r="O13" i="10" l="1"/>
  <c r="O12" i="32"/>
  <c r="O33" i="10"/>
  <c r="R13" i="32"/>
  <c r="O51" i="10"/>
  <c r="U13" i="32"/>
  <c r="L87" i="10"/>
  <c r="L79" i="10"/>
  <c r="L111" i="10"/>
  <c r="L103" i="10"/>
  <c r="L73" i="10"/>
  <c r="L85" i="10"/>
  <c r="L81" i="10"/>
  <c r="L89" i="10"/>
  <c r="L109" i="10"/>
  <c r="L105" i="10"/>
  <c r="L112" i="10"/>
  <c r="L102" i="10"/>
  <c r="O14" i="10"/>
  <c r="I4" i="10" s="1"/>
  <c r="O13" i="32"/>
  <c r="O32" i="10"/>
  <c r="R12" i="32"/>
  <c r="O50" i="10"/>
  <c r="U12" i="32"/>
  <c r="I5" i="10"/>
  <c r="L88" i="10"/>
  <c r="L80" i="10"/>
  <c r="L97" i="10"/>
  <c r="L113" i="10" s="1"/>
  <c r="L108" i="10"/>
  <c r="L104" i="10"/>
  <c r="L100" i="10"/>
  <c r="L76" i="10"/>
  <c r="L84" i="10"/>
  <c r="L83" i="10"/>
  <c r="L107" i="10"/>
  <c r="L75" i="10"/>
  <c r="L90" i="10" s="1"/>
  <c r="L134" i="10"/>
  <c r="C6" i="31" l="1"/>
  <c r="B36" i="19" l="1"/>
  <c r="R7" i="19"/>
  <c r="S7" i="19"/>
  <c r="T7" i="19"/>
  <c r="U7" i="19"/>
  <c r="V7" i="19"/>
  <c r="I29" i="19" l="1"/>
  <c r="C3" i="19"/>
  <c r="B3" i="19"/>
  <c r="T37" i="19" l="1"/>
  <c r="S37" i="19"/>
  <c r="R37" i="19"/>
  <c r="R38" i="19"/>
  <c r="J12" i="19"/>
  <c r="BA61" i="10"/>
  <c r="AS39" i="10"/>
  <c r="AS40" i="10"/>
  <c r="AS41" i="10"/>
  <c r="AS42" i="10"/>
  <c r="AS43" i="10"/>
  <c r="AS44" i="10"/>
  <c r="AS38" i="10"/>
  <c r="AS37" i="10"/>
  <c r="AS30" i="10"/>
  <c r="AS26" i="10"/>
  <c r="AS35" i="10"/>
  <c r="AS34" i="10"/>
  <c r="AS33" i="10"/>
  <c r="AS32" i="10"/>
  <c r="AS31" i="10"/>
  <c r="AS29" i="10"/>
  <c r="AS28" i="10"/>
  <c r="AS27" i="10"/>
  <c r="AS25" i="10"/>
  <c r="AS15" i="10"/>
  <c r="AS16" i="10"/>
  <c r="AS17" i="10"/>
  <c r="AS18" i="10"/>
  <c r="AS19" i="10"/>
  <c r="AS20" i="10"/>
  <c r="AS21" i="10"/>
  <c r="AS22" i="10"/>
  <c r="AS23" i="10"/>
  <c r="AS13" i="10"/>
  <c r="AS14" i="10"/>
  <c r="AL126" i="10"/>
  <c r="AL125" i="10"/>
  <c r="AL124" i="10"/>
  <c r="AL123" i="10"/>
  <c r="AL107" i="10"/>
  <c r="AL106" i="10"/>
  <c r="AL105" i="10"/>
  <c r="AL104" i="10"/>
  <c r="AL88" i="10"/>
  <c r="AL87" i="10"/>
  <c r="AL86" i="10"/>
  <c r="AL85" i="10"/>
  <c r="AD43" i="10"/>
  <c r="AD42" i="10"/>
  <c r="AD41" i="10"/>
  <c r="AD40" i="10"/>
  <c r="AD39" i="10"/>
  <c r="AD38" i="10"/>
  <c r="AD37" i="10"/>
  <c r="AD36" i="10"/>
  <c r="AD35" i="10"/>
  <c r="AD34" i="10"/>
  <c r="AD32" i="10"/>
  <c r="AD31" i="10"/>
  <c r="AD30" i="10"/>
  <c r="AD29" i="10"/>
  <c r="AD28" i="10"/>
  <c r="AD27" i="10"/>
  <c r="AD26" i="10"/>
  <c r="AD25" i="10"/>
  <c r="AD24" i="10"/>
  <c r="AD23" i="10"/>
  <c r="AD21" i="10"/>
  <c r="AD14" i="10"/>
  <c r="AD15" i="10"/>
  <c r="AD16" i="10"/>
  <c r="AD17" i="10"/>
  <c r="AD18" i="10"/>
  <c r="AD19" i="10"/>
  <c r="AD20" i="10"/>
  <c r="AD13" i="10"/>
  <c r="AD12" i="10"/>
  <c r="U45" i="10"/>
  <c r="U44" i="10"/>
  <c r="U43" i="10"/>
  <c r="U42" i="10"/>
  <c r="U41" i="10"/>
  <c r="U40" i="10"/>
  <c r="U39" i="10"/>
  <c r="U38" i="10"/>
  <c r="U37" i="10"/>
  <c r="U36" i="10"/>
  <c r="U35" i="10"/>
  <c r="U33" i="10"/>
  <c r="U32" i="10"/>
  <c r="U31" i="10"/>
  <c r="U30" i="10"/>
  <c r="U29" i="10"/>
  <c r="U28" i="10"/>
  <c r="U27" i="10"/>
  <c r="U26" i="10"/>
  <c r="U25" i="10"/>
  <c r="U24" i="10"/>
  <c r="U23" i="10"/>
  <c r="U13" i="10"/>
  <c r="U14" i="10"/>
  <c r="U15" i="10"/>
  <c r="U16" i="10"/>
  <c r="U17" i="10"/>
  <c r="U18" i="10"/>
  <c r="U19" i="10"/>
  <c r="U20" i="10"/>
  <c r="U21" i="10"/>
  <c r="U12" i="10"/>
  <c r="U11" i="10"/>
  <c r="F134" i="19"/>
  <c r="L128" i="19"/>
  <c r="AJ80" i="10"/>
  <c r="AJ70" i="10"/>
  <c r="AJ71" i="10"/>
  <c r="AJ72" i="10"/>
  <c r="AJ73" i="10"/>
  <c r="AJ74" i="10"/>
  <c r="AJ75" i="10"/>
  <c r="AJ76" i="10"/>
  <c r="AJ77" i="10"/>
  <c r="AJ78" i="10"/>
  <c r="AJ79" i="10"/>
  <c r="AJ69" i="10"/>
  <c r="AM69" i="10" s="1"/>
  <c r="AJ56" i="10"/>
  <c r="AJ57" i="10"/>
  <c r="AJ58" i="10"/>
  <c r="AJ59" i="10"/>
  <c r="AJ60" i="10"/>
  <c r="AJ61" i="10"/>
  <c r="AJ62" i="10"/>
  <c r="AJ63" i="10"/>
  <c r="AJ64" i="10"/>
  <c r="AJ65" i="10"/>
  <c r="AJ66" i="10"/>
  <c r="AJ55" i="10"/>
  <c r="AM55" i="10" s="1"/>
  <c r="AJ42" i="10"/>
  <c r="AJ43" i="10"/>
  <c r="AJ44" i="10"/>
  <c r="AJ45" i="10"/>
  <c r="AJ46" i="10"/>
  <c r="AJ47" i="10"/>
  <c r="AJ48" i="10"/>
  <c r="AJ49" i="10"/>
  <c r="AJ50" i="10"/>
  <c r="AJ51" i="10"/>
  <c r="AJ52" i="10"/>
  <c r="AJ41" i="10"/>
  <c r="AM41" i="10" s="1"/>
  <c r="AD12" i="32" s="1"/>
  <c r="AJ28" i="10"/>
  <c r="AJ29" i="10"/>
  <c r="AJ30" i="10"/>
  <c r="AJ31" i="10"/>
  <c r="AJ32" i="10"/>
  <c r="AJ33" i="10"/>
  <c r="AJ34" i="10"/>
  <c r="AJ35" i="10"/>
  <c r="AJ36" i="10"/>
  <c r="AJ37" i="10"/>
  <c r="AJ38" i="10"/>
  <c r="AJ27" i="10"/>
  <c r="AM27" i="10" s="1"/>
  <c r="AJ24" i="10"/>
  <c r="AJ14" i="10"/>
  <c r="AJ15" i="10"/>
  <c r="AJ16" i="10"/>
  <c r="AJ17" i="10"/>
  <c r="AJ18" i="10"/>
  <c r="AJ19" i="10"/>
  <c r="AJ20" i="10"/>
  <c r="AJ21" i="10"/>
  <c r="AJ22" i="10"/>
  <c r="AJ23" i="10"/>
  <c r="AJ13" i="10"/>
  <c r="AM13" i="10" s="1"/>
  <c r="AL13" i="10"/>
  <c r="G32" i="19" l="1"/>
  <c r="X12" i="32"/>
  <c r="H32" i="19"/>
  <c r="AA12" i="32"/>
  <c r="AM28" i="10"/>
  <c r="AA13" i="32" s="1"/>
  <c r="AM70" i="10"/>
  <c r="AM71" i="10" s="1"/>
  <c r="AM72" i="10" s="1"/>
  <c r="AK72" i="10" s="1"/>
  <c r="AM56" i="10"/>
  <c r="AM57" i="10" s="1"/>
  <c r="AK57" i="10" s="1"/>
  <c r="AM42" i="10"/>
  <c r="AD13" i="32" s="1"/>
  <c r="AM14" i="10"/>
  <c r="G33" i="19" l="1"/>
  <c r="X13" i="32"/>
  <c r="AM58" i="10"/>
  <c r="AK28" i="10"/>
  <c r="AL28" i="10" s="1"/>
  <c r="H33" i="19"/>
  <c r="AM29" i="10"/>
  <c r="AM73" i="10"/>
  <c r="AK73" i="10" s="1"/>
  <c r="AM59" i="10"/>
  <c r="AK59" i="10" s="1"/>
  <c r="AM43" i="10"/>
  <c r="AD14" i="32" s="1"/>
  <c r="AK14" i="10"/>
  <c r="AM15" i="10"/>
  <c r="X14" i="32" s="1"/>
  <c r="H34" i="19" l="1"/>
  <c r="AA14" i="32"/>
  <c r="AM60" i="10"/>
  <c r="AK60" i="10" s="1"/>
  <c r="AK15" i="10"/>
  <c r="G34" i="19"/>
  <c r="AM30" i="10"/>
  <c r="AA15" i="32" s="1"/>
  <c r="AL14" i="10"/>
  <c r="AK29" i="10"/>
  <c r="AM74" i="10"/>
  <c r="AK74" i="10" s="1"/>
  <c r="AM44" i="10"/>
  <c r="AM16" i="10"/>
  <c r="X15" i="32" s="1"/>
  <c r="AM45" i="10" l="1"/>
  <c r="AD16" i="32" s="1"/>
  <c r="AD15" i="32"/>
  <c r="AL15" i="10"/>
  <c r="AM61" i="10"/>
  <c r="AK61" i="10" s="1"/>
  <c r="AK30" i="10"/>
  <c r="H35" i="19"/>
  <c r="AK16" i="10"/>
  <c r="AL16" i="10" s="1"/>
  <c r="G35" i="19"/>
  <c r="AM31" i="10"/>
  <c r="AA16" i="32" s="1"/>
  <c r="AL29" i="10"/>
  <c r="AL30" i="10"/>
  <c r="AM75" i="10"/>
  <c r="AM62" i="10"/>
  <c r="AK62" i="10" s="1"/>
  <c r="AM46" i="10"/>
  <c r="AM17" i="10"/>
  <c r="X16" i="32" s="1"/>
  <c r="AM18" i="10"/>
  <c r="X17" i="32" s="1"/>
  <c r="AM47" i="10" l="1"/>
  <c r="AD17" i="32"/>
  <c r="H36" i="19"/>
  <c r="AK31" i="10"/>
  <c r="AM32" i="10"/>
  <c r="AA17" i="32" s="1"/>
  <c r="AK18" i="10"/>
  <c r="G37" i="19"/>
  <c r="AK17" i="10"/>
  <c r="AL17" i="10" s="1"/>
  <c r="G36" i="19"/>
  <c r="AL31" i="10"/>
  <c r="AM76" i="10"/>
  <c r="AK76" i="10" s="1"/>
  <c r="AK75" i="10"/>
  <c r="AM63" i="10"/>
  <c r="AK63" i="10" s="1"/>
  <c r="AM19" i="10"/>
  <c r="X18" i="32" s="1"/>
  <c r="R25" i="28"/>
  <c r="M25" i="28"/>
  <c r="H25" i="28"/>
  <c r="C25" i="28"/>
  <c r="C24" i="28"/>
  <c r="W40" i="19"/>
  <c r="V40" i="19"/>
  <c r="U40" i="19"/>
  <c r="T40" i="19"/>
  <c r="S40" i="19"/>
  <c r="R40" i="19"/>
  <c r="U38" i="19"/>
  <c r="T38" i="19"/>
  <c r="S38" i="19"/>
  <c r="V6" i="19"/>
  <c r="U6" i="19"/>
  <c r="T6" i="19"/>
  <c r="S6" i="19"/>
  <c r="R6" i="19"/>
  <c r="R2" i="19"/>
  <c r="AM48" i="10" l="1"/>
  <c r="AD18" i="32"/>
  <c r="AL18" i="10"/>
  <c r="AM33" i="10"/>
  <c r="H37" i="19"/>
  <c r="AK32" i="10"/>
  <c r="AL32" i="10" s="1"/>
  <c r="AK19" i="10"/>
  <c r="G38" i="19"/>
  <c r="AM77" i="10"/>
  <c r="AM78" i="10" s="1"/>
  <c r="AM64" i="10"/>
  <c r="AM20" i="10"/>
  <c r="BP7" i="10"/>
  <c r="U9" i="19" s="1"/>
  <c r="BP6" i="10"/>
  <c r="T9" i="19" s="1"/>
  <c r="BP5" i="10"/>
  <c r="S9" i="19" s="1"/>
  <c r="BP4" i="10"/>
  <c r="R9" i="19" s="1"/>
  <c r="BO4" i="10"/>
  <c r="BA9" i="10"/>
  <c r="W11" i="19" s="1"/>
  <c r="BA8" i="10"/>
  <c r="V11" i="19" s="1"/>
  <c r="BA6" i="10"/>
  <c r="BA7" i="10"/>
  <c r="U11" i="19" s="1"/>
  <c r="BA5" i="10"/>
  <c r="BA4" i="10"/>
  <c r="R11" i="19" s="1"/>
  <c r="AT6" i="10"/>
  <c r="T8" i="19" s="1"/>
  <c r="AT5" i="10"/>
  <c r="S8" i="19" s="1"/>
  <c r="AT4" i="10"/>
  <c r="R8" i="19" s="1"/>
  <c r="AD6" i="10"/>
  <c r="T5" i="19" s="1"/>
  <c r="AD5" i="10"/>
  <c r="S5" i="19" s="1"/>
  <c r="AD4" i="10"/>
  <c r="R5" i="19" s="1"/>
  <c r="F4" i="10"/>
  <c r="R31" i="19" s="1"/>
  <c r="U6" i="10"/>
  <c r="U5" i="10"/>
  <c r="U4" i="10"/>
  <c r="R4" i="10"/>
  <c r="G39" i="19" l="1"/>
  <c r="X19" i="32"/>
  <c r="AM34" i="10"/>
  <c r="AA19" i="32" s="1"/>
  <c r="AA18" i="32"/>
  <c r="AD19" i="32"/>
  <c r="AM49" i="10"/>
  <c r="H39" i="19"/>
  <c r="H38" i="19"/>
  <c r="AK33" i="10"/>
  <c r="AL33" i="10" s="1"/>
  <c r="AM35" i="10"/>
  <c r="AA20" i="32" s="1"/>
  <c r="AL19" i="10"/>
  <c r="AK77" i="10"/>
  <c r="AM65" i="10"/>
  <c r="AK64" i="10"/>
  <c r="AM79" i="10"/>
  <c r="AK79" i="10" s="1"/>
  <c r="AK78" i="10"/>
  <c r="AK20" i="10"/>
  <c r="AM21" i="10"/>
  <c r="X20" i="32" s="1"/>
  <c r="T11" i="19"/>
  <c r="S11" i="19"/>
  <c r="R4" i="19"/>
  <c r="R12" i="19"/>
  <c r="S12" i="19"/>
  <c r="S4" i="19"/>
  <c r="T12" i="19"/>
  <c r="T13" i="19"/>
  <c r="S13" i="19"/>
  <c r="T4" i="19"/>
  <c r="R13" i="19"/>
  <c r="B126" i="19"/>
  <c r="D126" i="19"/>
  <c r="E126" i="19"/>
  <c r="F126" i="19"/>
  <c r="G126" i="19"/>
  <c r="H126" i="19"/>
  <c r="BN60" i="10" s="1"/>
  <c r="I126" i="19"/>
  <c r="J126" i="19"/>
  <c r="AY65" i="10" s="1"/>
  <c r="K126" i="19"/>
  <c r="L126" i="19"/>
  <c r="B127" i="19"/>
  <c r="D127" i="19"/>
  <c r="E127" i="19"/>
  <c r="F127" i="19"/>
  <c r="G127" i="19"/>
  <c r="H127" i="19"/>
  <c r="I127" i="19"/>
  <c r="J127" i="19"/>
  <c r="K127" i="19"/>
  <c r="L127" i="19"/>
  <c r="B128" i="19"/>
  <c r="D128" i="19"/>
  <c r="E128" i="19"/>
  <c r="F128" i="19"/>
  <c r="G128" i="19"/>
  <c r="H128" i="19"/>
  <c r="I128" i="19"/>
  <c r="J128" i="19"/>
  <c r="K128" i="19"/>
  <c r="B129" i="19"/>
  <c r="D129" i="19"/>
  <c r="E129" i="19"/>
  <c r="F129" i="19"/>
  <c r="G129" i="19"/>
  <c r="H129" i="19"/>
  <c r="I129" i="19"/>
  <c r="J129" i="19"/>
  <c r="K129" i="19"/>
  <c r="L129" i="19"/>
  <c r="B130" i="19"/>
  <c r="D130" i="19"/>
  <c r="E130" i="19"/>
  <c r="F130" i="19"/>
  <c r="G130" i="19"/>
  <c r="H130" i="19"/>
  <c r="I130" i="19"/>
  <c r="J130" i="19"/>
  <c r="K130" i="19"/>
  <c r="L130" i="19"/>
  <c r="B131" i="19"/>
  <c r="D131" i="19"/>
  <c r="E131" i="19"/>
  <c r="F131" i="19"/>
  <c r="G131" i="19"/>
  <c r="H131" i="19"/>
  <c r="I131" i="19"/>
  <c r="J131" i="19"/>
  <c r="K131" i="19"/>
  <c r="L131" i="19"/>
  <c r="B132" i="19"/>
  <c r="D132" i="19"/>
  <c r="E132" i="19"/>
  <c r="F132" i="19"/>
  <c r="G132" i="19"/>
  <c r="H132" i="19"/>
  <c r="I132" i="19"/>
  <c r="J132" i="19"/>
  <c r="K132" i="19"/>
  <c r="L132" i="19"/>
  <c r="B133" i="19"/>
  <c r="D133" i="19"/>
  <c r="E133" i="19"/>
  <c r="F133" i="19"/>
  <c r="G133" i="19"/>
  <c r="H133" i="19"/>
  <c r="I133" i="19"/>
  <c r="J133" i="19"/>
  <c r="K133" i="19"/>
  <c r="L133" i="19"/>
  <c r="B134" i="19"/>
  <c r="D134" i="19"/>
  <c r="E134" i="19"/>
  <c r="G134" i="19"/>
  <c r="H134" i="19"/>
  <c r="I134" i="19"/>
  <c r="J134" i="19"/>
  <c r="K134" i="19"/>
  <c r="L134" i="19"/>
  <c r="B135" i="19"/>
  <c r="D135" i="19"/>
  <c r="E135" i="19"/>
  <c r="F135" i="19"/>
  <c r="G135" i="19"/>
  <c r="H135" i="19"/>
  <c r="I135" i="19"/>
  <c r="J135" i="19"/>
  <c r="K135" i="19"/>
  <c r="L135" i="19"/>
  <c r="B136" i="19"/>
  <c r="D136" i="19"/>
  <c r="E136" i="19"/>
  <c r="F136" i="19"/>
  <c r="G136" i="19"/>
  <c r="H136" i="19"/>
  <c r="I136" i="19"/>
  <c r="J136" i="19"/>
  <c r="K136" i="19"/>
  <c r="L136" i="19"/>
  <c r="B137" i="19"/>
  <c r="D137" i="19"/>
  <c r="E137" i="19"/>
  <c r="F137" i="19"/>
  <c r="G137" i="19"/>
  <c r="H137" i="19"/>
  <c r="I137" i="19"/>
  <c r="J137" i="19"/>
  <c r="K137" i="19"/>
  <c r="L137" i="19"/>
  <c r="B138" i="19"/>
  <c r="D138" i="19"/>
  <c r="E138" i="19"/>
  <c r="F138" i="19"/>
  <c r="G138" i="19"/>
  <c r="H138" i="19"/>
  <c r="I138" i="19"/>
  <c r="J138" i="19"/>
  <c r="K138" i="19"/>
  <c r="L138" i="19"/>
  <c r="B139" i="19"/>
  <c r="D139" i="19"/>
  <c r="E139" i="19"/>
  <c r="F139" i="19"/>
  <c r="G139" i="19"/>
  <c r="H139" i="19"/>
  <c r="I139" i="19"/>
  <c r="J139" i="19"/>
  <c r="K139" i="19"/>
  <c r="L139" i="19"/>
  <c r="B140" i="19"/>
  <c r="D140" i="19"/>
  <c r="E140" i="19"/>
  <c r="F140" i="19"/>
  <c r="G140" i="19"/>
  <c r="H140" i="19"/>
  <c r="I140" i="19"/>
  <c r="J140" i="19"/>
  <c r="K140" i="19"/>
  <c r="L140" i="19"/>
  <c r="B141" i="19"/>
  <c r="D141" i="19"/>
  <c r="E141" i="19"/>
  <c r="F141" i="19"/>
  <c r="G141" i="19"/>
  <c r="H141" i="19"/>
  <c r="I141" i="19"/>
  <c r="J141" i="19"/>
  <c r="K141" i="19"/>
  <c r="L141" i="19"/>
  <c r="B142" i="19"/>
  <c r="D142" i="19"/>
  <c r="E142" i="19"/>
  <c r="F142" i="19"/>
  <c r="G142" i="19"/>
  <c r="H142" i="19"/>
  <c r="I142" i="19"/>
  <c r="J142" i="19"/>
  <c r="K142" i="19"/>
  <c r="L142" i="19"/>
  <c r="B143" i="19"/>
  <c r="D143" i="19"/>
  <c r="E143" i="19"/>
  <c r="F143" i="19"/>
  <c r="G143" i="19"/>
  <c r="H143" i="19"/>
  <c r="I143" i="19"/>
  <c r="J143" i="19"/>
  <c r="K143" i="19"/>
  <c r="L143" i="19"/>
  <c r="B144" i="19"/>
  <c r="D144" i="19"/>
  <c r="E144" i="19"/>
  <c r="F144" i="19"/>
  <c r="G144" i="19"/>
  <c r="H144" i="19"/>
  <c r="I144" i="19"/>
  <c r="J144" i="19"/>
  <c r="K144" i="19"/>
  <c r="L144" i="19"/>
  <c r="B145" i="19"/>
  <c r="D145" i="19"/>
  <c r="E145" i="19"/>
  <c r="G145" i="19"/>
  <c r="H145" i="19"/>
  <c r="I145" i="19"/>
  <c r="J145" i="19"/>
  <c r="K145" i="19"/>
  <c r="L145" i="19"/>
  <c r="B146" i="19"/>
  <c r="D146" i="19"/>
  <c r="E146" i="19"/>
  <c r="F146" i="19"/>
  <c r="G146" i="19"/>
  <c r="H146" i="19"/>
  <c r="I146" i="19"/>
  <c r="J146" i="19"/>
  <c r="K146" i="19"/>
  <c r="L146" i="19"/>
  <c r="B147" i="19"/>
  <c r="D147" i="19"/>
  <c r="E147" i="19"/>
  <c r="F147" i="19"/>
  <c r="G147" i="19"/>
  <c r="H147" i="19"/>
  <c r="I147" i="19"/>
  <c r="J147" i="19"/>
  <c r="K147" i="19"/>
  <c r="L147" i="19"/>
  <c r="B148" i="19"/>
  <c r="D148" i="19"/>
  <c r="E148" i="19"/>
  <c r="F148" i="19"/>
  <c r="G148" i="19"/>
  <c r="H148" i="19"/>
  <c r="I148" i="19"/>
  <c r="J148" i="19"/>
  <c r="K148" i="19"/>
  <c r="L148" i="19"/>
  <c r="C10" i="19"/>
  <c r="B10" i="19"/>
  <c r="E9" i="19"/>
  <c r="D9" i="19"/>
  <c r="C9" i="19"/>
  <c r="B9" i="19"/>
  <c r="B2" i="19"/>
  <c r="AK34" i="10" l="1"/>
  <c r="AM50" i="10"/>
  <c r="AD21" i="32" s="1"/>
  <c r="AD20" i="32"/>
  <c r="AK21" i="10"/>
  <c r="AJ97" i="10" s="1"/>
  <c r="AL97" i="10" s="1"/>
  <c r="G40" i="19"/>
  <c r="AL34" i="10"/>
  <c r="AM36" i="10"/>
  <c r="AA21" i="32" s="1"/>
  <c r="H40" i="19"/>
  <c r="AK35" i="10"/>
  <c r="AJ116" i="10" s="1"/>
  <c r="AL116" i="10" s="1"/>
  <c r="AB96" i="10"/>
  <c r="AB60" i="10"/>
  <c r="AB78" i="10"/>
  <c r="S96" i="10"/>
  <c r="S78" i="10"/>
  <c r="S60" i="10"/>
  <c r="S100" i="10"/>
  <c r="S82" i="10"/>
  <c r="S64" i="10"/>
  <c r="AB95" i="10"/>
  <c r="AB59" i="10"/>
  <c r="AB77" i="10"/>
  <c r="AR94" i="10"/>
  <c r="AR76" i="10"/>
  <c r="AR58" i="10"/>
  <c r="S91" i="10"/>
  <c r="S55" i="10"/>
  <c r="S73" i="10"/>
  <c r="AJ127" i="10"/>
  <c r="AL127" i="10" s="1"/>
  <c r="AJ89" i="10"/>
  <c r="AL89" i="10" s="1"/>
  <c r="AJ109" i="10"/>
  <c r="AL109" i="10" s="1"/>
  <c r="AJ91" i="10"/>
  <c r="AL91" i="10" s="1"/>
  <c r="AJ90" i="10"/>
  <c r="AL90" i="10" s="1"/>
  <c r="AJ110" i="10"/>
  <c r="AL110" i="10" s="1"/>
  <c r="AJ112" i="10"/>
  <c r="AL112" i="10" s="1"/>
  <c r="AJ111" i="10"/>
  <c r="AL111" i="10" s="1"/>
  <c r="AJ92" i="10"/>
  <c r="AL92" i="10" s="1"/>
  <c r="AJ94" i="10"/>
  <c r="AL94" i="10" s="1"/>
  <c r="AJ113" i="10"/>
  <c r="AL113" i="10" s="1"/>
  <c r="AJ93" i="10"/>
  <c r="AL93" i="10" s="1"/>
  <c r="AJ114" i="10"/>
  <c r="AL114" i="10" s="1"/>
  <c r="AJ95" i="10"/>
  <c r="AL95" i="10" s="1"/>
  <c r="AJ115" i="10"/>
  <c r="AL115" i="10" s="1"/>
  <c r="S61" i="10"/>
  <c r="S97" i="10"/>
  <c r="S79" i="10"/>
  <c r="AB74" i="10"/>
  <c r="AB92" i="10"/>
  <c r="AB56" i="10"/>
  <c r="AR77" i="10"/>
  <c r="AR95" i="10"/>
  <c r="AR59" i="10"/>
  <c r="S92" i="10"/>
  <c r="S74" i="10"/>
  <c r="S56" i="10"/>
  <c r="AR63" i="10"/>
  <c r="AR81" i="10"/>
  <c r="AB55" i="10"/>
  <c r="AB73" i="10"/>
  <c r="AB91" i="10"/>
  <c r="AR54" i="10"/>
  <c r="AR90" i="10"/>
  <c r="AR72" i="10"/>
  <c r="AB81" i="10"/>
  <c r="AB63" i="10"/>
  <c r="AB99" i="10"/>
  <c r="AR80" i="10"/>
  <c r="AR62" i="10"/>
  <c r="S59" i="10"/>
  <c r="S77" i="10"/>
  <c r="S95" i="10"/>
  <c r="AB54" i="10"/>
  <c r="AB72" i="10"/>
  <c r="AB90" i="10"/>
  <c r="S93" i="10"/>
  <c r="S57" i="10"/>
  <c r="S75" i="10"/>
  <c r="AR79" i="10"/>
  <c r="AR97" i="10"/>
  <c r="AR61" i="10"/>
  <c r="AB76" i="10"/>
  <c r="AB58" i="10"/>
  <c r="AB94" i="10"/>
  <c r="AR57" i="10"/>
  <c r="AR75" i="10"/>
  <c r="AR93" i="10"/>
  <c r="S72" i="10"/>
  <c r="S90" i="10"/>
  <c r="S54" i="10"/>
  <c r="AR56" i="10"/>
  <c r="AR74" i="10"/>
  <c r="AR92" i="10"/>
  <c r="AR82" i="10"/>
  <c r="AR64" i="10"/>
  <c r="AR55" i="10"/>
  <c r="AR91" i="10"/>
  <c r="AR73" i="10"/>
  <c r="S81" i="10"/>
  <c r="S99" i="10"/>
  <c r="S63" i="10"/>
  <c r="AB98" i="10"/>
  <c r="AB62" i="10"/>
  <c r="AB80" i="10"/>
  <c r="S62" i="10"/>
  <c r="S80" i="10"/>
  <c r="S98" i="10"/>
  <c r="S58" i="10"/>
  <c r="S94" i="10"/>
  <c r="S76" i="10"/>
  <c r="AB97" i="10"/>
  <c r="AB61" i="10"/>
  <c r="AB79" i="10"/>
  <c r="AR96" i="10"/>
  <c r="AR78" i="10"/>
  <c r="AR60" i="10"/>
  <c r="AB57" i="10"/>
  <c r="AB93" i="10"/>
  <c r="AB75" i="10"/>
  <c r="AL20" i="10"/>
  <c r="AL21" i="10" s="1"/>
  <c r="AJ96" i="10"/>
  <c r="AL96" i="10" s="1"/>
  <c r="AM80" i="10"/>
  <c r="AK80" i="10" s="1"/>
  <c r="AM66" i="10"/>
  <c r="AK66" i="10" s="1"/>
  <c r="AK65" i="10"/>
  <c r="AM22" i="10"/>
  <c r="X21" i="32" s="1"/>
  <c r="AX5" i="10"/>
  <c r="C11" i="19" s="1"/>
  <c r="AM51" i="10" l="1"/>
  <c r="AM23" i="10"/>
  <c r="AM37" i="10"/>
  <c r="AA22" i="32" s="1"/>
  <c r="H41" i="19"/>
  <c r="AK36" i="10"/>
  <c r="AL35" i="10"/>
  <c r="AK22" i="10"/>
  <c r="AJ98" i="10" s="1"/>
  <c r="AL98" i="10" s="1"/>
  <c r="G41" i="19"/>
  <c r="AM38" i="10"/>
  <c r="AA23" i="32" s="1"/>
  <c r="R6" i="10"/>
  <c r="D4" i="19" s="1"/>
  <c r="R5" i="10"/>
  <c r="C4" i="19" s="1"/>
  <c r="B4" i="19"/>
  <c r="G42" i="19" l="1"/>
  <c r="X22" i="32"/>
  <c r="AK23" i="10"/>
  <c r="AJ99" i="10" s="1"/>
  <c r="AL99" i="10" s="1"/>
  <c r="AM52" i="10"/>
  <c r="AD22" i="32"/>
  <c r="AM24" i="10"/>
  <c r="AL36" i="10"/>
  <c r="AJ117" i="10"/>
  <c r="AL117" i="10" s="1"/>
  <c r="AL22" i="10"/>
  <c r="AL23" i="10" s="1"/>
  <c r="H42" i="19"/>
  <c r="AK37" i="10"/>
  <c r="AJ118" i="10" s="1"/>
  <c r="AL118" i="10" s="1"/>
  <c r="AK38" i="10"/>
  <c r="AJ119" i="10" s="1"/>
  <c r="AL119" i="10" s="1"/>
  <c r="H43" i="19"/>
  <c r="B12" i="19"/>
  <c r="B13" i="19"/>
  <c r="C12" i="19"/>
  <c r="C13" i="19"/>
  <c r="D13" i="19"/>
  <c r="D12" i="19"/>
  <c r="X23" i="32" l="1"/>
  <c r="G43" i="19"/>
  <c r="AK24" i="10"/>
  <c r="AJ100" i="10" s="1"/>
  <c r="AL100" i="10" s="1"/>
  <c r="AL101" i="10" s="1"/>
  <c r="AK4" i="10" s="1"/>
  <c r="J7" i="19" s="1"/>
  <c r="AK52" i="10"/>
  <c r="AJ138" i="10" s="1"/>
  <c r="AL138" i="10" s="1"/>
  <c r="AD23" i="32"/>
  <c r="AL37" i="10"/>
  <c r="AL38" i="10" s="1"/>
  <c r="C55" i="28"/>
  <c r="C48" i="28" s="1"/>
  <c r="R24" i="28"/>
  <c r="R26" i="28" s="1"/>
  <c r="M24" i="28"/>
  <c r="M26" i="28" s="1"/>
  <c r="J6" i="19" l="1"/>
  <c r="AL24" i="10"/>
  <c r="B75" i="28"/>
  <c r="B76" i="28" s="1"/>
  <c r="M27" i="28"/>
  <c r="M37" i="28" s="1"/>
  <c r="M39" i="28" s="1"/>
  <c r="O39" i="28" s="1"/>
  <c r="R27" i="28"/>
  <c r="R37" i="28" s="1"/>
  <c r="R39" i="28" s="1"/>
  <c r="T39" i="28" s="1"/>
  <c r="C49" i="28"/>
  <c r="C57" i="28" s="1"/>
  <c r="C58" i="28" l="1"/>
  <c r="B72" i="28" s="1"/>
  <c r="R36" i="28"/>
  <c r="M36" i="28"/>
  <c r="BA133" i="10"/>
  <c r="BA132" i="10"/>
  <c r="BA131" i="10"/>
  <c r="BA130" i="10"/>
  <c r="AY123" i="10"/>
  <c r="BA123" i="10" s="1"/>
  <c r="BA120" i="10"/>
  <c r="BA119" i="10"/>
  <c r="BA118" i="10"/>
  <c r="BA117" i="10"/>
  <c r="BP109" i="10"/>
  <c r="BP108" i="10"/>
  <c r="BP107" i="10"/>
  <c r="BP106" i="10"/>
  <c r="BA106" i="10"/>
  <c r="BA105" i="10"/>
  <c r="BA104" i="10"/>
  <c r="BA103" i="10"/>
  <c r="BP94" i="10"/>
  <c r="BP93" i="10"/>
  <c r="BP92" i="10"/>
  <c r="BA92" i="10"/>
  <c r="BP91" i="10"/>
  <c r="BA91" i="10"/>
  <c r="BA90" i="10"/>
  <c r="BA89" i="10"/>
  <c r="AT89" i="10"/>
  <c r="AD89" i="10"/>
  <c r="U89" i="10"/>
  <c r="AT88" i="10"/>
  <c r="AD88" i="10"/>
  <c r="U88" i="10"/>
  <c r="AT87" i="10"/>
  <c r="AD87" i="10"/>
  <c r="U87" i="10"/>
  <c r="AT86" i="10"/>
  <c r="AD86" i="10"/>
  <c r="U86" i="10"/>
  <c r="BA78" i="10"/>
  <c r="BA77" i="10"/>
  <c r="BP76" i="10"/>
  <c r="BA76" i="10"/>
  <c r="BP75" i="10"/>
  <c r="BA75" i="10"/>
  <c r="AT75" i="10"/>
  <c r="BP74" i="10"/>
  <c r="BP73" i="10"/>
  <c r="AT71" i="10"/>
  <c r="AD71" i="10"/>
  <c r="U71" i="10"/>
  <c r="AT70" i="10"/>
  <c r="AD70" i="10"/>
  <c r="U70" i="10"/>
  <c r="AT69" i="10"/>
  <c r="AD69" i="10"/>
  <c r="U69" i="10"/>
  <c r="AT68" i="10"/>
  <c r="AD68" i="10"/>
  <c r="U68" i="10"/>
  <c r="BA64" i="10"/>
  <c r="BA63" i="10"/>
  <c r="BA62" i="10"/>
  <c r="BP59" i="10"/>
  <c r="BP58" i="10"/>
  <c r="BP57" i="10"/>
  <c r="BP56" i="10"/>
  <c r="AD56" i="10"/>
  <c r="BH55" i="10"/>
  <c r="BH54" i="10"/>
  <c r="BH53" i="10"/>
  <c r="AT53" i="10"/>
  <c r="AD53" i="10"/>
  <c r="U53" i="10"/>
  <c r="BH52" i="10"/>
  <c r="AT52" i="10"/>
  <c r="AD52" i="10"/>
  <c r="U52" i="10"/>
  <c r="AT51" i="10"/>
  <c r="AD51" i="10"/>
  <c r="U51" i="10"/>
  <c r="AT50" i="10"/>
  <c r="AD50" i="10"/>
  <c r="U50" i="10"/>
  <c r="V45" i="10"/>
  <c r="X45" i="10" s="1"/>
  <c r="V44" i="10"/>
  <c r="X44" i="10" s="1"/>
  <c r="AE43" i="10"/>
  <c r="V43" i="10"/>
  <c r="X43" i="10" s="1"/>
  <c r="AE42" i="10"/>
  <c r="V42" i="10"/>
  <c r="X42" i="10" s="1"/>
  <c r="E42" i="10"/>
  <c r="AE41" i="10"/>
  <c r="V41" i="10"/>
  <c r="X41" i="10" s="1"/>
  <c r="E41" i="10"/>
  <c r="AE40" i="10"/>
  <c r="V40" i="10"/>
  <c r="X40" i="10" s="1"/>
  <c r="E40" i="10"/>
  <c r="BH39" i="10"/>
  <c r="AK69" i="10"/>
  <c r="AL69" i="10" s="1"/>
  <c r="AK70" i="10" s="1"/>
  <c r="AL70" i="10" s="1"/>
  <c r="AK71" i="10" s="1"/>
  <c r="AL71" i="10" s="1"/>
  <c r="AE39" i="10"/>
  <c r="V39" i="10"/>
  <c r="X39" i="10" s="1"/>
  <c r="E39" i="10"/>
  <c r="BH38" i="10"/>
  <c r="AE38" i="10"/>
  <c r="V38" i="10"/>
  <c r="X38" i="10" s="1"/>
  <c r="BH37" i="10"/>
  <c r="AE37" i="10"/>
  <c r="V37" i="10"/>
  <c r="X37" i="10" s="1"/>
  <c r="BH36" i="10"/>
  <c r="AE36" i="10"/>
  <c r="V36" i="10"/>
  <c r="X36" i="10" s="1"/>
  <c r="AE35" i="10"/>
  <c r="V35" i="10"/>
  <c r="X35" i="10" s="1"/>
  <c r="AE34" i="10"/>
  <c r="V33" i="10"/>
  <c r="X33" i="10" s="1"/>
  <c r="C33" i="10"/>
  <c r="AK55" i="10"/>
  <c r="AL55" i="10" s="1"/>
  <c r="AK56" i="10" s="1"/>
  <c r="AL56" i="10" s="1"/>
  <c r="AL57" i="10" s="1"/>
  <c r="AE32" i="10"/>
  <c r="V32" i="10"/>
  <c r="X32" i="10" s="1"/>
  <c r="AE31" i="10"/>
  <c r="V31" i="10"/>
  <c r="X31" i="10" s="1"/>
  <c r="AE30" i="10"/>
  <c r="V30" i="10"/>
  <c r="X30" i="10" s="1"/>
  <c r="AE29" i="10"/>
  <c r="V29" i="10"/>
  <c r="X29" i="10" s="1"/>
  <c r="AE28" i="10"/>
  <c r="V28" i="10"/>
  <c r="X28" i="10" s="1"/>
  <c r="AE27" i="10"/>
  <c r="V27" i="10"/>
  <c r="X27" i="10" s="1"/>
  <c r="AK42" i="10"/>
  <c r="AE26" i="10"/>
  <c r="V26" i="10"/>
  <c r="X26" i="10" s="1"/>
  <c r="AE25" i="10"/>
  <c r="V25" i="10"/>
  <c r="X25" i="10" s="1"/>
  <c r="AE24" i="10"/>
  <c r="V24" i="10"/>
  <c r="X24" i="10" s="1"/>
  <c r="BI23" i="10"/>
  <c r="BG23" i="10" s="1"/>
  <c r="AE23" i="10"/>
  <c r="V23" i="10"/>
  <c r="X23" i="10" s="1"/>
  <c r="AE21" i="10"/>
  <c r="V21" i="10"/>
  <c r="X21" i="10" s="1"/>
  <c r="AE20" i="10"/>
  <c r="V20" i="10"/>
  <c r="X20" i="10" s="1"/>
  <c r="AK27" i="10"/>
  <c r="AJ108" i="10" s="1"/>
  <c r="AL108" i="10" s="1"/>
  <c r="AL120" i="10" s="1"/>
  <c r="AK5" i="10" s="1"/>
  <c r="AE19" i="10"/>
  <c r="V19" i="10"/>
  <c r="X19" i="10" s="1"/>
  <c r="AE18" i="10"/>
  <c r="V18" i="10"/>
  <c r="X18" i="10" s="1"/>
  <c r="AE17" i="10"/>
  <c r="V17" i="10"/>
  <c r="X17" i="10" s="1"/>
  <c r="AE16" i="10"/>
  <c r="V16" i="10"/>
  <c r="X16" i="10" s="1"/>
  <c r="AE15" i="10"/>
  <c r="V15" i="10"/>
  <c r="X15" i="10" s="1"/>
  <c r="AE14" i="10"/>
  <c r="V14" i="10"/>
  <c r="X14" i="10" s="1"/>
  <c r="BI13" i="10"/>
  <c r="BG13" i="10" s="1"/>
  <c r="BF40" i="10" s="1"/>
  <c r="AE13" i="10"/>
  <c r="V13" i="10"/>
  <c r="X13" i="10" s="1"/>
  <c r="AE12" i="10"/>
  <c r="V12" i="10"/>
  <c r="X12" i="10" s="1"/>
  <c r="V11" i="10"/>
  <c r="X11" i="10" s="1"/>
  <c r="AX9" i="10"/>
  <c r="G11" i="19" s="1"/>
  <c r="AX8" i="10"/>
  <c r="F11" i="19" s="1"/>
  <c r="AX7" i="10"/>
  <c r="E11" i="19" s="1"/>
  <c r="AX6" i="10"/>
  <c r="D11" i="19" s="1"/>
  <c r="AQ6" i="10"/>
  <c r="D8" i="19" s="1"/>
  <c r="AQ5" i="10"/>
  <c r="C8" i="19" s="1"/>
  <c r="AX4" i="10"/>
  <c r="B11" i="19" s="1"/>
  <c r="AQ4" i="10"/>
  <c r="B8" i="19" s="1"/>
  <c r="B47" i="19"/>
  <c r="B46" i="19"/>
  <c r="A33" i="19"/>
  <c r="C64" i="10"/>
  <c r="E64" i="10" s="1"/>
  <c r="C63" i="10"/>
  <c r="E63" i="10" s="1"/>
  <c r="C62" i="10"/>
  <c r="E62" i="10" s="1"/>
  <c r="C61" i="10"/>
  <c r="E61" i="10" s="1"/>
  <c r="C60" i="10"/>
  <c r="E60" i="10" s="1"/>
  <c r="C59" i="10"/>
  <c r="E59" i="10" s="1"/>
  <c r="C58" i="10"/>
  <c r="E58" i="10" s="1"/>
  <c r="C57" i="10"/>
  <c r="E57" i="10" s="1"/>
  <c r="C56" i="10"/>
  <c r="E56" i="10" s="1"/>
  <c r="C55" i="10"/>
  <c r="E55" i="10" s="1"/>
  <c r="C54" i="10"/>
  <c r="E54" i="10" s="1"/>
  <c r="BN87" i="10"/>
  <c r="BP87" i="10" s="1"/>
  <c r="C53" i="10"/>
  <c r="E53" i="10" s="1"/>
  <c r="C52" i="10"/>
  <c r="E52" i="10" s="1"/>
  <c r="C51" i="10"/>
  <c r="E51" i="10" s="1"/>
  <c r="C50" i="10"/>
  <c r="E50" i="10" s="1"/>
  <c r="C49" i="10"/>
  <c r="E49" i="10" s="1"/>
  <c r="C48" i="10"/>
  <c r="E48" i="10" s="1"/>
  <c r="AT94" i="10"/>
  <c r="C47" i="10"/>
  <c r="E47" i="10" s="1"/>
  <c r="C46" i="10"/>
  <c r="E46" i="10" s="1"/>
  <c r="AY81" i="10"/>
  <c r="BA81" i="10" s="1"/>
  <c r="C45" i="10"/>
  <c r="E45" i="10" s="1"/>
  <c r="C44" i="10"/>
  <c r="E44" i="10" s="1"/>
  <c r="C43" i="10"/>
  <c r="E43" i="10" s="1"/>
  <c r="AG3" i="32" l="1"/>
  <c r="X3" i="32"/>
  <c r="F3" i="32"/>
  <c r="K6" i="19"/>
  <c r="K7" i="19"/>
  <c r="BF56" i="10"/>
  <c r="BH56" i="10" s="1"/>
  <c r="AL42" i="10"/>
  <c r="AJ128" i="10"/>
  <c r="AL128" i="10" s="1"/>
  <c r="AA4" i="10"/>
  <c r="B5" i="19" s="1"/>
  <c r="AK43" i="10"/>
  <c r="AA5" i="10"/>
  <c r="C5" i="19" s="1"/>
  <c r="AJ5" i="10"/>
  <c r="AA6" i="10"/>
  <c r="D5" i="19" s="1"/>
  <c r="AJ7" i="10"/>
  <c r="AK58" i="10"/>
  <c r="AJ8" i="10"/>
  <c r="AL72" i="10"/>
  <c r="AT90" i="10"/>
  <c r="AT72" i="10"/>
  <c r="AD77" i="10"/>
  <c r="AD95" i="10"/>
  <c r="AD59" i="10"/>
  <c r="AT96" i="10"/>
  <c r="AT78" i="10"/>
  <c r="AT60" i="10"/>
  <c r="AD97" i="10"/>
  <c r="AD61" i="10"/>
  <c r="AD79" i="10"/>
  <c r="AT62" i="10"/>
  <c r="AT80" i="10"/>
  <c r="AT58" i="10"/>
  <c r="U90" i="10"/>
  <c r="U72" i="10"/>
  <c r="BN95" i="10"/>
  <c r="BP95" i="10" s="1"/>
  <c r="BN77" i="10"/>
  <c r="BP77" i="10" s="1"/>
  <c r="BN110" i="10"/>
  <c r="BP110" i="10" s="1"/>
  <c r="BP60" i="10"/>
  <c r="AY135" i="10"/>
  <c r="BA135" i="10" s="1"/>
  <c r="AY66" i="10"/>
  <c r="BA66" i="10" s="1"/>
  <c r="AY122" i="10"/>
  <c r="BA122" i="10" s="1"/>
  <c r="AY108" i="10"/>
  <c r="BA108" i="10" s="1"/>
  <c r="AY80" i="10"/>
  <c r="BA80" i="10" s="1"/>
  <c r="AY94" i="10"/>
  <c r="BA94" i="10" s="1"/>
  <c r="U92" i="10"/>
  <c r="U74" i="10"/>
  <c r="U56" i="10"/>
  <c r="BN97" i="10"/>
  <c r="BP97" i="10" s="1"/>
  <c r="BN112" i="10"/>
  <c r="BP112" i="10" s="1"/>
  <c r="BN79" i="10"/>
  <c r="BP79" i="10" s="1"/>
  <c r="BN62" i="10"/>
  <c r="BP62" i="10" s="1"/>
  <c r="AY137" i="10"/>
  <c r="BA137" i="10" s="1"/>
  <c r="AY96" i="10"/>
  <c r="BA96" i="10" s="1"/>
  <c r="AY124" i="10"/>
  <c r="BA124" i="10" s="1"/>
  <c r="AY68" i="10"/>
  <c r="BA68" i="10" s="1"/>
  <c r="AY82" i="10"/>
  <c r="BA82" i="10" s="1"/>
  <c r="U94" i="10"/>
  <c r="U76" i="10"/>
  <c r="BN64" i="10"/>
  <c r="BP64" i="10" s="1"/>
  <c r="BN81" i="10"/>
  <c r="BP81" i="10" s="1"/>
  <c r="BN114" i="10"/>
  <c r="BP114" i="10" s="1"/>
  <c r="BN99" i="10"/>
  <c r="BP99" i="10" s="1"/>
  <c r="AY84" i="10"/>
  <c r="BA84" i="10" s="1"/>
  <c r="AY126" i="10"/>
  <c r="BA126" i="10" s="1"/>
  <c r="AY98" i="10"/>
  <c r="BA98" i="10" s="1"/>
  <c r="AY112" i="10"/>
  <c r="BA112" i="10" s="1"/>
  <c r="AY70" i="10"/>
  <c r="BA70" i="10" s="1"/>
  <c r="U96" i="10"/>
  <c r="U78" i="10"/>
  <c r="U60" i="10"/>
  <c r="BN116" i="10"/>
  <c r="BP116" i="10" s="1"/>
  <c r="BN101" i="10"/>
  <c r="BP101" i="10" s="1"/>
  <c r="BN83" i="10"/>
  <c r="BP83" i="10" s="1"/>
  <c r="BN66" i="10"/>
  <c r="BP66" i="10" s="1"/>
  <c r="U98" i="10"/>
  <c r="U62" i="10"/>
  <c r="BN85" i="10"/>
  <c r="BP85" i="10" s="1"/>
  <c r="BN68" i="10"/>
  <c r="BP68" i="10" s="1"/>
  <c r="U64" i="10"/>
  <c r="U100" i="10"/>
  <c r="U82" i="10"/>
  <c r="U54" i="10"/>
  <c r="U80" i="10"/>
  <c r="AD91" i="10"/>
  <c r="AD73" i="10"/>
  <c r="AD55" i="10"/>
  <c r="AD81" i="10"/>
  <c r="AD99" i="10"/>
  <c r="AT82" i="10"/>
  <c r="AT64" i="10"/>
  <c r="AD72" i="10"/>
  <c r="AD90" i="10"/>
  <c r="AD54" i="10"/>
  <c r="AT73" i="10"/>
  <c r="AT91" i="10"/>
  <c r="AT55" i="10"/>
  <c r="AD92" i="10"/>
  <c r="AD74" i="10"/>
  <c r="AT93" i="10"/>
  <c r="AT57" i="10"/>
  <c r="AD76" i="10"/>
  <c r="AD58" i="10"/>
  <c r="AD94" i="10"/>
  <c r="AT95" i="10"/>
  <c r="AT59" i="10"/>
  <c r="AD96" i="10"/>
  <c r="AD78" i="10"/>
  <c r="AT97" i="10"/>
  <c r="AT79" i="10"/>
  <c r="AT61" i="10"/>
  <c r="AD98" i="10"/>
  <c r="AD80" i="10"/>
  <c r="AD62" i="10"/>
  <c r="AT81" i="10"/>
  <c r="AT63" i="10"/>
  <c r="AT54" i="10"/>
  <c r="AD60" i="10"/>
  <c r="AD63" i="10"/>
  <c r="AT77" i="10"/>
  <c r="AY110" i="10"/>
  <c r="BA110" i="10" s="1"/>
  <c r="AT92" i="10"/>
  <c r="AT74" i="10"/>
  <c r="AT56" i="10"/>
  <c r="AD93" i="10"/>
  <c r="AD75" i="10"/>
  <c r="AD57" i="10"/>
  <c r="AY107" i="10"/>
  <c r="BA107" i="10" s="1"/>
  <c r="AY93" i="10"/>
  <c r="BA93" i="10" s="1"/>
  <c r="AY134" i="10"/>
  <c r="BA134" i="10" s="1"/>
  <c r="BA65" i="10"/>
  <c r="AY121" i="10"/>
  <c r="BA121" i="10" s="1"/>
  <c r="AY79" i="10"/>
  <c r="BA79" i="10" s="1"/>
  <c r="U73" i="10"/>
  <c r="U91" i="10"/>
  <c r="U55" i="10"/>
  <c r="BN111" i="10"/>
  <c r="BP111" i="10" s="1"/>
  <c r="BN96" i="10"/>
  <c r="BP96" i="10" s="1"/>
  <c r="BN61" i="10"/>
  <c r="BP61" i="10" s="1"/>
  <c r="BN78" i="10"/>
  <c r="BP78" i="10" s="1"/>
  <c r="AY67" i="10"/>
  <c r="BA67" i="10" s="1"/>
  <c r="AY136" i="10"/>
  <c r="BA136" i="10" s="1"/>
  <c r="AY109" i="10"/>
  <c r="BA109" i="10" s="1"/>
  <c r="AY95" i="10"/>
  <c r="BA95" i="10" s="1"/>
  <c r="U93" i="10"/>
  <c r="U75" i="10"/>
  <c r="U57" i="10"/>
  <c r="BN63" i="10"/>
  <c r="BP63" i="10" s="1"/>
  <c r="BN113" i="10"/>
  <c r="BP113" i="10" s="1"/>
  <c r="BN80" i="10"/>
  <c r="BP80" i="10" s="1"/>
  <c r="BN98" i="10"/>
  <c r="BP98" i="10" s="1"/>
  <c r="AY83" i="10"/>
  <c r="BA83" i="10" s="1"/>
  <c r="AY138" i="10"/>
  <c r="BA138" i="10" s="1"/>
  <c r="AY97" i="10"/>
  <c r="BA97" i="10" s="1"/>
  <c r="AY69" i="10"/>
  <c r="BA69" i="10" s="1"/>
  <c r="AY125" i="10"/>
  <c r="BA125" i="10" s="1"/>
  <c r="AY111" i="10"/>
  <c r="BA111" i="10" s="1"/>
  <c r="U95" i="10"/>
  <c r="U77" i="10"/>
  <c r="U59" i="10"/>
  <c r="BN115" i="10"/>
  <c r="BP115" i="10" s="1"/>
  <c r="BN82" i="10"/>
  <c r="BP82" i="10" s="1"/>
  <c r="BN100" i="10"/>
  <c r="BP100" i="10" s="1"/>
  <c r="BN65" i="10"/>
  <c r="BP65" i="10" s="1"/>
  <c r="AY85" i="10"/>
  <c r="BA85" i="10" s="1"/>
  <c r="AY99" i="10"/>
  <c r="BA99" i="10" s="1"/>
  <c r="AY71" i="10"/>
  <c r="BA71" i="10" s="1"/>
  <c r="AY113" i="10"/>
  <c r="BA113" i="10" s="1"/>
  <c r="U97" i="10"/>
  <c r="U79" i="10"/>
  <c r="U61" i="10"/>
  <c r="BN102" i="10"/>
  <c r="BP102" i="10" s="1"/>
  <c r="BN84" i="10"/>
  <c r="BP84" i="10" s="1"/>
  <c r="BN67" i="10"/>
  <c r="BP67" i="10" s="1"/>
  <c r="U99" i="10"/>
  <c r="U81" i="10"/>
  <c r="U63" i="10"/>
  <c r="BN86" i="10"/>
  <c r="BP86" i="10" s="1"/>
  <c r="BN69" i="10"/>
  <c r="BP69" i="10" s="1"/>
  <c r="BH40" i="10"/>
  <c r="BH13" i="10"/>
  <c r="BI14" i="10"/>
  <c r="BG14" i="10" s="1"/>
  <c r="BH23" i="10"/>
  <c r="BI24" i="10"/>
  <c r="BG24" i="10" s="1"/>
  <c r="U58" i="10"/>
  <c r="AT76" i="10"/>
  <c r="C33" i="28"/>
  <c r="R33" i="28"/>
  <c r="R38" i="28" s="1"/>
  <c r="R40" i="28" s="1"/>
  <c r="T40" i="28" s="1"/>
  <c r="H33" i="28"/>
  <c r="H38" i="28" s="1"/>
  <c r="H40" i="28" s="1"/>
  <c r="J40" i="28" s="1"/>
  <c r="M33" i="28"/>
  <c r="M38" i="28" s="1"/>
  <c r="M40" i="28" s="1"/>
  <c r="O40" i="28" s="1"/>
  <c r="C65" i="10"/>
  <c r="E65" i="10" s="1"/>
  <c r="E66" i="10" s="1"/>
  <c r="C4" i="10" s="1"/>
  <c r="K50" i="32" l="1"/>
  <c r="G86" i="32"/>
  <c r="K113" i="32"/>
  <c r="I120" i="32"/>
  <c r="K72" i="32"/>
  <c r="K111" i="32"/>
  <c r="I118" i="32"/>
  <c r="K70" i="32"/>
  <c r="G92" i="32"/>
  <c r="G57" i="32"/>
  <c r="G98" i="32"/>
  <c r="I49" i="32"/>
  <c r="K51" i="32"/>
  <c r="I74" i="32"/>
  <c r="G110" i="32"/>
  <c r="G78" i="32"/>
  <c r="I121" i="32"/>
  <c r="I89" i="32"/>
  <c r="I57" i="32"/>
  <c r="K105" i="32"/>
  <c r="K73" i="32"/>
  <c r="G101" i="32"/>
  <c r="G69" i="32"/>
  <c r="I112" i="32"/>
  <c r="I80" i="32"/>
  <c r="K128" i="32"/>
  <c r="K96" i="32"/>
  <c r="K64" i="32"/>
  <c r="G60" i="32"/>
  <c r="I87" i="32"/>
  <c r="I55" i="32"/>
  <c r="K103" i="32"/>
  <c r="K71" i="32"/>
  <c r="G99" i="32"/>
  <c r="G67" i="32"/>
  <c r="I110" i="32"/>
  <c r="I78" i="32"/>
  <c r="K126" i="32"/>
  <c r="K94" i="32"/>
  <c r="K62" i="32"/>
  <c r="I109" i="32"/>
  <c r="K117" i="32"/>
  <c r="K69" i="32"/>
  <c r="G68" i="32"/>
  <c r="I117" i="32"/>
  <c r="G113" i="32"/>
  <c r="G81" i="32"/>
  <c r="I124" i="32"/>
  <c r="I92" i="32"/>
  <c r="I60" i="32"/>
  <c r="K108" i="32"/>
  <c r="K76" i="32"/>
  <c r="G100" i="32"/>
  <c r="G74" i="32"/>
  <c r="I85" i="32"/>
  <c r="G104" i="32"/>
  <c r="G72" i="32"/>
  <c r="I123" i="32"/>
  <c r="I91" i="32"/>
  <c r="I59" i="32"/>
  <c r="K107" i="32"/>
  <c r="K75" i="32"/>
  <c r="G111" i="32"/>
  <c r="G79" i="32"/>
  <c r="I130" i="32"/>
  <c r="I98" i="32"/>
  <c r="I66" i="32"/>
  <c r="K114" i="32"/>
  <c r="K82" i="32"/>
  <c r="I115" i="32"/>
  <c r="K99" i="32"/>
  <c r="G103" i="32"/>
  <c r="I122" i="32"/>
  <c r="I58" i="32"/>
  <c r="K74" i="32"/>
  <c r="I105" i="32"/>
  <c r="K121" i="32"/>
  <c r="G85" i="32"/>
  <c r="I96" i="32"/>
  <c r="K80" i="32"/>
  <c r="I119" i="32"/>
  <c r="K87" i="32"/>
  <c r="G83" i="32"/>
  <c r="I62" i="32"/>
  <c r="G90" i="32"/>
  <c r="K101" i="32"/>
  <c r="I69" i="32"/>
  <c r="I108" i="32"/>
  <c r="K124" i="32"/>
  <c r="I111" i="32"/>
  <c r="K93" i="32"/>
  <c r="I107" i="32"/>
  <c r="K123" i="32"/>
  <c r="G95" i="32"/>
  <c r="I82" i="32"/>
  <c r="K66" i="32"/>
  <c r="I97" i="32"/>
  <c r="G109" i="32"/>
  <c r="I56" i="32"/>
  <c r="G84" i="32"/>
  <c r="K79" i="32"/>
  <c r="I86" i="32"/>
  <c r="G58" i="32"/>
  <c r="G82" i="32"/>
  <c r="I100" i="32"/>
  <c r="K84" i="32"/>
  <c r="G112" i="32"/>
  <c r="I67" i="32"/>
  <c r="G87" i="32"/>
  <c r="K122" i="32"/>
  <c r="G102" i="32"/>
  <c r="G70" i="32"/>
  <c r="I113" i="32"/>
  <c r="I81" i="32"/>
  <c r="K49" i="32"/>
  <c r="K97" i="32"/>
  <c r="K65" i="32"/>
  <c r="G93" i="32"/>
  <c r="G61" i="32"/>
  <c r="I104" i="32"/>
  <c r="I72" i="32"/>
  <c r="K120" i="32"/>
  <c r="K88" i="32"/>
  <c r="K56" i="32"/>
  <c r="I127" i="32"/>
  <c r="I79" i="32"/>
  <c r="K127" i="32"/>
  <c r="K95" i="32"/>
  <c r="K63" i="32"/>
  <c r="G91" i="32"/>
  <c r="G59" i="32"/>
  <c r="I102" i="32"/>
  <c r="I70" i="32"/>
  <c r="K118" i="32"/>
  <c r="K86" i="32"/>
  <c r="K54" i="32"/>
  <c r="I77" i="32"/>
  <c r="K109" i="32"/>
  <c r="K61" i="32"/>
  <c r="I95" i="32"/>
  <c r="I93" i="32"/>
  <c r="G105" i="32"/>
  <c r="G73" i="32"/>
  <c r="I116" i="32"/>
  <c r="I84" i="32"/>
  <c r="I52" i="32"/>
  <c r="K100" i="32"/>
  <c r="K68" i="32"/>
  <c r="G76" i="32"/>
  <c r="G66" i="32"/>
  <c r="I61" i="32"/>
  <c r="G96" i="32"/>
  <c r="G64" i="32"/>
  <c r="I83" i="32"/>
  <c r="I51" i="32"/>
  <c r="K67" i="32"/>
  <c r="G71" i="32"/>
  <c r="I90" i="32"/>
  <c r="K106" i="32"/>
  <c r="G94" i="32"/>
  <c r="G62" i="32"/>
  <c r="I73" i="32"/>
  <c r="K89" i="32"/>
  <c r="I128" i="32"/>
  <c r="I64" i="32"/>
  <c r="G108" i="32"/>
  <c r="K119" i="32"/>
  <c r="K55" i="32"/>
  <c r="I94" i="32"/>
  <c r="K110" i="32"/>
  <c r="I53" i="32"/>
  <c r="G106" i="32"/>
  <c r="G97" i="32"/>
  <c r="I76" i="32"/>
  <c r="K92" i="32"/>
  <c r="I125" i="32"/>
  <c r="G88" i="32"/>
  <c r="I75" i="32"/>
  <c r="K59" i="32"/>
  <c r="G63" i="32"/>
  <c r="I50" i="32"/>
  <c r="I129" i="32"/>
  <c r="K81" i="32"/>
  <c r="I88" i="32"/>
  <c r="I103" i="32"/>
  <c r="G107" i="32"/>
  <c r="I54" i="32"/>
  <c r="K125" i="32"/>
  <c r="K85" i="32"/>
  <c r="I68" i="32"/>
  <c r="K52" i="32"/>
  <c r="G80" i="32"/>
  <c r="K115" i="32"/>
  <c r="G55" i="32"/>
  <c r="K90" i="32"/>
  <c r="K57" i="32"/>
  <c r="K112" i="32"/>
  <c r="I71" i="32"/>
  <c r="I126" i="32"/>
  <c r="K78" i="32"/>
  <c r="K53" i="32"/>
  <c r="G65" i="32"/>
  <c r="K60" i="32"/>
  <c r="G56" i="32"/>
  <c r="K91" i="32"/>
  <c r="I114" i="32"/>
  <c r="K98" i="32"/>
  <c r="I65" i="32"/>
  <c r="G77" i="32"/>
  <c r="K104" i="32"/>
  <c r="I63" i="32"/>
  <c r="G75" i="32"/>
  <c r="K102" i="32"/>
  <c r="K77" i="32"/>
  <c r="G89" i="32"/>
  <c r="K116" i="32"/>
  <c r="I101" i="32"/>
  <c r="I99" i="32"/>
  <c r="K83" i="32"/>
  <c r="I106" i="32"/>
  <c r="K58" i="32"/>
  <c r="AA61" i="32"/>
  <c r="AA68" i="32"/>
  <c r="AA70" i="32"/>
  <c r="AA77" i="32"/>
  <c r="AA84" i="32"/>
  <c r="AC50" i="32"/>
  <c r="AC58" i="32"/>
  <c r="AC66" i="32"/>
  <c r="AC74" i="32"/>
  <c r="AC82" i="32"/>
  <c r="AC90" i="32"/>
  <c r="AC98" i="32"/>
  <c r="AA64" i="32"/>
  <c r="AA73" i="32"/>
  <c r="AC56" i="32"/>
  <c r="AC64" i="32"/>
  <c r="AC72" i="32"/>
  <c r="AC80" i="32"/>
  <c r="AC88" i="32"/>
  <c r="AC96" i="32"/>
  <c r="AC104" i="32"/>
  <c r="AC112" i="32"/>
  <c r="AA62" i="32"/>
  <c r="AA82" i="32"/>
  <c r="AA85" i="32"/>
  <c r="AA93" i="32"/>
  <c r="AA100" i="32"/>
  <c r="AA102" i="32"/>
  <c r="AA109" i="32"/>
  <c r="AA116" i="32"/>
  <c r="AA118" i="32"/>
  <c r="AA52" i="32"/>
  <c r="Y61" i="32"/>
  <c r="Y65" i="32"/>
  <c r="Y69" i="32"/>
  <c r="Y73" i="32"/>
  <c r="Y77" i="32"/>
  <c r="Y81" i="32"/>
  <c r="Y85" i="32"/>
  <c r="Y89" i="32"/>
  <c r="Y93" i="32"/>
  <c r="Y97" i="32"/>
  <c r="Y101" i="32"/>
  <c r="Y105" i="32"/>
  <c r="Y109" i="32"/>
  <c r="Y113" i="32"/>
  <c r="Y117" i="32"/>
  <c r="Y52" i="32"/>
  <c r="Y56" i="32"/>
  <c r="AC54" i="32"/>
  <c r="AC62" i="32"/>
  <c r="AC70" i="32"/>
  <c r="AC78" i="32"/>
  <c r="AC86" i="32"/>
  <c r="AC94" i="32"/>
  <c r="AC102" i="32"/>
  <c r="AA80" i="32"/>
  <c r="AC52" i="32"/>
  <c r="AC60" i="32"/>
  <c r="AC68" i="32"/>
  <c r="AC76" i="32"/>
  <c r="AC84" i="32"/>
  <c r="AC92" i="32"/>
  <c r="AC100" i="32"/>
  <c r="AC108" i="32"/>
  <c r="AC116" i="32"/>
  <c r="AA66" i="32"/>
  <c r="AA69" i="32"/>
  <c r="AA78" i="32"/>
  <c r="AA86" i="32"/>
  <c r="AA89" i="32"/>
  <c r="AA92" i="32"/>
  <c r="AA94" i="32"/>
  <c r="AA101" i="32"/>
  <c r="AA108" i="32"/>
  <c r="AA110" i="32"/>
  <c r="AA117" i="32"/>
  <c r="AA53" i="32"/>
  <c r="Y53" i="32"/>
  <c r="Y106" i="32"/>
  <c r="Y90" i="32"/>
  <c r="Y74" i="32"/>
  <c r="AA112" i="32"/>
  <c r="AA60" i="32"/>
  <c r="Y55" i="32"/>
  <c r="Y108" i="32"/>
  <c r="Y92" i="32"/>
  <c r="Y76" i="32"/>
  <c r="Y60" i="32"/>
  <c r="AA98" i="32"/>
  <c r="Y58" i="32"/>
  <c r="Y111" i="32"/>
  <c r="Y95" i="32"/>
  <c r="Y79" i="32"/>
  <c r="Y63" i="32"/>
  <c r="AA97" i="32"/>
  <c r="AC106" i="32"/>
  <c r="AA81" i="32"/>
  <c r="AC87" i="32"/>
  <c r="AC55" i="32"/>
  <c r="AA83" i="32"/>
  <c r="AC97" i="32"/>
  <c r="AC65" i="32"/>
  <c r="AA107" i="32"/>
  <c r="AA71" i="32"/>
  <c r="AC99" i="32"/>
  <c r="AC67" i="32"/>
  <c r="AA54" i="32"/>
  <c r="AA67" i="32"/>
  <c r="AC93" i="32"/>
  <c r="AC61" i="32"/>
  <c r="AA95" i="32"/>
  <c r="Y118" i="32"/>
  <c r="Y102" i="32"/>
  <c r="Y86" i="32"/>
  <c r="Y70" i="32"/>
  <c r="AA104" i="32"/>
  <c r="Y51" i="32"/>
  <c r="Y104" i="32"/>
  <c r="Y88" i="32"/>
  <c r="Y72" i="32"/>
  <c r="AA57" i="32"/>
  <c r="Y54" i="32"/>
  <c r="Y107" i="32"/>
  <c r="Y91" i="32"/>
  <c r="Y75" i="32"/>
  <c r="Y59" i="32"/>
  <c r="AC118" i="32"/>
  <c r="AA51" i="32"/>
  <c r="AC111" i="32"/>
  <c r="AC79" i="32"/>
  <c r="AA56" i="32"/>
  <c r="AA72" i="32"/>
  <c r="AC89" i="32"/>
  <c r="AC57" i="32"/>
  <c r="AA91" i="32"/>
  <c r="AA65" i="32"/>
  <c r="AC91" i="32"/>
  <c r="AC59" i="32"/>
  <c r="AA111" i="32"/>
  <c r="AC117" i="32"/>
  <c r="AC85" i="32"/>
  <c r="AC53" i="32"/>
  <c r="AA79" i="32"/>
  <c r="AA55" i="32"/>
  <c r="AC101" i="32"/>
  <c r="AA59" i="32"/>
  <c r="Y114" i="32"/>
  <c r="Y98" i="32"/>
  <c r="Y82" i="32"/>
  <c r="Y66" i="32"/>
  <c r="AA96" i="32"/>
  <c r="Y116" i="32"/>
  <c r="Y100" i="32"/>
  <c r="Y84" i="32"/>
  <c r="Y68" i="32"/>
  <c r="AA114" i="32"/>
  <c r="Y50" i="32"/>
  <c r="Y103" i="32"/>
  <c r="Y87" i="32"/>
  <c r="Y71" i="32"/>
  <c r="AA113" i="32"/>
  <c r="AC114" i="32"/>
  <c r="AA115" i="32"/>
  <c r="AC103" i="32"/>
  <c r="AC71" i="32"/>
  <c r="AA50" i="32"/>
  <c r="AC113" i="32"/>
  <c r="AC81" i="32"/>
  <c r="AA58" i="32"/>
  <c r="AA88" i="32"/>
  <c r="AC115" i="32"/>
  <c r="AC83" i="32"/>
  <c r="AC51" i="32"/>
  <c r="AA90" i="32"/>
  <c r="AC109" i="32"/>
  <c r="AC77" i="32"/>
  <c r="AA75" i="32"/>
  <c r="AA63" i="32"/>
  <c r="AC73" i="32"/>
  <c r="AA87" i="32"/>
  <c r="AC69" i="32"/>
  <c r="Y57" i="32"/>
  <c r="Y110" i="32"/>
  <c r="Y94" i="32"/>
  <c r="Y78" i="32"/>
  <c r="Y62" i="32"/>
  <c r="AA76" i="32"/>
  <c r="Y112" i="32"/>
  <c r="Y96" i="32"/>
  <c r="Y80" i="32"/>
  <c r="Y64" i="32"/>
  <c r="AA106" i="32"/>
  <c r="Y115" i="32"/>
  <c r="Y99" i="32"/>
  <c r="Y83" i="32"/>
  <c r="Y67" i="32"/>
  <c r="AA105" i="32"/>
  <c r="AC110" i="32"/>
  <c r="AA99" i="32"/>
  <c r="AC95" i="32"/>
  <c r="AC63" i="32"/>
  <c r="AA103" i="32"/>
  <c r="AC105" i="32"/>
  <c r="AA74" i="32"/>
  <c r="AC107" i="32"/>
  <c r="AC75" i="32"/>
  <c r="AH63" i="32"/>
  <c r="AL73" i="32"/>
  <c r="AJ84" i="32"/>
  <c r="AH95" i="32"/>
  <c r="AL105" i="32"/>
  <c r="AH66" i="32"/>
  <c r="AL76" i="32"/>
  <c r="AJ87" i="32"/>
  <c r="AH98" i="32"/>
  <c r="AL108" i="32"/>
  <c r="AJ110" i="32"/>
  <c r="AH61" i="32"/>
  <c r="AL71" i="32"/>
  <c r="AJ82" i="32"/>
  <c r="AH93" i="32"/>
  <c r="AL103" i="32"/>
  <c r="AH64" i="32"/>
  <c r="AL74" i="32"/>
  <c r="AJ85" i="32"/>
  <c r="AH96" i="32"/>
  <c r="AL106" i="32"/>
  <c r="AJ56" i="32"/>
  <c r="AH67" i="32"/>
  <c r="AL77" i="32"/>
  <c r="AJ88" i="32"/>
  <c r="AH99" i="32"/>
  <c r="AL109" i="32"/>
  <c r="AJ59" i="32"/>
  <c r="AH70" i="32"/>
  <c r="AL80" i="32"/>
  <c r="AJ91" i="32"/>
  <c r="AH102" i="32"/>
  <c r="AH73" i="32"/>
  <c r="AL107" i="32"/>
  <c r="AH81" i="32"/>
  <c r="AH105" i="32"/>
  <c r="AH60" i="32"/>
  <c r="AL70" i="32"/>
  <c r="AJ81" i="32"/>
  <c r="AH92" i="32"/>
  <c r="AL102" i="32"/>
  <c r="AH57" i="32"/>
  <c r="AH55" i="32"/>
  <c r="AL65" i="32"/>
  <c r="AJ76" i="32"/>
  <c r="AH87" i="32"/>
  <c r="AL97" i="32"/>
  <c r="AJ108" i="32"/>
  <c r="AH58" i="32"/>
  <c r="AL68" i="32"/>
  <c r="AJ79" i="32"/>
  <c r="AH90" i="32"/>
  <c r="AL100" i="32"/>
  <c r="AH65" i="32"/>
  <c r="AL63" i="32"/>
  <c r="AJ74" i="32"/>
  <c r="AH85" i="32"/>
  <c r="AL95" i="32"/>
  <c r="AJ106" i="32"/>
  <c r="AH56" i="32"/>
  <c r="AL66" i="32"/>
  <c r="AJ77" i="32"/>
  <c r="AH88" i="32"/>
  <c r="AL98" i="32"/>
  <c r="AJ109" i="32"/>
  <c r="AH59" i="32"/>
  <c r="AL69" i="32"/>
  <c r="AJ80" i="32"/>
  <c r="AH91" i="32"/>
  <c r="AL101" i="32"/>
  <c r="AH62" i="32"/>
  <c r="AL72" i="32"/>
  <c r="AJ83" i="32"/>
  <c r="AH94" i="32"/>
  <c r="AL104" i="32"/>
  <c r="AL83" i="32"/>
  <c r="AL59" i="32"/>
  <c r="AH89" i="32"/>
  <c r="AL62" i="32"/>
  <c r="AJ73" i="32"/>
  <c r="AH84" i="32"/>
  <c r="AL94" i="32"/>
  <c r="AJ105" i="32"/>
  <c r="AL67" i="32"/>
  <c r="AL57" i="32"/>
  <c r="AJ68" i="32"/>
  <c r="AH79" i="32"/>
  <c r="AL89" i="32"/>
  <c r="AJ100" i="32"/>
  <c r="AL60" i="32"/>
  <c r="AJ71" i="32"/>
  <c r="AH82" i="32"/>
  <c r="AL92" i="32"/>
  <c r="AJ103" i="32"/>
  <c r="AL75" i="32"/>
  <c r="AJ78" i="32"/>
  <c r="AJ66" i="32"/>
  <c r="AH77" i="32"/>
  <c r="AL87" i="32"/>
  <c r="AJ98" i="32"/>
  <c r="AH109" i="32"/>
  <c r="AL58" i="32"/>
  <c r="AJ69" i="32"/>
  <c r="AH80" i="32"/>
  <c r="AL90" i="32"/>
  <c r="AJ101" i="32"/>
  <c r="AL61" i="32"/>
  <c r="AJ72" i="32"/>
  <c r="AH83" i="32"/>
  <c r="AL93" i="32"/>
  <c r="AJ104" i="32"/>
  <c r="AH54" i="32"/>
  <c r="AL64" i="32"/>
  <c r="AJ75" i="32"/>
  <c r="AH86" i="32"/>
  <c r="AL96" i="32"/>
  <c r="AJ107" i="32"/>
  <c r="AJ94" i="32"/>
  <c r="AJ62" i="32"/>
  <c r="AH97" i="32"/>
  <c r="AJ65" i="32"/>
  <c r="AH76" i="32"/>
  <c r="AL86" i="32"/>
  <c r="AJ97" i="32"/>
  <c r="AH108" i="32"/>
  <c r="AL91" i="32"/>
  <c r="AL81" i="32"/>
  <c r="AL84" i="32"/>
  <c r="AJ90" i="32"/>
  <c r="AJ61" i="32"/>
  <c r="AH104" i="32"/>
  <c r="AH75" i="32"/>
  <c r="AL88" i="32"/>
  <c r="AJ70" i="32"/>
  <c r="AJ57" i="32"/>
  <c r="AH100" i="32"/>
  <c r="AJ92" i="32"/>
  <c r="AJ95" i="32"/>
  <c r="AJ58" i="32"/>
  <c r="AH101" i="32"/>
  <c r="AH72" i="32"/>
  <c r="AL85" i="32"/>
  <c r="AJ99" i="32"/>
  <c r="AL99" i="32"/>
  <c r="AH68" i="32"/>
  <c r="AL110" i="32"/>
  <c r="AJ60" i="32"/>
  <c r="AH103" i="32"/>
  <c r="AJ63" i="32"/>
  <c r="AH106" i="32"/>
  <c r="AJ86" i="32"/>
  <c r="AH69" i="32"/>
  <c r="AL82" i="32"/>
  <c r="AJ96" i="32"/>
  <c r="AJ67" i="32"/>
  <c r="AH110" i="32"/>
  <c r="AL78" i="32"/>
  <c r="AH71" i="32"/>
  <c r="AH74" i="32"/>
  <c r="AL79" i="32"/>
  <c r="AJ93" i="32"/>
  <c r="AJ64" i="32"/>
  <c r="AH107" i="32"/>
  <c r="AH78" i="32"/>
  <c r="AJ102" i="32"/>
  <c r="AJ89" i="32"/>
  <c r="C6" i="19"/>
  <c r="C7" i="19"/>
  <c r="F6" i="19"/>
  <c r="F7" i="19"/>
  <c r="E6" i="19"/>
  <c r="E7" i="19"/>
  <c r="E40" i="28"/>
  <c r="AD64" i="10"/>
  <c r="AB4" i="10" s="1"/>
  <c r="J5" i="19" s="1"/>
  <c r="AD82" i="10"/>
  <c r="AB5" i="10" s="1"/>
  <c r="K5" i="19" s="1"/>
  <c r="J2" i="19"/>
  <c r="AL43" i="10"/>
  <c r="AJ129" i="10"/>
  <c r="AL129" i="10" s="1"/>
  <c r="AN8" i="10"/>
  <c r="AL73" i="10"/>
  <c r="AL74" i="10" s="1"/>
  <c r="AL75" i="10" s="1"/>
  <c r="AL76" i="10" s="1"/>
  <c r="AL77" i="10" s="1"/>
  <c r="AL78" i="10" s="1"/>
  <c r="AL79" i="10" s="1"/>
  <c r="AL80" i="10" s="1"/>
  <c r="AL58" i="10"/>
  <c r="AL59" i="10" s="1"/>
  <c r="AL60" i="10" s="1"/>
  <c r="AL61" i="10" s="1"/>
  <c r="AL62" i="10" s="1"/>
  <c r="AL63" i="10" s="1"/>
  <c r="AL64" i="10" s="1"/>
  <c r="AL65" i="10" s="1"/>
  <c r="AL66" i="10" s="1"/>
  <c r="U65" i="10"/>
  <c r="S4" i="10" s="1"/>
  <c r="AK44" i="10"/>
  <c r="AJ6" i="10"/>
  <c r="AN5" i="10"/>
  <c r="C26" i="28"/>
  <c r="C38" i="28"/>
  <c r="C40" i="28" s="1"/>
  <c r="H26" i="28"/>
  <c r="BP103" i="10"/>
  <c r="BN6" i="10" s="1"/>
  <c r="L9" i="19" s="1"/>
  <c r="BA86" i="10"/>
  <c r="AY5" i="10" s="1"/>
  <c r="K11" i="19" s="1"/>
  <c r="BA72" i="10"/>
  <c r="AY4" i="10" s="1"/>
  <c r="J11" i="19" s="1"/>
  <c r="AT98" i="10"/>
  <c r="AR6" i="10" s="1"/>
  <c r="L8" i="19" s="1"/>
  <c r="U83" i="10"/>
  <c r="S5" i="10" s="1"/>
  <c r="BA139" i="10"/>
  <c r="AY9" i="10" s="1"/>
  <c r="O11" i="19" s="1"/>
  <c r="BP117" i="10"/>
  <c r="BN7" i="10" s="1"/>
  <c r="M9" i="19" s="1"/>
  <c r="BP88" i="10"/>
  <c r="BN5" i="10" s="1"/>
  <c r="K9" i="19" s="1"/>
  <c r="BP70" i="10"/>
  <c r="BN4" i="10" s="1"/>
  <c r="J9" i="19" s="1"/>
  <c r="AT65" i="10"/>
  <c r="AR4" i="10" s="1"/>
  <c r="J8" i="19" s="1"/>
  <c r="AT83" i="10"/>
  <c r="AR5" i="10" s="1"/>
  <c r="K8" i="19" s="1"/>
  <c r="BA100" i="10"/>
  <c r="AY6" i="10" s="1"/>
  <c r="L11" i="19" s="1"/>
  <c r="BF41" i="10"/>
  <c r="BH41" i="10" s="1"/>
  <c r="BH14" i="10"/>
  <c r="BI4" i="10" s="1"/>
  <c r="R10" i="19" s="1"/>
  <c r="BI15" i="10"/>
  <c r="BG15" i="10" s="1"/>
  <c r="U101" i="10"/>
  <c r="S6" i="10" s="1"/>
  <c r="BF57" i="10"/>
  <c r="BH57" i="10" s="1"/>
  <c r="BH24" i="10"/>
  <c r="BI5" i="10" s="1"/>
  <c r="S10" i="19" s="1"/>
  <c r="BI25" i="10"/>
  <c r="BG25" i="10" s="1"/>
  <c r="BA127" i="10"/>
  <c r="AY8" i="10" s="1"/>
  <c r="N11" i="19" s="1"/>
  <c r="BA114" i="10"/>
  <c r="AY7" i="10" s="1"/>
  <c r="M11" i="19" s="1"/>
  <c r="AD100" i="10"/>
  <c r="AB6" i="10" s="1"/>
  <c r="L5" i="19" s="1"/>
  <c r="H27" i="28" l="1"/>
  <c r="H37" i="28" s="1"/>
  <c r="H39" i="28" s="1"/>
  <c r="J39" i="28" s="1"/>
  <c r="AG7" i="32"/>
  <c r="B20" i="19" s="1"/>
  <c r="Y7" i="32"/>
  <c r="C21" i="19" s="1"/>
  <c r="G7" i="32"/>
  <c r="C23" i="19" s="1"/>
  <c r="X7" i="32"/>
  <c r="B21" i="19" s="1"/>
  <c r="Z7" i="32"/>
  <c r="D21" i="19" s="1"/>
  <c r="H7" i="32"/>
  <c r="D23" i="19" s="1"/>
  <c r="AH7" i="32"/>
  <c r="C20" i="19" s="1"/>
  <c r="F7" i="32"/>
  <c r="B23" i="19" s="1"/>
  <c r="AI7" i="32"/>
  <c r="D20" i="19" s="1"/>
  <c r="S35" i="19"/>
  <c r="S36" i="19"/>
  <c r="D6" i="19"/>
  <c r="D7" i="19"/>
  <c r="V35" i="19"/>
  <c r="V36" i="19"/>
  <c r="G73" i="28"/>
  <c r="C27" i="28"/>
  <c r="C39" i="28" s="1"/>
  <c r="K4" i="19"/>
  <c r="K12" i="19"/>
  <c r="L4" i="19"/>
  <c r="L13" i="19" s="1"/>
  <c r="L12" i="19"/>
  <c r="J4" i="19"/>
  <c r="AL44" i="10"/>
  <c r="AN6" i="10" s="1"/>
  <c r="AJ130" i="10"/>
  <c r="AL130" i="10" s="1"/>
  <c r="AN7" i="10"/>
  <c r="AK45" i="10"/>
  <c r="BH25" i="10"/>
  <c r="BF58" i="10"/>
  <c r="BH58" i="10" s="1"/>
  <c r="BI26" i="10"/>
  <c r="BG26" i="10" s="1"/>
  <c r="BI16" i="10"/>
  <c r="BG16" i="10" s="1"/>
  <c r="BF42" i="10"/>
  <c r="BH42" i="10" s="1"/>
  <c r="BH15" i="10"/>
  <c r="H36" i="28" l="1"/>
  <c r="T35" i="19"/>
  <c r="T36" i="19"/>
  <c r="U35" i="19"/>
  <c r="U36" i="19"/>
  <c r="E39" i="28"/>
  <c r="B71" i="28" s="1"/>
  <c r="B73" i="28" s="1"/>
  <c r="K13" i="19"/>
  <c r="J13" i="19"/>
  <c r="AL45" i="10"/>
  <c r="AK46" i="10" s="1"/>
  <c r="AJ131" i="10"/>
  <c r="AL131" i="10" s="1"/>
  <c r="BI27" i="10"/>
  <c r="BG27" i="10" s="1"/>
  <c r="BF59" i="10"/>
  <c r="BH59" i="10" s="1"/>
  <c r="BH26" i="10"/>
  <c r="BF43" i="10"/>
  <c r="BH43" i="10" s="1"/>
  <c r="BH16" i="10"/>
  <c r="BI17" i="10"/>
  <c r="BG17" i="10" s="1"/>
  <c r="C78" i="28" l="1"/>
  <c r="AL46" i="10"/>
  <c r="AK47" i="10" s="1"/>
  <c r="AJ132" i="10"/>
  <c r="AL132" i="10" s="1"/>
  <c r="BH17" i="10"/>
  <c r="BI18" i="10"/>
  <c r="BG18" i="10" s="1"/>
  <c r="BF44" i="10"/>
  <c r="BH44" i="10" s="1"/>
  <c r="BI28" i="10"/>
  <c r="BG28" i="10" s="1"/>
  <c r="BH27" i="10"/>
  <c r="BF60" i="10"/>
  <c r="BH60" i="10" s="1"/>
  <c r="AL47" i="10" l="1"/>
  <c r="AK48" i="10" s="1"/>
  <c r="AJ133" i="10"/>
  <c r="AL133" i="10" s="1"/>
  <c r="BF61" i="10"/>
  <c r="BH61" i="10" s="1"/>
  <c r="BH28" i="10"/>
  <c r="BI29" i="10"/>
  <c r="BG29" i="10" s="1"/>
  <c r="BF45" i="10"/>
  <c r="BH45" i="10" s="1"/>
  <c r="BI19" i="10"/>
  <c r="BG19" i="10" s="1"/>
  <c r="BH18" i="10"/>
  <c r="AL48" i="10" l="1"/>
  <c r="AK49" i="10" s="1"/>
  <c r="AJ134" i="10"/>
  <c r="AL134" i="10" s="1"/>
  <c r="BF46" i="10"/>
  <c r="BH46" i="10" s="1"/>
  <c r="BI20" i="10"/>
  <c r="BG20" i="10" s="1"/>
  <c r="BH19" i="10"/>
  <c r="BH29" i="10"/>
  <c r="BF62" i="10"/>
  <c r="BH62" i="10" s="1"/>
  <c r="BI30" i="10"/>
  <c r="BG30" i="10" s="1"/>
  <c r="AL49" i="10" l="1"/>
  <c r="AK50" i="10" s="1"/>
  <c r="AJ135" i="10"/>
  <c r="AL135" i="10" s="1"/>
  <c r="BF63" i="10"/>
  <c r="BH63" i="10" s="1"/>
  <c r="BH30" i="10"/>
  <c r="BI31" i="10"/>
  <c r="BG31" i="10" s="1"/>
  <c r="BF64" i="10" s="1"/>
  <c r="BF47" i="10"/>
  <c r="BH47" i="10" s="1"/>
  <c r="BI21" i="10"/>
  <c r="BG21" i="10" s="1"/>
  <c r="BF48" i="10" s="1"/>
  <c r="BH20" i="10"/>
  <c r="AL50" i="10" l="1"/>
  <c r="AK51" i="10" s="1"/>
  <c r="AJ136" i="10"/>
  <c r="AL136" i="10" s="1"/>
  <c r="BH48" i="10"/>
  <c r="BH49" i="10" s="1"/>
  <c r="BG4" i="10" s="1"/>
  <c r="J10" i="19" s="1"/>
  <c r="BH21" i="10"/>
  <c r="BH64" i="10"/>
  <c r="BH65" i="10" s="1"/>
  <c r="BG5" i="10" s="1"/>
  <c r="K10" i="19" s="1"/>
  <c r="BH31" i="10"/>
  <c r="AN4" i="10"/>
  <c r="AJ4" i="10"/>
  <c r="F145" i="19"/>
  <c r="B6" i="19" l="1"/>
  <c r="B7" i="19"/>
  <c r="R35" i="19"/>
  <c r="R36" i="19"/>
  <c r="AL51" i="10"/>
  <c r="AL52" i="10" s="1"/>
  <c r="AJ137" i="10"/>
  <c r="AL137" i="10" s="1"/>
  <c r="AL139" i="10" s="1"/>
  <c r="AK6" i="10" s="1"/>
  <c r="L6" i="19" l="1"/>
  <c r="L7" i="19"/>
  <c r="C80" i="28"/>
  <c r="H80" i="28" l="1"/>
  <c r="H82" i="28" s="1"/>
  <c r="C82" i="28" l="1"/>
</calcChain>
</file>

<file path=xl/sharedStrings.xml><?xml version="1.0" encoding="utf-8"?>
<sst xmlns="http://schemas.openxmlformats.org/spreadsheetml/2006/main" count="1470" uniqueCount="340">
  <si>
    <t>Dégagement</t>
  </si>
  <si>
    <t xml:space="preserve">Type intervention </t>
  </si>
  <si>
    <t>Plantation</t>
  </si>
  <si>
    <r>
      <t xml:space="preserve">Recette (Ri)
</t>
    </r>
    <r>
      <rPr>
        <sz val="11"/>
        <color theme="1"/>
        <rFont val="Calibri"/>
        <family val="2"/>
      </rPr>
      <t>€/ha</t>
    </r>
  </si>
  <si>
    <r>
      <t xml:space="preserve">Dépense (Ci)
</t>
    </r>
    <r>
      <rPr>
        <sz val="11"/>
        <color theme="1"/>
        <rFont val="Calibri"/>
        <family val="2"/>
      </rPr>
      <t>€/ha</t>
    </r>
  </si>
  <si>
    <t>VAN (n)</t>
  </si>
  <si>
    <t>Frais divers de gestion forestière / Ha</t>
  </si>
  <si>
    <t>Dessouchage</t>
  </si>
  <si>
    <t>Mise en andain</t>
  </si>
  <si>
    <t>Sous-solage</t>
  </si>
  <si>
    <t xml:space="preserve">Broyeur forestier léger </t>
  </si>
  <si>
    <t>Broyeur lourd</t>
  </si>
  <si>
    <t>Broyage d'interlignes (1 interligne/2)</t>
  </si>
  <si>
    <t>Cover Crop - Rota</t>
  </si>
  <si>
    <t>Frais de dégagement - Année N+1</t>
  </si>
  <si>
    <t>Frais de dégagement - Année N+2</t>
  </si>
  <si>
    <t>Frais de dégagement - Année N+3</t>
  </si>
  <si>
    <t>Frais de marquage</t>
  </si>
  <si>
    <t>Frais de dégagement régénération irrégulier</t>
  </si>
  <si>
    <t>Eclaircie 1</t>
  </si>
  <si>
    <t>Eclaircie 2</t>
  </si>
  <si>
    <t>Eclaircie 3</t>
  </si>
  <si>
    <t>Colonne1</t>
  </si>
  <si>
    <t>Chataignier</t>
  </si>
  <si>
    <t>C.Fertilité</t>
  </si>
  <si>
    <t>Age</t>
  </si>
  <si>
    <t>Vt</t>
  </si>
  <si>
    <t>Ve</t>
  </si>
  <si>
    <t>ACV</t>
  </si>
  <si>
    <t>PVT</t>
  </si>
  <si>
    <t>-</t>
  </si>
  <si>
    <t>C.F</t>
  </si>
  <si>
    <t>PTV</t>
  </si>
  <si>
    <t>Accroissement moyen (m3/ha/an)</t>
  </si>
  <si>
    <t xml:space="preserve">Prix moyen m3 bois à l'age de la coupe </t>
  </si>
  <si>
    <t>Taux actualisation</t>
  </si>
  <si>
    <t xml:space="preserve">Volume commercialisable à l'age de la coupe </t>
  </si>
  <si>
    <t>CALCUL DE LA VAN :</t>
  </si>
  <si>
    <t>Chêne</t>
  </si>
  <si>
    <t>Pin Laricio</t>
  </si>
  <si>
    <t>Pin Maritime</t>
  </si>
  <si>
    <t>Epicéa Sitka</t>
  </si>
  <si>
    <t>Douglas</t>
  </si>
  <si>
    <t>Ba</t>
  </si>
  <si>
    <t>Stock de la biomasse aérienne ( en tMS)</t>
  </si>
  <si>
    <t>Br</t>
  </si>
  <si>
    <t>S</t>
  </si>
  <si>
    <t>Stock de la biomasse racinaire (en tMS)</t>
  </si>
  <si>
    <t>L</t>
  </si>
  <si>
    <t>M</t>
  </si>
  <si>
    <t>τc</t>
  </si>
  <si>
    <t>Stock de bois mort ( en tC)</t>
  </si>
  <si>
    <t>Stock de la litière constante (tC/ha)</t>
  </si>
  <si>
    <t>Taux de carbone dans la matière sèche (tC/tMS)</t>
  </si>
  <si>
    <t>Volume total (en m3)</t>
  </si>
  <si>
    <t>di</t>
  </si>
  <si>
    <t>infradensité de l'essence</t>
  </si>
  <si>
    <t>Surface :</t>
  </si>
  <si>
    <t>ha</t>
  </si>
  <si>
    <t>Variables</t>
  </si>
  <si>
    <t>V</t>
  </si>
  <si>
    <t>Sprojet (30)</t>
  </si>
  <si>
    <t>Sref accrus (30)</t>
  </si>
  <si>
    <t>AM</t>
  </si>
  <si>
    <t>P</t>
  </si>
  <si>
    <t>r</t>
  </si>
  <si>
    <t>Vf</t>
  </si>
  <si>
    <t>tCO2</t>
  </si>
  <si>
    <t>TABLE DE PRODUCTION - (DECOURT 1972) OUEST DU MASSIF CENTRAL</t>
  </si>
  <si>
    <t xml:space="preserve">DOUGLAS </t>
  </si>
  <si>
    <t xml:space="preserve">Classe de fertilité </t>
  </si>
  <si>
    <t>V(30)</t>
  </si>
  <si>
    <t>Bilan des essais forestiers consacrés au chataignier (Castanea sativa) en Bretagne CRPF</t>
  </si>
  <si>
    <t>Vc</t>
  </si>
  <si>
    <t>veT</t>
  </si>
  <si>
    <t>V(30) extrapolation linéaire</t>
  </si>
  <si>
    <t xml:space="preserve">PIN MARITIME </t>
  </si>
  <si>
    <t>(DECOURT - LEMOINE - 1969) SUD OUEST LANDES</t>
  </si>
  <si>
    <t>CHENE</t>
  </si>
  <si>
    <t xml:space="preserve"> (PARDE 1962) SECTEUR LIGERIEN</t>
  </si>
  <si>
    <t xml:space="preserve"> (DECOURT - 1965) SOLOGNE</t>
  </si>
  <si>
    <t xml:space="preserve">V(30) </t>
  </si>
  <si>
    <t xml:space="preserve">PIN LARICIO DE CORSE </t>
  </si>
  <si>
    <t>Cèdre</t>
  </si>
  <si>
    <t>Thuya</t>
  </si>
  <si>
    <t>Mélèze</t>
  </si>
  <si>
    <t>Epicéa sitka</t>
  </si>
  <si>
    <t>Intégration des rabais</t>
  </si>
  <si>
    <t>Rabais pour les risques généraux difficilement maitrisable (-10%)</t>
  </si>
  <si>
    <t>Rabais pour le risque d'incendie (0, -5, -10 ou -15 %)</t>
  </si>
  <si>
    <t>Rabais sur la classe de fertilité (0 ou -10%)</t>
  </si>
  <si>
    <t xml:space="preserve">Calcul de VAN </t>
  </si>
  <si>
    <t xml:space="preserve">Eclaircie </t>
  </si>
  <si>
    <t>C.F 1</t>
  </si>
  <si>
    <t>Pin Sylvestre</t>
  </si>
  <si>
    <t>Cèdre de l'Atlas</t>
  </si>
  <si>
    <t>Infradensité de l'Essence (tMS/m3)</t>
  </si>
  <si>
    <t>classe fertilite</t>
  </si>
  <si>
    <t xml:space="preserve">Catégorie de produit </t>
  </si>
  <si>
    <t>Coeff de substitution</t>
  </si>
  <si>
    <t>Essence 1 :</t>
  </si>
  <si>
    <t>REA Foret - Méthode Boisement</t>
  </si>
  <si>
    <t>Classe de fertilité</t>
  </si>
  <si>
    <t xml:space="preserve">VT </t>
  </si>
  <si>
    <t>CRPF Bretagne 1986</t>
  </si>
  <si>
    <t>technique et forêt "Première approche de la production potentielle du cèdre de l'atlas" J.TOTH</t>
  </si>
  <si>
    <t>Rialsesse "moyen"</t>
  </si>
  <si>
    <t>Ventoux "moyen"</t>
  </si>
  <si>
    <t>(DECOURT 1965) SOLOGNE</t>
  </si>
  <si>
    <t xml:space="preserve">PIN SYLVESTRE </t>
  </si>
  <si>
    <t xml:space="preserve">Douglas </t>
  </si>
  <si>
    <t>infradensité de l'essence (TMS/m3)</t>
  </si>
  <si>
    <t>Stock de carbone dans le sol (en tMS)</t>
  </si>
  <si>
    <t>S Ess1 (T C/ha)</t>
  </si>
  <si>
    <t>S Ess1 (TCO2)</t>
  </si>
  <si>
    <t>S Ess1 (T CO2/ha)</t>
  </si>
  <si>
    <t>TC/ha</t>
  </si>
  <si>
    <t>TCO2/ha</t>
  </si>
  <si>
    <t xml:space="preserve">TCO2 </t>
  </si>
  <si>
    <t xml:space="preserve">Surface projet total : </t>
  </si>
  <si>
    <t>Sref accrus (T CO2/ha)</t>
  </si>
  <si>
    <t>Sref accrus TCO2</t>
  </si>
  <si>
    <t>Eclaircie 4</t>
  </si>
  <si>
    <t>Eclaircie 5</t>
  </si>
  <si>
    <t>Eclaircie 6</t>
  </si>
  <si>
    <t>Eclaircie 7</t>
  </si>
  <si>
    <t>Eclaircie 8</t>
  </si>
  <si>
    <t>Eclaircie 9</t>
  </si>
  <si>
    <t>Eclaircie 10</t>
  </si>
  <si>
    <t>Eclaircie 11</t>
  </si>
  <si>
    <t>Eclaircie 12</t>
  </si>
  <si>
    <t>Eclaircie 13</t>
  </si>
  <si>
    <t>Eclaircie 14</t>
  </si>
  <si>
    <t>Eclaircie 15</t>
  </si>
  <si>
    <t>Eclaircie 16</t>
  </si>
  <si>
    <t>Eclaircie 17</t>
  </si>
  <si>
    <t>Recette (Ri)
€/ha</t>
  </si>
  <si>
    <t>Dépense (Ci)
€/ha</t>
  </si>
  <si>
    <t>Eclaircie 18</t>
  </si>
  <si>
    <t>Eclaircie 19</t>
  </si>
  <si>
    <t>Eclaircie 20</t>
  </si>
  <si>
    <t>Eclaircie 21</t>
  </si>
  <si>
    <t>Eclaircie 22</t>
  </si>
  <si>
    <t>Eclaircie 23</t>
  </si>
  <si>
    <t>CR</t>
  </si>
  <si>
    <t xml:space="preserve">TOTAL VAN </t>
  </si>
  <si>
    <t>C.F 2</t>
  </si>
  <si>
    <t>C.F 3</t>
  </si>
  <si>
    <t>VAN</t>
  </si>
  <si>
    <t>TOTAL VAN</t>
  </si>
  <si>
    <t>C.F 4</t>
  </si>
  <si>
    <t>C.F 5</t>
  </si>
  <si>
    <t>C.F 6</t>
  </si>
  <si>
    <t>VAN TOTAL</t>
  </si>
  <si>
    <t>VAN Boisement</t>
  </si>
  <si>
    <t>S projet</t>
  </si>
  <si>
    <t>REA forêt</t>
  </si>
  <si>
    <t xml:space="preserve">S ref </t>
  </si>
  <si>
    <t>Prix (40€/TCO2)</t>
  </si>
  <si>
    <t>Plantation résineux</t>
  </si>
  <si>
    <t>Plantation feuillus</t>
  </si>
  <si>
    <t>Information projet</t>
  </si>
  <si>
    <t>Essence 2 :</t>
  </si>
  <si>
    <t>Essence 3 :</t>
  </si>
  <si>
    <t>Essence 4 :</t>
  </si>
  <si>
    <t>S Ess 2 (T C/ha)</t>
  </si>
  <si>
    <t>S Ess 2 (T CO2/ha)</t>
  </si>
  <si>
    <t>S Ess 2 (TCO2)</t>
  </si>
  <si>
    <t>S Ess3 (T C/ha)</t>
  </si>
  <si>
    <t>S Ess3 (T CO2/ha)</t>
  </si>
  <si>
    <t>S Ess3 (TCO2)</t>
  </si>
  <si>
    <t>S Ess4 (T C/ha)</t>
  </si>
  <si>
    <t>S Ess4 (T CO2/ha)</t>
  </si>
  <si>
    <t>S Ess4 (TCO2)</t>
  </si>
  <si>
    <t>Cèdre de l'Atlas - technique et forêt "Première approche de la production potentielle du cèdre de l'atlas" J.TOTH</t>
  </si>
  <si>
    <t>Chêne -  (PARDE 1962) SECTEUR LIGERIEN</t>
  </si>
  <si>
    <t>Douglas - (DECOURT 1972) OUEST DU MASSIF CENTRAL</t>
  </si>
  <si>
    <t>Pin Maritime - (DECOURT - LEMOINE - 1969) SUD OUEST LANDES</t>
  </si>
  <si>
    <t>Chataignier - Bilan des essais forestiers consacrés au chataignier en Bretagne CRPF</t>
  </si>
  <si>
    <t>Pin Laricio - (DECOURT - 1965) SOLOGNE</t>
  </si>
  <si>
    <t>Pin Sylvestre - (DECOURT 1965) SOLOGNE</t>
  </si>
  <si>
    <t>Epicéa sitka - CRPF Bretagne 1986</t>
  </si>
  <si>
    <t>Thuya - Douglas - (DECOURT 1972) OUEST DU MASSIF CENTRAL</t>
  </si>
  <si>
    <t>Rabais</t>
  </si>
  <si>
    <t>Rabais pour absence de devis dans le calcul de VAN (0 ou - 5 %)</t>
  </si>
  <si>
    <t>Prix avec décote immobilière 20% voir Guide expertise CNIEFEB</t>
  </si>
  <si>
    <t>Prix marché actuel</t>
  </si>
  <si>
    <t xml:space="preserve">Chêne - ONF chenaie Atlantique </t>
  </si>
  <si>
    <t xml:space="preserve">Coefficient de forme et hauteurs moyennes pour peuplement purs equiènnes adultes (d'après GRUNDNER et SCHWAPPACH, 1952). Coefficient de forme 0,54 Station moyenne. </t>
  </si>
  <si>
    <t>Chêne - Chênaies Atlantique (ONF  2018)</t>
  </si>
  <si>
    <t>Volume bois fort (Vbf)/Volume total (Vt)</t>
  </si>
  <si>
    <t>Vbf</t>
  </si>
  <si>
    <t>FEB</t>
  </si>
  <si>
    <t>Facteur expension branche (FEB)</t>
  </si>
  <si>
    <t>Chêne ONF</t>
  </si>
  <si>
    <t>Nombre de classes de fertilités par essences</t>
  </si>
  <si>
    <t>REA forêt générables</t>
  </si>
  <si>
    <t>tC02</t>
  </si>
  <si>
    <t>Rabais pour absence d'analyse économique pour l'additionnalité (0 ou - 5 %)</t>
  </si>
  <si>
    <t>BO - Bois d'Œuvre</t>
  </si>
  <si>
    <t>BI - Bois d'Industrie</t>
  </si>
  <si>
    <t>BE - Bois Energie</t>
  </si>
  <si>
    <t>Classes de Fertifilité Existantes (Voir table)</t>
  </si>
  <si>
    <t>Classe</t>
  </si>
  <si>
    <t>VAN Accru - Peuplement existant</t>
  </si>
  <si>
    <t>PRIX</t>
  </si>
  <si>
    <t>Ve BO  (30)</t>
  </si>
  <si>
    <t>Ve BI (30)</t>
  </si>
  <si>
    <t>Ve BE (30)</t>
  </si>
  <si>
    <t>unité</t>
  </si>
  <si>
    <t>définition</t>
  </si>
  <si>
    <t>m³/ha</t>
  </si>
  <si>
    <t>Production totale. Somme du volume restant sur pied et des volumes enlevés par les éclaircies.</t>
  </si>
  <si>
    <t>Somme cumulée des volumes enlevés par les éclaircies.</t>
  </si>
  <si>
    <t>Volume du peuplement. Bois fort tige pour les résineux, bois fort total pour les feuillus.</t>
  </si>
  <si>
    <t>m³/ha/an</t>
  </si>
  <si>
    <t xml:space="preserve">Accroissement courant. Accroissement en volume durant une courte période de temps encadrant l'âge considéré. </t>
  </si>
  <si>
    <t>Vec</t>
  </si>
  <si>
    <t>Volume enlevé par l'éclaircie à l'âge de la coupe.</t>
  </si>
  <si>
    <t>Vbi(30)</t>
  </si>
  <si>
    <t>Vbe(30)</t>
  </si>
  <si>
    <t>Vbi</t>
  </si>
  <si>
    <t>Volume de bois sur pied (en m3)</t>
  </si>
  <si>
    <t>Volume éclaircie en bois d'industrie ( en m3)</t>
  </si>
  <si>
    <t>TCO2</t>
  </si>
  <si>
    <t>Il n'y a pas de produits issus d'éclaircies dans le scénario de référence</t>
  </si>
  <si>
    <t>REA produit</t>
  </si>
  <si>
    <t>S Produit 1 (T CO2/ha)</t>
  </si>
  <si>
    <t>S Produit 1 (TCO2)</t>
  </si>
  <si>
    <t>TCO3</t>
  </si>
  <si>
    <t>S Produit 2 (T CO2/ha)</t>
  </si>
  <si>
    <t>S Produit 2 (TCO2)</t>
  </si>
  <si>
    <t>S Produit 3 (T CO2/ha)</t>
  </si>
  <si>
    <t>S Produit 3 (TCO2)</t>
  </si>
  <si>
    <t>S Produit 4 (T CO2/ha)</t>
  </si>
  <si>
    <t>S Produit 4 (TCO2)</t>
  </si>
  <si>
    <t xml:space="preserve">REA Produits </t>
  </si>
  <si>
    <t>Age taillis</t>
  </si>
  <si>
    <t>Robinier</t>
  </si>
  <si>
    <t>C.fertilié</t>
  </si>
  <si>
    <t>Stock de carbone dans les sols (en tC)</t>
  </si>
  <si>
    <t xml:space="preserve">Taillis Chataignier - ( BEDENEAU 1988) Croissance du taillis de châtaignier en France : premiers résultats. </t>
  </si>
  <si>
    <t>Taillis de Chêne - (J. RONDEUX - D. JACQUES 1988) Tarfs de cubage pour les taillis de chênes et de bouleaux en Ardenne méridionale</t>
  </si>
  <si>
    <t>Mélèze - Douglas (DECOURT 1972) OUEST DU MASSIF CENTRAL</t>
  </si>
  <si>
    <t>Chênaies Atlantiques ONF</t>
  </si>
  <si>
    <t>H0 (m)</t>
  </si>
  <si>
    <t>D0 (cm)</t>
  </si>
  <si>
    <t>G/ha (m²/ha)</t>
  </si>
  <si>
    <t>V/ha (m3/ha)</t>
  </si>
  <si>
    <t>C.fertilité</t>
  </si>
  <si>
    <t>REA produit générables</t>
  </si>
  <si>
    <t xml:space="preserve"> Robinier - Assimilé au Chataignier - Bilan des essais forestiers consacrés au chataignier en Bretagne CRPF</t>
  </si>
  <si>
    <t>Année</t>
  </si>
  <si>
    <t>Recettes</t>
  </si>
  <si>
    <t>Dépenses</t>
  </si>
  <si>
    <t xml:space="preserve">Plantation </t>
  </si>
  <si>
    <t>Entretien année N+1</t>
  </si>
  <si>
    <t>Entretien année N+2</t>
  </si>
  <si>
    <t xml:space="preserve">Eclaircie 1 </t>
  </si>
  <si>
    <t>Subvention</t>
  </si>
  <si>
    <t>Ve eclaircie</t>
  </si>
  <si>
    <t>PVT (m3)</t>
  </si>
  <si>
    <t>Ve éclaircie</t>
  </si>
  <si>
    <t>Accrus</t>
  </si>
  <si>
    <t>inf.</t>
  </si>
  <si>
    <t>Stock MLT ref</t>
  </si>
  <si>
    <t>Accroissement accrus 1M3/ha/an</t>
  </si>
  <si>
    <t xml:space="preserve">Age </t>
  </si>
  <si>
    <t>Volume (m3)</t>
  </si>
  <si>
    <t>S (TCO2)</t>
  </si>
  <si>
    <t xml:space="preserve">CF1 </t>
  </si>
  <si>
    <t xml:space="preserve">CF2 </t>
  </si>
  <si>
    <t>CF3</t>
  </si>
  <si>
    <t>Stock MLT</t>
  </si>
  <si>
    <t xml:space="preserve">Volume total après éclaircie </t>
  </si>
  <si>
    <t>Âge</t>
  </si>
  <si>
    <t xml:space="preserve">CF. 1 </t>
  </si>
  <si>
    <t>CF. 2</t>
  </si>
  <si>
    <t>CF. 3</t>
  </si>
  <si>
    <t xml:space="preserve">CF.1 </t>
  </si>
  <si>
    <t xml:space="preserve">CF.2 </t>
  </si>
  <si>
    <t>CF.3</t>
  </si>
  <si>
    <t xml:space="preserve">V cf1 </t>
  </si>
  <si>
    <t xml:space="preserve">S cf1 </t>
  </si>
  <si>
    <t xml:space="preserve">V cf2 </t>
  </si>
  <si>
    <t xml:space="preserve">S cf2 </t>
  </si>
  <si>
    <t xml:space="preserve">Vcf3 </t>
  </si>
  <si>
    <t>S cf3</t>
  </si>
  <si>
    <t>Stock moyen long terme VERRA (TC02)</t>
  </si>
  <si>
    <t>SMLT projet</t>
  </si>
  <si>
    <t xml:space="preserve">SMLT ref </t>
  </si>
  <si>
    <t>SMTL (verra)</t>
  </si>
  <si>
    <r>
      <t>∆</t>
    </r>
    <r>
      <rPr>
        <b/>
        <sz val="9.9"/>
        <color theme="1"/>
        <rFont val="Calibri"/>
        <family val="2"/>
      </rPr>
      <t xml:space="preserve">S(30) </t>
    </r>
  </si>
  <si>
    <t xml:space="preserve">Stock moyen long terme </t>
  </si>
  <si>
    <t>TC02</t>
  </si>
  <si>
    <t>Peuplier</t>
  </si>
  <si>
    <t>Volume total</t>
  </si>
  <si>
    <t>Circonférence (cm)</t>
  </si>
  <si>
    <t>Diamètre</t>
  </si>
  <si>
    <t>H (m)</t>
  </si>
  <si>
    <t>Vunitaire</t>
  </si>
  <si>
    <t>Vpeuplement</t>
  </si>
  <si>
    <t>Somme</t>
  </si>
  <si>
    <t>Somme stock</t>
  </si>
  <si>
    <t>ref</t>
  </si>
  <si>
    <t>REA foret</t>
  </si>
  <si>
    <t>Nature des actions (type de travaux)</t>
  </si>
  <si>
    <t>Précision action (essence)</t>
  </si>
  <si>
    <t xml:space="preserve">Prix unitaire €HT/ha </t>
  </si>
  <si>
    <t>Surface demandée (ha)</t>
  </si>
  <si>
    <t>Montant prévisionnel HT par action (€)</t>
  </si>
  <si>
    <t>Prestataire à l'origine du devis</t>
  </si>
  <si>
    <t>Broyage soigné de surface</t>
  </si>
  <si>
    <t>Travail du sol: chasse copeaux-sous soleur - disques forestier</t>
  </si>
  <si>
    <t>Plantation d'essence objective (fourniture, installation )</t>
  </si>
  <si>
    <t>Entretien de plantation</t>
  </si>
  <si>
    <t>N plants</t>
  </si>
  <si>
    <t>TOTAL (€)</t>
  </si>
  <si>
    <t>MONTANT TOTAL DES INVESTISSEMENTS MATERIELS A TITRE PRINCIPAL</t>
  </si>
  <si>
    <t>MONTANT PREVISIONNEL DES DEPENSES IMMATERIELLES (Frais de maîtrise d'œuvre)</t>
  </si>
  <si>
    <t>MONTANT PREVISIONNEL TOTAL</t>
  </si>
  <si>
    <t xml:space="preserve">ESS1 </t>
  </si>
  <si>
    <t>VAN Projet</t>
  </si>
  <si>
    <t>Montant des travaux - DEVIS</t>
  </si>
  <si>
    <t>ESS1</t>
  </si>
  <si>
    <t>Chêne rouge d'Amérique, id Cast. Sativa</t>
  </si>
  <si>
    <t>ILOT 1 - Chêne rouge</t>
  </si>
  <si>
    <t>ILOT 2 - Chêne sessile</t>
  </si>
  <si>
    <t>Chêne Rouge</t>
  </si>
  <si>
    <t>Chêne Sessile</t>
  </si>
  <si>
    <t>Travail du sol: sous solage</t>
  </si>
  <si>
    <t>TRAITEMENT TRICO 2/3 et protection 1/3</t>
  </si>
  <si>
    <t xml:space="preserve">MONTANT TOTAL DES INVESTISSEMENTS MATERIELS </t>
  </si>
  <si>
    <t>CHENE ROUGE</t>
  </si>
  <si>
    <t>TOTAL</t>
  </si>
  <si>
    <t>Montant de l'aide plafonnée</t>
  </si>
  <si>
    <t>MONTANT DE l'AIDE PLAFONNEE</t>
  </si>
  <si>
    <t xml:space="preserve">VAN PROJET TOTAL </t>
  </si>
  <si>
    <t>Van REFERENCE</t>
  </si>
  <si>
    <t xml:space="preserve">VAN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</si>
</sst>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0.0%"/>
    <numFmt numFmtId="166" formatCode="_-* #,##0\ &quot;€&quot;_-;\-* #,##0\ &quot;€&quot;_-;_-* &quot;-&quot;??\ &quot;€&quot;_-;_-@_-"/>
    <numFmt numFmtId="167" formatCode="0.000"/>
    <numFmt numFmtId="168" formatCode="0.0"/>
    <numFmt numFmtId="171" formatCode="_-* #,##0_-;\-* #,##0_-;_-* &quot;-&quot;??_-;_-@_-"/>
    <numFmt numFmtId="172" formatCode="_-* #,##0&quot; M3&quot;;\-* #,##0&quot; M3&quot;;_-* &quot;-&quot;??_-;_-@_-"/>
    <numFmt numFmtId="173" formatCode="#,##0\ &quot;€&quot;;\(#,##0\)\ &quot;€&quot;"/>
    <numFmt numFmtId="174" formatCode="#,##0.00\ &quot;€&quot;"/>
    <numFmt numFmtId="175" formatCode="_-* #,##0.00\ [$€-40C]_-;\-* #,##0.00\ [$€-40C]_-;_-* &quot;-&quot;??\ [$€-40C]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9" tint="0.59999389629810485"/>
      <name val="Arial Narrow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9" tint="0.59999389629810485"/>
      <name val="Arial Narrow"/>
      <family val="2"/>
    </font>
    <font>
      <sz val="11"/>
      <color theme="5" tint="0.59999389629810485"/>
      <name val="Arial Narrow"/>
      <family val="2"/>
    </font>
    <font>
      <b/>
      <sz val="11"/>
      <color theme="1"/>
      <name val="Calibri"/>
      <family val="2"/>
    </font>
    <font>
      <b/>
      <i/>
      <sz val="11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 Narrow"/>
      <family val="2"/>
    </font>
    <font>
      <sz val="10"/>
      <color theme="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i/>
      <sz val="11"/>
      <color theme="2" tint="-0.74999237037263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mbria"/>
      <family val="1"/>
    </font>
    <font>
      <b/>
      <i/>
      <sz val="11"/>
      <color theme="0"/>
      <name val="Calibri"/>
      <family val="2"/>
      <scheme val="minor"/>
    </font>
    <font>
      <sz val="12"/>
      <color theme="0"/>
      <name val="Arial"/>
      <family val="2"/>
    </font>
    <font>
      <b/>
      <sz val="9.9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name val="Arial Narrow"/>
      <family val="2"/>
    </font>
    <font>
      <sz val="11"/>
      <color theme="9" tint="0.39997558519241921"/>
      <name val="Arial Narrow"/>
      <family val="2"/>
    </font>
  </fonts>
  <fills count="2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theme="5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7CF7F4"/>
        <bgColor indexed="64"/>
      </patternFill>
    </fill>
    <fill>
      <patternFill patternType="solid">
        <fgColor rgb="FFFFFF00"/>
        <bgColor theme="9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5" tint="0.39997558519241921"/>
      </left>
      <right/>
      <top/>
      <bottom style="thin">
        <color theme="5" tint="0.39997558519241921"/>
      </bottom>
      <diagonal/>
    </border>
    <border>
      <left/>
      <right style="thin">
        <color theme="5" tint="0.39997558519241921"/>
      </right>
      <top/>
      <bottom style="thin">
        <color theme="5" tint="0.39997558519241921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5" tint="0.39997558519241921"/>
      </bottom>
      <diagonal/>
    </border>
    <border>
      <left style="thin">
        <color theme="5" tint="0.3999755851924192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9"/>
      </right>
      <top style="medium">
        <color indexed="64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medium">
        <color indexed="64"/>
      </top>
      <bottom style="thin">
        <color theme="9"/>
      </bottom>
      <diagonal/>
    </border>
    <border>
      <left style="thin">
        <color theme="9"/>
      </left>
      <right style="medium">
        <color indexed="64"/>
      </right>
      <top style="medium">
        <color indexed="64"/>
      </top>
      <bottom style="thin">
        <color theme="9"/>
      </bottom>
      <diagonal/>
    </border>
    <border>
      <left style="medium">
        <color indexed="64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medium">
        <color indexed="64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thin">
        <color theme="9"/>
      </right>
      <top style="thin">
        <color theme="9"/>
      </top>
      <bottom style="medium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medium">
        <color indexed="64"/>
      </bottom>
      <diagonal/>
    </border>
    <border>
      <left style="thin">
        <color theme="9"/>
      </left>
      <right style="medium">
        <color indexed="64"/>
      </right>
      <top style="thin">
        <color theme="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04">
    <xf numFmtId="0" fontId="0" fillId="0" borderId="0" xfId="0"/>
    <xf numFmtId="9" fontId="0" fillId="0" borderId="0" xfId="1" applyFont="1"/>
    <xf numFmtId="0" fontId="6" fillId="0" borderId="0" xfId="0" applyFont="1" applyAlignment="1">
      <alignment horizontal="center"/>
    </xf>
    <xf numFmtId="6" fontId="0" fillId="0" borderId="0" xfId="0" applyNumberFormat="1" applyFill="1"/>
    <xf numFmtId="0" fontId="7" fillId="0" borderId="0" xfId="0" applyFont="1" applyAlignment="1">
      <alignment horizontal="left"/>
    </xf>
    <xf numFmtId="165" fontId="7" fillId="0" borderId="0" xfId="1" applyNumberFormat="1" applyFont="1" applyAlignment="1">
      <alignment horizontal="left"/>
    </xf>
    <xf numFmtId="0" fontId="0" fillId="4" borderId="1" xfId="0" applyFont="1" applyFill="1" applyBorder="1"/>
    <xf numFmtId="0" fontId="0" fillId="0" borderId="1" xfId="0" applyFont="1" applyBorder="1"/>
    <xf numFmtId="0" fontId="6" fillId="2" borderId="0" xfId="0" applyFont="1" applyFill="1"/>
    <xf numFmtId="0" fontId="8" fillId="0" borderId="0" xfId="0" applyFont="1"/>
    <xf numFmtId="0" fontId="8" fillId="0" borderId="0" xfId="0" applyFont="1" applyFill="1"/>
    <xf numFmtId="1" fontId="0" fillId="0" borderId="0" xfId="0" applyNumberFormat="1"/>
    <xf numFmtId="1" fontId="0" fillId="4" borderId="1" xfId="0" applyNumberFormat="1" applyFont="1" applyFill="1" applyBorder="1"/>
    <xf numFmtId="1" fontId="0" fillId="0" borderId="1" xfId="0" applyNumberFormat="1" applyFont="1" applyBorder="1"/>
    <xf numFmtId="1" fontId="6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6" fontId="0" fillId="0" borderId="0" xfId="0" applyNumberFormat="1"/>
    <xf numFmtId="0" fontId="7" fillId="0" borderId="0" xfId="0" applyFont="1"/>
    <xf numFmtId="0" fontId="0" fillId="0" borderId="6" xfId="0" applyBorder="1"/>
    <xf numFmtId="1" fontId="0" fillId="0" borderId="6" xfId="0" applyNumberFormat="1" applyBorder="1"/>
    <xf numFmtId="0" fontId="0" fillId="0" borderId="0" xfId="0" applyBorder="1"/>
    <xf numFmtId="1" fontId="0" fillId="0" borderId="0" xfId="0" applyNumberFormat="1" applyBorder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10" fillId="3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6" fillId="0" borderId="0" xfId="0" applyFont="1"/>
    <xf numFmtId="0" fontId="9" fillId="3" borderId="0" xfId="0" applyFont="1" applyFill="1" applyAlignment="1"/>
    <xf numFmtId="0" fontId="9" fillId="0" borderId="0" xfId="0" applyFont="1" applyFill="1" applyAlignment="1"/>
    <xf numFmtId="0" fontId="4" fillId="0" borderId="0" xfId="0" applyFont="1" applyFill="1" applyAlignment="1">
      <alignment horizontal="left"/>
    </xf>
    <xf numFmtId="0" fontId="12" fillId="0" borderId="0" xfId="0" applyFont="1"/>
    <xf numFmtId="0" fontId="6" fillId="0" borderId="0" xfId="0" applyFont="1" applyFill="1"/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0" borderId="0" xfId="0" applyNumberFormat="1" applyFill="1"/>
    <xf numFmtId="0" fontId="12" fillId="0" borderId="0" xfId="0" applyFont="1" applyFill="1"/>
    <xf numFmtId="44" fontId="12" fillId="0" borderId="0" xfId="2" applyNumberFormat="1" applyFont="1" applyFill="1"/>
    <xf numFmtId="0" fontId="9" fillId="0" borderId="0" xfId="0" applyFont="1" applyFill="1" applyAlignment="1">
      <alignment horizontal="left"/>
    </xf>
    <xf numFmtId="0" fontId="0" fillId="0" borderId="0" xfId="0" applyFill="1" applyBorder="1"/>
    <xf numFmtId="0" fontId="10" fillId="3" borderId="0" xfId="0" applyFont="1" applyFill="1" applyAlignment="1">
      <alignment horizontal="left"/>
    </xf>
    <xf numFmtId="0" fontId="13" fillId="7" borderId="8" xfId="0" applyFont="1" applyFill="1" applyBorder="1"/>
    <xf numFmtId="0" fontId="13" fillId="7" borderId="9" xfId="0" applyFont="1" applyFill="1" applyBorder="1"/>
    <xf numFmtId="0" fontId="13" fillId="7" borderId="10" xfId="0" applyFont="1" applyFill="1" applyBorder="1"/>
    <xf numFmtId="0" fontId="0" fillId="8" borderId="8" xfId="0" applyFont="1" applyFill="1" applyBorder="1"/>
    <xf numFmtId="0" fontId="0" fillId="0" borderId="8" xfId="0" applyFont="1" applyBorder="1"/>
    <xf numFmtId="0" fontId="0" fillId="0" borderId="10" xfId="0" applyFont="1" applyBorder="1"/>
    <xf numFmtId="167" fontId="0" fillId="4" borderId="1" xfId="0" applyNumberFormat="1" applyFont="1" applyFill="1" applyBorder="1"/>
    <xf numFmtId="0" fontId="0" fillId="0" borderId="0" xfId="0" applyFont="1"/>
    <xf numFmtId="1" fontId="8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14" fillId="0" borderId="0" xfId="0" applyFont="1" applyFill="1" applyAlignment="1">
      <alignment horizontal="left"/>
    </xf>
    <xf numFmtId="9" fontId="0" fillId="0" borderId="6" xfId="1" applyFont="1" applyBorder="1"/>
    <xf numFmtId="0" fontId="0" fillId="0" borderId="6" xfId="0" applyFill="1" applyBorder="1"/>
    <xf numFmtId="0" fontId="10" fillId="0" borderId="0" xfId="0" applyFont="1" applyFill="1" applyAlignment="1"/>
    <xf numFmtId="0" fontId="10" fillId="3" borderId="0" xfId="0" applyFont="1" applyFill="1" applyAlignment="1"/>
    <xf numFmtId="168" fontId="0" fillId="0" borderId="0" xfId="0" applyNumberFormat="1"/>
    <xf numFmtId="0" fontId="6" fillId="4" borderId="1" xfId="0" applyFont="1" applyFill="1" applyBorder="1"/>
    <xf numFmtId="1" fontId="6" fillId="4" borderId="1" xfId="0" applyNumberFormat="1" applyFont="1" applyFill="1" applyBorder="1"/>
    <xf numFmtId="0" fontId="15" fillId="0" borderId="0" xfId="0" applyFont="1" applyFill="1"/>
    <xf numFmtId="0" fontId="0" fillId="0" borderId="0" xfId="0" applyNumberFormat="1"/>
    <xf numFmtId="0" fontId="0" fillId="0" borderId="0" xfId="0" applyAlignment="1">
      <alignment horizontal="left"/>
    </xf>
    <xf numFmtId="0" fontId="16" fillId="9" borderId="0" xfId="0" applyFont="1" applyFill="1"/>
    <xf numFmtId="0" fontId="17" fillId="9" borderId="0" xfId="0" applyFont="1" applyFill="1" applyAlignment="1"/>
    <xf numFmtId="0" fontId="0" fillId="3" borderId="0" xfId="0" applyFill="1"/>
    <xf numFmtId="1" fontId="0" fillId="8" borderId="8" xfId="0" applyNumberFormat="1" applyFont="1" applyFill="1" applyBorder="1"/>
    <xf numFmtId="1" fontId="0" fillId="0" borderId="8" xfId="0" applyNumberFormat="1" applyFont="1" applyBorder="1"/>
    <xf numFmtId="44" fontId="0" fillId="0" borderId="0" xfId="2" applyFont="1" applyBorder="1"/>
    <xf numFmtId="44" fontId="0" fillId="0" borderId="0" xfId="0" applyNumberFormat="1" applyBorder="1"/>
    <xf numFmtId="0" fontId="2" fillId="0" borderId="0" xfId="0" applyFont="1" applyBorder="1"/>
    <xf numFmtId="0" fontId="0" fillId="0" borderId="0" xfId="0" applyBorder="1" applyAlignment="1"/>
    <xf numFmtId="0" fontId="0" fillId="0" borderId="2" xfId="0" applyBorder="1"/>
    <xf numFmtId="0" fontId="4" fillId="2" borderId="0" xfId="0" applyFont="1" applyFill="1" applyAlignment="1">
      <alignment horizontal="left"/>
    </xf>
    <xf numFmtId="0" fontId="17" fillId="9" borderId="0" xfId="0" applyFont="1" applyFill="1" applyAlignment="1">
      <alignment horizontal="right"/>
    </xf>
    <xf numFmtId="0" fontId="8" fillId="6" borderId="0" xfId="0" applyFont="1" applyFill="1"/>
    <xf numFmtId="2" fontId="18" fillId="6" borderId="0" xfId="0" applyNumberFormat="1" applyFont="1" applyFill="1" applyBorder="1"/>
    <xf numFmtId="0" fontId="0" fillId="0" borderId="4" xfId="0" applyFill="1" applyBorder="1"/>
    <xf numFmtId="171" fontId="0" fillId="0" borderId="0" xfId="3" applyNumberFormat="1" applyFont="1"/>
    <xf numFmtId="0" fontId="8" fillId="13" borderId="6" xfId="0" applyFont="1" applyFill="1" applyBorder="1"/>
    <xf numFmtId="0" fontId="0" fillId="13" borderId="6" xfId="0" applyNumberFormat="1" applyFill="1" applyBorder="1"/>
    <xf numFmtId="172" fontId="0" fillId="8" borderId="10" xfId="0" applyNumberFormat="1" applyFill="1" applyBorder="1"/>
    <xf numFmtId="172" fontId="0" fillId="0" borderId="10" xfId="0" applyNumberFormat="1" applyBorder="1"/>
    <xf numFmtId="0" fontId="0" fillId="0" borderId="0" xfId="0" applyAlignment="1">
      <alignment horizontal="right"/>
    </xf>
    <xf numFmtId="173" fontId="0" fillId="8" borderId="10" xfId="2" applyNumberFormat="1" applyFont="1" applyFill="1" applyBorder="1"/>
    <xf numFmtId="173" fontId="0" fillId="0" borderId="10" xfId="2" applyNumberFormat="1" applyFont="1" applyBorder="1"/>
    <xf numFmtId="166" fontId="0" fillId="0" borderId="0" xfId="2" applyNumberFormat="1" applyFont="1"/>
    <xf numFmtId="166" fontId="0" fillId="8" borderId="8" xfId="2" applyNumberFormat="1" applyFont="1" applyFill="1" applyBorder="1"/>
    <xf numFmtId="166" fontId="0" fillId="8" borderId="9" xfId="2" applyNumberFormat="1" applyFont="1" applyFill="1" applyBorder="1"/>
    <xf numFmtId="166" fontId="0" fillId="8" borderId="10" xfId="2" applyNumberFormat="1" applyFont="1" applyFill="1" applyBorder="1"/>
    <xf numFmtId="166" fontId="0" fillId="0" borderId="8" xfId="2" applyNumberFormat="1" applyFont="1" applyBorder="1"/>
    <xf numFmtId="166" fontId="0" fillId="0" borderId="9" xfId="2" applyNumberFormat="1" applyFont="1" applyBorder="1"/>
    <xf numFmtId="166" fontId="0" fillId="0" borderId="10" xfId="2" applyNumberFormat="1" applyFont="1" applyBorder="1"/>
    <xf numFmtId="1" fontId="0" fillId="13" borderId="6" xfId="0" applyNumberFormat="1" applyFill="1" applyBorder="1"/>
    <xf numFmtId="0" fontId="0" fillId="13" borderId="6" xfId="0" applyFill="1" applyBorder="1"/>
    <xf numFmtId="173" fontId="0" fillId="0" borderId="6" xfId="2" applyNumberFormat="1" applyFont="1" applyBorder="1"/>
    <xf numFmtId="0" fontId="0" fillId="9" borderId="6" xfId="0" applyFill="1" applyBorder="1"/>
    <xf numFmtId="0" fontId="0" fillId="9" borderId="6" xfId="0" applyFill="1" applyBorder="1" applyAlignment="1">
      <alignment horizontal="right"/>
    </xf>
    <xf numFmtId="0" fontId="19" fillId="10" borderId="8" xfId="0" applyFont="1" applyFill="1" applyBorder="1"/>
    <xf numFmtId="0" fontId="20" fillId="10" borderId="16" xfId="0" applyFont="1" applyFill="1" applyBorder="1"/>
    <xf numFmtId="0" fontId="20" fillId="5" borderId="16" xfId="0" applyFont="1" applyFill="1" applyBorder="1"/>
    <xf numFmtId="0" fontId="20" fillId="5" borderId="17" xfId="0" applyFont="1" applyFill="1" applyBorder="1"/>
    <xf numFmtId="0" fontId="20" fillId="0" borderId="0" xfId="0" applyFont="1"/>
    <xf numFmtId="0" fontId="19" fillId="5" borderId="8" xfId="0" applyFont="1" applyFill="1" applyBorder="1"/>
    <xf numFmtId="0" fontId="19" fillId="5" borderId="10" xfId="0" applyFont="1" applyFill="1" applyBorder="1"/>
    <xf numFmtId="173" fontId="0" fillId="13" borderId="6" xfId="0" applyNumberFormat="1" applyFill="1" applyBorder="1"/>
    <xf numFmtId="173" fontId="0" fillId="0" borderId="6" xfId="0" applyNumberFormat="1" applyBorder="1"/>
    <xf numFmtId="0" fontId="0" fillId="0" borderId="6" xfId="0" applyFill="1" applyBorder="1" applyAlignment="1"/>
    <xf numFmtId="1" fontId="0" fillId="0" borderId="0" xfId="0" applyNumberFormat="1" applyFill="1" applyBorder="1"/>
    <xf numFmtId="0" fontId="0" fillId="0" borderId="6" xfId="0" applyFill="1" applyBorder="1" applyAlignment="1">
      <alignment horizontal="center"/>
    </xf>
    <xf numFmtId="0" fontId="13" fillId="14" borderId="0" xfId="0" applyFont="1" applyFill="1"/>
    <xf numFmtId="0" fontId="10" fillId="3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173" fontId="0" fillId="0" borderId="0" xfId="2" applyNumberFormat="1" applyFont="1" applyBorder="1"/>
    <xf numFmtId="173" fontId="0" fillId="13" borderId="0" xfId="0" applyNumberFormat="1" applyFill="1" applyBorder="1"/>
    <xf numFmtId="0" fontId="10" fillId="0" borderId="0" xfId="0" applyFont="1" applyFill="1" applyBorder="1" applyAlignment="1">
      <alignment horizontal="left"/>
    </xf>
    <xf numFmtId="0" fontId="0" fillId="15" borderId="6" xfId="0" applyFill="1" applyBorder="1"/>
    <xf numFmtId="0" fontId="21" fillId="0" borderId="0" xfId="0" applyFont="1"/>
    <xf numFmtId="1" fontId="0" fillId="15" borderId="6" xfId="0" applyNumberFormat="1" applyFill="1" applyBorder="1"/>
    <xf numFmtId="172" fontId="0" fillId="0" borderId="10" xfId="0" applyNumberFormat="1" applyFill="1" applyBorder="1"/>
    <xf numFmtId="0" fontId="0" fillId="0" borderId="0" xfId="0" applyFont="1" applyFill="1" applyBorder="1"/>
    <xf numFmtId="0" fontId="9" fillId="0" borderId="0" xfId="0" applyFont="1" applyFill="1" applyBorder="1" applyAlignment="1">
      <alignment horizontal="left"/>
    </xf>
    <xf numFmtId="0" fontId="10" fillId="3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0" fontId="10" fillId="3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0" fontId="0" fillId="0" borderId="14" xfId="0" applyFill="1" applyBorder="1"/>
    <xf numFmtId="1" fontId="0" fillId="0" borderId="6" xfId="0" applyNumberFormat="1" applyFill="1" applyBorder="1"/>
    <xf numFmtId="0" fontId="0" fillId="0" borderId="0" xfId="0" applyBorder="1" applyAlignment="1">
      <alignment vertical="center"/>
    </xf>
    <xf numFmtId="173" fontId="0" fillId="0" borderId="10" xfId="2" applyNumberFormat="1" applyFont="1" applyFill="1" applyBorder="1"/>
    <xf numFmtId="0" fontId="6" fillId="0" borderId="0" xfId="0" applyFont="1" applyFill="1" applyBorder="1"/>
    <xf numFmtId="1" fontId="6" fillId="0" borderId="0" xfId="0" applyNumberFormat="1" applyFont="1" applyFill="1" applyBorder="1"/>
    <xf numFmtId="0" fontId="0" fillId="0" borderId="0" xfId="0" applyFont="1" applyBorder="1" applyAlignment="1"/>
    <xf numFmtId="0" fontId="4" fillId="0" borderId="0" xfId="0" applyFont="1" applyFill="1" applyBorder="1" applyAlignment="1">
      <alignment horizontal="center"/>
    </xf>
    <xf numFmtId="173" fontId="0" fillId="0" borderId="0" xfId="2" applyNumberFormat="1" applyFont="1" applyFill="1" applyBorder="1"/>
    <xf numFmtId="173" fontId="0" fillId="0" borderId="0" xfId="0" applyNumberFormat="1" applyFill="1" applyBorder="1"/>
    <xf numFmtId="1" fontId="23" fillId="0" borderId="0" xfId="0" applyNumberFormat="1" applyFont="1"/>
    <xf numFmtId="1" fontId="23" fillId="0" borderId="0" xfId="0" applyNumberFormat="1" applyFont="1" applyFill="1"/>
    <xf numFmtId="1" fontId="20" fillId="4" borderId="1" xfId="0" applyNumberFormat="1" applyFont="1" applyFill="1" applyBorder="1"/>
    <xf numFmtId="0" fontId="0" fillId="0" borderId="9" xfId="0" applyFont="1" applyBorder="1"/>
    <xf numFmtId="0" fontId="0" fillId="0" borderId="23" xfId="0" applyFont="1" applyFill="1" applyBorder="1"/>
    <xf numFmtId="0" fontId="0" fillId="8" borderId="0" xfId="0" applyFont="1" applyFill="1" applyBorder="1"/>
    <xf numFmtId="172" fontId="0" fillId="8" borderId="0" xfId="0" applyNumberFormat="1" applyFill="1" applyBorder="1"/>
    <xf numFmtId="173" fontId="0" fillId="8" borderId="0" xfId="2" applyNumberFormat="1" applyFont="1" applyFill="1" applyBorder="1"/>
    <xf numFmtId="0" fontId="14" fillId="2" borderId="11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left"/>
    </xf>
    <xf numFmtId="9" fontId="19" fillId="16" borderId="1" xfId="1" applyFont="1" applyFill="1" applyBorder="1"/>
    <xf numFmtId="9" fontId="19" fillId="13" borderId="1" xfId="1" applyFont="1" applyFill="1" applyBorder="1"/>
    <xf numFmtId="1" fontId="0" fillId="0" borderId="0" xfId="2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173" fontId="0" fillId="0" borderId="0" xfId="0" applyNumberFormat="1" applyFont="1" applyFill="1" applyBorder="1" applyAlignment="1">
      <alignment horizontal="right"/>
    </xf>
    <xf numFmtId="173" fontId="0" fillId="0" borderId="0" xfId="0" applyNumberFormat="1" applyFont="1" applyFill="1" applyBorder="1" applyAlignment="1">
      <alignment horizontal="right" wrapText="1"/>
    </xf>
    <xf numFmtId="173" fontId="0" fillId="0" borderId="6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6" xfId="0" applyFont="1" applyFill="1" applyBorder="1"/>
    <xf numFmtId="174" fontId="0" fillId="0" borderId="6" xfId="0" applyNumberFormat="1" applyBorder="1"/>
    <xf numFmtId="1" fontId="0" fillId="0" borderId="6" xfId="0" applyNumberFormat="1" applyFont="1" applyFill="1" applyBorder="1" applyAlignment="1">
      <alignment horizontal="right"/>
    </xf>
    <xf numFmtId="0" fontId="0" fillId="13" borderId="6" xfId="0" applyFont="1" applyFill="1" applyBorder="1"/>
    <xf numFmtId="174" fontId="0" fillId="13" borderId="6" xfId="0" applyNumberFormat="1" applyFont="1" applyFill="1" applyBorder="1" applyAlignment="1">
      <alignment horizontal="right"/>
    </xf>
    <xf numFmtId="173" fontId="0" fillId="13" borderId="6" xfId="0" applyNumberFormat="1" applyFont="1" applyFill="1" applyBorder="1" applyAlignment="1">
      <alignment horizontal="right"/>
    </xf>
    <xf numFmtId="174" fontId="0" fillId="13" borderId="6" xfId="0" applyNumberFormat="1" applyFill="1" applyBorder="1"/>
    <xf numFmtId="0" fontId="5" fillId="0" borderId="0" xfId="0" applyFont="1" applyFill="1" applyBorder="1" applyAlignment="1"/>
    <xf numFmtId="0" fontId="5" fillId="13" borderId="6" xfId="0" applyFont="1" applyFill="1" applyBorder="1" applyAlignment="1"/>
    <xf numFmtId="174" fontId="5" fillId="13" borderId="6" xfId="0" applyNumberFormat="1" applyFont="1" applyFill="1" applyBorder="1" applyAlignment="1"/>
    <xf numFmtId="0" fontId="5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0" fontId="0" fillId="0" borderId="6" xfId="0" applyNumberFormat="1" applyBorder="1"/>
    <xf numFmtId="0" fontId="0" fillId="0" borderId="6" xfId="2" applyNumberFormat="1" applyFont="1" applyBorder="1"/>
    <xf numFmtId="0" fontId="0" fillId="0" borderId="6" xfId="2" applyNumberFormat="1" applyFont="1" applyFill="1" applyBorder="1"/>
    <xf numFmtId="0" fontId="0" fillId="0" borderId="6" xfId="0" applyNumberFormat="1" applyFill="1" applyBorder="1"/>
    <xf numFmtId="173" fontId="0" fillId="0" borderId="6" xfId="2" applyNumberFormat="1" applyFont="1" applyFill="1" applyBorder="1"/>
    <xf numFmtId="0" fontId="0" fillId="12" borderId="0" xfId="0" applyFill="1"/>
    <xf numFmtId="0" fontId="0" fillId="17" borderId="0" xfId="0" applyFill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1" fontId="0" fillId="17" borderId="6" xfId="0" applyNumberFormat="1" applyFill="1" applyBorder="1"/>
    <xf numFmtId="1" fontId="0" fillId="0" borderId="0" xfId="0" applyNumberFormat="1" applyFont="1" applyFill="1" applyBorder="1" applyAlignment="1">
      <alignment horizontal="right"/>
    </xf>
    <xf numFmtId="1" fontId="0" fillId="0" borderId="6" xfId="0" applyNumberFormat="1" applyBorder="1" applyAlignment="1">
      <alignment horizontal="left" indent="3"/>
    </xf>
    <xf numFmtId="1" fontId="0" fillId="0" borderId="0" xfId="0" applyNumberFormat="1" applyBorder="1" applyAlignment="1">
      <alignment horizontal="left" indent="3"/>
    </xf>
    <xf numFmtId="0" fontId="0" fillId="19" borderId="0" xfId="0" applyFill="1"/>
    <xf numFmtId="1" fontId="0" fillId="19" borderId="6" xfId="0" applyNumberFormat="1" applyFill="1" applyBorder="1"/>
    <xf numFmtId="0" fontId="8" fillId="0" borderId="6" xfId="0" applyFont="1" applyBorder="1"/>
    <xf numFmtId="0" fontId="0" fillId="0" borderId="11" xfId="0" applyBorder="1"/>
    <xf numFmtId="0" fontId="0" fillId="0" borderId="26" xfId="0" applyBorder="1"/>
    <xf numFmtId="0" fontId="0" fillId="0" borderId="27" xfId="0" applyBorder="1"/>
    <xf numFmtId="1" fontId="0" fillId="0" borderId="28" xfId="0" applyNumberFormat="1" applyBorder="1" applyAlignment="1">
      <alignment horizontal="left" indent="3"/>
    </xf>
    <xf numFmtId="1" fontId="0" fillId="0" borderId="29" xfId="0" applyNumberFormat="1" applyBorder="1" applyAlignment="1">
      <alignment horizontal="left" indent="3"/>
    </xf>
    <xf numFmtId="1" fontId="0" fillId="0" borderId="30" xfId="0" applyNumberFormat="1" applyBorder="1" applyAlignment="1">
      <alignment horizontal="left" indent="3"/>
    </xf>
    <xf numFmtId="1" fontId="0" fillId="0" borderId="31" xfId="0" applyNumberFormat="1" applyBorder="1" applyAlignment="1">
      <alignment horizontal="left" indent="3"/>
    </xf>
    <xf numFmtId="0" fontId="0" fillId="4" borderId="32" xfId="0" applyFont="1" applyFill="1" applyBorder="1"/>
    <xf numFmtId="1" fontId="0" fillId="4" borderId="33" xfId="0" applyNumberFormat="1" applyFont="1" applyFill="1" applyBorder="1"/>
    <xf numFmtId="1" fontId="0" fillId="4" borderId="34" xfId="0" applyNumberFormat="1" applyFont="1" applyFill="1" applyBorder="1"/>
    <xf numFmtId="0" fontId="0" fillId="0" borderId="35" xfId="0" applyFont="1" applyBorder="1"/>
    <xf numFmtId="1" fontId="0" fillId="0" borderId="36" xfId="0" applyNumberFormat="1" applyFont="1" applyBorder="1"/>
    <xf numFmtId="0" fontId="11" fillId="4" borderId="37" xfId="0" applyFont="1" applyFill="1" applyBorder="1"/>
    <xf numFmtId="1" fontId="6" fillId="4" borderId="38" xfId="0" applyNumberFormat="1" applyFont="1" applyFill="1" applyBorder="1"/>
    <xf numFmtId="1" fontId="6" fillId="4" borderId="39" xfId="0" applyNumberFormat="1" applyFont="1" applyFill="1" applyBorder="1"/>
    <xf numFmtId="1" fontId="22" fillId="0" borderId="0" xfId="0" applyNumberFormat="1" applyFont="1" applyFill="1" applyAlignment="1">
      <alignment horizontal="center"/>
    </xf>
    <xf numFmtId="0" fontId="8" fillId="9" borderId="40" xfId="0" applyFont="1" applyFill="1" applyBorder="1"/>
    <xf numFmtId="1" fontId="8" fillId="9" borderId="41" xfId="0" applyNumberFormat="1" applyFont="1" applyFill="1" applyBorder="1" applyAlignment="1">
      <alignment horizontal="center"/>
    </xf>
    <xf numFmtId="167" fontId="8" fillId="9" borderId="41" xfId="0" applyNumberFormat="1" applyFont="1" applyFill="1" applyBorder="1" applyAlignment="1">
      <alignment horizontal="center"/>
    </xf>
    <xf numFmtId="1" fontId="6" fillId="4" borderId="6" xfId="0" applyNumberFormat="1" applyFont="1" applyFill="1" applyBorder="1"/>
    <xf numFmtId="0" fontId="0" fillId="11" borderId="0" xfId="0" applyFill="1"/>
    <xf numFmtId="2" fontId="0" fillId="0" borderId="0" xfId="0" applyNumberFormat="1" applyAlignment="1">
      <alignment horizontal="left" indent="1"/>
    </xf>
    <xf numFmtId="2" fontId="0" fillId="0" borderId="6" xfId="0" applyNumberFormat="1" applyBorder="1"/>
    <xf numFmtId="168" fontId="0" fillId="0" borderId="6" xfId="0" applyNumberFormat="1" applyBorder="1"/>
    <xf numFmtId="0" fontId="25" fillId="0" borderId="6" xfId="0" applyFont="1" applyBorder="1"/>
    <xf numFmtId="1" fontId="8" fillId="0" borderId="6" xfId="0" applyNumberFormat="1" applyFont="1" applyBorder="1"/>
    <xf numFmtId="0" fontId="8" fillId="0" borderId="0" xfId="0" applyFont="1" applyFill="1" applyAlignment="1"/>
    <xf numFmtId="173" fontId="7" fillId="0" borderId="0" xfId="0" applyNumberFormat="1" applyFont="1" applyFill="1" applyBorder="1" applyAlignment="1">
      <alignment vertical="center"/>
    </xf>
    <xf numFmtId="0" fontId="3" fillId="9" borderId="42" xfId="0" applyFont="1" applyFill="1" applyBorder="1" applyAlignment="1">
      <alignment horizontal="center" vertical="center" wrapText="1"/>
    </xf>
    <xf numFmtId="175" fontId="3" fillId="0" borderId="6" xfId="0" applyNumberFormat="1" applyFont="1" applyBorder="1" applyAlignment="1">
      <alignment vertical="center" wrapText="1"/>
    </xf>
    <xf numFmtId="175" fontId="3" fillId="0" borderId="6" xfId="0" applyNumberFormat="1" applyFont="1" applyBorder="1" applyAlignment="1">
      <alignment horizontal="center" vertical="center" wrapText="1"/>
    </xf>
    <xf numFmtId="175" fontId="3" fillId="0" borderId="13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175" fontId="3" fillId="9" borderId="27" xfId="0" applyNumberFormat="1" applyFont="1" applyFill="1" applyBorder="1" applyAlignment="1">
      <alignment horizontal="center" vertical="center" wrapText="1"/>
    </xf>
    <xf numFmtId="175" fontId="3" fillId="9" borderId="26" xfId="0" applyNumberFormat="1" applyFont="1" applyFill="1" applyBorder="1" applyAlignment="1">
      <alignment horizontal="center" vertical="center" wrapText="1"/>
    </xf>
    <xf numFmtId="175" fontId="3" fillId="0" borderId="53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175" fontId="3" fillId="0" borderId="45" xfId="0" applyNumberFormat="1" applyFont="1" applyBorder="1" applyAlignment="1">
      <alignment horizontal="center" vertical="center" wrapText="1"/>
    </xf>
    <xf numFmtId="175" fontId="3" fillId="9" borderId="45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9" borderId="45" xfId="0" applyFont="1" applyFill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165" fontId="0" fillId="0" borderId="0" xfId="1" applyNumberFormat="1" applyFont="1" applyFill="1" applyBorder="1" applyAlignment="1">
      <alignment horizontal="right"/>
    </xf>
    <xf numFmtId="175" fontId="0" fillId="0" borderId="0" xfId="0" applyNumberFormat="1"/>
    <xf numFmtId="0" fontId="0" fillId="13" borderId="6" xfId="0" applyNumberFormat="1" applyFont="1" applyFill="1" applyBorder="1" applyAlignment="1">
      <alignment horizontal="right"/>
    </xf>
    <xf numFmtId="0" fontId="0" fillId="11" borderId="0" xfId="0" applyNumberFormat="1" applyFont="1" applyFill="1" applyBorder="1" applyAlignment="1">
      <alignment horizontal="right"/>
    </xf>
    <xf numFmtId="174" fontId="0" fillId="11" borderId="0" xfId="0" applyNumberFormat="1" applyFont="1" applyFill="1" applyBorder="1" applyAlignment="1">
      <alignment horizontal="right"/>
    </xf>
    <xf numFmtId="173" fontId="0" fillId="11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0" fontId="0" fillId="4" borderId="18" xfId="0" applyFont="1" applyFill="1" applyBorder="1" applyAlignment="1">
      <alignment horizontal="center"/>
    </xf>
    <xf numFmtId="0" fontId="0" fillId="4" borderId="19" xfId="0" applyFont="1" applyFill="1" applyBorder="1" applyAlignment="1">
      <alignment horizontal="center"/>
    </xf>
    <xf numFmtId="0" fontId="0" fillId="4" borderId="20" xfId="0" applyFont="1" applyFill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4" fillId="0" borderId="54" xfId="0" applyFont="1" applyBorder="1" applyAlignment="1">
      <alignment horizontal="center" vertical="center" wrapText="1"/>
    </xf>
    <xf numFmtId="174" fontId="4" fillId="0" borderId="40" xfId="0" applyNumberFormat="1" applyFont="1" applyBorder="1" applyAlignment="1">
      <alignment horizontal="center" vertical="center" wrapText="1"/>
    </xf>
    <xf numFmtId="174" fontId="4" fillId="0" borderId="4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2" fontId="3" fillId="0" borderId="45" xfId="0" applyNumberFormat="1" applyFont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6" fillId="9" borderId="43" xfId="0" applyFont="1" applyFill="1" applyBorder="1" applyAlignment="1">
      <alignment horizontal="center" vertical="center" wrapText="1"/>
    </xf>
    <xf numFmtId="0" fontId="26" fillId="9" borderId="21" xfId="0" applyFont="1" applyFill="1" applyBorder="1" applyAlignment="1">
      <alignment horizontal="center" vertical="center" wrapText="1"/>
    </xf>
    <xf numFmtId="0" fontId="26" fillId="9" borderId="51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3" fillId="9" borderId="26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6" fillId="9" borderId="48" xfId="0" applyFont="1" applyFill="1" applyBorder="1" applyAlignment="1">
      <alignment horizontal="center" vertical="center" wrapText="1"/>
    </xf>
    <xf numFmtId="0" fontId="26" fillId="9" borderId="49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5" borderId="0" xfId="0" applyFont="1" applyFill="1" applyAlignment="1">
      <alignment horizontal="center"/>
    </xf>
    <xf numFmtId="0" fontId="0" fillId="11" borderId="0" xfId="0" applyFill="1" applyAlignment="1">
      <alignment horizontal="center"/>
    </xf>
    <xf numFmtId="0" fontId="10" fillId="3" borderId="0" xfId="0" applyFont="1" applyFill="1" applyAlignment="1">
      <alignment horizontal="left"/>
    </xf>
    <xf numFmtId="0" fontId="0" fillId="13" borderId="11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13" borderId="6" xfId="0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18" borderId="0" xfId="0" applyFill="1" applyAlignment="1">
      <alignment horizontal="center"/>
    </xf>
  </cellXfs>
  <cellStyles count="4">
    <cellStyle name="Milliers" xfId="3" builtinId="3"/>
    <cellStyle name="Monétaire" xfId="2" builtinId="4"/>
    <cellStyle name="Normal" xfId="0" builtinId="0"/>
    <cellStyle name="Pourcentage" xfId="1" builtinId="5"/>
  </cellStyles>
  <dxfs count="27"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border outline="0">
        <top style="thin">
          <color theme="5" tint="0.39997558519241921"/>
        </top>
      </border>
    </dxf>
    <dxf>
      <numFmt numFmtId="166" formatCode="_-* #,##0\ &quot;€&quot;_-;\-* #,##0\ &quot;€&quot;_-;_-* &quot;-&quot;??\ &quot;€&quot;_-;_-@_-"/>
    </dxf>
    <dxf>
      <border outline="0">
        <bottom style="thin">
          <color theme="5" tint="0.3999755851924192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5" tint="0.39997558519241921"/>
        </patternFill>
      </fill>
    </dxf>
    <dxf>
      <numFmt numFmtId="10" formatCode="#,##0\ &quot;€&quot;;[Red]\-#,##0\ &quot;€&quot;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 tint="0.39997558519241921"/>
        </left>
        <right/>
        <top style="thin">
          <color theme="5" tint="0.39997558519241921"/>
        </top>
        <bottom style="thin">
          <color theme="5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colors>
    <mruColors>
      <color rgb="FF7CF7F4"/>
      <color rgb="FF05AB15"/>
      <color rgb="FFD2E37D"/>
      <color rgb="FFCCCC00"/>
      <color rgb="FF5F9830"/>
      <color rgb="FFBAE18B"/>
      <color rgb="FFDDEFA5"/>
      <color rgb="FFFFCA33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Volume</a:t>
            </a:r>
            <a:r>
              <a:rPr lang="fr-FR" baseline="0"/>
              <a:t> total sur pied en fonction de l'âge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[2]VERRA!$B$17</c:f>
              <c:strCache>
                <c:ptCount val="1"/>
                <c:pt idx="0">
                  <c:v>CF. 1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27151814671202351"/>
                  <c:y val="0.414868748597741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[2]VERRA!$A$18:$A$28</c:f>
              <c:numCache>
                <c:formatCode>General</c:formatCode>
                <c:ptCount val="11"/>
                <c:pt idx="0">
                  <c:v>17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</c:numCache>
            </c:numRef>
          </c:xVal>
          <c:yVal>
            <c:numRef>
              <c:f>[2]VERRA!$B$18:$B$28</c:f>
              <c:numCache>
                <c:formatCode>General</c:formatCode>
                <c:ptCount val="11"/>
                <c:pt idx="0">
                  <c:v>103</c:v>
                </c:pt>
                <c:pt idx="1">
                  <c:v>122</c:v>
                </c:pt>
                <c:pt idx="2">
                  <c:v>168</c:v>
                </c:pt>
                <c:pt idx="3">
                  <c:v>202</c:v>
                </c:pt>
                <c:pt idx="4">
                  <c:v>244</c:v>
                </c:pt>
                <c:pt idx="5">
                  <c:v>284</c:v>
                </c:pt>
                <c:pt idx="6">
                  <c:v>327</c:v>
                </c:pt>
                <c:pt idx="7">
                  <c:v>367</c:v>
                </c:pt>
                <c:pt idx="8">
                  <c:v>415</c:v>
                </c:pt>
                <c:pt idx="9">
                  <c:v>468</c:v>
                </c:pt>
                <c:pt idx="10">
                  <c:v>527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EE4-4BBD-90FF-484B1477A652}"/>
            </c:ext>
          </c:extLst>
        </c:ser>
        <c:ser>
          <c:idx val="1"/>
          <c:order val="1"/>
          <c:tx>
            <c:strRef>
              <c:f>[2]VERRA!$E$17</c:f>
              <c:strCache>
                <c:ptCount val="1"/>
                <c:pt idx="0">
                  <c:v>CF.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1753362117499663"/>
                  <c:y val="0.510673903211216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[2]VERRA!$D$18:$D$28</c:f>
              <c:numCache>
                <c:formatCode>General</c:formatCode>
                <c:ptCount val="11"/>
                <c:pt idx="0">
                  <c:v>22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58</c:v>
                </c:pt>
                <c:pt idx="8">
                  <c:v>66</c:v>
                </c:pt>
                <c:pt idx="9">
                  <c:v>74</c:v>
                </c:pt>
                <c:pt idx="10">
                  <c:v>82</c:v>
                </c:pt>
              </c:numCache>
            </c:numRef>
          </c:xVal>
          <c:yVal>
            <c:numRef>
              <c:f>[2]VERRA!$E$18:$E$28</c:f>
              <c:numCache>
                <c:formatCode>General</c:formatCode>
                <c:ptCount val="11"/>
                <c:pt idx="0">
                  <c:v>107</c:v>
                </c:pt>
                <c:pt idx="1">
                  <c:v>127</c:v>
                </c:pt>
                <c:pt idx="2">
                  <c:v>160</c:v>
                </c:pt>
                <c:pt idx="3">
                  <c:v>192</c:v>
                </c:pt>
                <c:pt idx="4">
                  <c:v>223</c:v>
                </c:pt>
                <c:pt idx="5">
                  <c:v>265</c:v>
                </c:pt>
                <c:pt idx="6">
                  <c:v>299</c:v>
                </c:pt>
                <c:pt idx="7">
                  <c:v>362</c:v>
                </c:pt>
                <c:pt idx="8">
                  <c:v>430</c:v>
                </c:pt>
                <c:pt idx="9">
                  <c:v>496</c:v>
                </c:pt>
                <c:pt idx="10">
                  <c:v>541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EE4-4BBD-90FF-484B1477A652}"/>
            </c:ext>
          </c:extLst>
        </c:ser>
        <c:ser>
          <c:idx val="2"/>
          <c:order val="2"/>
          <c:tx>
            <c:strRef>
              <c:f>[2]VERRA!$H$17</c:f>
              <c:strCache>
                <c:ptCount val="1"/>
                <c:pt idx="0">
                  <c:v>CF.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20578656897495065"/>
                  <c:y val="0.434553075709498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[2]VERRA!$G$18:$G$25</c:f>
              <c:numCache>
                <c:formatCode>General</c:formatCode>
                <c:ptCount val="8"/>
                <c:pt idx="0">
                  <c:v>27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</c:numCache>
            </c:numRef>
          </c:xVal>
          <c:yVal>
            <c:numRef>
              <c:f>[2]VERRA!$H$18:$H$25</c:f>
              <c:numCache>
                <c:formatCode>General</c:formatCode>
                <c:ptCount val="8"/>
                <c:pt idx="0">
                  <c:v>103</c:v>
                </c:pt>
                <c:pt idx="1">
                  <c:v>119</c:v>
                </c:pt>
                <c:pt idx="2">
                  <c:v>146</c:v>
                </c:pt>
                <c:pt idx="3">
                  <c:v>174</c:v>
                </c:pt>
                <c:pt idx="4">
                  <c:v>236</c:v>
                </c:pt>
                <c:pt idx="5">
                  <c:v>305</c:v>
                </c:pt>
                <c:pt idx="6">
                  <c:v>370</c:v>
                </c:pt>
                <c:pt idx="7">
                  <c:v>415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1EE4-4BBD-90FF-484B1477A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022400"/>
        <c:axId val="1393024576"/>
      </c:scatterChart>
      <c:valAx>
        <c:axId val="1393022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3024576"/>
        <c:crosses val="autoZero"/>
        <c:crossBetween val="midCat"/>
      </c:valAx>
      <c:valAx>
        <c:axId val="139302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Volume total sur pied après éclaircie (m3)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3022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77684975933899503"/>
          <c:y val="0.4023953247363754"/>
          <c:w val="0.20804450047973611"/>
          <c:h val="0.457940789965704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Volume</a:t>
            </a:r>
            <a:r>
              <a:rPr lang="fr-FR" baseline="0"/>
              <a:t> total sur pied en fonction de l'âge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[2]VERRA!$B$17</c:f>
              <c:strCache>
                <c:ptCount val="1"/>
                <c:pt idx="0">
                  <c:v>CF. 1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1213464725519582"/>
                  <c:y val="0.3984643710580953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VERRA!$N$12:$N$28</c:f>
              <c:numCache>
                <c:formatCode>General</c:formatCode>
                <c:ptCount val="17"/>
                <c:pt idx="0">
                  <c:v>29</c:v>
                </c:pt>
                <c:pt idx="1">
                  <c:v>37</c:v>
                </c:pt>
                <c:pt idx="2">
                  <c:v>45</c:v>
                </c:pt>
                <c:pt idx="3">
                  <c:v>53</c:v>
                </c:pt>
                <c:pt idx="4">
                  <c:v>61</c:v>
                </c:pt>
                <c:pt idx="5">
                  <c:v>69</c:v>
                </c:pt>
                <c:pt idx="6">
                  <c:v>77</c:v>
                </c:pt>
                <c:pt idx="7">
                  <c:v>85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125</c:v>
                </c:pt>
                <c:pt idx="12">
                  <c:v>135</c:v>
                </c:pt>
                <c:pt idx="13">
                  <c:v>145</c:v>
                </c:pt>
                <c:pt idx="14">
                  <c:v>155</c:v>
                </c:pt>
                <c:pt idx="15">
                  <c:v>165</c:v>
                </c:pt>
                <c:pt idx="16">
                  <c:v>170</c:v>
                </c:pt>
              </c:numCache>
            </c:numRef>
          </c:xVal>
          <c:yVal>
            <c:numRef>
              <c:f>VERRA!$O$12:$O$28</c:f>
              <c:numCache>
                <c:formatCode>0</c:formatCode>
                <c:ptCount val="17"/>
                <c:pt idx="0">
                  <c:v>76.537999999999997</c:v>
                </c:pt>
                <c:pt idx="1">
                  <c:v>116.80619999999998</c:v>
                </c:pt>
                <c:pt idx="2">
                  <c:v>104</c:v>
                </c:pt>
                <c:pt idx="3">
                  <c:v>131</c:v>
                </c:pt>
                <c:pt idx="4">
                  <c:v>155</c:v>
                </c:pt>
                <c:pt idx="5">
                  <c:v>177</c:v>
                </c:pt>
                <c:pt idx="6">
                  <c:v>194</c:v>
                </c:pt>
                <c:pt idx="7">
                  <c:v>217</c:v>
                </c:pt>
                <c:pt idx="8">
                  <c:v>255</c:v>
                </c:pt>
                <c:pt idx="9">
                  <c:v>280</c:v>
                </c:pt>
                <c:pt idx="10">
                  <c:v>305</c:v>
                </c:pt>
                <c:pt idx="11">
                  <c:v>326</c:v>
                </c:pt>
                <c:pt idx="12">
                  <c:v>343</c:v>
                </c:pt>
                <c:pt idx="13">
                  <c:v>367</c:v>
                </c:pt>
                <c:pt idx="14">
                  <c:v>384</c:v>
                </c:pt>
                <c:pt idx="15">
                  <c:v>407</c:v>
                </c:pt>
                <c:pt idx="16">
                  <c:v>448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02C-4A72-B80D-2B8AE2EE65E6}"/>
            </c:ext>
          </c:extLst>
        </c:ser>
        <c:ser>
          <c:idx val="1"/>
          <c:order val="1"/>
          <c:tx>
            <c:strRef>
              <c:f>VERRA!$R$11</c:f>
              <c:strCache>
                <c:ptCount val="1"/>
                <c:pt idx="0">
                  <c:v>CF.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6.2741156600137973E-2"/>
                  <c:y val="0.3455403725823280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VERRA!$Q$12:$Q$27</c:f>
              <c:numCache>
                <c:formatCode>0</c:formatCode>
                <c:ptCount val="16"/>
                <c:pt idx="0">
                  <c:v>36</c:v>
                </c:pt>
                <c:pt idx="1">
                  <c:v>44</c:v>
                </c:pt>
                <c:pt idx="2">
                  <c:v>52</c:v>
                </c:pt>
                <c:pt idx="3">
                  <c:v>60</c:v>
                </c:pt>
                <c:pt idx="4">
                  <c:v>68</c:v>
                </c:pt>
                <c:pt idx="5">
                  <c:v>78</c:v>
                </c:pt>
                <c:pt idx="6">
                  <c:v>88</c:v>
                </c:pt>
                <c:pt idx="7">
                  <c:v>98</c:v>
                </c:pt>
                <c:pt idx="8">
                  <c:v>108</c:v>
                </c:pt>
                <c:pt idx="9">
                  <c:v>118</c:v>
                </c:pt>
                <c:pt idx="10">
                  <c:v>128</c:v>
                </c:pt>
                <c:pt idx="11">
                  <c:v>138</c:v>
                </c:pt>
                <c:pt idx="12">
                  <c:v>148</c:v>
                </c:pt>
                <c:pt idx="13">
                  <c:v>158</c:v>
                </c:pt>
                <c:pt idx="14">
                  <c:v>168</c:v>
                </c:pt>
                <c:pt idx="15">
                  <c:v>180</c:v>
                </c:pt>
              </c:numCache>
            </c:numRef>
          </c:xVal>
          <c:yVal>
            <c:numRef>
              <c:f>VERRA!$R$12:$R$27</c:f>
              <c:numCache>
                <c:formatCode>0</c:formatCode>
                <c:ptCount val="16"/>
                <c:pt idx="0">
                  <c:v>82.80019999999999</c:v>
                </c:pt>
                <c:pt idx="1">
                  <c:v>113.06260000000002</c:v>
                </c:pt>
                <c:pt idx="2">
                  <c:v>98</c:v>
                </c:pt>
                <c:pt idx="3">
                  <c:v>117</c:v>
                </c:pt>
                <c:pt idx="4">
                  <c:v>135</c:v>
                </c:pt>
                <c:pt idx="5">
                  <c:v>162</c:v>
                </c:pt>
                <c:pt idx="6">
                  <c:v>184</c:v>
                </c:pt>
                <c:pt idx="7">
                  <c:v>207</c:v>
                </c:pt>
                <c:pt idx="8">
                  <c:v>225</c:v>
                </c:pt>
                <c:pt idx="9">
                  <c:v>241</c:v>
                </c:pt>
                <c:pt idx="10">
                  <c:v>258</c:v>
                </c:pt>
                <c:pt idx="11">
                  <c:v>276</c:v>
                </c:pt>
                <c:pt idx="12">
                  <c:v>293</c:v>
                </c:pt>
                <c:pt idx="13">
                  <c:v>310</c:v>
                </c:pt>
                <c:pt idx="14">
                  <c:v>328</c:v>
                </c:pt>
                <c:pt idx="15">
                  <c:v>368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02C-4A72-B80D-2B8AE2EE65E6}"/>
            </c:ext>
          </c:extLst>
        </c:ser>
        <c:ser>
          <c:idx val="2"/>
          <c:order val="2"/>
          <c:tx>
            <c:strRef>
              <c:f>VERRA!$U$11</c:f>
              <c:strCache>
                <c:ptCount val="1"/>
                <c:pt idx="0">
                  <c:v>CF.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6.5904441325498969E-2"/>
                  <c:y val="0.3138463017767284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VERRA!$T$12:$T$25</c:f>
              <c:numCache>
                <c:formatCode>0</c:formatCode>
                <c:ptCount val="14"/>
                <c:pt idx="0">
                  <c:v>47</c:v>
                </c:pt>
                <c:pt idx="1">
                  <c:v>55</c:v>
                </c:pt>
                <c:pt idx="2">
                  <c:v>63</c:v>
                </c:pt>
                <c:pt idx="3">
                  <c:v>73</c:v>
                </c:pt>
                <c:pt idx="4">
                  <c:v>83</c:v>
                </c:pt>
                <c:pt idx="5">
                  <c:v>93</c:v>
                </c:pt>
                <c:pt idx="6">
                  <c:v>103</c:v>
                </c:pt>
                <c:pt idx="7">
                  <c:v>113</c:v>
                </c:pt>
                <c:pt idx="8">
                  <c:v>125</c:v>
                </c:pt>
                <c:pt idx="9">
                  <c:v>137</c:v>
                </c:pt>
                <c:pt idx="10">
                  <c:v>149</c:v>
                </c:pt>
                <c:pt idx="11">
                  <c:v>164</c:v>
                </c:pt>
                <c:pt idx="12">
                  <c:v>179</c:v>
                </c:pt>
                <c:pt idx="13">
                  <c:v>190</c:v>
                </c:pt>
              </c:numCache>
            </c:numRef>
          </c:xVal>
          <c:yVal>
            <c:numRef>
              <c:f>VERRA!$U$12:$U$25</c:f>
              <c:numCache>
                <c:formatCode>0</c:formatCode>
                <c:ptCount val="14"/>
                <c:pt idx="0">
                  <c:v>107.70199999999998</c:v>
                </c:pt>
                <c:pt idx="1">
                  <c:v>118.48199999999999</c:v>
                </c:pt>
                <c:pt idx="2">
                  <c:v>92</c:v>
                </c:pt>
                <c:pt idx="3">
                  <c:v>112</c:v>
                </c:pt>
                <c:pt idx="4">
                  <c:v>129</c:v>
                </c:pt>
                <c:pt idx="5">
                  <c:v>145</c:v>
                </c:pt>
                <c:pt idx="6">
                  <c:v>157</c:v>
                </c:pt>
                <c:pt idx="7">
                  <c:v>170</c:v>
                </c:pt>
                <c:pt idx="8">
                  <c:v>187</c:v>
                </c:pt>
                <c:pt idx="9">
                  <c:v>203</c:v>
                </c:pt>
                <c:pt idx="10">
                  <c:v>220</c:v>
                </c:pt>
                <c:pt idx="11">
                  <c:v>244</c:v>
                </c:pt>
                <c:pt idx="12">
                  <c:v>266</c:v>
                </c:pt>
                <c:pt idx="13">
                  <c:v>323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02C-4A72-B80D-2B8AE2EE6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021856"/>
        <c:axId val="1392277824"/>
      </c:scatterChart>
      <c:valAx>
        <c:axId val="1393021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2277824"/>
        <c:crosses val="autoZero"/>
        <c:crossBetween val="midCat"/>
      </c:valAx>
      <c:valAx>
        <c:axId val="139227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Volume total sur pied après éclaircie (m3)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3021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84975933899503"/>
          <c:y val="0.4023953247363754"/>
          <c:w val="0.223150240661005"/>
          <c:h val="0.457940789965704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Volume</a:t>
            </a:r>
            <a:r>
              <a:rPr lang="fr-FR" baseline="0"/>
              <a:t> total sur pied en fonction de l'âge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VERRA!$X$11</c:f>
              <c:strCache>
                <c:ptCount val="1"/>
                <c:pt idx="0">
                  <c:v>CF. 1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10799396851897811"/>
                  <c:y val="0.460040043455229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VERRA!$W$12:$W$23</c:f>
              <c:numCache>
                <c:formatCode>General</c:formatCode>
                <c:ptCount val="12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  <c:pt idx="11">
                  <c:v>70</c:v>
                </c:pt>
              </c:numCache>
            </c:numRef>
          </c:xVal>
          <c:yVal>
            <c:numRef>
              <c:f>VERRA!$X$12:$X$23</c:f>
              <c:numCache>
                <c:formatCode>0</c:formatCode>
                <c:ptCount val="12"/>
                <c:pt idx="0">
                  <c:v>116.77875</c:v>
                </c:pt>
                <c:pt idx="1">
                  <c:v>150.95020833333334</c:v>
                </c:pt>
                <c:pt idx="2">
                  <c:v>186.78059027777778</c:v>
                </c:pt>
                <c:pt idx="3">
                  <c:v>223.99340856481479</c:v>
                </c:pt>
                <c:pt idx="4">
                  <c:v>262.35825713734562</c:v>
                </c:pt>
                <c:pt idx="5">
                  <c:v>301.68313094778807</c:v>
                </c:pt>
                <c:pt idx="6">
                  <c:v>341.80802578982343</c:v>
                </c:pt>
                <c:pt idx="7">
                  <c:v>382.59960482485286</c:v>
                </c:pt>
                <c:pt idx="8">
                  <c:v>423.94675402071067</c:v>
                </c:pt>
                <c:pt idx="9">
                  <c:v>465.75687835059222</c:v>
                </c:pt>
                <c:pt idx="10">
                  <c:v>507.95281529216004</c:v>
                </c:pt>
                <c:pt idx="11">
                  <c:v>550.47026274346661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5A-433F-95CB-883933F36F37}"/>
            </c:ext>
          </c:extLst>
        </c:ser>
        <c:ser>
          <c:idx val="1"/>
          <c:order val="1"/>
          <c:tx>
            <c:strRef>
              <c:f>VERRA!$AA$11</c:f>
              <c:strCache>
                <c:ptCount val="1"/>
                <c:pt idx="0">
                  <c:v>CF.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8.3829689626905513E-2"/>
                  <c:y val="0.4482077710639647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VERRA!$Z$12:$Z$23</c:f>
              <c:numCache>
                <c:formatCode>0</c:formatCode>
                <c:ptCount val="12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  <c:pt idx="11">
                  <c:v>70</c:v>
                </c:pt>
              </c:numCache>
            </c:numRef>
          </c:xVal>
          <c:yVal>
            <c:numRef>
              <c:f>VERRA!$AA$12:$AA$23</c:f>
              <c:numCache>
                <c:formatCode>0</c:formatCode>
                <c:ptCount val="12"/>
                <c:pt idx="0">
                  <c:v>99.573750000000004</c:v>
                </c:pt>
                <c:pt idx="1">
                  <c:v>129.04437499999997</c:v>
                </c:pt>
                <c:pt idx="2">
                  <c:v>160.04072916666667</c:v>
                </c:pt>
                <c:pt idx="3">
                  <c:v>192.30852430555558</c:v>
                </c:pt>
                <c:pt idx="4">
                  <c:v>225.63585358796297</c:v>
                </c:pt>
                <c:pt idx="5">
                  <c:v>259.84612798996909</c:v>
                </c:pt>
                <c:pt idx="6">
                  <c:v>294.79218999164101</c:v>
                </c:pt>
                <c:pt idx="7">
                  <c:v>330.3514083263675</c:v>
                </c:pt>
                <c:pt idx="8">
                  <c:v>366.42159027197283</c:v>
                </c:pt>
                <c:pt idx="9">
                  <c:v>402.91757522664409</c:v>
                </c:pt>
                <c:pt idx="10">
                  <c:v>439.76839602220338</c:v>
                </c:pt>
                <c:pt idx="11">
                  <c:v>476.91491335183593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15A-433F-95CB-883933F36F37}"/>
            </c:ext>
          </c:extLst>
        </c:ser>
        <c:ser>
          <c:idx val="2"/>
          <c:order val="2"/>
          <c:tx>
            <c:strRef>
              <c:f>VERRA!$AD$11</c:f>
              <c:strCache>
                <c:ptCount val="1"/>
                <c:pt idx="0">
                  <c:v>CF.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9.7392249321270372E-2"/>
                  <c:y val="0.4098797798507797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VERRA!$AC$12:$AC$23</c:f>
              <c:numCache>
                <c:formatCode>0</c:formatCode>
                <c:ptCount val="12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  <c:pt idx="11">
                  <c:v>70</c:v>
                </c:pt>
              </c:numCache>
            </c:numRef>
          </c:xVal>
          <c:yVal>
            <c:numRef>
              <c:f>VERRA!$AD$12:$AD$23</c:f>
              <c:numCache>
                <c:formatCode>0</c:formatCode>
                <c:ptCount val="12"/>
                <c:pt idx="0">
                  <c:v>84.578749999999999</c:v>
                </c:pt>
                <c:pt idx="1">
                  <c:v>109.20854166666668</c:v>
                </c:pt>
                <c:pt idx="2">
                  <c:v>135.00003472222224</c:v>
                </c:pt>
                <c:pt idx="3">
                  <c:v>161.75961226851854</c:v>
                </c:pt>
                <c:pt idx="4">
                  <c:v>189.32592689043213</c:v>
                </c:pt>
                <c:pt idx="5">
                  <c:v>217.56452240869345</c:v>
                </c:pt>
                <c:pt idx="6">
                  <c:v>246.36335200724452</c:v>
                </c:pt>
                <c:pt idx="7">
                  <c:v>275.62904333937047</c:v>
                </c:pt>
                <c:pt idx="8">
                  <c:v>305.28378611614198</c:v>
                </c:pt>
                <c:pt idx="9">
                  <c:v>335.26273843011836</c:v>
                </c:pt>
                <c:pt idx="10">
                  <c:v>365.51186535843203</c:v>
                </c:pt>
                <c:pt idx="11">
                  <c:v>395.98613779869333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15A-433F-95CB-883933F36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6893904"/>
        <c:axId val="806894448"/>
      </c:scatterChart>
      <c:valAx>
        <c:axId val="806893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06894448"/>
        <c:crosses val="autoZero"/>
        <c:crossBetween val="midCat"/>
      </c:valAx>
      <c:valAx>
        <c:axId val="806894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Volume total sur pied après éclaircie (m3)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06893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84975933899503"/>
          <c:y val="0.4023953247363754"/>
          <c:w val="0.223150240661005"/>
          <c:h val="0.457940789965704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Volume</a:t>
            </a:r>
            <a:r>
              <a:rPr lang="fr-FR" baseline="0"/>
              <a:t> total sur pied en fonction de l'âge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VERRA!$X$11</c:f>
              <c:strCache>
                <c:ptCount val="1"/>
                <c:pt idx="0">
                  <c:v>CF. 1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10799396851897811"/>
                  <c:y val="0.460040043455229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VERRA!$AF$12:$AF$21</c:f>
              <c:numCache>
                <c:formatCode>General</c:formatCode>
                <c:ptCount val="10"/>
                <c:pt idx="0">
                  <c:v>12</c:v>
                </c:pt>
                <c:pt idx="1">
                  <c:v>16</c:v>
                </c:pt>
                <c:pt idx="2">
                  <c:v>20</c:v>
                </c:pt>
                <c:pt idx="3">
                  <c:v>24</c:v>
                </c:pt>
                <c:pt idx="4">
                  <c:v>28</c:v>
                </c:pt>
                <c:pt idx="5">
                  <c:v>34</c:v>
                </c:pt>
                <c:pt idx="6">
                  <c:v>40</c:v>
                </c:pt>
                <c:pt idx="7">
                  <c:v>46</c:v>
                </c:pt>
                <c:pt idx="8">
                  <c:v>54</c:v>
                </c:pt>
                <c:pt idx="9">
                  <c:v>62</c:v>
                </c:pt>
              </c:numCache>
            </c:numRef>
          </c:xVal>
          <c:yVal>
            <c:numRef>
              <c:f>VERRA!$AG$12:$AG$21</c:f>
              <c:numCache>
                <c:formatCode>0</c:formatCode>
                <c:ptCount val="10"/>
                <c:pt idx="0">
                  <c:v>46</c:v>
                </c:pt>
                <c:pt idx="1">
                  <c:v>82</c:v>
                </c:pt>
                <c:pt idx="2">
                  <c:v>117</c:v>
                </c:pt>
                <c:pt idx="3">
                  <c:v>154</c:v>
                </c:pt>
                <c:pt idx="4">
                  <c:v>192</c:v>
                </c:pt>
                <c:pt idx="5">
                  <c:v>244</c:v>
                </c:pt>
                <c:pt idx="6">
                  <c:v>299</c:v>
                </c:pt>
                <c:pt idx="7">
                  <c:v>344</c:v>
                </c:pt>
                <c:pt idx="8">
                  <c:v>385</c:v>
                </c:pt>
                <c:pt idx="9">
                  <c:v>402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733-4A08-B793-638AB6D0994C}"/>
            </c:ext>
          </c:extLst>
        </c:ser>
        <c:ser>
          <c:idx val="1"/>
          <c:order val="1"/>
          <c:tx>
            <c:strRef>
              <c:f>VERRA!$AJ$11</c:f>
              <c:strCache>
                <c:ptCount val="1"/>
                <c:pt idx="0">
                  <c:v>CF.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10050857718716397"/>
                  <c:y val="0.3913652184582970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VERRA!$AI$12:$AI$21</c:f>
              <c:numCache>
                <c:formatCode>0</c:formatCode>
                <c:ptCount val="10"/>
                <c:pt idx="0">
                  <c:v>12</c:v>
                </c:pt>
                <c:pt idx="1">
                  <c:v>16</c:v>
                </c:pt>
                <c:pt idx="2">
                  <c:v>20</c:v>
                </c:pt>
                <c:pt idx="3">
                  <c:v>24</c:v>
                </c:pt>
                <c:pt idx="4">
                  <c:v>28</c:v>
                </c:pt>
                <c:pt idx="5">
                  <c:v>34</c:v>
                </c:pt>
                <c:pt idx="6">
                  <c:v>40</c:v>
                </c:pt>
                <c:pt idx="7">
                  <c:v>46</c:v>
                </c:pt>
                <c:pt idx="8">
                  <c:v>54</c:v>
                </c:pt>
                <c:pt idx="9" formatCode="General">
                  <c:v>62</c:v>
                </c:pt>
              </c:numCache>
            </c:numRef>
          </c:xVal>
          <c:yVal>
            <c:numRef>
              <c:f>VERRA!$AJ$12:$AJ$21</c:f>
              <c:numCache>
                <c:formatCode>0</c:formatCode>
                <c:ptCount val="10"/>
                <c:pt idx="0">
                  <c:v>36</c:v>
                </c:pt>
                <c:pt idx="1">
                  <c:v>66</c:v>
                </c:pt>
                <c:pt idx="2">
                  <c:v>97</c:v>
                </c:pt>
                <c:pt idx="3">
                  <c:v>126</c:v>
                </c:pt>
                <c:pt idx="4">
                  <c:v>155</c:v>
                </c:pt>
                <c:pt idx="5">
                  <c:v>198</c:v>
                </c:pt>
                <c:pt idx="6">
                  <c:v>234</c:v>
                </c:pt>
                <c:pt idx="7">
                  <c:v>264</c:v>
                </c:pt>
                <c:pt idx="8">
                  <c:v>295</c:v>
                </c:pt>
                <c:pt idx="9">
                  <c:v>309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733-4A08-B793-638AB6D0994C}"/>
            </c:ext>
          </c:extLst>
        </c:ser>
        <c:ser>
          <c:idx val="2"/>
          <c:order val="2"/>
          <c:tx>
            <c:strRef>
              <c:f>VERRA!$AD$11</c:f>
              <c:strCache>
                <c:ptCount val="1"/>
                <c:pt idx="0">
                  <c:v>CF.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10012239694966492"/>
                  <c:y val="0.337571415317669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VERRA!$AL$12:$AL$21</c:f>
              <c:numCache>
                <c:formatCode>0</c:formatCode>
                <c:ptCount val="10"/>
                <c:pt idx="0">
                  <c:v>12</c:v>
                </c:pt>
                <c:pt idx="1">
                  <c:v>16</c:v>
                </c:pt>
                <c:pt idx="2">
                  <c:v>20</c:v>
                </c:pt>
                <c:pt idx="3">
                  <c:v>24</c:v>
                </c:pt>
                <c:pt idx="4">
                  <c:v>28</c:v>
                </c:pt>
                <c:pt idx="5">
                  <c:v>34</c:v>
                </c:pt>
                <c:pt idx="6">
                  <c:v>40</c:v>
                </c:pt>
                <c:pt idx="7">
                  <c:v>46</c:v>
                </c:pt>
                <c:pt idx="8">
                  <c:v>54</c:v>
                </c:pt>
                <c:pt idx="9" formatCode="General">
                  <c:v>62</c:v>
                </c:pt>
              </c:numCache>
            </c:numRef>
          </c:xVal>
          <c:yVal>
            <c:numRef>
              <c:f>VERRA!$AM$12:$AM$21</c:f>
              <c:numCache>
                <c:formatCode>0</c:formatCode>
                <c:ptCount val="10"/>
                <c:pt idx="0">
                  <c:v>25</c:v>
                </c:pt>
                <c:pt idx="1">
                  <c:v>51</c:v>
                </c:pt>
                <c:pt idx="2">
                  <c:v>77</c:v>
                </c:pt>
                <c:pt idx="3">
                  <c:v>101</c:v>
                </c:pt>
                <c:pt idx="4">
                  <c:v>123</c:v>
                </c:pt>
                <c:pt idx="5">
                  <c:v>155</c:v>
                </c:pt>
                <c:pt idx="6">
                  <c:v>184</c:v>
                </c:pt>
                <c:pt idx="7">
                  <c:v>205</c:v>
                </c:pt>
                <c:pt idx="8">
                  <c:v>224</c:v>
                </c:pt>
                <c:pt idx="9">
                  <c:v>232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733-4A08-B793-638AB6D09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6893360"/>
        <c:axId val="806894992"/>
      </c:scatterChart>
      <c:valAx>
        <c:axId val="8068933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06894992"/>
        <c:crosses val="autoZero"/>
        <c:crossBetween val="midCat"/>
      </c:valAx>
      <c:valAx>
        <c:axId val="80689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Volume total sur pied après éclaircie (m3)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06893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84975933899503"/>
          <c:y val="0.4023953247363754"/>
          <c:w val="0.223150240661005"/>
          <c:h val="0.457940789965704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139700</xdr:colOff>
      <xdr:row>2</xdr:row>
      <xdr:rowOff>69850</xdr:rowOff>
    </xdr:from>
    <xdr:to>
      <xdr:col>8</xdr:col>
      <xdr:colOff>279400</xdr:colOff>
      <xdr:row>4</xdr:row>
      <xdr:rowOff>171450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8240" y="435610"/>
          <a:ext cx="1968500" cy="467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243840</xdr:colOff>
      <xdr:row>27</xdr:row>
      <xdr:rowOff>30480</xdr:rowOff>
    </xdr:from>
    <xdr:to>
      <xdr:col>10</xdr:col>
      <xdr:colOff>533400</xdr:colOff>
      <xdr:row>42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129540</xdr:colOff>
      <xdr:row>29</xdr:row>
      <xdr:rowOff>167640</xdr:rowOff>
    </xdr:from>
    <xdr:to>
      <xdr:col>19</xdr:col>
      <xdr:colOff>419100</xdr:colOff>
      <xdr:row>45</xdr:row>
      <xdr:rowOff>49530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129540</xdr:colOff>
      <xdr:row>27</xdr:row>
      <xdr:rowOff>0</xdr:rowOff>
    </xdr:from>
    <xdr:to>
      <xdr:col>28</xdr:col>
      <xdr:colOff>693420</xdr:colOff>
      <xdr:row>45</xdr:row>
      <xdr:rowOff>49530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571500</xdr:colOff>
      <xdr:row>21</xdr:row>
      <xdr:rowOff>175260</xdr:rowOff>
    </xdr:from>
    <xdr:to>
      <xdr:col>38</xdr:col>
      <xdr:colOff>342900</xdr:colOff>
      <xdr:row>40</xdr:row>
      <xdr:rowOff>41910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on/Desktop/Google%20Drive/CABINET%20LORNE/2_LABEL%20CARBONE/EcoTree%20-%20Quantification%20Carbone%20-%20Pont%20de%20bui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on/Desktop/Google%20Drive/CABINET%20LORNE/2_LABEL%20CARBONE/Projet/BOISEMENT-HERIC%20(44)/DOCUMENT/DOCUMENT%208%20et%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tockage"/>
      <sheetName val="1-REA"/>
      <sheetName val="2-REA "/>
      <sheetName val="3-REA"/>
      <sheetName val="Inputs"/>
      <sheetName val="VERRA"/>
      <sheetName val="TP- IRREG RESINEUX"/>
      <sheetName val="TP-IRREG FEUILLUS"/>
      <sheetName val="TP-REG"/>
      <sheetName val="EcoTree &amp; le Carbone"/>
      <sheetName val="Lexique"/>
      <sheetName val="1-BOISEMENT"/>
      <sheetName val="1-VAN"/>
      <sheetName val="2-RECONSTITUTION"/>
      <sheetName val="2-VAN "/>
      <sheetName val="3-BALIVAGE"/>
      <sheetName val="Méthode VERRA"/>
    </sheetNames>
    <sheetDataSet>
      <sheetData sheetId="0"/>
      <sheetData sheetId="1">
        <row r="29">
          <cell r="C29">
            <v>0.47499999999999998</v>
          </cell>
        </row>
      </sheetData>
      <sheetData sheetId="2"/>
      <sheetData sheetId="3"/>
      <sheetData sheetId="4">
        <row r="1">
          <cell r="B1">
            <v>1</v>
          </cell>
          <cell r="C1">
            <v>2</v>
          </cell>
          <cell r="D1">
            <v>3</v>
          </cell>
        </row>
        <row r="2">
          <cell r="A2" t="str">
            <v>Douglas - Régulier</v>
          </cell>
          <cell r="B2">
            <v>383.03999999999996</v>
          </cell>
          <cell r="C2">
            <v>383.03999999999996</v>
          </cell>
          <cell r="D2">
            <v>383.03999999999996</v>
          </cell>
          <cell r="G2">
            <v>391.28949999999998</v>
          </cell>
          <cell r="H2">
            <v>391.28949999999998</v>
          </cell>
          <cell r="I2">
            <v>391.28949999999998</v>
          </cell>
          <cell r="L2">
            <v>234.3621666666667</v>
          </cell>
          <cell r="M2">
            <v>167.69550000000001</v>
          </cell>
          <cell r="N2">
            <v>167.69550000000001</v>
          </cell>
        </row>
        <row r="3">
          <cell r="A3" t="str">
            <v>Douglas - Irrégulier</v>
          </cell>
          <cell r="B3">
            <v>247.33900800000001</v>
          </cell>
          <cell r="C3">
            <v>253.10880000000003</v>
          </cell>
          <cell r="D3">
            <v>267.90750000000003</v>
          </cell>
          <cell r="G3">
            <v>742.33273240000005</v>
          </cell>
          <cell r="H3">
            <v>682.54474585937498</v>
          </cell>
          <cell r="I3">
            <v>555.44568880208328</v>
          </cell>
          <cell r="L3">
            <v>384.80926626666673</v>
          </cell>
          <cell r="M3">
            <v>359.18584346354169</v>
          </cell>
          <cell r="N3">
            <v>304.7148190104167</v>
          </cell>
        </row>
        <row r="4">
          <cell r="A4" t="str">
            <v>Cèdre - Irrégulier</v>
          </cell>
          <cell r="B4">
            <v>202.52753740800006</v>
          </cell>
          <cell r="C4">
            <v>229.68092700000003</v>
          </cell>
          <cell r="D4">
            <v>247.17656250000005</v>
          </cell>
          <cell r="G4">
            <v>546.14500384683754</v>
          </cell>
          <cell r="H4">
            <v>472.83085194843756</v>
          </cell>
          <cell r="I4">
            <v>391.24777343749997</v>
          </cell>
          <cell r="L4">
            <v>298.07494450578753</v>
          </cell>
          <cell r="M4">
            <v>266.65459369218752</v>
          </cell>
          <cell r="N4">
            <v>231.67761718750003</v>
          </cell>
        </row>
        <row r="5">
          <cell r="A5" t="str">
            <v>Méleze - Irrégulier</v>
          </cell>
          <cell r="B5">
            <v>208.73402645760001</v>
          </cell>
          <cell r="C5">
            <v>258.39104287499998</v>
          </cell>
          <cell r="D5">
            <v>278.07363281250002</v>
          </cell>
          <cell r="G5">
            <v>650.94158395777208</v>
          </cell>
          <cell r="H5">
            <v>531.93470844199214</v>
          </cell>
          <cell r="I5">
            <v>440.1537451171875</v>
          </cell>
          <cell r="L5">
            <v>350.98936455333086</v>
          </cell>
          <cell r="M5">
            <v>299.9864179037109</v>
          </cell>
          <cell r="N5">
            <v>260.63731933593755</v>
          </cell>
        </row>
        <row r="6">
          <cell r="A6" t="str">
            <v>Pin maritime - Irrégulier</v>
          </cell>
          <cell r="B6">
            <v>150.71805853138952</v>
          </cell>
          <cell r="C6">
            <v>194.15973298176002</v>
          </cell>
          <cell r="D6">
            <v>215.25504000000006</v>
          </cell>
          <cell r="G6">
            <v>436.38071565075188</v>
          </cell>
          <cell r="H6">
            <v>349.67774740516802</v>
          </cell>
          <cell r="I6">
            <v>280.02174200000002</v>
          </cell>
          <cell r="L6">
            <v>227.02830670746511</v>
          </cell>
          <cell r="M6">
            <v>189.86989174507201</v>
          </cell>
          <cell r="N6">
            <v>160.00931800000001</v>
          </cell>
        </row>
        <row r="7">
          <cell r="A7" t="str">
            <v>Pin sylvestre - Irrégulier</v>
          </cell>
          <cell r="B7">
            <v>187.89651578880003</v>
          </cell>
          <cell r="C7">
            <v>195.72553728000003</v>
          </cell>
          <cell r="D7">
            <v>198.74400000000003</v>
          </cell>
          <cell r="G7">
            <v>315.35328177808009</v>
          </cell>
          <cell r="H7">
            <v>249.58950125200005</v>
          </cell>
          <cell r="I7">
            <v>178.90903333333333</v>
          </cell>
          <cell r="L7">
            <v>175.15940647632004</v>
          </cell>
          <cell r="M7">
            <v>146.97492910800003</v>
          </cell>
          <cell r="N7">
            <v>116.67529999999999</v>
          </cell>
        </row>
        <row r="8">
          <cell r="A8" t="str">
            <v>Chêne - Régulier</v>
          </cell>
          <cell r="B8">
            <v>198.60387626953124</v>
          </cell>
          <cell r="C8">
            <v>0</v>
          </cell>
          <cell r="D8">
            <v>0</v>
          </cell>
          <cell r="G8">
            <v>248.29130858642577</v>
          </cell>
          <cell r="H8">
            <v>0</v>
          </cell>
          <cell r="I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Chêne - Irrégulier</v>
          </cell>
          <cell r="B9">
            <v>203.90737500000003</v>
          </cell>
          <cell r="C9">
            <v>200.43450000000001</v>
          </cell>
          <cell r="D9">
            <v>187.86599999999999</v>
          </cell>
          <cell r="G9">
            <v>169.926946875</v>
          </cell>
          <cell r="H9">
            <v>124.04778749999998</v>
          </cell>
          <cell r="I9">
            <v>88.971749999999986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Chêne rouge - Irrégulier</v>
          </cell>
          <cell r="B10">
            <v>132.11473766400007</v>
          </cell>
          <cell r="C10">
            <v>158.06584684800004</v>
          </cell>
          <cell r="D10">
            <v>181.54717717500003</v>
          </cell>
          <cell r="G10">
            <v>439.44330408034881</v>
          </cell>
          <cell r="H10">
            <v>376.16978150626881</v>
          </cell>
          <cell r="I10">
            <v>300.7936052854688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Chataignier - Irrégulier</v>
          </cell>
          <cell r="B11">
            <v>118.77744033791997</v>
          </cell>
          <cell r="C11">
            <v>149.10091822080008</v>
          </cell>
          <cell r="D11">
            <v>181.54717717500003</v>
          </cell>
          <cell r="G11">
            <v>372.93458252510476</v>
          </cell>
          <cell r="H11">
            <v>372.93458252510476</v>
          </cell>
          <cell r="I11">
            <v>272.48397277237507</v>
          </cell>
          <cell r="L11">
            <v>0</v>
          </cell>
          <cell r="M11">
            <v>0</v>
          </cell>
          <cell r="N11">
            <v>0</v>
          </cell>
        </row>
        <row r="34">
          <cell r="A34" t="str">
            <v>Chêne rouge - Irrégulier</v>
          </cell>
        </row>
        <row r="35">
          <cell r="A35" t="str">
            <v>Chataignier - Irrégulier</v>
          </cell>
        </row>
        <row r="36">
          <cell r="A36">
            <v>0.1</v>
          </cell>
        </row>
        <row r="37">
          <cell r="A37">
            <v>0.15</v>
          </cell>
        </row>
        <row r="39">
          <cell r="L39" t="str">
            <v>Chêne</v>
          </cell>
        </row>
        <row r="40">
          <cell r="L40" t="str">
            <v>C.fertilité</v>
          </cell>
          <cell r="M40">
            <v>1</v>
          </cell>
          <cell r="N40" t="str">
            <v>Ve B0</v>
          </cell>
        </row>
        <row r="41">
          <cell r="L41">
            <v>30</v>
          </cell>
          <cell r="M41">
            <v>0</v>
          </cell>
          <cell r="N41">
            <v>0</v>
          </cell>
        </row>
        <row r="42">
          <cell r="L42">
            <v>40</v>
          </cell>
          <cell r="M42">
            <v>94.921875</v>
          </cell>
          <cell r="N42">
            <v>0</v>
          </cell>
        </row>
        <row r="43">
          <cell r="L43">
            <v>50</v>
          </cell>
          <cell r="M43">
            <v>121.5</v>
          </cell>
          <cell r="N43">
            <v>0</v>
          </cell>
        </row>
        <row r="44">
          <cell r="L44">
            <v>60</v>
          </cell>
          <cell r="M44">
            <v>141.75</v>
          </cell>
          <cell r="N44">
            <v>24.806249999999999</v>
          </cell>
        </row>
        <row r="45">
          <cell r="L45">
            <v>70</v>
          </cell>
          <cell r="M45">
            <v>158.76</v>
          </cell>
          <cell r="N45">
            <v>27.782999999999998</v>
          </cell>
        </row>
        <row r="46">
          <cell r="L46">
            <v>80</v>
          </cell>
          <cell r="M46">
            <v>176.12437499999999</v>
          </cell>
          <cell r="N46">
            <v>30.821765624999994</v>
          </cell>
        </row>
        <row r="47">
          <cell r="L47">
            <v>90</v>
          </cell>
          <cell r="M47">
            <v>187.90734375</v>
          </cell>
          <cell r="N47">
            <v>32.883785156249999</v>
          </cell>
        </row>
        <row r="48">
          <cell r="L48">
            <v>100</v>
          </cell>
          <cell r="M48">
            <v>191.16316406250002</v>
          </cell>
          <cell r="N48">
            <v>43.011711914062502</v>
          </cell>
        </row>
        <row r="49">
          <cell r="L49">
            <v>110</v>
          </cell>
          <cell r="M49">
            <v>196.88410546874999</v>
          </cell>
          <cell r="N49">
            <v>44.298923730468758</v>
          </cell>
        </row>
        <row r="50">
          <cell r="L50" t="str">
            <v>Chêne</v>
          </cell>
          <cell r="M50">
            <v>198.60387626953124</v>
          </cell>
          <cell r="N50">
            <v>44.685872160644536</v>
          </cell>
        </row>
        <row r="51">
          <cell r="L51" t="str">
            <v>C.fertilité</v>
          </cell>
          <cell r="M51">
            <v>1</v>
          </cell>
          <cell r="N51" t="str">
            <v>Ve B0</v>
          </cell>
        </row>
        <row r="52">
          <cell r="L52">
            <v>30</v>
          </cell>
          <cell r="M52">
            <v>0</v>
          </cell>
          <cell r="N52">
            <v>0</v>
          </cell>
        </row>
        <row r="53">
          <cell r="L53">
            <v>40</v>
          </cell>
          <cell r="M53">
            <v>94.921875</v>
          </cell>
          <cell r="N53">
            <v>0</v>
          </cell>
        </row>
        <row r="54">
          <cell r="L54">
            <v>50</v>
          </cell>
          <cell r="M54">
            <v>121.5</v>
          </cell>
          <cell r="N54">
            <v>0</v>
          </cell>
        </row>
        <row r="55">
          <cell r="L55">
            <v>60</v>
          </cell>
          <cell r="M55">
            <v>141.75</v>
          </cell>
          <cell r="N55">
            <v>24.806249999999999</v>
          </cell>
        </row>
        <row r="56">
          <cell r="L56">
            <v>70</v>
          </cell>
          <cell r="M56">
            <v>158.76</v>
          </cell>
          <cell r="N56">
            <v>27.782999999999998</v>
          </cell>
        </row>
        <row r="57">
          <cell r="L57">
            <v>80</v>
          </cell>
          <cell r="M57">
            <v>176.12437499999999</v>
          </cell>
          <cell r="N57">
            <v>30.821765624999994</v>
          </cell>
        </row>
        <row r="58">
          <cell r="L58">
            <v>90</v>
          </cell>
          <cell r="M58">
            <v>187.90734375</v>
          </cell>
          <cell r="N58">
            <v>32.883785156249999</v>
          </cell>
        </row>
        <row r="59">
          <cell r="L59">
            <v>100</v>
          </cell>
          <cell r="M59">
            <v>191.16316406250002</v>
          </cell>
          <cell r="N59">
            <v>43.011711914062502</v>
          </cell>
        </row>
        <row r="60">
          <cell r="L60">
            <v>110</v>
          </cell>
          <cell r="M60">
            <v>196.88410546874999</v>
          </cell>
          <cell r="N60">
            <v>44.298923730468758</v>
          </cell>
        </row>
        <row r="61">
          <cell r="L61">
            <v>120</v>
          </cell>
          <cell r="M61">
            <v>198.60387626953124</v>
          </cell>
          <cell r="N61">
            <v>44.685872160644536</v>
          </cell>
        </row>
      </sheetData>
      <sheetData sheetId="5">
        <row r="11">
          <cell r="Y11" t="str">
            <v>CF. 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REA"/>
      <sheetName val="VERRA"/>
      <sheetName val="VAN "/>
      <sheetName val="Inputs"/>
      <sheetName val="Inputs - Tables de production"/>
      <sheetName val="Lexique"/>
    </sheetNames>
    <sheetDataSet>
      <sheetData sheetId="0" refreshError="1"/>
      <sheetData sheetId="1">
        <row r="17">
          <cell r="B17" t="str">
            <v xml:space="preserve">CF. 1 </v>
          </cell>
          <cell r="E17" t="str">
            <v>CF. 2</v>
          </cell>
          <cell r="H17" t="str">
            <v>CF. 3</v>
          </cell>
        </row>
        <row r="18">
          <cell r="A18">
            <v>17</v>
          </cell>
          <cell r="B18">
            <v>103</v>
          </cell>
          <cell r="D18">
            <v>22</v>
          </cell>
          <cell r="E18">
            <v>107</v>
          </cell>
          <cell r="G18">
            <v>27</v>
          </cell>
          <cell r="H18">
            <v>103</v>
          </cell>
        </row>
        <row r="19">
          <cell r="A19">
            <v>20</v>
          </cell>
          <cell r="B19">
            <v>122</v>
          </cell>
          <cell r="D19">
            <v>25</v>
          </cell>
          <cell r="E19">
            <v>127</v>
          </cell>
          <cell r="G19">
            <v>30</v>
          </cell>
          <cell r="H19">
            <v>119</v>
          </cell>
        </row>
        <row r="20">
          <cell r="A20">
            <v>25</v>
          </cell>
          <cell r="B20">
            <v>168</v>
          </cell>
          <cell r="D20">
            <v>30</v>
          </cell>
          <cell r="E20">
            <v>160</v>
          </cell>
          <cell r="G20">
            <v>35</v>
          </cell>
          <cell r="H20">
            <v>146</v>
          </cell>
        </row>
        <row r="21">
          <cell r="A21">
            <v>30</v>
          </cell>
          <cell r="B21">
            <v>202</v>
          </cell>
          <cell r="D21">
            <v>35</v>
          </cell>
          <cell r="E21">
            <v>192</v>
          </cell>
          <cell r="G21">
            <v>40</v>
          </cell>
          <cell r="H21">
            <v>174</v>
          </cell>
        </row>
        <row r="22">
          <cell r="A22">
            <v>35</v>
          </cell>
          <cell r="B22">
            <v>244</v>
          </cell>
          <cell r="D22">
            <v>40</v>
          </cell>
          <cell r="E22">
            <v>223</v>
          </cell>
          <cell r="G22">
            <v>50</v>
          </cell>
          <cell r="H22">
            <v>236</v>
          </cell>
        </row>
        <row r="23">
          <cell r="A23">
            <v>40</v>
          </cell>
          <cell r="B23">
            <v>284</v>
          </cell>
          <cell r="D23">
            <v>45</v>
          </cell>
          <cell r="E23">
            <v>265</v>
          </cell>
          <cell r="G23">
            <v>60</v>
          </cell>
          <cell r="H23">
            <v>305</v>
          </cell>
        </row>
        <row r="24">
          <cell r="A24">
            <v>45</v>
          </cell>
          <cell r="B24">
            <v>327</v>
          </cell>
          <cell r="D24">
            <v>50</v>
          </cell>
          <cell r="E24">
            <v>299</v>
          </cell>
          <cell r="G24">
            <v>70</v>
          </cell>
          <cell r="H24">
            <v>370</v>
          </cell>
        </row>
        <row r="25">
          <cell r="A25">
            <v>50</v>
          </cell>
          <cell r="B25">
            <v>367</v>
          </cell>
          <cell r="D25">
            <v>58</v>
          </cell>
          <cell r="E25">
            <v>362</v>
          </cell>
          <cell r="G25">
            <v>80</v>
          </cell>
          <cell r="H25">
            <v>415</v>
          </cell>
        </row>
        <row r="26">
          <cell r="A26">
            <v>55</v>
          </cell>
          <cell r="B26">
            <v>415</v>
          </cell>
          <cell r="D26">
            <v>66</v>
          </cell>
          <cell r="E26">
            <v>430</v>
          </cell>
        </row>
        <row r="27">
          <cell r="A27">
            <v>60</v>
          </cell>
          <cell r="B27">
            <v>468</v>
          </cell>
          <cell r="D27">
            <v>74</v>
          </cell>
          <cell r="E27">
            <v>496</v>
          </cell>
        </row>
        <row r="28">
          <cell r="A28">
            <v>65</v>
          </cell>
          <cell r="B28">
            <v>527</v>
          </cell>
          <cell r="D28">
            <v>82</v>
          </cell>
          <cell r="E28">
            <v>541</v>
          </cell>
        </row>
      </sheetData>
      <sheetData sheetId="2" refreshError="1"/>
      <sheetData sheetId="3" refreshError="1"/>
      <sheetData sheetId="4"/>
      <sheetData sheetId="5" refreshError="1"/>
    </sheetDataSet>
  </externalBook>
</externalLink>
</file>

<file path=xl/tables/table1.xml><?xml version="1.0" encoding="utf-8"?>
<table xmlns="http://schemas.openxmlformats.org/spreadsheetml/2006/main" id="13" name="Tableau914" displayName="Tableau914" ref="A23:C30" totalsRowShown="0">
  <autoFilter ref="A23:C30"/>
  <tableColumns count="3">
    <tableColumn id="1" name="V"/>
    <tableColumn id="2" name="Variables"/>
    <tableColumn id="3" name="ha" dataDxfId="26"/>
  </tableColumns>
  <tableStyleInfo name="TableStyleLight21" showFirstColumn="0" showLastColumn="0" showRowStripes="1" showColumnStripes="0"/>
</table>
</file>

<file path=xl/tables/table10.xml><?xml version="1.0" encoding="utf-8"?>
<table xmlns="http://schemas.openxmlformats.org/spreadsheetml/2006/main" id="7" name="FEB" displayName="FEB" ref="A84:C96" totalsRowShown="0">
  <autoFilter ref="A84:C96"/>
  <tableColumns count="3">
    <tableColumn id="1" name="Facteur expension branche (FEB)" dataDxfId="19"/>
    <tableColumn id="2" name="Volume bois fort (Vbf)/Volume total (Vt)"/>
    <tableColumn id="3" name="FEB"/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id="10" name="Class_Fertilite" displayName="Class_Fertilite" ref="A98:A104" totalsRowShown="0" dataDxfId="18" dataCellStyle="Pourcentage">
  <autoFilter ref="A98:A104"/>
  <tableColumns count="1">
    <tableColumn id="1" name="Classe de fertilité" dataDxfId="17" dataCellStyle="Pourcentage"/>
  </tableColumns>
  <tableStyleInfo name="TableStyleMedium3" showFirstColumn="0" showLastColumn="0" showRowStripes="1" showColumnStripes="0"/>
</table>
</file>

<file path=xl/tables/table12.xml><?xml version="1.0" encoding="utf-8"?>
<table xmlns="http://schemas.openxmlformats.org/spreadsheetml/2006/main" id="3" name="Frais" displayName="Frais" ref="A109:B123" totalsRowShown="0" headerRowDxfId="16">
  <autoFilter ref="A109:B123"/>
  <tableColumns count="2">
    <tableColumn id="1" name="Frais divers de gestion forestière / Ha"/>
    <tableColumn id="2" name="Colonne1" dataDxfId="15"/>
  </tableColumns>
  <tableStyleInfo name="TableStyleLight21" showFirstColumn="0" showLastColumn="0" showRowStripes="1" showColumnStripes="0"/>
</table>
</file>

<file path=xl/tables/table13.xml><?xml version="1.0" encoding="utf-8"?>
<table xmlns="http://schemas.openxmlformats.org/spreadsheetml/2006/main" id="22" name="Prix_eclaircie" displayName="Prix_eclaircie" ref="B125:L148" totalsRowShown="0" headerRowDxfId="14" dataDxfId="12" headerRowBorderDxfId="13" tableBorderDxfId="11" dataCellStyle="Monétaire">
  <autoFilter ref="B125:L148"/>
  <tableColumns count="11">
    <tableColumn id="1" name="Chêne" dataDxfId="10" dataCellStyle="Monétaire">
      <calculatedColumnFormula>N126*0.8</calculatedColumnFormula>
    </tableColumn>
    <tableColumn id="11" name="Chêne ONF" dataDxfId="9" dataCellStyle="Monétaire"/>
    <tableColumn id="2" name="Douglas " dataDxfId="8" dataCellStyle="Monétaire">
      <calculatedColumnFormula>O126*0.8</calculatedColumnFormula>
    </tableColumn>
    <tableColumn id="3" name="Pin Maritime" dataDxfId="7" dataCellStyle="Monétaire">
      <calculatedColumnFormula>P126*0.8</calculatedColumnFormula>
    </tableColumn>
    <tableColumn id="4" name="Chataignier" dataDxfId="6" dataCellStyle="Monétaire">
      <calculatedColumnFormula>Q126*0.8</calculatedColumnFormula>
    </tableColumn>
    <tableColumn id="5" name="Pin Laricio" dataDxfId="5" dataCellStyle="Monétaire">
      <calculatedColumnFormula>R126*0.8</calculatedColumnFormula>
    </tableColumn>
    <tableColumn id="6" name="Pin Sylvestre" dataDxfId="4" dataCellStyle="Monétaire">
      <calculatedColumnFormula>S126*0.8</calculatedColumnFormula>
    </tableColumn>
    <tableColumn id="7" name="Cèdre" dataDxfId="3" dataCellStyle="Monétaire">
      <calculatedColumnFormula>T126*0.8</calculatedColumnFormula>
    </tableColumn>
    <tableColumn id="8" name="Epicéa sitka" dataDxfId="2" dataCellStyle="Monétaire">
      <calculatedColumnFormula>U126*0.8</calculatedColumnFormula>
    </tableColumn>
    <tableColumn id="9" name="Mélèze" dataDxfId="1" dataCellStyle="Monétaire">
      <calculatedColumnFormula>V126*0.8</calculatedColumnFormula>
    </tableColumn>
    <tableColumn id="10" name="Thuya" dataDxfId="0" dataCellStyle="Monétaire">
      <calculatedColumnFormula>W126*0.8</calculatedColumnFormula>
    </tableColumn>
  </tableColumns>
  <tableStyleInfo name="TableStyleMedium3" showFirstColumn="0" showLastColumn="0" showRowStripes="1" showColumnStripes="0"/>
</table>
</file>

<file path=xl/tables/table14.xml><?xml version="1.0" encoding="utf-8"?>
<table xmlns="http://schemas.openxmlformats.org/spreadsheetml/2006/main" id="12" name="Age" displayName="Age" ref="D30:D40" totalsRowShown="0">
  <autoFilter ref="D30:D40"/>
  <tableColumns count="1">
    <tableColumn id="1" name="Age taillis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id="18" name="Tableau91219" displayName="Tableau91219" ref="A46:C52" totalsRowShown="0">
  <autoFilter ref="A46:C52"/>
  <tableColumns count="3">
    <tableColumn id="1" name="V"/>
    <tableColumn id="2" name="Variables"/>
    <tableColumn id="3" name="ha" dataDxfId="25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id="19" name="Tableau91720" displayName="Tableau91720" ref="F23:H30" totalsRowShown="0">
  <autoFilter ref="F23:H30"/>
  <tableColumns count="3">
    <tableColumn id="1" name="V"/>
    <tableColumn id="2" name="Variables"/>
    <tableColumn id="3" name="ha" dataDxfId="24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id="20" name="Tableau9171621" displayName="Tableau9171621" ref="K23:M30" totalsRowShown="0">
  <autoFilter ref="K23:M30"/>
  <tableColumns count="3">
    <tableColumn id="1" name="V"/>
    <tableColumn id="2" name="Variables"/>
    <tableColumn id="3" name="ha" dataDxfId="23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id="21" name="Tableau917161822" displayName="Tableau917161822" ref="P23:R30" totalsRowShown="0">
  <autoFilter ref="P23:R30"/>
  <tableColumns count="3">
    <tableColumn id="1" name="V"/>
    <tableColumn id="2" name="Variables"/>
    <tableColumn id="3" name="ha" dataDxfId="22"/>
  </tableColumns>
  <tableStyleInfo name="TableStyleLight21" showFirstColumn="0" showLastColumn="0" showRowStripes="1" showColumnStripes="0"/>
</table>
</file>

<file path=xl/tables/table6.xml><?xml version="1.0" encoding="utf-8"?>
<table xmlns="http://schemas.openxmlformats.org/spreadsheetml/2006/main" id="2" name="infradensite" displayName="infradensite" ref="A30:B42" totalsRowShown="0">
  <autoFilter ref="A30:B42"/>
  <tableColumns count="2">
    <tableColumn id="1" name="Infradensité de l'Essence (tMS/m3)"/>
    <tableColumn id="2" name="Colonne1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id="4" name="Coeff_substitution" displayName="Coeff_substitution" ref="A44:B47" totalsRowShown="0">
  <autoFilter ref="A44:B47"/>
  <tableColumns count="2">
    <tableColumn id="1" name="Catégorie de produit "/>
    <tableColumn id="2" name="Coeff de substitution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id="8" name="Fertilite" displayName="Fertilite" ref="A49:B60" totalsRowShown="0">
  <autoFilter ref="A49:B60"/>
  <tableColumns count="2">
    <tableColumn id="1" name="Classes de Fertifilité Existantes (Voir table)"/>
    <tableColumn id="2" name="Classe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id="5" name="Rabais" displayName="Rabais" ref="A77:A81" totalsRowShown="0" dataDxfId="21" dataCellStyle="Pourcentage">
  <autoFilter ref="A77:A81"/>
  <tableColumns count="1">
    <tableColumn id="1" name="Rabais" dataDxfId="20" dataCellStyle="Pourcentage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2.xml"/><Relationship Id="rId3" Type="http://schemas.openxmlformats.org/officeDocument/2006/relationships/table" Target="../tables/table7.xml"/><Relationship Id="rId7" Type="http://schemas.openxmlformats.org/officeDocument/2006/relationships/table" Target="../tables/table11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10" Type="http://schemas.openxmlformats.org/officeDocument/2006/relationships/table" Target="../tables/table14.xml"/><Relationship Id="rId4" Type="http://schemas.openxmlformats.org/officeDocument/2006/relationships/table" Target="../tables/table8.xml"/><Relationship Id="rId9" Type="http://schemas.openxmlformats.org/officeDocument/2006/relationships/table" Target="../tables/table1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84"/>
  <sheetViews>
    <sheetView showGridLines="0" tabSelected="1" view="pageBreakPreview" zoomScale="80" zoomScaleNormal="100" zoomScaleSheetLayoutView="80" workbookViewId="0">
      <selection activeCell="E86" sqref="E86"/>
    </sheetView>
  </sheetViews>
  <sheetFormatPr baseColWidth="10" defaultRowHeight="15" x14ac:dyDescent="0.25"/>
  <cols>
    <col min="1" max="1" width="14.7109375" bestFit="1" customWidth="1"/>
    <col min="2" max="2" width="43.85546875" bestFit="1" customWidth="1"/>
    <col min="3" max="3" width="13.85546875" bestFit="1" customWidth="1"/>
    <col min="4" max="4" width="9" bestFit="1" customWidth="1"/>
    <col min="5" max="5" width="21" bestFit="1" customWidth="1"/>
    <col min="6" max="6" width="29.28515625" customWidth="1"/>
    <col min="7" max="7" width="43.85546875" bestFit="1" customWidth="1"/>
    <col min="9" max="9" width="11.5703125" bestFit="1" customWidth="1"/>
    <col min="12" max="12" width="43.85546875" bestFit="1" customWidth="1"/>
    <col min="13" max="13" width="9.42578125" bestFit="1" customWidth="1"/>
    <col min="17" max="17" width="43.85546875" bestFit="1" customWidth="1"/>
  </cols>
  <sheetData>
    <row r="1" spans="1:10" s="67" customFormat="1" ht="16.5" x14ac:dyDescent="0.3">
      <c r="A1" s="240" t="s">
        <v>161</v>
      </c>
      <c r="B1" s="240"/>
      <c r="C1" s="240"/>
      <c r="D1" s="240"/>
      <c r="E1" s="29"/>
      <c r="F1" s="29"/>
      <c r="G1" s="29"/>
      <c r="H1" s="29"/>
      <c r="I1" s="29"/>
      <c r="J1" s="29"/>
    </row>
    <row r="2" spans="1:10" ht="16.5" x14ac:dyDescent="0.3">
      <c r="D2" s="39"/>
      <c r="F2" s="64"/>
      <c r="G2" s="63"/>
      <c r="H2" s="30"/>
      <c r="I2" s="30"/>
      <c r="J2" s="30"/>
    </row>
    <row r="3" spans="1:10" ht="16.5" x14ac:dyDescent="0.3">
      <c r="B3" s="54"/>
      <c r="C3" s="39"/>
      <c r="D3" s="39"/>
      <c r="E3" s="66" t="s">
        <v>195</v>
      </c>
      <c r="F3" s="76"/>
    </row>
    <row r="4" spans="1:10" ht="16.5" x14ac:dyDescent="0.3">
      <c r="D4" s="39"/>
      <c r="E4" s="65" t="s">
        <v>38</v>
      </c>
      <c r="F4" s="65">
        <v>1</v>
      </c>
    </row>
    <row r="5" spans="1:10" ht="16.5" x14ac:dyDescent="0.3">
      <c r="D5" s="39"/>
      <c r="E5" s="65" t="s">
        <v>194</v>
      </c>
      <c r="F5" s="65">
        <v>3</v>
      </c>
    </row>
    <row r="6" spans="1:10" ht="16.5" x14ac:dyDescent="0.3">
      <c r="B6" s="54"/>
      <c r="C6" s="39"/>
      <c r="D6" s="39"/>
      <c r="E6" s="65" t="s">
        <v>42</v>
      </c>
      <c r="F6" s="65">
        <v>3</v>
      </c>
    </row>
    <row r="7" spans="1:10" ht="16.5" x14ac:dyDescent="0.3">
      <c r="B7" s="148" t="s">
        <v>119</v>
      </c>
      <c r="C7" s="149">
        <v>5.2</v>
      </c>
      <c r="D7" s="39"/>
      <c r="E7" s="65" t="s">
        <v>40</v>
      </c>
      <c r="F7" s="65">
        <v>3</v>
      </c>
    </row>
    <row r="8" spans="1:10" ht="16.5" x14ac:dyDescent="0.3">
      <c r="B8" s="54"/>
      <c r="C8" s="39"/>
      <c r="D8" s="39"/>
      <c r="E8" s="65" t="s">
        <v>23</v>
      </c>
      <c r="F8" s="65">
        <v>5</v>
      </c>
    </row>
    <row r="9" spans="1:10" ht="16.5" x14ac:dyDescent="0.3">
      <c r="B9" s="54"/>
      <c r="C9" s="39"/>
      <c r="D9" s="39"/>
      <c r="E9" s="65" t="s">
        <v>39</v>
      </c>
      <c r="F9" s="65">
        <v>3</v>
      </c>
    </row>
    <row r="10" spans="1:10" ht="16.5" x14ac:dyDescent="0.3">
      <c r="B10" s="54"/>
      <c r="C10" s="39"/>
      <c r="D10" s="39"/>
      <c r="E10" s="65" t="s">
        <v>94</v>
      </c>
      <c r="F10" s="65">
        <v>5</v>
      </c>
    </row>
    <row r="11" spans="1:10" ht="16.5" x14ac:dyDescent="0.3">
      <c r="B11" s="54"/>
      <c r="C11" s="39"/>
      <c r="D11" s="39"/>
      <c r="E11" s="65" t="s">
        <v>83</v>
      </c>
      <c r="F11" s="65">
        <v>2</v>
      </c>
      <c r="G11" s="63"/>
    </row>
    <row r="12" spans="1:10" ht="16.5" x14ac:dyDescent="0.3">
      <c r="B12" s="54"/>
      <c r="C12" s="39"/>
      <c r="D12" s="39"/>
      <c r="E12" s="65" t="s">
        <v>86</v>
      </c>
      <c r="F12" s="65">
        <v>6</v>
      </c>
      <c r="G12" s="63"/>
    </row>
    <row r="13" spans="1:10" ht="16.5" x14ac:dyDescent="0.3">
      <c r="B13" s="54"/>
      <c r="C13" s="39"/>
      <c r="D13" s="39"/>
      <c r="E13" s="65" t="s">
        <v>84</v>
      </c>
      <c r="F13" s="65">
        <v>3</v>
      </c>
      <c r="G13" s="63"/>
    </row>
    <row r="14" spans="1:10" ht="16.5" x14ac:dyDescent="0.3">
      <c r="B14" s="54"/>
      <c r="C14" s="39"/>
      <c r="D14" s="39"/>
      <c r="F14" s="64"/>
      <c r="G14" s="63"/>
      <c r="H14" s="30"/>
      <c r="I14" s="30"/>
      <c r="J14" s="30"/>
    </row>
    <row r="15" spans="1:10" s="67" customFormat="1" ht="16.5" x14ac:dyDescent="0.3">
      <c r="A15" s="240" t="s">
        <v>101</v>
      </c>
      <c r="B15" s="240"/>
      <c r="C15" s="240"/>
      <c r="D15" s="240"/>
      <c r="E15" s="29"/>
      <c r="F15" s="29"/>
      <c r="G15" s="29"/>
      <c r="H15" s="29"/>
      <c r="I15" s="29"/>
      <c r="J15" s="29"/>
    </row>
    <row r="16" spans="1:10" ht="16.5" x14ac:dyDescent="0.3">
      <c r="B16" s="54"/>
      <c r="C16" s="39"/>
      <c r="D16" s="39"/>
      <c r="F16" s="64"/>
      <c r="G16" s="63"/>
      <c r="H16" s="30"/>
      <c r="I16" s="30"/>
      <c r="J16" s="30"/>
    </row>
    <row r="17" spans="1:19" x14ac:dyDescent="0.25">
      <c r="B17" t="s">
        <v>325</v>
      </c>
      <c r="C17" s="10" t="s">
        <v>97</v>
      </c>
      <c r="H17" s="10" t="s">
        <v>97</v>
      </c>
      <c r="J17" s="40"/>
      <c r="M17" s="10" t="s">
        <v>97</v>
      </c>
      <c r="R17" s="10" t="s">
        <v>97</v>
      </c>
    </row>
    <row r="18" spans="1:19" x14ac:dyDescent="0.25">
      <c r="A18" s="10" t="s">
        <v>100</v>
      </c>
      <c r="B18" s="81" t="s">
        <v>23</v>
      </c>
      <c r="C18" s="82">
        <v>2</v>
      </c>
      <c r="F18" s="10" t="s">
        <v>162</v>
      </c>
      <c r="G18" s="81" t="s">
        <v>187</v>
      </c>
      <c r="H18" s="82">
        <v>2</v>
      </c>
      <c r="J18" s="40"/>
      <c r="K18" s="10" t="s">
        <v>163</v>
      </c>
      <c r="L18" s="81"/>
      <c r="M18" s="82"/>
      <c r="P18" s="10" t="s">
        <v>164</v>
      </c>
      <c r="Q18" s="81"/>
      <c r="R18" s="82"/>
    </row>
    <row r="19" spans="1:19" x14ac:dyDescent="0.25">
      <c r="A19" s="9" t="s">
        <v>57</v>
      </c>
      <c r="B19" s="81">
        <v>3.7</v>
      </c>
      <c r="F19" s="9" t="s">
        <v>57</v>
      </c>
      <c r="G19" s="81">
        <v>1.5</v>
      </c>
      <c r="J19" s="40"/>
      <c r="K19" s="9" t="s">
        <v>57</v>
      </c>
      <c r="L19" s="81"/>
      <c r="P19" s="9" t="s">
        <v>57</v>
      </c>
      <c r="Q19" s="81"/>
    </row>
    <row r="20" spans="1:19" x14ac:dyDescent="0.25">
      <c r="J20" s="40"/>
    </row>
    <row r="21" spans="1:19" ht="16.5" x14ac:dyDescent="0.3">
      <c r="A21" s="239" t="s">
        <v>61</v>
      </c>
      <c r="B21" s="239"/>
      <c r="C21" s="239"/>
      <c r="D21" s="239"/>
      <c r="F21" s="239" t="s">
        <v>61</v>
      </c>
      <c r="G21" s="239"/>
      <c r="H21" s="239"/>
      <c r="I21" s="239"/>
      <c r="J21" s="40"/>
      <c r="K21" s="239" t="s">
        <v>61</v>
      </c>
      <c r="L21" s="239"/>
      <c r="M21" s="239"/>
      <c r="N21" s="239"/>
      <c r="P21" s="239" t="s">
        <v>61</v>
      </c>
      <c r="Q21" s="239"/>
      <c r="R21" s="239"/>
      <c r="S21" s="239"/>
    </row>
    <row r="22" spans="1:19" x14ac:dyDescent="0.25">
      <c r="J22" s="40"/>
    </row>
    <row r="23" spans="1:19" x14ac:dyDescent="0.25">
      <c r="A23" t="s">
        <v>60</v>
      </c>
      <c r="B23" t="s">
        <v>59</v>
      </c>
      <c r="C23" t="s">
        <v>58</v>
      </c>
      <c r="F23" t="s">
        <v>60</v>
      </c>
      <c r="G23" t="s">
        <v>59</v>
      </c>
      <c r="H23" t="s">
        <v>58</v>
      </c>
      <c r="J23" s="40"/>
      <c r="K23" t="s">
        <v>60</v>
      </c>
      <c r="L23" t="s">
        <v>59</v>
      </c>
      <c r="M23" t="s">
        <v>58</v>
      </c>
      <c r="P23" t="s">
        <v>60</v>
      </c>
      <c r="Q23" t="s">
        <v>59</v>
      </c>
      <c r="R23" t="s">
        <v>58</v>
      </c>
    </row>
    <row r="24" spans="1:19" x14ac:dyDescent="0.25">
      <c r="A24" t="s">
        <v>26</v>
      </c>
      <c r="B24" t="s">
        <v>222</v>
      </c>
      <c r="C24" s="11">
        <f>INDEX(Vt,MATCH(B18,ESS,0),MATCH(C18,CF,0))</f>
        <v>192.30852430555558</v>
      </c>
      <c r="F24" t="s">
        <v>26</v>
      </c>
      <c r="G24" t="s">
        <v>54</v>
      </c>
      <c r="H24" s="11">
        <f>INDEX(Vt,MATCH(G18,ESS,0),MATCH(H18,CF,0))</f>
        <v>60.103399999999965</v>
      </c>
      <c r="J24" s="40"/>
      <c r="K24" t="s">
        <v>26</v>
      </c>
      <c r="L24" t="s">
        <v>54</v>
      </c>
      <c r="M24" s="11" t="e">
        <f>INDEX(Vt,MATCH(L18,ESS,0),MATCH(M18,CF,0))</f>
        <v>#N/A</v>
      </c>
      <c r="P24" t="s">
        <v>26</v>
      </c>
      <c r="Q24" t="s">
        <v>54</v>
      </c>
      <c r="R24" s="11" t="e">
        <f>INDEX(Vt,MATCH(Q18,ESS,0),MATCH(R18,CF,0))</f>
        <v>#N/A</v>
      </c>
    </row>
    <row r="25" spans="1:19" x14ac:dyDescent="0.25">
      <c r="A25" t="s">
        <v>221</v>
      </c>
      <c r="B25" t="s">
        <v>223</v>
      </c>
      <c r="C25" s="11">
        <f>INDEX(Vbi,MATCH(B18,ESS,0),MATCH(C18,CF,0))</f>
        <v>0</v>
      </c>
      <c r="F25" t="s">
        <v>221</v>
      </c>
      <c r="G25" t="s">
        <v>223</v>
      </c>
      <c r="H25" s="11">
        <f>INDEX(Vbi,MATCH(G18,ESS,0),MATCH(H18,CF,0))</f>
        <v>0</v>
      </c>
      <c r="J25" s="40"/>
      <c r="K25" t="s">
        <v>221</v>
      </c>
      <c r="L25" t="s">
        <v>223</v>
      </c>
      <c r="M25" s="11" t="e">
        <f>INDEX(Vbi,MATCH(L18,ESS,0),MATCH(M18,CF,0))</f>
        <v>#N/A</v>
      </c>
      <c r="P25" t="s">
        <v>221</v>
      </c>
      <c r="Q25" t="s">
        <v>223</v>
      </c>
      <c r="R25" s="11" t="e">
        <f>INDEX(Vbi,MATCH(Q18,ESS,0),MATCH(R18,CF,0))</f>
        <v>#N/A</v>
      </c>
    </row>
    <row r="26" spans="1:19" x14ac:dyDescent="0.25">
      <c r="A26" t="s">
        <v>43</v>
      </c>
      <c r="B26" t="s">
        <v>44</v>
      </c>
      <c r="C26" s="11">
        <f>C24*VLOOKUP(B18,FEB[],3,0)*C33</f>
        <v>141.00061002083334</v>
      </c>
      <c r="F26" t="s">
        <v>43</v>
      </c>
      <c r="G26" t="s">
        <v>44</v>
      </c>
      <c r="H26" s="11">
        <f>H24*VLOOKUP(G18,FEB[],3,0)*H33</f>
        <v>34.859971999999978</v>
      </c>
      <c r="J26" s="40"/>
      <c r="K26" t="s">
        <v>43</v>
      </c>
      <c r="L26" t="s">
        <v>44</v>
      </c>
      <c r="M26" s="11" t="e">
        <f>EXP(-1.0587+(0.8836*LN(M24))+0.284)</f>
        <v>#N/A</v>
      </c>
      <c r="P26" t="s">
        <v>43</v>
      </c>
      <c r="Q26" t="s">
        <v>44</v>
      </c>
      <c r="R26" s="11" t="e">
        <f>EXP(-1.0587+(0.8836*LN(R24))+0.284)</f>
        <v>#N/A</v>
      </c>
    </row>
    <row r="27" spans="1:19" x14ac:dyDescent="0.25">
      <c r="A27" t="s">
        <v>45</v>
      </c>
      <c r="B27" t="s">
        <v>47</v>
      </c>
      <c r="C27" s="11">
        <f>EXP(-1.0587+(0.8836*LN(C26))+0.284)</f>
        <v>36.526136101873384</v>
      </c>
      <c r="F27" t="s">
        <v>45</v>
      </c>
      <c r="G27" t="s">
        <v>47</v>
      </c>
      <c r="H27" s="11">
        <f>EXP(-1.0587+(0.8836*LN(H26))+0.284)</f>
        <v>10.625569886047856</v>
      </c>
      <c r="J27" s="40"/>
      <c r="K27" t="s">
        <v>45</v>
      </c>
      <c r="L27" t="s">
        <v>47</v>
      </c>
      <c r="M27" s="11" t="e">
        <f>EXP(-1.0587+(0.8836*LN(M26))+0.284)</f>
        <v>#N/A</v>
      </c>
      <c r="P27" t="s">
        <v>45</v>
      </c>
      <c r="Q27" t="s">
        <v>47</v>
      </c>
      <c r="R27" s="11" t="e">
        <f>EXP(-1.0587+(0.8836*LN(R26))+0.284)</f>
        <v>#N/A</v>
      </c>
    </row>
    <row r="28" spans="1:19" x14ac:dyDescent="0.25">
      <c r="A28" t="s">
        <v>46</v>
      </c>
      <c r="B28" t="s">
        <v>240</v>
      </c>
      <c r="C28" s="11">
        <v>70</v>
      </c>
      <c r="F28" t="s">
        <v>46</v>
      </c>
      <c r="G28" t="s">
        <v>240</v>
      </c>
      <c r="H28" s="11">
        <v>70</v>
      </c>
      <c r="J28" s="40"/>
      <c r="K28" t="s">
        <v>46</v>
      </c>
      <c r="L28" t="s">
        <v>240</v>
      </c>
      <c r="M28" s="11">
        <v>70</v>
      </c>
      <c r="P28" t="s">
        <v>46</v>
      </c>
      <c r="Q28" t="s">
        <v>240</v>
      </c>
      <c r="R28" s="11">
        <v>70</v>
      </c>
    </row>
    <row r="29" spans="1:19" x14ac:dyDescent="0.25">
      <c r="A29" t="s">
        <v>48</v>
      </c>
      <c r="B29" t="s">
        <v>52</v>
      </c>
      <c r="C29" s="11">
        <v>10</v>
      </c>
      <c r="F29" t="s">
        <v>48</v>
      </c>
      <c r="G29" t="s">
        <v>52</v>
      </c>
      <c r="H29" s="11">
        <v>10</v>
      </c>
      <c r="J29" s="40"/>
      <c r="K29" t="s">
        <v>48</v>
      </c>
      <c r="L29" t="s">
        <v>52</v>
      </c>
      <c r="M29" s="11">
        <v>10</v>
      </c>
      <c r="P29" t="s">
        <v>48</v>
      </c>
      <c r="Q29" t="s">
        <v>52</v>
      </c>
      <c r="R29" s="11">
        <v>10</v>
      </c>
    </row>
    <row r="30" spans="1:19" x14ac:dyDescent="0.25">
      <c r="A30" t="s">
        <v>49</v>
      </c>
      <c r="B30" t="s">
        <v>51</v>
      </c>
      <c r="C30" s="11">
        <v>0</v>
      </c>
      <c r="D30" s="11"/>
      <c r="F30" t="s">
        <v>49</v>
      </c>
      <c r="G30" t="s">
        <v>51</v>
      </c>
      <c r="H30" s="11">
        <v>0</v>
      </c>
      <c r="I30" s="11"/>
      <c r="J30" s="40"/>
      <c r="K30" t="s">
        <v>49</v>
      </c>
      <c r="L30" t="s">
        <v>51</v>
      </c>
      <c r="M30" s="11">
        <v>0</v>
      </c>
      <c r="N30" s="11"/>
      <c r="P30" t="s">
        <v>49</v>
      </c>
      <c r="Q30" t="s">
        <v>51</v>
      </c>
      <c r="R30" s="11">
        <v>0</v>
      </c>
      <c r="S30" s="11"/>
    </row>
    <row r="31" spans="1:19" x14ac:dyDescent="0.25">
      <c r="C31" s="11"/>
      <c r="H31" s="11"/>
      <c r="J31" s="40"/>
      <c r="M31" s="11"/>
      <c r="R31" s="11"/>
    </row>
    <row r="32" spans="1:19" x14ac:dyDescent="0.25">
      <c r="A32" s="6" t="s">
        <v>50</v>
      </c>
      <c r="B32" s="6" t="s">
        <v>53</v>
      </c>
      <c r="C32" s="48">
        <v>0.47499999999999998</v>
      </c>
      <c r="F32" s="6" t="s">
        <v>50</v>
      </c>
      <c r="G32" s="6" t="s">
        <v>53</v>
      </c>
      <c r="H32" s="48">
        <v>0.47499999999999998</v>
      </c>
      <c r="J32" s="40"/>
      <c r="K32" s="6" t="s">
        <v>50</v>
      </c>
      <c r="L32" s="6" t="s">
        <v>53</v>
      </c>
      <c r="M32" s="48">
        <v>0.47499999999999998</v>
      </c>
      <c r="P32" s="6" t="s">
        <v>50</v>
      </c>
      <c r="Q32" s="6" t="s">
        <v>53</v>
      </c>
      <c r="R32" s="48">
        <v>0.47499999999999998</v>
      </c>
    </row>
    <row r="33" spans="1:20" x14ac:dyDescent="0.25">
      <c r="A33" s="7" t="s">
        <v>55</v>
      </c>
      <c r="B33" s="7" t="s">
        <v>111</v>
      </c>
      <c r="C33" s="15">
        <f>VLOOKUP(B18,d,2,FALSE)</f>
        <v>0.47</v>
      </c>
      <c r="F33" s="7" t="s">
        <v>55</v>
      </c>
      <c r="G33" s="7" t="s">
        <v>111</v>
      </c>
      <c r="H33" s="15">
        <f>VLOOKUP(G18,d,2,FALSE)</f>
        <v>0.57999999999999996</v>
      </c>
      <c r="J33" s="40"/>
      <c r="K33" s="7" t="s">
        <v>55</v>
      </c>
      <c r="L33" s="7" t="s">
        <v>111</v>
      </c>
      <c r="M33" s="15" t="e">
        <f>VLOOKUP(L18,d,2,FALSE)</f>
        <v>#N/A</v>
      </c>
      <c r="P33" s="7" t="s">
        <v>55</v>
      </c>
      <c r="Q33" s="7" t="s">
        <v>111</v>
      </c>
      <c r="R33" s="15" t="e">
        <f>VLOOKUP(Q18,d,2,FALSE)</f>
        <v>#N/A</v>
      </c>
    </row>
    <row r="34" spans="1:20" x14ac:dyDescent="0.25">
      <c r="A34" s="52"/>
      <c r="B34" s="52"/>
      <c r="C34" s="53"/>
      <c r="F34" s="52"/>
      <c r="G34" s="52"/>
      <c r="H34" s="53"/>
      <c r="J34" s="40"/>
      <c r="K34" s="52"/>
      <c r="L34" s="52"/>
      <c r="M34" s="53"/>
      <c r="P34" s="52"/>
      <c r="Q34" s="52"/>
      <c r="R34" s="53"/>
    </row>
    <row r="35" spans="1:20" x14ac:dyDescent="0.25">
      <c r="A35" s="52"/>
      <c r="B35" s="52"/>
      <c r="C35" s="53"/>
      <c r="F35" s="52"/>
      <c r="G35" s="52"/>
      <c r="H35" s="53"/>
      <c r="J35" s="40"/>
      <c r="K35" s="52"/>
      <c r="L35" s="52"/>
      <c r="M35" s="53"/>
      <c r="P35" s="52"/>
      <c r="Q35" s="52"/>
      <c r="R35" s="53"/>
      <c r="S35" t="s">
        <v>116</v>
      </c>
    </row>
    <row r="36" spans="1:20" x14ac:dyDescent="0.25">
      <c r="B36" s="17" t="s">
        <v>113</v>
      </c>
      <c r="C36" s="51">
        <f>((C26+C27)*C32+C28+C29+C30)</f>
        <v>164.32520440828569</v>
      </c>
      <c r="D36" t="s">
        <v>116</v>
      </c>
      <c r="G36" s="17" t="s">
        <v>165</v>
      </c>
      <c r="H36" s="51">
        <f>((H26+H27)*Tc+H28+H29+H30)</f>
        <v>101.60563239587272</v>
      </c>
      <c r="I36" t="s">
        <v>116</v>
      </c>
      <c r="J36" s="40"/>
      <c r="L36" s="17" t="s">
        <v>168</v>
      </c>
      <c r="M36" s="51" t="e">
        <f>((M26+M27)*Tc+M28+M29+M30)</f>
        <v>#N/A</v>
      </c>
      <c r="N36" t="s">
        <v>116</v>
      </c>
      <c r="Q36" s="17" t="s">
        <v>171</v>
      </c>
      <c r="R36" s="51" t="e">
        <f>((R26+R27)*Tc+R28+R29+R30)</f>
        <v>#N/A</v>
      </c>
      <c r="S36" t="s">
        <v>117</v>
      </c>
    </row>
    <row r="37" spans="1:20" x14ac:dyDescent="0.25">
      <c r="B37" s="49" t="s">
        <v>115</v>
      </c>
      <c r="C37" s="51">
        <f>((C26+C27)*C32+C28+C29+C30)*(44/12)</f>
        <v>602.52574949704751</v>
      </c>
      <c r="D37" t="s">
        <v>117</v>
      </c>
      <c r="G37" s="49" t="s">
        <v>166</v>
      </c>
      <c r="H37" s="51">
        <f>((H26+H27)*Tc+H28+H29+H30)*(44/12)</f>
        <v>372.55398545153326</v>
      </c>
      <c r="I37" t="s">
        <v>117</v>
      </c>
      <c r="J37" s="40"/>
      <c r="L37" s="49" t="s">
        <v>169</v>
      </c>
      <c r="M37" s="51" t="e">
        <f>((M26+M27)*Tc+M28+M29+M30)*(44/12)</f>
        <v>#N/A</v>
      </c>
      <c r="N37" t="s">
        <v>117</v>
      </c>
      <c r="Q37" s="49" t="s">
        <v>172</v>
      </c>
      <c r="R37" s="51" t="e">
        <f>((R26+R27)*Tc+R28+R29+R30)*(44/12)</f>
        <v>#N/A</v>
      </c>
      <c r="S37" t="s">
        <v>118</v>
      </c>
    </row>
    <row r="38" spans="1:20" x14ac:dyDescent="0.25">
      <c r="B38" s="124" t="s">
        <v>227</v>
      </c>
      <c r="C38" s="51">
        <f>C25*C33*Tc*(44/12)</f>
        <v>0</v>
      </c>
      <c r="D38" t="s">
        <v>117</v>
      </c>
      <c r="G38" s="124" t="s">
        <v>230</v>
      </c>
      <c r="H38" s="51">
        <f>H25*H33*Tc*(44/12)</f>
        <v>0</v>
      </c>
      <c r="I38" t="s">
        <v>117</v>
      </c>
      <c r="J38" s="40"/>
      <c r="L38" s="124" t="s">
        <v>232</v>
      </c>
      <c r="M38" s="51" t="e">
        <f>M25*M33*Tc*(44/12)</f>
        <v>#N/A</v>
      </c>
      <c r="N38" t="s">
        <v>117</v>
      </c>
      <c r="Q38" s="124" t="s">
        <v>234</v>
      </c>
      <c r="R38" s="51" t="e">
        <f>R25*R33*Tc*(44/12)</f>
        <v>#N/A</v>
      </c>
      <c r="S38" t="s">
        <v>117</v>
      </c>
    </row>
    <row r="39" spans="1:20" ht="15.75" x14ac:dyDescent="0.25">
      <c r="B39" s="9" t="s">
        <v>114</v>
      </c>
      <c r="C39" s="50">
        <f>C37*B19</f>
        <v>2229.3452731390757</v>
      </c>
      <c r="D39" s="9" t="s">
        <v>118</v>
      </c>
      <c r="E39" s="140">
        <f>IF(ISNA(C39),"0",C39)</f>
        <v>2229.3452731390757</v>
      </c>
      <c r="G39" s="9" t="s">
        <v>167</v>
      </c>
      <c r="H39" s="50">
        <f>H37*G19</f>
        <v>558.83097817729993</v>
      </c>
      <c r="I39" s="9" t="s">
        <v>118</v>
      </c>
      <c r="J39" s="140">
        <f>IF(ISNA(H39),"0",H39)</f>
        <v>558.83097817729993</v>
      </c>
      <c r="L39" s="9" t="s">
        <v>170</v>
      </c>
      <c r="M39" s="50" t="e">
        <f>M37*L19</f>
        <v>#N/A</v>
      </c>
      <c r="N39" t="s">
        <v>118</v>
      </c>
      <c r="O39" s="140" t="str">
        <f>IF(ISNA(M39),"0",M39)</f>
        <v>0</v>
      </c>
      <c r="Q39" s="9" t="s">
        <v>173</v>
      </c>
      <c r="R39" s="50" t="e">
        <f>R37*Q19</f>
        <v>#N/A</v>
      </c>
      <c r="S39" t="s">
        <v>224</v>
      </c>
      <c r="T39" s="141" t="str">
        <f>IF(ISNA(R39),"0",R39)</f>
        <v>0</v>
      </c>
    </row>
    <row r="40" spans="1:20" ht="15.75" x14ac:dyDescent="0.25">
      <c r="B40" s="9" t="s">
        <v>228</v>
      </c>
      <c r="C40" s="50">
        <f>C38*B19</f>
        <v>0</v>
      </c>
      <c r="D40" s="9" t="s">
        <v>229</v>
      </c>
      <c r="E40" s="140">
        <f>+J40+O40+T40</f>
        <v>0</v>
      </c>
      <c r="F40" s="33"/>
      <c r="G40" s="9" t="s">
        <v>231</v>
      </c>
      <c r="H40" s="50">
        <f>H38*G19</f>
        <v>0</v>
      </c>
      <c r="I40" s="9" t="s">
        <v>224</v>
      </c>
      <c r="J40" s="140">
        <f>IF(ISNA(H40),"0",H40)</f>
        <v>0</v>
      </c>
      <c r="K40" s="22"/>
      <c r="L40" s="9" t="s">
        <v>233</v>
      </c>
      <c r="M40" s="50" t="e">
        <f>M38*L19</f>
        <v>#N/A</v>
      </c>
      <c r="N40" s="9" t="s">
        <v>224</v>
      </c>
      <c r="O40" s="140" t="str">
        <f>IF(ISNA(M40),"0",M40)</f>
        <v>0</v>
      </c>
      <c r="Q40" s="9" t="s">
        <v>235</v>
      </c>
      <c r="R40" s="50" t="e">
        <f>R38*Q19</f>
        <v>#N/A</v>
      </c>
      <c r="S40" s="9" t="s">
        <v>224</v>
      </c>
      <c r="T40" s="141" t="str">
        <f>IF(ISNA(R40),"0",R40)</f>
        <v>0</v>
      </c>
    </row>
    <row r="41" spans="1:20" ht="16.5" thickBot="1" x14ac:dyDescent="0.3">
      <c r="B41" s="9"/>
      <c r="C41" s="50"/>
      <c r="D41" s="9"/>
      <c r="E41" s="140"/>
      <c r="F41" s="33"/>
      <c r="G41" s="9"/>
      <c r="H41" s="50"/>
      <c r="I41" s="9"/>
      <c r="J41" s="140"/>
      <c r="K41" s="22"/>
      <c r="L41" s="9"/>
      <c r="M41" s="50"/>
      <c r="N41" s="9"/>
      <c r="O41" s="140"/>
      <c r="Q41" s="9"/>
      <c r="R41" s="50"/>
      <c r="S41" s="9"/>
      <c r="T41" s="141"/>
    </row>
    <row r="42" spans="1:20" ht="15.75" thickBot="1" x14ac:dyDescent="0.3">
      <c r="B42" s="203" t="s">
        <v>293</v>
      </c>
      <c r="C42" s="204">
        <f>INDEX(SMLT,MATCH(B18,ESS,0),MATCH(C18,CF,0))*B19</f>
        <v>2444.6963923663616</v>
      </c>
      <c r="D42" s="205" t="s">
        <v>294</v>
      </c>
      <c r="E42" s="202">
        <f>IF(ISNA(C42),"0",C42)</f>
        <v>2444.6963923663616</v>
      </c>
      <c r="F42" s="33"/>
      <c r="G42" s="203" t="s">
        <v>293</v>
      </c>
      <c r="H42" s="204">
        <f>INDEX(SMLT,MATCH(G18,ESS,0),MATCH(H18,CF,0))*G19</f>
        <v>792.7691363117915</v>
      </c>
      <c r="I42" s="205" t="s">
        <v>294</v>
      </c>
      <c r="J42" s="202">
        <f>IF(ISNA(H42),"0",H42)</f>
        <v>792.7691363117915</v>
      </c>
      <c r="K42" s="22"/>
      <c r="L42" s="203" t="s">
        <v>293</v>
      </c>
      <c r="M42" s="204" t="e">
        <f>INDEX(SMLT,MATCH(L18,ESS,0),MATCH(M18,CF,0))*L19</f>
        <v>#N/A</v>
      </c>
      <c r="N42" s="205" t="s">
        <v>294</v>
      </c>
      <c r="O42" s="202" t="str">
        <f>IF(ISNA(M42),"0",M42)</f>
        <v>0</v>
      </c>
      <c r="Q42" s="203" t="s">
        <v>293</v>
      </c>
      <c r="R42" s="204" t="e">
        <f>INDEX(SMLT,MATCH(Q18,ESS,0),MATCH(R18,CF,0))*Q19</f>
        <v>#N/A</v>
      </c>
      <c r="S42" s="205" t="s">
        <v>294</v>
      </c>
      <c r="T42" s="202" t="str">
        <f>IF(ISNA(R42),"0",R42)</f>
        <v>0</v>
      </c>
    </row>
    <row r="43" spans="1:20" ht="16.5" x14ac:dyDescent="0.3">
      <c r="E43" s="22"/>
      <c r="F43" s="22"/>
      <c r="G43" s="22"/>
      <c r="H43" s="22"/>
      <c r="I43" s="31"/>
      <c r="J43" s="31"/>
      <c r="K43" s="22"/>
    </row>
    <row r="44" spans="1:20" ht="16.5" x14ac:dyDescent="0.3">
      <c r="A44" s="75" t="s">
        <v>62</v>
      </c>
      <c r="B44" s="75"/>
      <c r="C44" s="75"/>
      <c r="D44" s="75"/>
      <c r="E44" s="22"/>
      <c r="F44" s="31"/>
      <c r="G44" s="31"/>
      <c r="H44" s="31"/>
      <c r="I44" s="22"/>
      <c r="J44" s="22"/>
      <c r="K44" s="22"/>
    </row>
    <row r="45" spans="1:20" x14ac:dyDescent="0.25">
      <c r="E45" s="22"/>
      <c r="F45" s="22"/>
      <c r="G45" s="22"/>
      <c r="H45" s="22"/>
      <c r="I45" s="22"/>
      <c r="J45" s="22"/>
      <c r="K45" s="22"/>
      <c r="L45" s="22"/>
    </row>
    <row r="46" spans="1:20" x14ac:dyDescent="0.25">
      <c r="A46" t="s">
        <v>60</v>
      </c>
      <c r="B46" t="s">
        <v>59</v>
      </c>
      <c r="C46" t="s">
        <v>58</v>
      </c>
      <c r="D46" s="22"/>
      <c r="E46" s="22"/>
      <c r="F46" s="34"/>
      <c r="G46" s="22"/>
      <c r="H46" s="22"/>
      <c r="I46" s="22"/>
      <c r="J46" s="22"/>
      <c r="K46" s="22"/>
    </row>
    <row r="47" spans="1:20" x14ac:dyDescent="0.25">
      <c r="A47" t="s">
        <v>26</v>
      </c>
      <c r="B47" t="s">
        <v>54</v>
      </c>
      <c r="C47" s="11">
        <v>30</v>
      </c>
      <c r="D47" s="22"/>
      <c r="E47" s="22"/>
      <c r="F47" s="35"/>
      <c r="G47" s="22"/>
      <c r="H47" s="22"/>
      <c r="I47" s="22"/>
      <c r="J47" s="22"/>
      <c r="K47" s="22"/>
    </row>
    <row r="48" spans="1:20" x14ac:dyDescent="0.25">
      <c r="A48" t="s">
        <v>43</v>
      </c>
      <c r="B48" t="s">
        <v>44</v>
      </c>
      <c r="C48" s="11">
        <f>C47*C55</f>
        <v>15</v>
      </c>
      <c r="D48" s="22"/>
      <c r="E48" s="116"/>
      <c r="F48" s="35"/>
      <c r="G48" s="22"/>
      <c r="H48" s="22"/>
      <c r="I48" s="22"/>
      <c r="J48" s="22"/>
      <c r="K48" s="22"/>
    </row>
    <row r="49" spans="1:12" x14ac:dyDescent="0.25">
      <c r="A49" t="s">
        <v>45</v>
      </c>
      <c r="B49" t="s">
        <v>47</v>
      </c>
      <c r="C49" s="11">
        <f>EXP(-1.0587+0.8836*LN(C48)+0.284)</f>
        <v>5.0436657935706641</v>
      </c>
      <c r="D49" s="22"/>
      <c r="E49" s="22"/>
      <c r="F49" s="116"/>
      <c r="G49" s="116"/>
      <c r="H49" s="36"/>
      <c r="I49" s="22"/>
      <c r="J49" s="22"/>
      <c r="K49" s="22"/>
    </row>
    <row r="50" spans="1:12" x14ac:dyDescent="0.25">
      <c r="A50" t="s">
        <v>46</v>
      </c>
      <c r="B50" t="s">
        <v>112</v>
      </c>
      <c r="C50" s="11">
        <v>70</v>
      </c>
      <c r="D50" s="22"/>
      <c r="E50" s="22"/>
      <c r="F50" s="22"/>
      <c r="G50" s="22"/>
      <c r="H50" s="22"/>
      <c r="I50" s="22"/>
      <c r="J50" s="22"/>
      <c r="K50" s="22"/>
    </row>
    <row r="51" spans="1:12" x14ac:dyDescent="0.25">
      <c r="A51" t="s">
        <v>48</v>
      </c>
      <c r="B51" t="s">
        <v>52</v>
      </c>
      <c r="C51" s="11">
        <v>10</v>
      </c>
      <c r="D51" s="22"/>
      <c r="E51" s="22"/>
      <c r="F51" s="22"/>
      <c r="G51" s="22"/>
      <c r="H51" s="22"/>
      <c r="I51" s="22"/>
      <c r="J51" s="22"/>
      <c r="K51" s="22"/>
    </row>
    <row r="52" spans="1:12" x14ac:dyDescent="0.25">
      <c r="A52" t="s">
        <v>49</v>
      </c>
      <c r="B52" t="s">
        <v>51</v>
      </c>
      <c r="C52" s="11">
        <v>0</v>
      </c>
      <c r="D52" s="22"/>
      <c r="E52" s="22"/>
      <c r="F52" s="22"/>
      <c r="G52" s="22"/>
      <c r="H52" s="22"/>
      <c r="I52" s="22"/>
      <c r="J52" s="22"/>
      <c r="K52" s="22"/>
    </row>
    <row r="53" spans="1:12" x14ac:dyDescent="0.25">
      <c r="C53" s="11"/>
      <c r="D53" s="11"/>
      <c r="E53" s="22"/>
      <c r="F53" s="22"/>
      <c r="G53" s="22"/>
      <c r="H53" s="22"/>
      <c r="I53" s="22"/>
      <c r="J53" s="22"/>
      <c r="K53" s="22"/>
      <c r="L53" s="22"/>
    </row>
    <row r="54" spans="1:12" x14ac:dyDescent="0.25">
      <c r="A54" s="6" t="s">
        <v>50</v>
      </c>
      <c r="B54" s="6" t="s">
        <v>53</v>
      </c>
      <c r="C54" s="48">
        <v>0.47499999999999998</v>
      </c>
      <c r="D54" s="22"/>
      <c r="E54" s="22"/>
      <c r="F54" s="22"/>
      <c r="G54" s="22"/>
    </row>
    <row r="55" spans="1:12" x14ac:dyDescent="0.25">
      <c r="A55" s="7" t="s">
        <v>55</v>
      </c>
      <c r="B55" s="7" t="s">
        <v>56</v>
      </c>
      <c r="C55" s="15">
        <f>0.5</f>
        <v>0.5</v>
      </c>
      <c r="D55" s="22"/>
      <c r="E55" s="22"/>
      <c r="F55" s="22"/>
      <c r="G55" s="22"/>
    </row>
    <row r="56" spans="1:12" x14ac:dyDescent="0.25">
      <c r="E56" s="22"/>
      <c r="F56" s="62"/>
      <c r="G56" s="36"/>
      <c r="L56" s="22"/>
    </row>
    <row r="57" spans="1:12" x14ac:dyDescent="0.25">
      <c r="B57" s="17" t="s">
        <v>120</v>
      </c>
      <c r="C57" s="51">
        <f>((C48+C49)*Tc+C50+C51+C52)*(44/12)</f>
        <v>328.24271792380222</v>
      </c>
      <c r="D57" s="14"/>
      <c r="E57" s="22"/>
      <c r="F57" s="37"/>
      <c r="G57" s="38"/>
      <c r="L57" s="22"/>
    </row>
    <row r="58" spans="1:12" x14ac:dyDescent="0.25">
      <c r="B58" s="28" t="s">
        <v>121</v>
      </c>
      <c r="C58" s="28">
        <f>C57*C7</f>
        <v>1706.8621332037717</v>
      </c>
      <c r="E58" s="22"/>
      <c r="F58" s="22"/>
      <c r="G58" s="22"/>
      <c r="L58" s="22"/>
    </row>
    <row r="59" spans="1:12" x14ac:dyDescent="0.25">
      <c r="E59" s="22"/>
      <c r="F59" s="22"/>
      <c r="G59" s="22"/>
      <c r="L59" s="22"/>
    </row>
    <row r="60" spans="1:12" ht="16.5" x14ac:dyDescent="0.3">
      <c r="A60" s="75" t="s">
        <v>87</v>
      </c>
      <c r="B60" s="75"/>
      <c r="C60" s="75"/>
      <c r="D60" s="75"/>
      <c r="F60" s="22"/>
      <c r="G60" s="22"/>
      <c r="L60" s="22"/>
    </row>
    <row r="62" spans="1:12" x14ac:dyDescent="0.25">
      <c r="A62" s="241" t="s">
        <v>198</v>
      </c>
      <c r="B62" s="242"/>
      <c r="C62" s="243"/>
      <c r="D62" s="150">
        <v>0</v>
      </c>
    </row>
    <row r="63" spans="1:12" x14ac:dyDescent="0.25">
      <c r="A63" s="241" t="s">
        <v>184</v>
      </c>
      <c r="B63" s="242"/>
      <c r="C63" s="243"/>
      <c r="D63" s="150">
        <v>0</v>
      </c>
    </row>
    <row r="64" spans="1:12" x14ac:dyDescent="0.25">
      <c r="A64" s="244" t="s">
        <v>88</v>
      </c>
      <c r="B64" s="245"/>
      <c r="C64" s="246"/>
      <c r="D64" s="151">
        <v>0.1</v>
      </c>
    </row>
    <row r="65" spans="1:9" x14ac:dyDescent="0.25">
      <c r="A65" s="241" t="s">
        <v>89</v>
      </c>
      <c r="B65" s="242"/>
      <c r="C65" s="243"/>
      <c r="D65" s="150">
        <v>0</v>
      </c>
    </row>
    <row r="66" spans="1:9" x14ac:dyDescent="0.25">
      <c r="A66" s="244" t="s">
        <v>90</v>
      </c>
      <c r="B66" s="245"/>
      <c r="C66" s="246"/>
      <c r="D66" s="151">
        <v>0</v>
      </c>
    </row>
    <row r="69" spans="1:9" ht="16.5" x14ac:dyDescent="0.3">
      <c r="A69" s="115" t="s">
        <v>156</v>
      </c>
      <c r="B69" s="115"/>
      <c r="C69" s="115"/>
      <c r="D69" s="115"/>
      <c r="F69" s="115" t="s">
        <v>236</v>
      </c>
      <c r="G69" s="115"/>
      <c r="H69" s="115"/>
      <c r="I69" s="115"/>
    </row>
    <row r="70" spans="1:9" ht="15.75" thickBot="1" x14ac:dyDescent="0.3"/>
    <row r="71" spans="1:9" x14ac:dyDescent="0.25">
      <c r="A71" s="194" t="s">
        <v>155</v>
      </c>
      <c r="B71" s="195">
        <f>E39+J39+O39+T39</f>
        <v>2788.1762513163758</v>
      </c>
      <c r="C71" s="196" t="s">
        <v>67</v>
      </c>
      <c r="F71" s="6" t="s">
        <v>155</v>
      </c>
      <c r="G71" s="142"/>
      <c r="H71" s="12" t="s">
        <v>67</v>
      </c>
    </row>
    <row r="72" spans="1:9" ht="16.5" x14ac:dyDescent="0.3">
      <c r="A72" s="197" t="s">
        <v>157</v>
      </c>
      <c r="B72" s="13">
        <f>C58</f>
        <v>1706.8621332037717</v>
      </c>
      <c r="C72" s="198" t="s">
        <v>67</v>
      </c>
      <c r="D72" s="31"/>
      <c r="F72" s="7" t="s">
        <v>157</v>
      </c>
      <c r="G72" s="13">
        <v>0</v>
      </c>
      <c r="H72" s="13" t="s">
        <v>67</v>
      </c>
      <c r="I72" s="17" t="s">
        <v>225</v>
      </c>
    </row>
    <row r="73" spans="1:9" ht="15.75" thickBot="1" x14ac:dyDescent="0.3">
      <c r="A73" s="199" t="s">
        <v>292</v>
      </c>
      <c r="B73" s="200">
        <f>B71-B72</f>
        <v>1081.3141181126041</v>
      </c>
      <c r="C73" s="201" t="s">
        <v>67</v>
      </c>
      <c r="F73" s="60" t="s">
        <v>226</v>
      </c>
      <c r="G73" s="61">
        <f>(G71-G72)/30</f>
        <v>0</v>
      </c>
      <c r="H73" s="61" t="s">
        <v>67</v>
      </c>
    </row>
    <row r="74" spans="1:9" x14ac:dyDescent="0.25">
      <c r="A74" s="194" t="s">
        <v>289</v>
      </c>
      <c r="B74" s="195">
        <f>E42+J42+O42+T42</f>
        <v>3237.4655286781531</v>
      </c>
      <c r="C74" s="196" t="s">
        <v>67</v>
      </c>
      <c r="F74" s="134"/>
      <c r="G74" s="135"/>
      <c r="H74" s="135"/>
    </row>
    <row r="75" spans="1:9" x14ac:dyDescent="0.25">
      <c r="A75" s="197" t="s">
        <v>290</v>
      </c>
      <c r="B75" s="13">
        <f>VERRA!B7*C7</f>
        <v>1657.6303476573712</v>
      </c>
      <c r="C75" s="198" t="s">
        <v>67</v>
      </c>
      <c r="F75" s="134"/>
      <c r="G75" s="135"/>
      <c r="H75" s="135"/>
    </row>
    <row r="76" spans="1:9" ht="15.75" thickBot="1" x14ac:dyDescent="0.3">
      <c r="A76" s="199" t="s">
        <v>291</v>
      </c>
      <c r="B76" s="200">
        <f>B74-B75</f>
        <v>1579.8351810207819</v>
      </c>
      <c r="C76" s="201" t="s">
        <v>67</v>
      </c>
      <c r="F76" s="134"/>
      <c r="G76" s="135"/>
      <c r="H76" s="135"/>
    </row>
    <row r="78" spans="1:9" x14ac:dyDescent="0.25">
      <c r="B78" s="77" t="s">
        <v>156</v>
      </c>
      <c r="C78" s="206">
        <f>MIN(B73,B76)</f>
        <v>1081.3141181126041</v>
      </c>
      <c r="D78" s="9" t="s">
        <v>197</v>
      </c>
    </row>
    <row r="80" spans="1:9" x14ac:dyDescent="0.25">
      <c r="B80" s="77" t="s">
        <v>196</v>
      </c>
      <c r="C80" s="78">
        <f>B73*(1-D62)*(1-D64)*(1-D65)*(1-D66)</f>
        <v>973.18270630134373</v>
      </c>
      <c r="D80" s="9" t="s">
        <v>197</v>
      </c>
      <c r="G80" s="77" t="s">
        <v>250</v>
      </c>
      <c r="H80" s="78">
        <f>G73*(1-D62)*(1-D63)*(1-D64)*(1-D65)*(1-D66)</f>
        <v>0</v>
      </c>
      <c r="I80" s="9" t="s">
        <v>197</v>
      </c>
    </row>
    <row r="82" spans="1:8" x14ac:dyDescent="0.25">
      <c r="B82" s="32" t="s">
        <v>158</v>
      </c>
      <c r="C82" s="32">
        <f>40*C80</f>
        <v>38927.30825205375</v>
      </c>
      <c r="G82" s="32" t="s">
        <v>158</v>
      </c>
      <c r="H82" s="32">
        <f>40*H80</f>
        <v>0</v>
      </c>
    </row>
    <row r="83" spans="1:8" ht="16.5" x14ac:dyDescent="0.3">
      <c r="A83" s="40"/>
      <c r="B83" s="40"/>
      <c r="C83" s="40"/>
      <c r="D83" s="125"/>
      <c r="E83" s="40"/>
    </row>
    <row r="84" spans="1:8" ht="16.5" x14ac:dyDescent="0.3">
      <c r="A84" s="125"/>
      <c r="B84" s="125"/>
      <c r="C84" s="125"/>
      <c r="D84" s="40"/>
      <c r="E84" s="40"/>
    </row>
  </sheetData>
  <mergeCells count="11">
    <mergeCell ref="K21:N21"/>
    <mergeCell ref="P21:S21"/>
    <mergeCell ref="A1:D1"/>
    <mergeCell ref="A15:D15"/>
    <mergeCell ref="A21:D21"/>
    <mergeCell ref="F21:I21"/>
    <mergeCell ref="A62:C62"/>
    <mergeCell ref="A64:C64"/>
    <mergeCell ref="A65:C65"/>
    <mergeCell ref="A66:C66"/>
    <mergeCell ref="A63:C63"/>
  </mergeCells>
  <dataValidations count="2">
    <dataValidation type="list" allowBlank="1" showInputMessage="1" showErrorMessage="1" sqref="D62:D63 D65:D66">
      <formula1>Rab</formula1>
    </dataValidation>
    <dataValidation type="list" allowBlank="1" showInputMessage="1" showErrorMessage="1" sqref="L18 B18 G18 Q18">
      <formula1>ESS</formula1>
    </dataValidation>
  </dataValidations>
  <pageMargins left="0.7" right="0.7" top="0.75" bottom="0.75" header="0.3" footer="0.3"/>
  <pageSetup paperSize="9" scale="22" orientation="portrait" r:id="rId1"/>
  <tableParts count="5">
    <tablePart r:id="rId2"/>
    <tablePart r:id="rId3"/>
    <tablePart r:id="rId4"/>
    <tablePart r:id="rId5"/>
    <tablePart r:id="rId6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Inputs!$A$99:$A$104</xm:f>
          </x14:formula1>
          <xm:sqref>C18 H18 M18 R18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145"/>
  <sheetViews>
    <sheetView showGridLines="0" view="pageBreakPreview" topLeftCell="A39" zoomScaleNormal="100" zoomScaleSheetLayoutView="100" workbookViewId="0">
      <selection activeCell="E59" sqref="E59"/>
    </sheetView>
  </sheetViews>
  <sheetFormatPr baseColWidth="10" defaultRowHeight="15" x14ac:dyDescent="0.25"/>
  <cols>
    <col min="1" max="1" width="5" customWidth="1"/>
    <col min="2" max="2" width="41.28515625" bestFit="1" customWidth="1"/>
    <col min="3" max="3" width="18" bestFit="1" customWidth="1"/>
    <col min="4" max="4" width="11.7109375" customWidth="1"/>
    <col min="5" max="5" width="17.5703125" bestFit="1" customWidth="1"/>
    <col min="6" max="8" width="13.28515625" bestFit="1" customWidth="1"/>
    <col min="9" max="9" width="15.85546875" customWidth="1"/>
    <col min="10" max="10" width="25.5703125" customWidth="1"/>
    <col min="11" max="11" width="16.28515625" bestFit="1" customWidth="1"/>
  </cols>
  <sheetData>
    <row r="1" spans="1:10" ht="16.5" x14ac:dyDescent="0.3">
      <c r="A1" s="270" t="s">
        <v>204</v>
      </c>
      <c r="B1" s="270"/>
      <c r="C1" s="270"/>
      <c r="D1" s="270"/>
      <c r="E1" s="270"/>
      <c r="F1" s="270"/>
      <c r="G1" s="270"/>
      <c r="H1" s="270"/>
      <c r="I1" s="270"/>
    </row>
    <row r="3" spans="1:10" x14ac:dyDescent="0.25">
      <c r="A3" t="s">
        <v>63</v>
      </c>
      <c r="B3" s="4" t="s">
        <v>33</v>
      </c>
      <c r="C3" s="4">
        <v>2</v>
      </c>
      <c r="D3" s="9" t="s">
        <v>37</v>
      </c>
      <c r="G3" s="8"/>
      <c r="H3" s="8"/>
      <c r="I3" s="8"/>
    </row>
    <row r="4" spans="1:10" x14ac:dyDescent="0.25">
      <c r="A4" t="s">
        <v>64</v>
      </c>
      <c r="B4" s="4" t="s">
        <v>34</v>
      </c>
      <c r="C4" s="4">
        <v>7</v>
      </c>
      <c r="D4" s="152">
        <f>(C6*C4)/((1+C5)^(C6/C3))</f>
        <v>17.159277233724119</v>
      </c>
      <c r="G4" s="8"/>
      <c r="H4" s="8"/>
      <c r="I4" s="8"/>
    </row>
    <row r="5" spans="1:10" x14ac:dyDescent="0.25">
      <c r="A5" t="s">
        <v>65</v>
      </c>
      <c r="B5" s="4" t="s">
        <v>35</v>
      </c>
      <c r="C5" s="5">
        <v>4.4999999999999998E-2</v>
      </c>
      <c r="G5" s="8"/>
      <c r="H5" s="8"/>
      <c r="I5" s="8"/>
    </row>
    <row r="6" spans="1:10" x14ac:dyDescent="0.25">
      <c r="A6" t="s">
        <v>66</v>
      </c>
      <c r="B6" s="4" t="s">
        <v>36</v>
      </c>
      <c r="C6" s="4">
        <f>100*C3</f>
        <v>200</v>
      </c>
    </row>
    <row r="8" spans="1:10" ht="16.5" x14ac:dyDescent="0.3">
      <c r="A8" s="270" t="s">
        <v>323</v>
      </c>
      <c r="B8" s="270"/>
      <c r="C8" s="270"/>
      <c r="D8" s="270"/>
      <c r="E8" s="270"/>
      <c r="F8" s="270"/>
      <c r="G8" s="270"/>
      <c r="H8" s="270"/>
      <c r="I8" s="270"/>
    </row>
    <row r="9" spans="1:10" ht="15.75" thickBot="1" x14ac:dyDescent="0.3"/>
    <row r="10" spans="1:10" ht="66.75" thickBot="1" x14ac:dyDescent="0.3">
      <c r="A10" s="271" t="s">
        <v>324</v>
      </c>
      <c r="B10" s="272"/>
      <c r="C10" s="272" t="s">
        <v>306</v>
      </c>
      <c r="D10" s="272"/>
      <c r="E10" s="215" t="s">
        <v>307</v>
      </c>
      <c r="F10" s="215" t="s">
        <v>308</v>
      </c>
      <c r="G10" s="215" t="s">
        <v>309</v>
      </c>
      <c r="H10" s="215" t="s">
        <v>310</v>
      </c>
      <c r="I10" s="215" t="s">
        <v>311</v>
      </c>
    </row>
    <row r="11" spans="1:10" ht="16.5" customHeight="1" x14ac:dyDescent="0.25">
      <c r="A11" s="277" t="s">
        <v>326</v>
      </c>
      <c r="B11" s="278"/>
      <c r="C11" s="263" t="s">
        <v>312</v>
      </c>
      <c r="D11" s="263"/>
      <c r="E11" s="257" t="s">
        <v>328</v>
      </c>
      <c r="F11" s="216">
        <v>1150</v>
      </c>
      <c r="G11" s="273">
        <v>3.7</v>
      </c>
      <c r="H11" s="217">
        <f>F11*G11</f>
        <v>4255</v>
      </c>
      <c r="I11" s="228"/>
      <c r="J11" s="214"/>
    </row>
    <row r="12" spans="1:10" ht="16.5" x14ac:dyDescent="0.25">
      <c r="A12" s="279"/>
      <c r="B12" s="252"/>
      <c r="C12" s="276" t="s">
        <v>313</v>
      </c>
      <c r="D12" s="262"/>
      <c r="E12" s="258"/>
      <c r="F12" s="216">
        <v>580</v>
      </c>
      <c r="G12" s="251"/>
      <c r="H12" s="217">
        <f>2146</f>
        <v>2146</v>
      </c>
      <c r="I12" s="228"/>
      <c r="J12" s="214"/>
    </row>
    <row r="13" spans="1:10" ht="16.5" x14ac:dyDescent="0.25">
      <c r="A13" s="279"/>
      <c r="B13" s="252"/>
      <c r="C13" s="263" t="s">
        <v>314</v>
      </c>
      <c r="D13" s="263"/>
      <c r="E13" s="258"/>
      <c r="F13" s="216">
        <f>H13/G11</f>
        <v>1875</v>
      </c>
      <c r="G13" s="251"/>
      <c r="H13" s="217">
        <f>6937.5</f>
        <v>6937.5</v>
      </c>
      <c r="I13" s="228"/>
    </row>
    <row r="14" spans="1:10" ht="17.25" thickBot="1" x14ac:dyDescent="0.3">
      <c r="A14" s="280"/>
      <c r="B14" s="254"/>
      <c r="C14" s="265" t="s">
        <v>315</v>
      </c>
      <c r="D14" s="265"/>
      <c r="E14" s="259"/>
      <c r="F14" s="218">
        <f>H14/G11</f>
        <v>1730</v>
      </c>
      <c r="G14" s="251"/>
      <c r="H14" s="218">
        <f>6401</f>
        <v>6401</v>
      </c>
      <c r="I14" s="229"/>
    </row>
    <row r="15" spans="1:10" ht="50.25" thickBot="1" x14ac:dyDescent="0.3">
      <c r="A15" s="219" t="s">
        <v>316</v>
      </c>
      <c r="B15" s="220">
        <f>1500*G11</f>
        <v>5550</v>
      </c>
      <c r="C15" s="274" t="s">
        <v>317</v>
      </c>
      <c r="D15" s="274"/>
      <c r="E15" s="275"/>
      <c r="F15" s="221">
        <f>H15/G11</f>
        <v>5335</v>
      </c>
      <c r="G15" s="253"/>
      <c r="H15" s="222">
        <f>SUM(H11:H14)</f>
        <v>19739.5</v>
      </c>
      <c r="I15" s="230"/>
    </row>
    <row r="16" spans="1:10" ht="17.25" thickBot="1" x14ac:dyDescent="0.3">
      <c r="A16" s="251" t="s">
        <v>327</v>
      </c>
      <c r="B16" s="252"/>
      <c r="C16" s="255" t="s">
        <v>312</v>
      </c>
      <c r="D16" s="256"/>
      <c r="E16" s="257" t="s">
        <v>329</v>
      </c>
      <c r="F16" s="223">
        <v>1150</v>
      </c>
      <c r="G16" s="260">
        <v>1.5</v>
      </c>
      <c r="H16" s="223">
        <f>F16*G16</f>
        <v>1725</v>
      </c>
      <c r="I16" s="231"/>
    </row>
    <row r="17" spans="1:13" ht="17.25" thickBot="1" x14ac:dyDescent="0.3">
      <c r="A17" s="251"/>
      <c r="B17" s="252"/>
      <c r="C17" s="255" t="s">
        <v>330</v>
      </c>
      <c r="D17" s="256"/>
      <c r="E17" s="258"/>
      <c r="F17" s="223">
        <v>580</v>
      </c>
      <c r="G17" s="261"/>
      <c r="H17" s="223">
        <v>870</v>
      </c>
      <c r="I17" s="231"/>
    </row>
    <row r="18" spans="1:13" ht="17.25" thickBot="1" x14ac:dyDescent="0.3">
      <c r="A18" s="251"/>
      <c r="B18" s="252"/>
      <c r="C18" s="262" t="s">
        <v>314</v>
      </c>
      <c r="D18" s="263"/>
      <c r="E18" s="258"/>
      <c r="F18" s="223">
        <v>2475</v>
      </c>
      <c r="G18" s="261"/>
      <c r="H18" s="217">
        <v>3712.5</v>
      </c>
      <c r="I18" s="231"/>
    </row>
    <row r="19" spans="1:13" ht="17.25" thickBot="1" x14ac:dyDescent="0.3">
      <c r="A19" s="253"/>
      <c r="B19" s="254"/>
      <c r="C19" s="264" t="s">
        <v>315</v>
      </c>
      <c r="D19" s="265"/>
      <c r="E19" s="259"/>
      <c r="F19" s="223">
        <v>1730</v>
      </c>
      <c r="G19" s="261"/>
      <c r="H19" s="218">
        <v>2595</v>
      </c>
      <c r="I19" s="231"/>
    </row>
    <row r="20" spans="1:13" ht="50.25" thickBot="1" x14ac:dyDescent="0.3">
      <c r="A20" s="224" t="s">
        <v>316</v>
      </c>
      <c r="B20" s="225">
        <f>1500*G16</f>
        <v>2250</v>
      </c>
      <c r="C20" s="266" t="s">
        <v>317</v>
      </c>
      <c r="D20" s="267"/>
      <c r="E20" s="268"/>
      <c r="F20" s="226">
        <f>H20/G16</f>
        <v>5935</v>
      </c>
      <c r="G20" s="261"/>
      <c r="H20" s="227">
        <f>SUM(H16:H19)</f>
        <v>8902.5</v>
      </c>
      <c r="I20" s="230"/>
    </row>
    <row r="21" spans="1:13" ht="17.25" thickBot="1" x14ac:dyDescent="0.3">
      <c r="A21" s="247" t="s">
        <v>318</v>
      </c>
      <c r="B21" s="247"/>
      <c r="C21" s="247"/>
      <c r="D21" s="247"/>
      <c r="E21" s="247"/>
      <c r="F21" s="247"/>
      <c r="G21" s="247"/>
      <c r="H21" s="248">
        <f>H15+H20</f>
        <v>28642</v>
      </c>
      <c r="I21" s="249"/>
      <c r="J21" s="284"/>
    </row>
    <row r="22" spans="1:13" ht="17.25" thickBot="1" x14ac:dyDescent="0.3">
      <c r="A22" s="281" t="s">
        <v>331</v>
      </c>
      <c r="B22" s="282"/>
      <c r="C22" s="282"/>
      <c r="D22" s="282"/>
      <c r="E22" s="282"/>
      <c r="F22" s="282"/>
      <c r="G22" s="283"/>
      <c r="H22" s="248">
        <f>10574.5</f>
        <v>10574.5</v>
      </c>
      <c r="I22" s="249"/>
      <c r="J22" s="284"/>
    </row>
    <row r="23" spans="1:13" ht="17.25" thickBot="1" x14ac:dyDescent="0.3">
      <c r="A23" s="281" t="s">
        <v>332</v>
      </c>
      <c r="B23" s="282"/>
      <c r="C23" s="282"/>
      <c r="D23" s="282"/>
      <c r="E23" s="282"/>
      <c r="F23" s="282"/>
      <c r="G23" s="283"/>
      <c r="H23" s="248">
        <f>H21+H22</f>
        <v>39216.5</v>
      </c>
      <c r="I23" s="249"/>
      <c r="J23" s="284"/>
      <c r="K23" s="22"/>
      <c r="L23" s="22"/>
    </row>
    <row r="24" spans="1:13" ht="17.25" thickBot="1" x14ac:dyDescent="0.3">
      <c r="A24" s="247" t="s">
        <v>319</v>
      </c>
      <c r="B24" s="247"/>
      <c r="C24" s="247"/>
      <c r="D24" s="247"/>
      <c r="E24" s="247"/>
      <c r="F24" s="247"/>
      <c r="G24" s="247"/>
      <c r="H24" s="248">
        <f>H23*0.1</f>
        <v>3921.65</v>
      </c>
      <c r="I24" s="249"/>
      <c r="J24" s="284"/>
      <c r="K24" s="22"/>
      <c r="L24" s="22"/>
    </row>
    <row r="25" spans="1:13" ht="17.25" thickBot="1" x14ac:dyDescent="0.3">
      <c r="A25" s="247" t="s">
        <v>320</v>
      </c>
      <c r="B25" s="247"/>
      <c r="C25" s="247"/>
      <c r="D25" s="247"/>
      <c r="E25" s="247"/>
      <c r="F25" s="247"/>
      <c r="G25" s="247"/>
      <c r="H25" s="248">
        <f>H24+H23</f>
        <v>43138.15</v>
      </c>
      <c r="I25" s="249"/>
      <c r="J25" s="22"/>
      <c r="K25" s="22"/>
      <c r="L25" s="22"/>
    </row>
    <row r="26" spans="1:13" ht="14.45" customHeight="1" thickBot="1" x14ac:dyDescent="0.3">
      <c r="A26" s="247" t="s">
        <v>336</v>
      </c>
      <c r="B26" s="247"/>
      <c r="C26" s="247"/>
      <c r="D26" s="247" t="s">
        <v>335</v>
      </c>
      <c r="E26" s="247"/>
      <c r="F26" s="247"/>
      <c r="G26" s="247"/>
      <c r="H26" s="248">
        <f>13628.16</f>
        <v>13628.16</v>
      </c>
      <c r="I26" s="249"/>
      <c r="J26">
        <f>H26/(G11+G16)</f>
        <v>2620.7999999999997</v>
      </c>
      <c r="M26" s="59"/>
    </row>
    <row r="27" spans="1:13" x14ac:dyDescent="0.25">
      <c r="A27" s="40"/>
      <c r="C27" s="153"/>
      <c r="D27" s="40"/>
      <c r="E27" s="40"/>
      <c r="F27" s="40"/>
      <c r="G27" s="40"/>
      <c r="H27" s="40"/>
      <c r="I27" s="40"/>
      <c r="M27" s="59"/>
    </row>
    <row r="28" spans="1:13" ht="16.5" x14ac:dyDescent="0.3">
      <c r="A28" s="269" t="s">
        <v>154</v>
      </c>
      <c r="B28" s="269" t="s">
        <v>322</v>
      </c>
      <c r="C28" s="269"/>
      <c r="D28" s="269"/>
      <c r="E28" s="269"/>
      <c r="F28" s="269"/>
      <c r="G28" s="269"/>
      <c r="H28" s="269"/>
      <c r="I28" s="269"/>
    </row>
    <row r="29" spans="1:13" s="20" customFormat="1" x14ac:dyDescent="0.25">
      <c r="A29" s="40"/>
      <c r="B29" s="154"/>
      <c r="E29" s="155"/>
      <c r="F29" s="155"/>
      <c r="G29" s="155"/>
      <c r="H29" s="155"/>
      <c r="I29" s="40"/>
    </row>
    <row r="30" spans="1:13" s="20" customFormat="1" x14ac:dyDescent="0.25">
      <c r="A30" s="40"/>
      <c r="C30" s="156" t="s">
        <v>35</v>
      </c>
      <c r="D30" s="232">
        <f>0.045</f>
        <v>4.4999999999999998E-2</v>
      </c>
      <c r="H30"/>
      <c r="I30"/>
    </row>
    <row r="31" spans="1:13" s="20" customFormat="1" x14ac:dyDescent="0.25">
      <c r="A31" s="40"/>
      <c r="H31"/>
      <c r="I31"/>
    </row>
    <row r="32" spans="1:13" s="20" customFormat="1" x14ac:dyDescent="0.25">
      <c r="A32" s="40"/>
      <c r="H32"/>
      <c r="I32" s="213"/>
    </row>
    <row r="33" spans="1:24" s="20" customFormat="1" x14ac:dyDescent="0.25">
      <c r="A33" s="40"/>
      <c r="C33" s="20" t="s">
        <v>333</v>
      </c>
      <c r="D33" s="20">
        <v>3.7</v>
      </c>
      <c r="E33" s="20" t="s">
        <v>58</v>
      </c>
      <c r="H33"/>
      <c r="I33"/>
    </row>
    <row r="34" spans="1:24" s="20" customFormat="1" x14ac:dyDescent="0.25">
      <c r="A34" s="40"/>
      <c r="B34" s="124" t="s">
        <v>321</v>
      </c>
      <c r="C34" s="157" t="s">
        <v>252</v>
      </c>
      <c r="D34" s="157" t="s">
        <v>253</v>
      </c>
      <c r="E34" s="157" t="s">
        <v>254</v>
      </c>
      <c r="F34" s="157" t="s">
        <v>148</v>
      </c>
      <c r="G34" s="155"/>
      <c r="H34" s="124" t="s">
        <v>321</v>
      </c>
      <c r="I34" s="157" t="s">
        <v>252</v>
      </c>
      <c r="J34" s="157" t="s">
        <v>253</v>
      </c>
      <c r="K34" s="157" t="s">
        <v>254</v>
      </c>
      <c r="L34" s="157" t="s">
        <v>148</v>
      </c>
      <c r="N34" s="124" t="s">
        <v>321</v>
      </c>
      <c r="O34" s="157" t="s">
        <v>252</v>
      </c>
      <c r="P34" s="157" t="s">
        <v>253</v>
      </c>
      <c r="Q34" s="157" t="s">
        <v>254</v>
      </c>
      <c r="R34" s="157" t="s">
        <v>148</v>
      </c>
      <c r="T34" s="124" t="s">
        <v>321</v>
      </c>
      <c r="U34" s="157" t="s">
        <v>252</v>
      </c>
      <c r="V34" s="157" t="s">
        <v>253</v>
      </c>
      <c r="W34" s="157" t="s">
        <v>254</v>
      </c>
      <c r="X34" s="157" t="s">
        <v>148</v>
      </c>
    </row>
    <row r="35" spans="1:24" s="20" customFormat="1" x14ac:dyDescent="0.25">
      <c r="A35" s="40"/>
      <c r="B35" s="124" t="s">
        <v>144</v>
      </c>
      <c r="C35" s="159">
        <v>1</v>
      </c>
      <c r="D35" s="160">
        <v>600</v>
      </c>
      <c r="E35" s="157"/>
      <c r="F35" s="161">
        <f>(D35-E35)/((1+$D$30)^C35)</f>
        <v>574.16267942583738</v>
      </c>
      <c r="G35" s="155"/>
      <c r="H35" s="124"/>
      <c r="I35" s="159">
        <v>1</v>
      </c>
      <c r="J35" s="160">
        <v>600</v>
      </c>
      <c r="K35" s="157"/>
      <c r="L35" s="161">
        <f t="shared" ref="L35:L55" si="0">(J35-K35)/((1+$D$30)^I35)</f>
        <v>574.16267942583738</v>
      </c>
      <c r="N35" s="124"/>
      <c r="O35" s="159">
        <v>1</v>
      </c>
      <c r="P35" s="160">
        <v>0</v>
      </c>
      <c r="Q35" s="157"/>
      <c r="R35" s="161">
        <f t="shared" ref="R35:R55" si="1">(P35-Q35)/((1+$D$30)^O35)</f>
        <v>0</v>
      </c>
      <c r="T35" s="124"/>
      <c r="U35" s="159">
        <v>1</v>
      </c>
      <c r="V35" s="160">
        <v>0</v>
      </c>
      <c r="W35" s="157"/>
      <c r="X35" s="161">
        <f t="shared" ref="X35:X55" si="2">(V35-W35)/((1+$D$30)^U35)</f>
        <v>0</v>
      </c>
    </row>
    <row r="36" spans="1:24" s="20" customFormat="1" x14ac:dyDescent="0.25">
      <c r="A36" s="40"/>
      <c r="B36" s="158" t="s">
        <v>255</v>
      </c>
      <c r="C36" s="162">
        <v>1</v>
      </c>
      <c r="D36" s="165"/>
      <c r="E36" s="164">
        <f>F11+F12+F13</f>
        <v>3605</v>
      </c>
      <c r="F36" s="161">
        <f t="shared" ref="F36:F51" si="3">(D36-E36)/((1+$D$30)^C36)</f>
        <v>-3449.7607655502393</v>
      </c>
      <c r="G36" s="155"/>
      <c r="H36" s="158" t="s">
        <v>255</v>
      </c>
      <c r="I36" s="162">
        <v>1</v>
      </c>
      <c r="J36" s="165"/>
      <c r="K36" s="164">
        <f>F16+F17+F18</f>
        <v>4205</v>
      </c>
      <c r="L36" s="161">
        <f t="shared" si="0"/>
        <v>-4023.923444976077</v>
      </c>
      <c r="N36" s="158" t="s">
        <v>255</v>
      </c>
      <c r="O36" s="162">
        <v>1</v>
      </c>
      <c r="P36" s="165"/>
      <c r="Q36" s="164"/>
      <c r="R36" s="161">
        <f t="shared" si="1"/>
        <v>0</v>
      </c>
      <c r="T36" s="158" t="s">
        <v>255</v>
      </c>
      <c r="U36" s="162">
        <v>1</v>
      </c>
      <c r="V36" s="165"/>
      <c r="W36" s="164"/>
      <c r="X36" s="161">
        <f t="shared" si="2"/>
        <v>0</v>
      </c>
    </row>
    <row r="37" spans="1:24" s="20" customFormat="1" x14ac:dyDescent="0.25">
      <c r="A37" s="40"/>
      <c r="B37" s="170" t="s">
        <v>259</v>
      </c>
      <c r="C37" s="159">
        <v>2</v>
      </c>
      <c r="D37" s="160">
        <f>J26</f>
        <v>2620.7999999999997</v>
      </c>
      <c r="E37" s="157"/>
      <c r="F37" s="161">
        <f t="shared" si="3"/>
        <v>2399.945056202926</v>
      </c>
      <c r="G37" s="155"/>
      <c r="H37" s="170" t="s">
        <v>259</v>
      </c>
      <c r="I37" s="159">
        <v>2</v>
      </c>
      <c r="J37" s="160">
        <f>J26</f>
        <v>2620.7999999999997</v>
      </c>
      <c r="K37" s="157"/>
      <c r="L37" s="161">
        <f t="shared" si="0"/>
        <v>2399.945056202926</v>
      </c>
      <c r="N37" s="170" t="s">
        <v>259</v>
      </c>
      <c r="O37" s="159">
        <v>2</v>
      </c>
      <c r="P37" s="160">
        <v>0</v>
      </c>
      <c r="Q37" s="157"/>
      <c r="R37" s="161">
        <f t="shared" si="1"/>
        <v>0</v>
      </c>
      <c r="T37" s="170" t="s">
        <v>259</v>
      </c>
      <c r="U37" s="159">
        <v>2</v>
      </c>
      <c r="V37" s="160">
        <v>0</v>
      </c>
      <c r="W37" s="157"/>
      <c r="X37" s="161">
        <f t="shared" si="2"/>
        <v>0</v>
      </c>
    </row>
    <row r="38" spans="1:24" s="20" customFormat="1" x14ac:dyDescent="0.25">
      <c r="A38" s="40"/>
      <c r="B38" s="158" t="s">
        <v>256</v>
      </c>
      <c r="C38" s="159">
        <v>3</v>
      </c>
      <c r="D38" s="160">
        <v>0</v>
      </c>
      <c r="E38" s="157">
        <f>870</f>
        <v>870</v>
      </c>
      <c r="F38" s="161">
        <f t="shared" si="3"/>
        <v>-762.37804552777106</v>
      </c>
      <c r="G38" s="155"/>
      <c r="H38" s="158" t="s">
        <v>256</v>
      </c>
      <c r="I38" s="159">
        <v>3</v>
      </c>
      <c r="J38" s="160">
        <v>0</v>
      </c>
      <c r="K38" s="157">
        <v>870</v>
      </c>
      <c r="L38" s="161">
        <f t="shared" si="0"/>
        <v>-762.37804552777106</v>
      </c>
      <c r="N38" s="158" t="s">
        <v>256</v>
      </c>
      <c r="O38" s="159">
        <v>3</v>
      </c>
      <c r="P38" s="160">
        <v>0</v>
      </c>
      <c r="Q38" s="157"/>
      <c r="R38" s="161">
        <f t="shared" si="1"/>
        <v>0</v>
      </c>
      <c r="T38" s="158" t="s">
        <v>256</v>
      </c>
      <c r="U38" s="159">
        <v>3</v>
      </c>
      <c r="V38" s="160">
        <v>0</v>
      </c>
      <c r="W38" s="157"/>
      <c r="X38" s="161">
        <f t="shared" si="2"/>
        <v>0</v>
      </c>
    </row>
    <row r="39" spans="1:24" s="20" customFormat="1" ht="15" customHeight="1" x14ac:dyDescent="0.25">
      <c r="A39" s="40"/>
      <c r="B39" s="158" t="s">
        <v>257</v>
      </c>
      <c r="C39" s="159">
        <v>4</v>
      </c>
      <c r="D39" s="160">
        <v>0</v>
      </c>
      <c r="E39" s="157">
        <v>860</v>
      </c>
      <c r="F39" s="161">
        <f>(D39-E39)/((1+$D$30)^C39)</f>
        <v>-721.16275549016484</v>
      </c>
      <c r="G39" s="155"/>
      <c r="H39" s="158" t="s">
        <v>257</v>
      </c>
      <c r="I39" s="159">
        <v>4</v>
      </c>
      <c r="J39" s="160">
        <v>0</v>
      </c>
      <c r="K39" s="157">
        <v>860</v>
      </c>
      <c r="L39" s="161">
        <f t="shared" si="0"/>
        <v>-721.16275549016484</v>
      </c>
      <c r="N39" s="158" t="s">
        <v>257</v>
      </c>
      <c r="O39" s="159">
        <v>4</v>
      </c>
      <c r="P39" s="160">
        <v>0</v>
      </c>
      <c r="Q39" s="157"/>
      <c r="R39" s="161">
        <f t="shared" si="1"/>
        <v>0</v>
      </c>
      <c r="T39" s="158" t="s">
        <v>257</v>
      </c>
      <c r="U39" s="159">
        <v>4</v>
      </c>
      <c r="V39" s="160">
        <v>0</v>
      </c>
      <c r="W39" s="157"/>
      <c r="X39" s="161">
        <f t="shared" si="2"/>
        <v>0</v>
      </c>
    </row>
    <row r="40" spans="1:24" s="20" customFormat="1" x14ac:dyDescent="0.25">
      <c r="A40" s="40"/>
      <c r="B40" s="158" t="s">
        <v>258</v>
      </c>
      <c r="C40" s="234">
        <f>'Inputs - Tables de production'!AH108</f>
        <v>15</v>
      </c>
      <c r="D40" s="163">
        <f>'Inputs - Tables de production'!AJ108</f>
        <v>80</v>
      </c>
      <c r="E40" s="157">
        <v>150</v>
      </c>
      <c r="F40" s="161">
        <f t="shared" si="3"/>
        <v>-36.170430962103758</v>
      </c>
      <c r="G40" s="155"/>
      <c r="H40" s="158" t="s">
        <v>258</v>
      </c>
      <c r="I40" s="234">
        <f>'Inputs - Tables de production'!H97</f>
        <v>36</v>
      </c>
      <c r="J40" s="163">
        <f>'Inputs - Tables de production'!J97</f>
        <v>0</v>
      </c>
      <c r="K40" s="157">
        <v>150</v>
      </c>
      <c r="L40" s="161">
        <f t="shared" si="0"/>
        <v>-30.754226104204811</v>
      </c>
      <c r="N40" s="158" t="s">
        <v>258</v>
      </c>
      <c r="O40" s="164"/>
      <c r="P40" s="163"/>
      <c r="Q40" s="157">
        <v>80</v>
      </c>
      <c r="R40" s="161">
        <f t="shared" si="1"/>
        <v>-80</v>
      </c>
      <c r="T40" s="158" t="s">
        <v>258</v>
      </c>
      <c r="U40" s="164"/>
      <c r="V40" s="163"/>
      <c r="W40" s="157">
        <v>80</v>
      </c>
      <c r="X40" s="161">
        <f t="shared" si="2"/>
        <v>-80</v>
      </c>
    </row>
    <row r="41" spans="1:24" s="20" customFormat="1" x14ac:dyDescent="0.25">
      <c r="A41" s="40"/>
      <c r="B41" s="158" t="s">
        <v>20</v>
      </c>
      <c r="C41" s="234">
        <f>'Inputs - Tables de production'!AH109</f>
        <v>20</v>
      </c>
      <c r="D41" s="163">
        <f>'Inputs - Tables de production'!AJ109</f>
        <v>103.23549999999999</v>
      </c>
      <c r="E41" s="157">
        <v>150</v>
      </c>
      <c r="F41" s="161">
        <f t="shared" si="3"/>
        <v>-19.390566011719759</v>
      </c>
      <c r="G41" s="155"/>
      <c r="H41" s="158" t="s">
        <v>20</v>
      </c>
      <c r="I41" s="234">
        <f>'Inputs - Tables de production'!H98</f>
        <v>44</v>
      </c>
      <c r="J41" s="163">
        <f>'Inputs - Tables de production'!J98</f>
        <v>0</v>
      </c>
      <c r="K41" s="157">
        <v>150</v>
      </c>
      <c r="L41" s="161">
        <f t="shared" si="0"/>
        <v>-21.625914387914221</v>
      </c>
      <c r="N41" s="158" t="s">
        <v>20</v>
      </c>
      <c r="O41" s="164"/>
      <c r="P41" s="163"/>
      <c r="Q41" s="157">
        <v>80</v>
      </c>
      <c r="R41" s="161">
        <f t="shared" si="1"/>
        <v>-80</v>
      </c>
      <c r="T41" s="158" t="s">
        <v>20</v>
      </c>
      <c r="U41" s="164"/>
      <c r="V41" s="163"/>
      <c r="W41" s="157">
        <v>80</v>
      </c>
      <c r="X41" s="161">
        <f t="shared" si="2"/>
        <v>-80</v>
      </c>
    </row>
    <row r="42" spans="1:24" s="20" customFormat="1" x14ac:dyDescent="0.25">
      <c r="A42" s="40"/>
      <c r="B42" s="158" t="s">
        <v>21</v>
      </c>
      <c r="C42" s="234">
        <f>'Inputs - Tables de production'!AH110</f>
        <v>25</v>
      </c>
      <c r="D42" s="163">
        <f>'Inputs - Tables de production'!AJ110</f>
        <v>128.03258333333335</v>
      </c>
      <c r="E42" s="157">
        <v>150</v>
      </c>
      <c r="F42" s="161">
        <f t="shared" si="3"/>
        <v>-7.3092316549727254</v>
      </c>
      <c r="G42"/>
      <c r="H42" s="158" t="s">
        <v>21</v>
      </c>
      <c r="I42" s="234">
        <f>'Inputs - Tables de production'!H99</f>
        <v>52</v>
      </c>
      <c r="J42" s="163">
        <f>'Inputs - Tables de production'!J99</f>
        <v>580</v>
      </c>
      <c r="K42" s="157">
        <v>150</v>
      </c>
      <c r="L42" s="161">
        <f t="shared" si="0"/>
        <v>43.593461216758257</v>
      </c>
      <c r="N42" s="158" t="s">
        <v>21</v>
      </c>
      <c r="O42" s="164"/>
      <c r="P42" s="163"/>
      <c r="Q42" s="157">
        <v>80</v>
      </c>
      <c r="R42" s="161">
        <f t="shared" si="1"/>
        <v>-80</v>
      </c>
      <c r="T42" s="158" t="s">
        <v>21</v>
      </c>
      <c r="U42" s="164"/>
      <c r="V42" s="163"/>
      <c r="W42" s="157">
        <v>80</v>
      </c>
      <c r="X42" s="161">
        <f t="shared" si="2"/>
        <v>-80</v>
      </c>
    </row>
    <row r="43" spans="1:24" s="20" customFormat="1" x14ac:dyDescent="0.25">
      <c r="A43" s="40"/>
      <c r="B43" s="158" t="s">
        <v>122</v>
      </c>
      <c r="C43" s="234">
        <f>'Inputs - Tables de production'!AH111</f>
        <v>30</v>
      </c>
      <c r="D43" s="163">
        <f>'Inputs - Tables de production'!AJ111</f>
        <v>153.84681944444446</v>
      </c>
      <c r="E43" s="157">
        <v>150</v>
      </c>
      <c r="F43" s="161">
        <f t="shared" si="3"/>
        <v>1.0271008513193125</v>
      </c>
      <c r="G43" s="155"/>
      <c r="H43" s="158" t="s">
        <v>122</v>
      </c>
      <c r="I43" s="234">
        <f>'Inputs - Tables de production'!H100</f>
        <v>60</v>
      </c>
      <c r="J43" s="163">
        <f>'Inputs - Tables de production'!J100</f>
        <v>1200</v>
      </c>
      <c r="K43" s="157">
        <v>150</v>
      </c>
      <c r="L43" s="161">
        <f t="shared" si="0"/>
        <v>74.853458694776847</v>
      </c>
      <c r="N43" s="158" t="s">
        <v>122</v>
      </c>
      <c r="O43" s="164"/>
      <c r="P43" s="163"/>
      <c r="Q43" s="157">
        <v>80</v>
      </c>
      <c r="R43" s="161">
        <f t="shared" si="1"/>
        <v>-80</v>
      </c>
      <c r="T43" s="158" t="s">
        <v>122</v>
      </c>
      <c r="U43" s="164"/>
      <c r="V43" s="163"/>
      <c r="W43" s="157">
        <v>80</v>
      </c>
      <c r="X43" s="161">
        <f t="shared" si="2"/>
        <v>-80</v>
      </c>
    </row>
    <row r="44" spans="1:24" s="20" customFormat="1" x14ac:dyDescent="0.25">
      <c r="A44" s="40"/>
      <c r="B44" s="158" t="s">
        <v>123</v>
      </c>
      <c r="C44" s="234">
        <f>'Inputs - Tables de production'!AH112</f>
        <v>35</v>
      </c>
      <c r="D44" s="163">
        <f>'Inputs - Tables de production'!AJ112</f>
        <v>180.50868287037039</v>
      </c>
      <c r="E44" s="157">
        <v>150</v>
      </c>
      <c r="F44" s="161">
        <f t="shared" si="3"/>
        <v>6.536620820253396</v>
      </c>
      <c r="G44" s="155"/>
      <c r="H44" s="158" t="s">
        <v>123</v>
      </c>
      <c r="I44" s="234">
        <f>'Inputs - Tables de production'!H101</f>
        <v>68</v>
      </c>
      <c r="J44" s="163">
        <f>'Inputs - Tables de production'!J101</f>
        <v>1240</v>
      </c>
      <c r="K44" s="157">
        <v>150</v>
      </c>
      <c r="L44" s="161">
        <f t="shared" si="0"/>
        <v>54.641013669919857</v>
      </c>
      <c r="N44" s="158" t="s">
        <v>123</v>
      </c>
      <c r="O44" s="164"/>
      <c r="P44" s="163"/>
      <c r="Q44" s="157">
        <v>80</v>
      </c>
      <c r="R44" s="161">
        <f t="shared" si="1"/>
        <v>-80</v>
      </c>
      <c r="T44" s="158" t="s">
        <v>123</v>
      </c>
      <c r="U44" s="164"/>
      <c r="V44" s="163"/>
      <c r="W44" s="157">
        <v>80</v>
      </c>
      <c r="X44" s="161">
        <f t="shared" si="2"/>
        <v>-80</v>
      </c>
    </row>
    <row r="45" spans="1:24" s="20" customFormat="1" x14ac:dyDescent="0.25">
      <c r="A45" s="40"/>
      <c r="B45" s="158" t="s">
        <v>124</v>
      </c>
      <c r="C45" s="234">
        <f>'Inputs - Tables de production'!AH113</f>
        <v>40</v>
      </c>
      <c r="D45" s="163">
        <f>'Inputs - Tables de production'!AJ113</f>
        <v>207.87690239197528</v>
      </c>
      <c r="E45" s="157">
        <v>150</v>
      </c>
      <c r="F45" s="161">
        <f t="shared" si="3"/>
        <v>9.9507006512151275</v>
      </c>
      <c r="G45" s="155"/>
      <c r="H45" s="158" t="s">
        <v>124</v>
      </c>
      <c r="I45" s="234">
        <f>'Inputs - Tables de production'!H102</f>
        <v>78</v>
      </c>
      <c r="J45" s="163">
        <f>'Inputs - Tables de production'!J102</f>
        <v>1920</v>
      </c>
      <c r="K45" s="157">
        <v>150</v>
      </c>
      <c r="L45" s="161">
        <f t="shared" si="0"/>
        <v>57.135049962340204</v>
      </c>
      <c r="N45" s="158" t="s">
        <v>124</v>
      </c>
      <c r="O45" s="164"/>
      <c r="P45" s="163"/>
      <c r="Q45" s="157">
        <v>80</v>
      </c>
      <c r="R45" s="161">
        <f t="shared" si="1"/>
        <v>-80</v>
      </c>
      <c r="T45" s="158" t="s">
        <v>124</v>
      </c>
      <c r="U45" s="164"/>
      <c r="V45" s="163"/>
      <c r="W45" s="157">
        <v>80</v>
      </c>
      <c r="X45" s="161">
        <f t="shared" si="2"/>
        <v>-80</v>
      </c>
    </row>
    <row r="46" spans="1:24" s="20" customFormat="1" x14ac:dyDescent="0.25">
      <c r="A46" s="40"/>
      <c r="B46" s="158" t="s">
        <v>125</v>
      </c>
      <c r="C46" s="234">
        <f>'Inputs - Tables de production'!AH114</f>
        <v>45</v>
      </c>
      <c r="D46" s="163">
        <f>'Inputs - Tables de production'!AJ114</f>
        <v>235.83375199331283</v>
      </c>
      <c r="E46" s="157">
        <v>150</v>
      </c>
      <c r="F46" s="161">
        <f t="shared" si="3"/>
        <v>11.841999184694386</v>
      </c>
      <c r="G46" s="155"/>
      <c r="H46" s="158" t="s">
        <v>125</v>
      </c>
      <c r="I46" s="234">
        <f>'Inputs - Tables de production'!H103</f>
        <v>88</v>
      </c>
      <c r="J46" s="163">
        <f>'Inputs - Tables de production'!J103</f>
        <v>4200</v>
      </c>
      <c r="K46" s="157">
        <v>150</v>
      </c>
      <c r="L46" s="161">
        <f t="shared" si="0"/>
        <v>84.18243116041117</v>
      </c>
      <c r="N46" s="158" t="s">
        <v>125</v>
      </c>
      <c r="O46" s="164"/>
      <c r="P46" s="163"/>
      <c r="Q46" s="157">
        <v>80</v>
      </c>
      <c r="R46" s="161">
        <f t="shared" si="1"/>
        <v>-80</v>
      </c>
      <c r="T46" s="158" t="s">
        <v>125</v>
      </c>
      <c r="U46" s="164"/>
      <c r="V46" s="163"/>
      <c r="W46" s="157">
        <v>80</v>
      </c>
      <c r="X46" s="161">
        <f t="shared" si="2"/>
        <v>-80</v>
      </c>
    </row>
    <row r="47" spans="1:24" s="20" customFormat="1" x14ac:dyDescent="0.25">
      <c r="A47" s="40"/>
      <c r="B47" s="158" t="s">
        <v>126</v>
      </c>
      <c r="C47" s="234">
        <f>'Inputs - Tables de production'!AH115</f>
        <v>50</v>
      </c>
      <c r="D47" s="163">
        <f>'Inputs - Tables de production'!AJ115</f>
        <v>264.28112666109399</v>
      </c>
      <c r="E47" s="157">
        <v>150</v>
      </c>
      <c r="F47" s="161">
        <f t="shared" si="3"/>
        <v>12.652023530330073</v>
      </c>
      <c r="G47" s="155"/>
      <c r="H47" s="158" t="s">
        <v>126</v>
      </c>
      <c r="I47" s="234">
        <f>'Inputs - Tables de production'!H104</f>
        <v>98</v>
      </c>
      <c r="J47" s="163">
        <f>'Inputs - Tables de production'!J104</f>
        <v>4080</v>
      </c>
      <c r="K47" s="157">
        <v>150</v>
      </c>
      <c r="L47" s="161">
        <f t="shared" si="0"/>
        <v>52.601252645820907</v>
      </c>
      <c r="N47" s="158" t="s">
        <v>126</v>
      </c>
      <c r="O47" s="164"/>
      <c r="P47" s="163"/>
      <c r="Q47" s="157">
        <v>80</v>
      </c>
      <c r="R47" s="161">
        <f t="shared" si="1"/>
        <v>-80</v>
      </c>
      <c r="T47" s="158" t="s">
        <v>126</v>
      </c>
      <c r="U47" s="164"/>
      <c r="V47" s="163"/>
      <c r="W47" s="157">
        <v>80</v>
      </c>
      <c r="X47" s="161">
        <f t="shared" si="2"/>
        <v>-80</v>
      </c>
    </row>
    <row r="48" spans="1:24" s="20" customFormat="1" ht="16.5" x14ac:dyDescent="0.3">
      <c r="A48" s="166"/>
      <c r="B48" s="158" t="s">
        <v>127</v>
      </c>
      <c r="C48" s="234">
        <f>'Inputs - Tables de production'!AH116</f>
        <v>55</v>
      </c>
      <c r="D48" s="163">
        <f>'Inputs - Tables de production'!AJ116</f>
        <v>293.1372722175783</v>
      </c>
      <c r="E48" s="157">
        <v>150</v>
      </c>
      <c r="F48" s="161">
        <f t="shared" si="3"/>
        <v>12.716182786351132</v>
      </c>
      <c r="G48" s="155"/>
      <c r="H48" s="158" t="s">
        <v>127</v>
      </c>
      <c r="I48" s="234">
        <f>'Inputs - Tables de production'!H105</f>
        <v>108</v>
      </c>
      <c r="J48" s="163">
        <f>'Inputs - Tables de production'!J105</f>
        <v>4680</v>
      </c>
      <c r="K48" s="157">
        <v>150</v>
      </c>
      <c r="L48" s="161">
        <f t="shared" si="0"/>
        <v>39.042609205367327</v>
      </c>
      <c r="N48" s="158" t="s">
        <v>127</v>
      </c>
      <c r="O48" s="164"/>
      <c r="P48" s="163"/>
      <c r="Q48" s="157">
        <v>80</v>
      </c>
      <c r="R48" s="161">
        <f t="shared" si="1"/>
        <v>-80</v>
      </c>
      <c r="T48" s="158" t="s">
        <v>127</v>
      </c>
      <c r="U48" s="164"/>
      <c r="V48" s="163"/>
      <c r="W48" s="157">
        <v>80</v>
      </c>
      <c r="X48" s="161">
        <f t="shared" si="2"/>
        <v>-80</v>
      </c>
    </row>
    <row r="49" spans="1:24" s="20" customFormat="1" ht="16.5" x14ac:dyDescent="0.3">
      <c r="A49" s="166"/>
      <c r="B49" s="158" t="s">
        <v>128</v>
      </c>
      <c r="C49" s="234">
        <f>'Inputs - Tables de production'!AH117</f>
        <v>60</v>
      </c>
      <c r="D49" s="163">
        <f>'Inputs - Tables de production'!AJ117</f>
        <v>322.33406018131529</v>
      </c>
      <c r="E49" s="157">
        <v>150</v>
      </c>
      <c r="F49" s="161">
        <f t="shared" si="3"/>
        <v>12.285524243319307</v>
      </c>
      <c r="G49" s="155"/>
      <c r="H49" s="158" t="s">
        <v>128</v>
      </c>
      <c r="I49" s="234">
        <f>'Inputs - Tables de production'!H106</f>
        <v>118</v>
      </c>
      <c r="J49" s="163">
        <f>'Inputs - Tables de production'!J106</f>
        <v>4800</v>
      </c>
      <c r="K49" s="157">
        <v>150</v>
      </c>
      <c r="L49" s="161">
        <f t="shared" si="0"/>
        <v>25.806593451209523</v>
      </c>
      <c r="N49" s="158" t="s">
        <v>128</v>
      </c>
      <c r="O49" s="164"/>
      <c r="P49" s="163"/>
      <c r="Q49" s="157">
        <v>80</v>
      </c>
      <c r="R49" s="161">
        <f t="shared" si="1"/>
        <v>-80</v>
      </c>
      <c r="T49" s="158" t="s">
        <v>128</v>
      </c>
      <c r="U49" s="164"/>
      <c r="V49" s="163"/>
      <c r="W49" s="157">
        <v>80</v>
      </c>
      <c r="X49" s="161">
        <f t="shared" si="2"/>
        <v>-80</v>
      </c>
    </row>
    <row r="50" spans="1:24" s="20" customFormat="1" ht="16.5" x14ac:dyDescent="0.3">
      <c r="A50" s="169"/>
      <c r="B50" s="158" t="s">
        <v>129</v>
      </c>
      <c r="C50" s="234">
        <f>'Inputs - Tables de production'!AH118</f>
        <v>65</v>
      </c>
      <c r="D50" s="163">
        <f>'Inputs - Tables de production'!AJ118</f>
        <v>351.8147168177627</v>
      </c>
      <c r="E50" s="157">
        <v>150</v>
      </c>
      <c r="F50" s="161">
        <f t="shared" si="3"/>
        <v>11.545000439896709</v>
      </c>
      <c r="G50" s="40"/>
      <c r="H50" s="158" t="s">
        <v>129</v>
      </c>
      <c r="I50" s="234">
        <f>'Inputs - Tables de production'!H107</f>
        <v>128</v>
      </c>
      <c r="J50" s="163">
        <f>'Inputs - Tables de production'!J107</f>
        <v>4680</v>
      </c>
      <c r="K50" s="157">
        <v>150</v>
      </c>
      <c r="L50" s="161">
        <f t="shared" si="0"/>
        <v>16.188739130461197</v>
      </c>
      <c r="N50" s="158" t="s">
        <v>129</v>
      </c>
      <c r="O50" s="96"/>
      <c r="P50" s="165"/>
      <c r="Q50" s="157">
        <v>80</v>
      </c>
      <c r="R50" s="161">
        <f t="shared" si="1"/>
        <v>-80</v>
      </c>
      <c r="T50" s="158" t="s">
        <v>129</v>
      </c>
      <c r="U50" s="96"/>
      <c r="V50" s="165"/>
      <c r="W50" s="157">
        <v>80</v>
      </c>
      <c r="X50" s="161">
        <f t="shared" si="2"/>
        <v>-80</v>
      </c>
    </row>
    <row r="51" spans="1:24" s="20" customFormat="1" ht="16.5" x14ac:dyDescent="0.3">
      <c r="A51" s="169"/>
      <c r="B51" s="158" t="s">
        <v>130</v>
      </c>
      <c r="C51" s="234">
        <f>'Inputs - Tables de production'!AH119</f>
        <v>70</v>
      </c>
      <c r="D51" s="163">
        <f>'Inputs - Tables de production'!AJ119</f>
        <v>2289.1915840888123</v>
      </c>
      <c r="E51" s="157">
        <v>150</v>
      </c>
      <c r="F51" s="161">
        <f t="shared" si="3"/>
        <v>98.199516627975129</v>
      </c>
      <c r="G51" s="40"/>
      <c r="H51" s="158" t="s">
        <v>130</v>
      </c>
      <c r="I51" s="234">
        <f>'Inputs - Tables de production'!H108</f>
        <v>138</v>
      </c>
      <c r="J51" s="163">
        <f>'Inputs - Tables de production'!J108</f>
        <v>4680</v>
      </c>
      <c r="K51" s="157">
        <v>150</v>
      </c>
      <c r="L51" s="161">
        <f t="shared" si="0"/>
        <v>10.424377263266937</v>
      </c>
      <c r="N51" s="158" t="s">
        <v>130</v>
      </c>
      <c r="O51" s="96"/>
      <c r="P51" s="165"/>
      <c r="Q51" s="157">
        <v>80</v>
      </c>
      <c r="R51" s="161">
        <f t="shared" si="1"/>
        <v>-80</v>
      </c>
      <c r="T51" s="158" t="s">
        <v>130</v>
      </c>
      <c r="U51" s="96"/>
      <c r="V51" s="165"/>
      <c r="W51" s="157">
        <v>80</v>
      </c>
      <c r="X51" s="161">
        <f t="shared" si="2"/>
        <v>-80</v>
      </c>
    </row>
    <row r="52" spans="1:24" s="20" customFormat="1" ht="16.5" x14ac:dyDescent="0.3">
      <c r="B52" s="158"/>
      <c r="C52" s="235"/>
      <c r="D52" s="236"/>
      <c r="E52" s="237" t="s">
        <v>334</v>
      </c>
      <c r="F52" s="181">
        <f>SUM(F35:F51)</f>
        <v>-1845.3093904328537</v>
      </c>
      <c r="G52" s="166"/>
      <c r="H52" s="158" t="s">
        <v>131</v>
      </c>
      <c r="I52" s="234">
        <f>'Inputs - Tables de production'!H109</f>
        <v>148</v>
      </c>
      <c r="J52" s="163">
        <f>'Inputs - Tables de production'!J109</f>
        <v>6560</v>
      </c>
      <c r="K52" s="157">
        <v>150</v>
      </c>
      <c r="L52" s="161">
        <f t="shared" si="0"/>
        <v>9.4983253890567934</v>
      </c>
      <c r="N52" s="158" t="s">
        <v>131</v>
      </c>
      <c r="O52" s="167"/>
      <c r="P52" s="168"/>
      <c r="Q52" s="157">
        <v>80</v>
      </c>
      <c r="R52" s="161">
        <f t="shared" si="1"/>
        <v>-80</v>
      </c>
      <c r="T52" s="158" t="s">
        <v>131</v>
      </c>
      <c r="U52" s="167"/>
      <c r="V52" s="168"/>
      <c r="W52" s="157">
        <v>80</v>
      </c>
      <c r="X52" s="161">
        <f t="shared" si="2"/>
        <v>-80</v>
      </c>
    </row>
    <row r="53" spans="1:24" s="20" customFormat="1" ht="16.5" x14ac:dyDescent="0.3">
      <c r="A53" s="166"/>
      <c r="B53" s="158"/>
      <c r="C53" s="235"/>
      <c r="D53" s="236"/>
      <c r="E53" s="237"/>
      <c r="F53" s="181"/>
      <c r="G53" s="166"/>
      <c r="H53" s="158" t="s">
        <v>132</v>
      </c>
      <c r="I53" s="234">
        <f>'Inputs - Tables de production'!H110</f>
        <v>158</v>
      </c>
      <c r="J53" s="163">
        <f>'Inputs - Tables de production'!J110</f>
        <v>6560</v>
      </c>
      <c r="K53" s="157">
        <v>150</v>
      </c>
      <c r="L53" s="161">
        <f t="shared" si="0"/>
        <v>6.1162346509424506</v>
      </c>
      <c r="N53" s="158" t="s">
        <v>132</v>
      </c>
      <c r="O53" s="167"/>
      <c r="P53" s="168"/>
      <c r="Q53" s="157">
        <v>80</v>
      </c>
      <c r="R53" s="161">
        <f t="shared" si="1"/>
        <v>-80</v>
      </c>
      <c r="T53" s="158" t="s">
        <v>132</v>
      </c>
      <c r="U53" s="167"/>
      <c r="V53" s="168"/>
      <c r="W53" s="157">
        <v>80</v>
      </c>
      <c r="X53" s="161">
        <f t="shared" si="2"/>
        <v>-80</v>
      </c>
    </row>
    <row r="54" spans="1:24" s="20" customFormat="1" ht="16.5" x14ac:dyDescent="0.3">
      <c r="A54" s="169"/>
      <c r="B54" s="158"/>
      <c r="C54" s="235"/>
      <c r="D54" s="236"/>
      <c r="E54" s="237"/>
      <c r="F54" s="181"/>
      <c r="G54" s="169"/>
      <c r="H54" s="158" t="s">
        <v>133</v>
      </c>
      <c r="I54" s="234">
        <f>'Inputs - Tables de production'!H111</f>
        <v>168</v>
      </c>
      <c r="J54" s="163">
        <f>'Inputs - Tables de production'!J111</f>
        <v>6560</v>
      </c>
      <c r="K54" s="157">
        <v>150</v>
      </c>
      <c r="L54" s="161">
        <f t="shared" si="0"/>
        <v>3.9384128015332034</v>
      </c>
      <c r="N54" s="158" t="s">
        <v>133</v>
      </c>
      <c r="O54" s="167"/>
      <c r="P54" s="168"/>
      <c r="Q54" s="157">
        <v>80</v>
      </c>
      <c r="R54" s="161">
        <f t="shared" si="1"/>
        <v>-80</v>
      </c>
      <c r="T54" s="158" t="s">
        <v>133</v>
      </c>
      <c r="U54" s="167"/>
      <c r="V54" s="168"/>
      <c r="W54" s="157">
        <v>80</v>
      </c>
      <c r="X54" s="161">
        <f t="shared" si="2"/>
        <v>-80</v>
      </c>
    </row>
    <row r="55" spans="1:24" s="20" customFormat="1" ht="16.5" x14ac:dyDescent="0.3">
      <c r="A55" s="169"/>
      <c r="B55" s="158"/>
      <c r="C55" s="235"/>
      <c r="D55" s="236"/>
      <c r="E55" s="155"/>
      <c r="F55" s="181"/>
      <c r="G55" s="169"/>
      <c r="H55" s="158" t="s">
        <v>134</v>
      </c>
      <c r="I55" s="234">
        <f>'Inputs - Tables de production'!H112</f>
        <v>180</v>
      </c>
      <c r="J55" s="163">
        <f>'Inputs - Tables de production'!J112</f>
        <v>58880</v>
      </c>
      <c r="K55" s="157">
        <v>150</v>
      </c>
      <c r="L55" s="161">
        <f t="shared" si="0"/>
        <v>21.277848892756303</v>
      </c>
      <c r="N55" s="158" t="s">
        <v>134</v>
      </c>
      <c r="O55" s="167"/>
      <c r="P55" s="168"/>
      <c r="Q55" s="157">
        <v>80</v>
      </c>
      <c r="R55" s="161">
        <f t="shared" si="1"/>
        <v>-80</v>
      </c>
      <c r="T55" s="158" t="s">
        <v>134</v>
      </c>
      <c r="U55" s="167"/>
      <c r="V55" s="168"/>
      <c r="W55" s="157">
        <v>80</v>
      </c>
      <c r="X55" s="161">
        <f t="shared" si="2"/>
        <v>-80</v>
      </c>
    </row>
    <row r="56" spans="1:24" s="20" customFormat="1" ht="16.5" x14ac:dyDescent="0.3">
      <c r="B56" s="158"/>
      <c r="C56" s="169"/>
      <c r="D56" s="169"/>
      <c r="E56" s="169"/>
      <c r="F56" s="169"/>
      <c r="G56" s="169"/>
      <c r="H56" s="158" t="s">
        <v>334</v>
      </c>
      <c r="I56" s="169"/>
      <c r="J56" s="169"/>
      <c r="K56" s="169"/>
      <c r="L56" s="238">
        <f>SUM(L35:L55)</f>
        <v>-2086.4368427227473</v>
      </c>
      <c r="N56" s="158" t="s">
        <v>140</v>
      </c>
      <c r="O56" s="169"/>
      <c r="P56" s="169"/>
      <c r="Q56" s="169"/>
      <c r="R56" s="169"/>
      <c r="T56" s="158" t="s">
        <v>140</v>
      </c>
      <c r="U56" s="169"/>
      <c r="V56" s="169"/>
      <c r="W56" s="169"/>
      <c r="X56" s="169"/>
    </row>
    <row r="57" spans="1:24" s="20" customFormat="1" ht="16.5" x14ac:dyDescent="0.3">
      <c r="B57" s="169"/>
    </row>
    <row r="58" spans="1:24" s="20" customFormat="1" x14ac:dyDescent="0.25">
      <c r="C58" s="214" t="s">
        <v>337</v>
      </c>
      <c r="D58">
        <f>F52*G11+L56*G16</f>
        <v>-9957.300008685681</v>
      </c>
      <c r="I58" s="214"/>
      <c r="J58"/>
      <c r="K58" s="155"/>
    </row>
    <row r="59" spans="1:24" s="20" customFormat="1" x14ac:dyDescent="0.25">
      <c r="C59" s="214"/>
      <c r="D59" s="233"/>
      <c r="I59" s="214"/>
      <c r="J59" s="233"/>
    </row>
    <row r="60" spans="1:24" s="20" customFormat="1" x14ac:dyDescent="0.25">
      <c r="C60"/>
      <c r="D60"/>
      <c r="I60"/>
      <c r="J60"/>
    </row>
    <row r="61" spans="1:24" s="20" customFormat="1" x14ac:dyDescent="0.25">
      <c r="C61" t="s">
        <v>338</v>
      </c>
      <c r="D61" s="11">
        <f>5.2*D4</f>
        <v>89.22824161536542</v>
      </c>
      <c r="I61"/>
      <c r="J61"/>
    </row>
    <row r="62" spans="1:24" s="20" customFormat="1" x14ac:dyDescent="0.25">
      <c r="C62"/>
      <c r="D62" s="11"/>
      <c r="I62"/>
      <c r="J62" s="11"/>
    </row>
    <row r="63" spans="1:24" s="20" customFormat="1" x14ac:dyDescent="0.25">
      <c r="C63" t="s">
        <v>339</v>
      </c>
      <c r="D63" s="11">
        <f>D58-D61</f>
        <v>-10046.528250301046</v>
      </c>
      <c r="I63"/>
      <c r="J63" s="11"/>
    </row>
    <row r="64" spans="1:24" s="20" customFormat="1" x14ac:dyDescent="0.25">
      <c r="C64"/>
      <c r="D64" s="11"/>
      <c r="I64"/>
      <c r="J64" s="11"/>
    </row>
    <row r="65" spans="3:10" s="20" customFormat="1" x14ac:dyDescent="0.25">
      <c r="C65"/>
      <c r="D65"/>
      <c r="I65"/>
      <c r="J65"/>
    </row>
    <row r="66" spans="3:10" s="20" customFormat="1" x14ac:dyDescent="0.25"/>
    <row r="67" spans="3:10" s="20" customFormat="1" x14ac:dyDescent="0.25"/>
    <row r="68" spans="3:10" s="20" customFormat="1" x14ac:dyDescent="0.25"/>
    <row r="69" spans="3:10" s="20" customFormat="1" x14ac:dyDescent="0.25"/>
    <row r="70" spans="3:10" s="20" customFormat="1" x14ac:dyDescent="0.25"/>
    <row r="71" spans="3:10" s="20" customFormat="1" x14ac:dyDescent="0.25"/>
    <row r="72" spans="3:10" s="20" customFormat="1" x14ac:dyDescent="0.25">
      <c r="G72" s="250"/>
      <c r="H72" s="250"/>
      <c r="I72" s="250"/>
    </row>
    <row r="73" spans="3:10" s="20" customFormat="1" x14ac:dyDescent="0.25"/>
    <row r="74" spans="3:10" s="20" customFormat="1" x14ac:dyDescent="0.25"/>
    <row r="75" spans="3:10" s="20" customFormat="1" x14ac:dyDescent="0.25"/>
    <row r="76" spans="3:10" s="20" customFormat="1" x14ac:dyDescent="0.25"/>
    <row r="77" spans="3:10" s="20" customFormat="1" x14ac:dyDescent="0.25"/>
    <row r="78" spans="3:10" s="20" customFormat="1" x14ac:dyDescent="0.25"/>
    <row r="79" spans="3:10" s="20" customFormat="1" x14ac:dyDescent="0.25"/>
    <row r="80" spans="3:10" s="20" customFormat="1" x14ac:dyDescent="0.25"/>
    <row r="81" spans="2:3" s="20" customFormat="1" x14ac:dyDescent="0.25"/>
    <row r="82" spans="2:3" s="20" customFormat="1" x14ac:dyDescent="0.25"/>
    <row r="83" spans="2:3" s="20" customFormat="1" x14ac:dyDescent="0.25"/>
    <row r="84" spans="2:3" s="20" customFormat="1" x14ac:dyDescent="0.25"/>
    <row r="85" spans="2:3" s="20" customFormat="1" x14ac:dyDescent="0.25"/>
    <row r="86" spans="2:3" s="20" customFormat="1" x14ac:dyDescent="0.25"/>
    <row r="87" spans="2:3" s="20" customFormat="1" x14ac:dyDescent="0.25">
      <c r="C87" s="70"/>
    </row>
    <row r="88" spans="2:3" s="20" customFormat="1" x14ac:dyDescent="0.25">
      <c r="C88" s="70"/>
    </row>
    <row r="89" spans="2:3" s="20" customFormat="1" x14ac:dyDescent="0.25"/>
    <row r="90" spans="2:3" s="20" customFormat="1" x14ac:dyDescent="0.25"/>
    <row r="91" spans="2:3" s="20" customFormat="1" x14ac:dyDescent="0.25"/>
    <row r="92" spans="2:3" s="20" customFormat="1" x14ac:dyDescent="0.25">
      <c r="C92" s="71"/>
    </row>
    <row r="93" spans="2:3" s="20" customFormat="1" x14ac:dyDescent="0.25">
      <c r="C93" s="71"/>
    </row>
    <row r="94" spans="2:3" s="20" customFormat="1" x14ac:dyDescent="0.25"/>
    <row r="95" spans="2:3" s="20" customFormat="1" x14ac:dyDescent="0.25">
      <c r="C95" s="71"/>
    </row>
    <row r="96" spans="2:3" s="20" customFormat="1" x14ac:dyDescent="0.25">
      <c r="B96" s="72"/>
    </row>
    <row r="97" s="20" customFormat="1" x14ac:dyDescent="0.25"/>
    <row r="98" s="20" customFormat="1" x14ac:dyDescent="0.25"/>
    <row r="99" s="20" customFormat="1" x14ac:dyDescent="0.25"/>
    <row r="100" s="20" customFormat="1" x14ac:dyDescent="0.25"/>
    <row r="101" s="20" customFormat="1" x14ac:dyDescent="0.25"/>
    <row r="102" s="20" customFormat="1" x14ac:dyDescent="0.25"/>
    <row r="103" s="20" customFormat="1" x14ac:dyDescent="0.25"/>
    <row r="104" s="20" customFormat="1" x14ac:dyDescent="0.25"/>
    <row r="105" s="20" customFormat="1" x14ac:dyDescent="0.25"/>
    <row r="106" s="20" customFormat="1" x14ac:dyDescent="0.25"/>
    <row r="107" s="20" customFormat="1" x14ac:dyDescent="0.25"/>
    <row r="108" s="20" customFormat="1" x14ac:dyDescent="0.25"/>
    <row r="109" s="20" customFormat="1" x14ac:dyDescent="0.25"/>
    <row r="110" s="20" customFormat="1" x14ac:dyDescent="0.25"/>
    <row r="111" s="20" customFormat="1" x14ac:dyDescent="0.25"/>
    <row r="112" s="20" customFormat="1" x14ac:dyDescent="0.25"/>
    <row r="113" spans="1:9" s="20" customFormat="1" x14ac:dyDescent="0.25"/>
    <row r="114" spans="1:9" s="20" customFormat="1" x14ac:dyDescent="0.25"/>
    <row r="115" spans="1:9" s="20" customFormat="1" x14ac:dyDescent="0.25"/>
    <row r="116" spans="1:9" s="20" customFormat="1" x14ac:dyDescent="0.25"/>
    <row r="117" spans="1:9" s="20" customFormat="1" x14ac:dyDescent="0.25"/>
    <row r="118" spans="1:9" s="20" customFormat="1" x14ac:dyDescent="0.25"/>
    <row r="119" spans="1:9" s="20" customFormat="1" x14ac:dyDescent="0.25"/>
    <row r="120" spans="1:9" s="20" customFormat="1" x14ac:dyDescent="0.25"/>
    <row r="121" spans="1:9" s="20" customFormat="1" x14ac:dyDescent="0.25"/>
    <row r="122" spans="1:9" s="20" customFormat="1" x14ac:dyDescent="0.25"/>
    <row r="123" spans="1:9" s="20" customFormat="1" x14ac:dyDescent="0.25"/>
    <row r="124" spans="1:9" s="20" customFormat="1" x14ac:dyDescent="0.25"/>
    <row r="125" spans="1:9" x14ac:dyDescent="0.25">
      <c r="A125" s="20"/>
      <c r="B125" s="20"/>
      <c r="C125" s="20"/>
      <c r="D125" s="20"/>
      <c r="E125" s="20"/>
      <c r="F125" s="20"/>
      <c r="G125" s="20"/>
      <c r="H125" s="20"/>
      <c r="I125" s="20"/>
    </row>
    <row r="126" spans="1:9" x14ac:dyDescent="0.25">
      <c r="A126" s="20"/>
      <c r="B126" s="20"/>
      <c r="C126" s="20"/>
      <c r="D126" s="20"/>
      <c r="E126" s="20"/>
      <c r="F126" s="20"/>
      <c r="G126" s="20"/>
      <c r="H126" s="20"/>
      <c r="I126" s="20"/>
    </row>
    <row r="127" spans="1:9" x14ac:dyDescent="0.25">
      <c r="A127" s="20"/>
      <c r="B127" s="20"/>
      <c r="C127" s="20"/>
      <c r="D127" s="20"/>
      <c r="E127" s="20"/>
      <c r="F127" s="20"/>
      <c r="G127" s="20"/>
      <c r="H127" s="20"/>
      <c r="I127" s="20"/>
    </row>
    <row r="128" spans="1:9" x14ac:dyDescent="0.25">
      <c r="A128" s="20"/>
      <c r="B128" s="20"/>
      <c r="C128" s="20"/>
      <c r="D128" s="20"/>
      <c r="E128" s="20"/>
      <c r="F128" s="20"/>
      <c r="G128" s="20"/>
      <c r="H128" s="20"/>
      <c r="I128" s="20"/>
    </row>
    <row r="129" spans="1:9" x14ac:dyDescent="0.25">
      <c r="A129" s="20"/>
      <c r="B129" s="20"/>
      <c r="C129" s="20"/>
      <c r="D129" s="20"/>
      <c r="E129" s="20"/>
      <c r="F129" s="20"/>
      <c r="G129" s="20"/>
      <c r="H129" s="20"/>
      <c r="I129" s="20"/>
    </row>
    <row r="130" spans="1:9" x14ac:dyDescent="0.25">
      <c r="A130" s="20"/>
      <c r="B130" s="20"/>
      <c r="C130" s="20"/>
      <c r="D130" s="20"/>
      <c r="E130" s="20"/>
      <c r="F130" s="20"/>
      <c r="G130" s="20"/>
      <c r="H130" s="20"/>
      <c r="I130" s="20"/>
    </row>
    <row r="131" spans="1:9" x14ac:dyDescent="0.25">
      <c r="A131" s="20"/>
      <c r="B131" s="20"/>
      <c r="C131" s="20"/>
      <c r="D131" s="20"/>
      <c r="E131" s="20"/>
      <c r="F131" s="20"/>
      <c r="G131" s="20"/>
      <c r="H131" s="20"/>
      <c r="I131" s="20"/>
    </row>
    <row r="132" spans="1:9" x14ac:dyDescent="0.25">
      <c r="A132" s="20"/>
      <c r="B132" s="20"/>
      <c r="C132" s="20"/>
      <c r="D132" s="20"/>
      <c r="E132" s="20"/>
      <c r="F132" s="20"/>
      <c r="G132" s="20"/>
      <c r="H132" s="20"/>
      <c r="I132" s="20"/>
    </row>
    <row r="133" spans="1:9" x14ac:dyDescent="0.25">
      <c r="A133" s="20"/>
      <c r="B133" s="20"/>
      <c r="C133" s="20"/>
      <c r="D133" s="20"/>
      <c r="E133" s="20"/>
      <c r="F133" s="20"/>
      <c r="G133" s="20"/>
      <c r="H133" s="20"/>
      <c r="I133" s="20"/>
    </row>
    <row r="134" spans="1:9" x14ac:dyDescent="0.25">
      <c r="A134" s="20"/>
      <c r="B134" s="20"/>
      <c r="C134" s="20"/>
      <c r="D134" s="20"/>
      <c r="E134" s="20"/>
      <c r="F134" s="20"/>
      <c r="G134" s="20"/>
      <c r="H134" s="20"/>
      <c r="I134" s="20"/>
    </row>
    <row r="135" spans="1:9" x14ac:dyDescent="0.25">
      <c r="A135" s="20"/>
      <c r="B135" s="20"/>
      <c r="C135" s="20"/>
      <c r="D135" s="20"/>
      <c r="E135" s="20"/>
      <c r="F135" s="20"/>
      <c r="G135" s="20"/>
      <c r="H135" s="20"/>
      <c r="I135" s="20"/>
    </row>
    <row r="136" spans="1:9" x14ac:dyDescent="0.25">
      <c r="A136" s="20"/>
      <c r="B136" s="20"/>
      <c r="C136" s="20"/>
      <c r="D136" s="20"/>
      <c r="E136" s="20"/>
      <c r="F136" s="20"/>
      <c r="G136" s="20"/>
      <c r="H136" s="20"/>
      <c r="I136" s="20"/>
    </row>
    <row r="137" spans="1:9" x14ac:dyDescent="0.25">
      <c r="A137" s="20"/>
      <c r="B137" s="20"/>
      <c r="C137" s="20"/>
      <c r="D137" s="20"/>
      <c r="E137" s="20"/>
      <c r="F137" s="20"/>
      <c r="G137" s="20"/>
      <c r="H137" s="20"/>
      <c r="I137" s="20"/>
    </row>
    <row r="138" spans="1:9" x14ac:dyDescent="0.25">
      <c r="A138" s="20"/>
      <c r="B138" s="20"/>
      <c r="C138" s="20"/>
      <c r="D138" s="20"/>
      <c r="E138" s="20"/>
      <c r="F138" s="20"/>
      <c r="G138" s="20"/>
      <c r="H138" s="20"/>
      <c r="I138" s="20"/>
    </row>
    <row r="139" spans="1:9" x14ac:dyDescent="0.25">
      <c r="A139" s="20"/>
      <c r="B139" s="20"/>
      <c r="C139" s="20"/>
      <c r="D139" s="20"/>
      <c r="E139" s="20"/>
      <c r="F139" s="20"/>
      <c r="G139" s="20"/>
      <c r="H139" s="20"/>
      <c r="I139" s="20"/>
    </row>
    <row r="140" spans="1:9" x14ac:dyDescent="0.25">
      <c r="A140" s="20"/>
      <c r="B140" s="20"/>
      <c r="C140" s="20"/>
      <c r="D140" s="20"/>
      <c r="E140" s="20"/>
      <c r="F140" s="20"/>
      <c r="G140" s="20"/>
      <c r="H140" s="20"/>
      <c r="I140" s="20"/>
    </row>
    <row r="141" spans="1:9" x14ac:dyDescent="0.25">
      <c r="A141" s="20"/>
      <c r="B141" s="20"/>
      <c r="C141" s="20"/>
      <c r="D141" s="20"/>
      <c r="E141" s="20"/>
      <c r="F141" s="20"/>
      <c r="G141" s="20"/>
      <c r="H141" s="20"/>
      <c r="I141" s="20"/>
    </row>
    <row r="142" spans="1:9" x14ac:dyDescent="0.25">
      <c r="A142" s="20"/>
      <c r="B142" s="20"/>
      <c r="C142" s="20"/>
      <c r="D142" s="20"/>
      <c r="E142" s="20"/>
      <c r="F142" s="20"/>
      <c r="G142" s="20"/>
      <c r="H142" s="20"/>
      <c r="I142" s="20"/>
    </row>
    <row r="143" spans="1:9" x14ac:dyDescent="0.25">
      <c r="A143" s="20"/>
      <c r="B143" s="20"/>
      <c r="C143" s="20"/>
      <c r="D143" s="20"/>
      <c r="E143" s="20"/>
      <c r="F143" s="20"/>
      <c r="G143" s="20"/>
      <c r="H143" s="20"/>
      <c r="I143" s="20"/>
    </row>
    <row r="144" spans="1:9" x14ac:dyDescent="0.25">
      <c r="A144" s="20"/>
      <c r="B144" s="20"/>
      <c r="C144" s="20"/>
      <c r="D144" s="20"/>
      <c r="E144" s="20"/>
      <c r="F144" s="20"/>
      <c r="G144" s="20"/>
      <c r="H144" s="20"/>
      <c r="I144" s="20"/>
    </row>
    <row r="145" spans="2:2" x14ac:dyDescent="0.25">
      <c r="B145" s="20"/>
    </row>
  </sheetData>
  <mergeCells count="35">
    <mergeCell ref="J21:J24"/>
    <mergeCell ref="A1:I1"/>
    <mergeCell ref="A8:I8"/>
    <mergeCell ref="A10:B10"/>
    <mergeCell ref="C10:D10"/>
    <mergeCell ref="C11:D11"/>
    <mergeCell ref="E11:E14"/>
    <mergeCell ref="G11:G15"/>
    <mergeCell ref="C14:D14"/>
    <mergeCell ref="C15:E15"/>
    <mergeCell ref="C12:D12"/>
    <mergeCell ref="C13:D13"/>
    <mergeCell ref="A11:B14"/>
    <mergeCell ref="A16:B19"/>
    <mergeCell ref="C16:D16"/>
    <mergeCell ref="E16:E19"/>
    <mergeCell ref="G16:G20"/>
    <mergeCell ref="C17:D17"/>
    <mergeCell ref="C18:D18"/>
    <mergeCell ref="C19:D19"/>
    <mergeCell ref="C20:E20"/>
    <mergeCell ref="A26:G26"/>
    <mergeCell ref="H26:I26"/>
    <mergeCell ref="G72:I72"/>
    <mergeCell ref="A21:G21"/>
    <mergeCell ref="H21:I21"/>
    <mergeCell ref="A25:G25"/>
    <mergeCell ref="H25:I25"/>
    <mergeCell ref="A24:G24"/>
    <mergeCell ref="H24:I24"/>
    <mergeCell ref="A28:I28"/>
    <mergeCell ref="A22:G22"/>
    <mergeCell ref="H22:I22"/>
    <mergeCell ref="A23:G23"/>
    <mergeCell ref="H23:I23"/>
  </mergeCells>
  <pageMargins left="0.7" right="0.7" top="0.75" bottom="0.75" header="0.3" footer="0.3"/>
  <pageSetup paperSize="9" scale="4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W148"/>
  <sheetViews>
    <sheetView showGridLines="0" view="pageBreakPreview" zoomScale="60" zoomScaleNormal="100" workbookViewId="0">
      <selection activeCell="I21" sqref="I21"/>
    </sheetView>
  </sheetViews>
  <sheetFormatPr baseColWidth="10" defaultRowHeight="15" x14ac:dyDescent="0.25"/>
  <cols>
    <col min="1" max="1" width="46" customWidth="1"/>
    <col min="2" max="2" width="36.85546875" customWidth="1"/>
    <col min="3" max="3" width="16.140625" customWidth="1"/>
    <col min="4" max="4" width="15.7109375" customWidth="1"/>
    <col min="9" max="9" width="27.85546875" bestFit="1" customWidth="1"/>
    <col min="10" max="10" width="13.5703125" bestFit="1" customWidth="1"/>
    <col min="11" max="11" width="14.140625" bestFit="1" customWidth="1"/>
    <col min="12" max="12" width="15" bestFit="1" customWidth="1"/>
    <col min="13" max="15" width="13.28515625" bestFit="1" customWidth="1"/>
    <col min="16" max="16" width="6.28515625" bestFit="1" customWidth="1"/>
  </cols>
  <sheetData>
    <row r="1" spans="1:23" x14ac:dyDescent="0.25">
      <c r="A1" s="42" t="s">
        <v>71</v>
      </c>
      <c r="B1" s="42">
        <v>1</v>
      </c>
      <c r="C1" s="43">
        <v>2</v>
      </c>
      <c r="D1" s="43">
        <v>3</v>
      </c>
      <c r="E1" s="44">
        <v>4</v>
      </c>
      <c r="F1" s="43">
        <v>5</v>
      </c>
      <c r="G1" s="44">
        <v>6</v>
      </c>
      <c r="I1" s="42" t="s">
        <v>148</v>
      </c>
      <c r="J1" s="42">
        <v>1</v>
      </c>
      <c r="K1" s="42">
        <v>2</v>
      </c>
      <c r="L1" s="42">
        <v>3</v>
      </c>
      <c r="M1" s="42">
        <v>4</v>
      </c>
      <c r="N1" s="43">
        <v>5</v>
      </c>
      <c r="O1" s="44">
        <v>6</v>
      </c>
      <c r="Q1" s="42" t="s">
        <v>219</v>
      </c>
      <c r="R1" s="42">
        <v>1</v>
      </c>
      <c r="S1" s="43">
        <v>2</v>
      </c>
      <c r="T1" s="43">
        <v>3</v>
      </c>
      <c r="U1" s="44">
        <v>4</v>
      </c>
      <c r="V1" s="43">
        <v>5</v>
      </c>
      <c r="W1" s="44">
        <v>6</v>
      </c>
    </row>
    <row r="2" spans="1:23" x14ac:dyDescent="0.25">
      <c r="A2" s="45" t="s">
        <v>38</v>
      </c>
      <c r="B2" s="83">
        <f>'Inputs - Tables de production'!B4</f>
        <v>15</v>
      </c>
      <c r="C2" s="83"/>
      <c r="D2" s="83"/>
      <c r="E2" s="83"/>
      <c r="F2" s="83"/>
      <c r="G2" s="83"/>
      <c r="I2" s="45" t="s">
        <v>38</v>
      </c>
      <c r="J2" s="86">
        <f>'Inputs - Tables de production'!C4</f>
        <v>-4085.3316290902881</v>
      </c>
      <c r="K2" s="86"/>
      <c r="L2" s="86"/>
      <c r="M2" s="86"/>
      <c r="N2" s="86"/>
      <c r="O2" s="86"/>
      <c r="Q2" s="45" t="s">
        <v>38</v>
      </c>
      <c r="R2" s="83">
        <f>'Inputs - Tables de production'!E4</f>
        <v>0</v>
      </c>
      <c r="S2" s="83"/>
      <c r="T2" s="83"/>
      <c r="U2" s="83"/>
      <c r="V2" s="83"/>
      <c r="W2" s="83"/>
    </row>
    <row r="3" spans="1:23" x14ac:dyDescent="0.25">
      <c r="A3" s="46" t="s">
        <v>187</v>
      </c>
      <c r="B3" s="123">
        <f>'Inputs - Tables de production'!I4</f>
        <v>81.571524999999994</v>
      </c>
      <c r="C3" s="123">
        <f>'Inputs - Tables de production'!I5</f>
        <v>60.103399999999965</v>
      </c>
      <c r="D3" s="123">
        <f>'Inputs - Tables de production'!I6</f>
        <v>43.951999999999984</v>
      </c>
      <c r="E3" s="84"/>
      <c r="F3" s="84"/>
      <c r="G3" s="84"/>
      <c r="I3" s="46" t="s">
        <v>187</v>
      </c>
      <c r="J3" s="87"/>
      <c r="K3" s="87"/>
      <c r="L3" s="87"/>
      <c r="M3" s="87"/>
      <c r="N3" s="87"/>
      <c r="O3" s="87"/>
      <c r="Q3" s="46" t="s">
        <v>187</v>
      </c>
      <c r="R3" s="123">
        <v>0</v>
      </c>
      <c r="S3" s="123">
        <v>0</v>
      </c>
      <c r="T3" s="123">
        <v>0</v>
      </c>
      <c r="U3" s="84"/>
      <c r="V3" s="84"/>
      <c r="W3" s="84"/>
    </row>
    <row r="4" spans="1:23" x14ac:dyDescent="0.25">
      <c r="A4" s="45" t="s">
        <v>110</v>
      </c>
      <c r="B4" s="83">
        <f>'Inputs - Tables de production'!R4</f>
        <v>493</v>
      </c>
      <c r="C4" s="83">
        <f>'Inputs - Tables de production'!R5</f>
        <v>436</v>
      </c>
      <c r="D4" s="83">
        <f>'Inputs - Tables de production'!R6</f>
        <v>366</v>
      </c>
      <c r="E4" s="83"/>
      <c r="F4" s="83"/>
      <c r="G4" s="83"/>
      <c r="I4" s="45" t="s">
        <v>110</v>
      </c>
      <c r="J4" s="86">
        <f>'Inputs - Tables de production'!S4</f>
        <v>-469.08938217533068</v>
      </c>
      <c r="K4" s="86">
        <f>'Inputs - Tables de production'!S5</f>
        <v>-907.83199025894532</v>
      </c>
      <c r="L4" s="86">
        <f>'Inputs - Tables de production'!S6</f>
        <v>-1347.0715612905028</v>
      </c>
      <c r="M4" s="86"/>
      <c r="N4" s="86"/>
      <c r="O4" s="86"/>
      <c r="Q4" s="45" t="s">
        <v>110</v>
      </c>
      <c r="R4" s="83">
        <f>'Inputs - Tables de production'!U4</f>
        <v>124</v>
      </c>
      <c r="S4" s="83">
        <f>'Inputs - Tables de production'!U5</f>
        <v>69</v>
      </c>
      <c r="T4" s="83">
        <f>'Inputs - Tables de production'!U6</f>
        <v>25</v>
      </c>
      <c r="U4" s="83"/>
      <c r="V4" s="83"/>
      <c r="W4" s="83"/>
    </row>
    <row r="5" spans="1:23" x14ac:dyDescent="0.25">
      <c r="A5" s="46" t="s">
        <v>40</v>
      </c>
      <c r="B5" s="84">
        <f>'Inputs - Tables de production'!AA4</f>
        <v>229.33333333333334</v>
      </c>
      <c r="C5" s="84">
        <f>'Inputs - Tables de production'!AA5</f>
        <v>184.66666666666666</v>
      </c>
      <c r="D5" s="84">
        <f>'Inputs - Tables de production'!AA6</f>
        <v>146.33333333333334</v>
      </c>
      <c r="E5" s="84"/>
      <c r="F5" s="84"/>
      <c r="G5" s="84"/>
      <c r="I5" s="46" t="s">
        <v>40</v>
      </c>
      <c r="J5" s="87">
        <f>'Inputs - Tables de production'!AB4</f>
        <v>-2546.68296526828</v>
      </c>
      <c r="K5" s="87">
        <f>'Inputs - Tables de production'!AB5</f>
        <v>-2869.7931596626904</v>
      </c>
      <c r="L5" s="87">
        <f>'Inputs - Tables de production'!AB6</f>
        <v>-3225.2977471226768</v>
      </c>
      <c r="M5" s="87"/>
      <c r="N5" s="87"/>
      <c r="O5" s="87"/>
      <c r="Q5" s="46" t="s">
        <v>40</v>
      </c>
      <c r="R5" s="84">
        <f>'Inputs - Tables de production'!AD4</f>
        <v>143</v>
      </c>
      <c r="S5" s="84">
        <f>'Inputs - Tables de production'!AD5</f>
        <v>103</v>
      </c>
      <c r="T5" s="84">
        <f>'Inputs - Tables de production'!AD6</f>
        <v>65</v>
      </c>
      <c r="U5" s="84"/>
      <c r="V5" s="84"/>
      <c r="W5" s="84"/>
    </row>
    <row r="6" spans="1:23" x14ac:dyDescent="0.25">
      <c r="A6" s="45" t="s">
        <v>23</v>
      </c>
      <c r="B6" s="83">
        <f>'Inputs - Tables de production'!AJ4</f>
        <v>223.99340856481479</v>
      </c>
      <c r="C6" s="83">
        <f>'Inputs - Tables de production'!AJ5</f>
        <v>192.30852430555558</v>
      </c>
      <c r="D6" s="83">
        <f>'Inputs - Tables de production'!AJ6</f>
        <v>161.75961226851854</v>
      </c>
      <c r="E6" s="83">
        <f>'Inputs - Tables de production'!AJ7</f>
        <v>129.03084490740741</v>
      </c>
      <c r="F6" s="83">
        <f>'Inputs - Tables de production'!AJ8</f>
        <v>96.066782407407416</v>
      </c>
      <c r="G6" s="83"/>
      <c r="I6" s="45" t="s">
        <v>23</v>
      </c>
      <c r="J6" s="86">
        <f>'Inputs - Tables de production'!AK4</f>
        <v>-3783.5781497164849</v>
      </c>
      <c r="K6" s="86">
        <f>'Inputs - Tables de production'!AK5</f>
        <v>-3853.5958005648104</v>
      </c>
      <c r="L6" s="86">
        <f>'Inputs - Tables de production'!AK6</f>
        <v>-3925.0313742257381</v>
      </c>
      <c r="M6" s="86"/>
      <c r="N6" s="86"/>
      <c r="O6" s="86"/>
      <c r="Q6" s="45" t="s">
        <v>23</v>
      </c>
      <c r="R6" s="83">
        <f>'Inputs - Tables de production'!AM4</f>
        <v>0</v>
      </c>
      <c r="S6" s="83">
        <f>'Inputs - Tables de production'!AM5</f>
        <v>0</v>
      </c>
      <c r="T6" s="83">
        <f>'Inputs - Tables de production'!AM6</f>
        <v>0</v>
      </c>
      <c r="U6" s="83">
        <f>'Inputs - Tables de production'!AM7</f>
        <v>0</v>
      </c>
      <c r="V6" s="83">
        <f>'Inputs - Tables de production'!AM8</f>
        <v>0</v>
      </c>
      <c r="W6" s="83"/>
    </row>
    <row r="7" spans="1:23" x14ac:dyDescent="0.25">
      <c r="A7" s="45" t="s">
        <v>238</v>
      </c>
      <c r="B7" s="83">
        <f>'Inputs - Tables de production'!AJ4</f>
        <v>223.99340856481479</v>
      </c>
      <c r="C7" s="83">
        <f>'Inputs - Tables de production'!AJ5</f>
        <v>192.30852430555558</v>
      </c>
      <c r="D7" s="83">
        <f>'Inputs - Tables de production'!AJ6</f>
        <v>161.75961226851854</v>
      </c>
      <c r="E7" s="83">
        <f>'Inputs - Tables de production'!AJ7</f>
        <v>129.03084490740741</v>
      </c>
      <c r="F7" s="83">
        <f>'Inputs - Tables de production'!AJ8</f>
        <v>96.066782407407416</v>
      </c>
      <c r="G7" s="83"/>
      <c r="I7" s="45" t="s">
        <v>238</v>
      </c>
      <c r="J7" s="86">
        <f>'Inputs - Tables de production'!AK4</f>
        <v>-3783.5781497164849</v>
      </c>
      <c r="K7" s="86">
        <f>'Inputs - Tables de production'!AK5</f>
        <v>-3853.5958005648104</v>
      </c>
      <c r="L7" s="86">
        <f>'Inputs - Tables de production'!AK6</f>
        <v>-3925.0313742257381</v>
      </c>
      <c r="M7" s="86"/>
      <c r="N7" s="86"/>
      <c r="O7" s="86"/>
      <c r="Q7" s="45" t="s">
        <v>238</v>
      </c>
      <c r="R7" s="83">
        <f>'Inputs - Tables de production'!AM4</f>
        <v>0</v>
      </c>
      <c r="S7" s="83">
        <f>'Inputs - Tables de production'!AM5</f>
        <v>0</v>
      </c>
      <c r="T7" s="83">
        <f>'Inputs - Tables de production'!AM6</f>
        <v>0</v>
      </c>
      <c r="U7" s="83">
        <f>'Inputs - Tables de production'!AM7</f>
        <v>0</v>
      </c>
      <c r="V7" s="83">
        <f>'Inputs - Tables de production'!AM8</f>
        <v>0</v>
      </c>
      <c r="W7" s="83"/>
    </row>
    <row r="8" spans="1:23" x14ac:dyDescent="0.25">
      <c r="A8" s="46" t="s">
        <v>39</v>
      </c>
      <c r="B8" s="84">
        <f>'Inputs - Tables de production'!AQ4</f>
        <v>202</v>
      </c>
      <c r="C8" s="84">
        <f>'Inputs - Tables de production'!AQ5</f>
        <v>160</v>
      </c>
      <c r="D8" s="84">
        <f>'Inputs - Tables de production'!AQ6</f>
        <v>119</v>
      </c>
      <c r="E8" s="84"/>
      <c r="F8" s="84"/>
      <c r="G8" s="84"/>
      <c r="I8" s="46" t="s">
        <v>39</v>
      </c>
      <c r="J8" s="87">
        <f>'Inputs - Tables de production'!AR4</f>
        <v>-2106.8381429844317</v>
      </c>
      <c r="K8" s="87">
        <f>'Inputs - Tables de production'!AR5</f>
        <v>-2913.6449832252579</v>
      </c>
      <c r="L8" s="87">
        <f>'Inputs - Tables de production'!AR6</f>
        <v>-3441.1780626521904</v>
      </c>
      <c r="M8" s="87"/>
      <c r="N8" s="87"/>
      <c r="O8" s="87"/>
      <c r="Q8" s="46" t="s">
        <v>39</v>
      </c>
      <c r="R8" s="84">
        <f>'Inputs - Tables de production'!AT4</f>
        <v>120</v>
      </c>
      <c r="S8" s="84">
        <f>'Inputs - Tables de production'!AT5</f>
        <v>67</v>
      </c>
      <c r="T8" s="84">
        <f>'Inputs - Tables de production'!AT6</f>
        <v>28</v>
      </c>
      <c r="U8" s="84"/>
      <c r="V8" s="84"/>
      <c r="W8" s="84"/>
    </row>
    <row r="9" spans="1:23" x14ac:dyDescent="0.25">
      <c r="A9" s="45" t="s">
        <v>94</v>
      </c>
      <c r="B9" s="83">
        <f>'Inputs - Tables de production'!BM4</f>
        <v>179</v>
      </c>
      <c r="C9" s="83">
        <f>'Inputs - Tables de production'!BM5</f>
        <v>146</v>
      </c>
      <c r="D9" s="83">
        <f>'Inputs - Tables de production'!BM6</f>
        <v>117</v>
      </c>
      <c r="E9" s="83">
        <f>'Inputs - Tables de production'!BM7</f>
        <v>86</v>
      </c>
      <c r="F9" s="83"/>
      <c r="G9" s="83"/>
      <c r="I9" s="45" t="s">
        <v>94</v>
      </c>
      <c r="J9" s="86">
        <f>'Inputs - Tables de production'!BN4</f>
        <v>-2621.1420265976521</v>
      </c>
      <c r="K9" s="86">
        <f>'Inputs - Tables de production'!BN5</f>
        <v>-3112.4688560926561</v>
      </c>
      <c r="L9" s="86">
        <f>'Inputs - Tables de production'!BN6</f>
        <v>-3506.8119299351761</v>
      </c>
      <c r="M9" s="86">
        <f>'Inputs - Tables de production'!BN7</f>
        <v>-3734.2720907010525</v>
      </c>
      <c r="N9" s="86"/>
      <c r="O9" s="86"/>
      <c r="Q9" s="45" t="s">
        <v>94</v>
      </c>
      <c r="R9" s="83">
        <f>'Inputs - Tables de production'!BP4</f>
        <v>112</v>
      </c>
      <c r="S9" s="83">
        <f>'Inputs - Tables de production'!BP5</f>
        <v>66</v>
      </c>
      <c r="T9" s="83">
        <f>'Inputs - Tables de production'!BP6</f>
        <v>35</v>
      </c>
      <c r="U9" s="83">
        <f>'Inputs - Tables de production'!BP7</f>
        <v>12</v>
      </c>
      <c r="V9" s="83"/>
      <c r="W9" s="83"/>
    </row>
    <row r="10" spans="1:23" x14ac:dyDescent="0.25">
      <c r="A10" s="46" t="s">
        <v>95</v>
      </c>
      <c r="B10" s="84">
        <f>'Inputs - Tables de production'!BE4</f>
        <v>186</v>
      </c>
      <c r="C10" s="84">
        <f>'Inputs - Tables de production'!BE5</f>
        <v>134</v>
      </c>
      <c r="D10" s="84"/>
      <c r="E10" s="84"/>
      <c r="F10" s="84"/>
      <c r="G10" s="84"/>
      <c r="I10" s="46" t="s">
        <v>83</v>
      </c>
      <c r="J10" s="87">
        <f>'Inputs - Tables de production'!BG4</f>
        <v>-2156.0229243008753</v>
      </c>
      <c r="K10" s="87">
        <f>'Inputs - Tables de production'!BG5</f>
        <v>-2949.2778874529258</v>
      </c>
      <c r="L10" s="87"/>
      <c r="M10" s="87"/>
      <c r="N10" s="87"/>
      <c r="O10" s="87"/>
      <c r="Q10" s="46" t="s">
        <v>95</v>
      </c>
      <c r="R10" s="84">
        <f>'Inputs - Tables de production'!BI4</f>
        <v>63.611111111111114</v>
      </c>
      <c r="S10" s="84">
        <f>'Inputs - Tables de production'!BI5</f>
        <v>45.972222222222229</v>
      </c>
      <c r="T10" s="84"/>
      <c r="U10" s="84"/>
      <c r="V10" s="84"/>
      <c r="W10" s="84"/>
    </row>
    <row r="11" spans="1:23" x14ac:dyDescent="0.25">
      <c r="A11" s="45" t="s">
        <v>86</v>
      </c>
      <c r="B11" s="83">
        <f>'Inputs - Tables de production'!AX4</f>
        <v>463</v>
      </c>
      <c r="C11" s="83">
        <f>'Inputs - Tables de production'!AX5</f>
        <v>425</v>
      </c>
      <c r="D11" s="83">
        <f>'Inputs - Tables de production'!AX6</f>
        <v>346</v>
      </c>
      <c r="E11" s="83">
        <f>'Inputs - Tables de production'!AX7</f>
        <v>258</v>
      </c>
      <c r="F11" s="83">
        <f>'Inputs - Tables de production'!AX8</f>
        <v>161</v>
      </c>
      <c r="G11" s="83">
        <f>'Inputs - Tables de production'!AX9</f>
        <v>155.6</v>
      </c>
      <c r="I11" s="45" t="s">
        <v>86</v>
      </c>
      <c r="J11" s="86">
        <f>'Inputs - Tables de production'!AY4</f>
        <v>1755.7727177320717</v>
      </c>
      <c r="K11" s="86">
        <f>'Inputs - Tables de production'!AY5</f>
        <v>996.66079789146306</v>
      </c>
      <c r="L11" s="86">
        <f>'Inputs - Tables de production'!AY6</f>
        <v>40.940854412213866</v>
      </c>
      <c r="M11" s="86">
        <f>'Inputs - Tables de production'!AY7</f>
        <v>-1218.4486013738333</v>
      </c>
      <c r="N11" s="86">
        <f>'Inputs - Tables de production'!AY8</f>
        <v>-2253.2874187808916</v>
      </c>
      <c r="O11" s="86">
        <f>'Inputs - Tables de production'!AY9</f>
        <v>-2731.0955812730508</v>
      </c>
      <c r="Q11" s="45" t="s">
        <v>86</v>
      </c>
      <c r="R11" s="83">
        <f>'Inputs - Tables de production'!BA4</f>
        <v>321</v>
      </c>
      <c r="S11" s="83">
        <f>'Inputs - Tables de production'!BA6</f>
        <v>172</v>
      </c>
      <c r="T11" s="83">
        <f>'Inputs - Tables de production'!BA6</f>
        <v>172</v>
      </c>
      <c r="U11" s="83">
        <f>'Inputs - Tables de production'!BA7</f>
        <v>74</v>
      </c>
      <c r="V11" s="83">
        <f>'Inputs - Tables de production'!BA8</f>
        <v>72</v>
      </c>
      <c r="W11" s="83">
        <f>'Inputs - Tables de production'!BA9</f>
        <v>53</v>
      </c>
    </row>
    <row r="12" spans="1:23" x14ac:dyDescent="0.25">
      <c r="A12" s="46" t="s">
        <v>85</v>
      </c>
      <c r="B12" s="123">
        <f>B4</f>
        <v>493</v>
      </c>
      <c r="C12" s="123">
        <f>C4</f>
        <v>436</v>
      </c>
      <c r="D12" s="123">
        <f>D4</f>
        <v>366</v>
      </c>
      <c r="E12" s="84"/>
      <c r="F12" s="84"/>
      <c r="G12" s="84"/>
      <c r="I12" s="46" t="s">
        <v>85</v>
      </c>
      <c r="J12" s="86">
        <f>'Inputs - Tables de production'!S14</f>
        <v>493</v>
      </c>
      <c r="K12" s="86">
        <f>'Inputs - Tables de production'!S5</f>
        <v>-907.83199025894532</v>
      </c>
      <c r="L12" s="86">
        <f>'Inputs - Tables de production'!S6</f>
        <v>-1347.0715612905028</v>
      </c>
      <c r="M12" s="87"/>
      <c r="N12" s="87"/>
      <c r="O12" s="87"/>
      <c r="Q12" s="46" t="s">
        <v>85</v>
      </c>
      <c r="R12" s="84">
        <f>'Inputs - Tables de production'!U4</f>
        <v>124</v>
      </c>
      <c r="S12" s="84">
        <f>'Inputs - Tables de production'!U5</f>
        <v>69</v>
      </c>
      <c r="T12" s="84">
        <f>'Inputs - Tables de production'!U6</f>
        <v>25</v>
      </c>
      <c r="U12" s="84"/>
      <c r="V12" s="84"/>
      <c r="W12" s="84"/>
    </row>
    <row r="13" spans="1:23" x14ac:dyDescent="0.25">
      <c r="A13" s="45" t="s">
        <v>84</v>
      </c>
      <c r="B13" s="83">
        <f>B4</f>
        <v>493</v>
      </c>
      <c r="C13" s="83">
        <f>C4</f>
        <v>436</v>
      </c>
      <c r="D13" s="83">
        <f>D4</f>
        <v>366</v>
      </c>
      <c r="E13" s="83"/>
      <c r="F13" s="83"/>
      <c r="G13" s="83"/>
      <c r="I13" s="45" t="s">
        <v>84</v>
      </c>
      <c r="J13" s="86">
        <f>J4</f>
        <v>-469.08938217533068</v>
      </c>
      <c r="K13" s="86">
        <f>K4</f>
        <v>-907.83199025894532</v>
      </c>
      <c r="L13" s="86">
        <f>L4</f>
        <v>-1347.0715612905028</v>
      </c>
      <c r="M13" s="86"/>
      <c r="N13" s="86"/>
      <c r="O13" s="86"/>
      <c r="Q13" s="45" t="s">
        <v>84</v>
      </c>
      <c r="R13" s="83">
        <f>'Inputs - Tables de production'!U6</f>
        <v>25</v>
      </c>
      <c r="S13" s="83">
        <f>'Inputs - Tables de production'!U6</f>
        <v>25</v>
      </c>
      <c r="T13" s="83">
        <f>'Inputs - Tables de production'!U6</f>
        <v>25</v>
      </c>
      <c r="U13" s="83"/>
      <c r="V13" s="83"/>
      <c r="W13" s="83"/>
    </row>
    <row r="14" spans="1:23" x14ac:dyDescent="0.25">
      <c r="A14" s="145"/>
      <c r="B14" s="146"/>
      <c r="C14" s="146"/>
      <c r="D14" s="146"/>
      <c r="E14" s="146"/>
      <c r="F14" s="146"/>
      <c r="G14" s="146"/>
      <c r="I14" s="145"/>
      <c r="J14" s="147"/>
      <c r="K14" s="147"/>
      <c r="L14" s="147"/>
      <c r="M14" s="147"/>
      <c r="N14" s="147"/>
      <c r="O14" s="147"/>
      <c r="Q14" s="145"/>
      <c r="R14" s="146"/>
      <c r="S14" s="146"/>
      <c r="T14" s="146"/>
      <c r="U14" s="146"/>
      <c r="V14" s="146"/>
      <c r="W14" s="146"/>
    </row>
    <row r="16" spans="1:23" x14ac:dyDescent="0.25">
      <c r="A16" s="42" t="s">
        <v>288</v>
      </c>
      <c r="B16" s="42">
        <v>1</v>
      </c>
      <c r="C16" s="43">
        <v>2</v>
      </c>
      <c r="D16" s="43">
        <v>3</v>
      </c>
      <c r="E16" s="44">
        <v>4</v>
      </c>
      <c r="F16" s="43">
        <v>5</v>
      </c>
      <c r="G16" s="44">
        <v>6</v>
      </c>
    </row>
    <row r="17" spans="1:23" x14ac:dyDescent="0.25">
      <c r="A17" s="45" t="s">
        <v>38</v>
      </c>
      <c r="B17" s="83"/>
      <c r="C17" s="83"/>
      <c r="D17" s="83"/>
      <c r="E17" s="83"/>
      <c r="F17" s="83"/>
      <c r="G17" s="83"/>
    </row>
    <row r="18" spans="1:23" x14ac:dyDescent="0.25">
      <c r="A18" s="46" t="s">
        <v>187</v>
      </c>
      <c r="B18" s="123">
        <f>VERRA!O7</f>
        <v>573.4939182364742</v>
      </c>
      <c r="C18" s="123">
        <f>VERRA!P7</f>
        <v>528.51275754119433</v>
      </c>
      <c r="D18" s="123">
        <f>VERRA!Q7</f>
        <v>489.12473180733315</v>
      </c>
      <c r="E18" s="84"/>
      <c r="F18" s="84"/>
      <c r="G18" s="84"/>
    </row>
    <row r="19" spans="1:23" x14ac:dyDescent="0.25">
      <c r="A19" s="45" t="s">
        <v>110</v>
      </c>
      <c r="B19" s="83"/>
      <c r="C19" s="83"/>
      <c r="D19" s="83"/>
      <c r="E19" s="83"/>
      <c r="F19" s="83"/>
      <c r="G19" s="83"/>
    </row>
    <row r="20" spans="1:23" x14ac:dyDescent="0.25">
      <c r="A20" s="46" t="s">
        <v>40</v>
      </c>
      <c r="B20" s="84">
        <f>VERRA!AG7</f>
        <v>547.06083207662743</v>
      </c>
      <c r="C20" s="84">
        <f>VERRA!AH7</f>
        <v>479.1408815843439</v>
      </c>
      <c r="D20" s="84">
        <f>VERRA!AI7</f>
        <v>423.29323314001726</v>
      </c>
      <c r="E20" s="84"/>
      <c r="F20" s="84"/>
      <c r="G20" s="84"/>
    </row>
    <row r="21" spans="1:23" x14ac:dyDescent="0.25">
      <c r="A21" s="45" t="s">
        <v>23</v>
      </c>
      <c r="B21" s="83">
        <f>VERRA!X7</f>
        <v>719.14786462270206</v>
      </c>
      <c r="C21" s="83">
        <f>VERRA!Y7</f>
        <v>660.72875469361122</v>
      </c>
      <c r="D21" s="83">
        <f>VERRA!Z7</f>
        <v>601.62715294774478</v>
      </c>
      <c r="E21" s="83"/>
      <c r="F21" s="83"/>
      <c r="G21" s="83"/>
    </row>
    <row r="22" spans="1:23" x14ac:dyDescent="0.25">
      <c r="A22" s="45" t="s">
        <v>238</v>
      </c>
      <c r="B22" s="83"/>
      <c r="C22" s="83"/>
      <c r="D22" s="83"/>
      <c r="E22" s="83"/>
      <c r="F22" s="83"/>
      <c r="G22" s="83"/>
    </row>
    <row r="23" spans="1:23" x14ac:dyDescent="0.25">
      <c r="A23" s="46" t="s">
        <v>39</v>
      </c>
      <c r="B23" s="84">
        <f>VERRA!F7</f>
        <v>574.78612731402711</v>
      </c>
      <c r="C23" s="84">
        <f>VERRA!G7</f>
        <v>627.45539838801722</v>
      </c>
      <c r="D23" s="84">
        <f>VERRA!H7</f>
        <v>555.96585519147334</v>
      </c>
      <c r="E23" s="84"/>
      <c r="F23" s="84"/>
      <c r="G23" s="84"/>
    </row>
    <row r="24" spans="1:23" x14ac:dyDescent="0.25">
      <c r="A24" s="45" t="s">
        <v>94</v>
      </c>
      <c r="B24" s="83"/>
      <c r="C24" s="83"/>
      <c r="D24" s="83"/>
      <c r="E24" s="83"/>
      <c r="F24" s="83"/>
      <c r="G24" s="83"/>
    </row>
    <row r="25" spans="1:23" x14ac:dyDescent="0.25">
      <c r="A25" s="46" t="s">
        <v>95</v>
      </c>
      <c r="B25" s="84"/>
      <c r="C25" s="84"/>
      <c r="D25" s="84"/>
      <c r="E25" s="84"/>
      <c r="F25" s="84"/>
      <c r="G25" s="84"/>
    </row>
    <row r="26" spans="1:23" x14ac:dyDescent="0.25">
      <c r="A26" s="45" t="s">
        <v>86</v>
      </c>
      <c r="B26" s="83"/>
      <c r="C26" s="83"/>
      <c r="D26" s="83"/>
      <c r="E26" s="83"/>
      <c r="F26" s="83"/>
      <c r="G26" s="83"/>
    </row>
    <row r="27" spans="1:23" x14ac:dyDescent="0.25">
      <c r="A27" s="46" t="s">
        <v>85</v>
      </c>
      <c r="B27" s="123"/>
      <c r="C27" s="123"/>
      <c r="D27" s="123"/>
      <c r="E27" s="84"/>
      <c r="F27" s="84"/>
      <c r="G27" s="84"/>
    </row>
    <row r="28" spans="1:23" x14ac:dyDescent="0.25">
      <c r="A28" s="45" t="s">
        <v>84</v>
      </c>
      <c r="B28" s="83"/>
      <c r="C28" s="83"/>
      <c r="D28" s="83"/>
      <c r="E28" s="83"/>
      <c r="F28" s="83"/>
      <c r="G28" s="83"/>
    </row>
    <row r="29" spans="1:23" x14ac:dyDescent="0.25">
      <c r="I29" t="e">
        <f>INDEX(Inputs!K32:L41,MATCH(MIN(ABS(G15-Inputs!J32:J41)),ABS(ValeurCherchee-Inputs!K31:L31),0))</f>
        <v>#VALUE!</v>
      </c>
    </row>
    <row r="30" spans="1:23" x14ac:dyDescent="0.25">
      <c r="A30" t="s">
        <v>96</v>
      </c>
      <c r="B30" t="s">
        <v>22</v>
      </c>
      <c r="D30" t="s">
        <v>237</v>
      </c>
      <c r="F30" s="287" t="s">
        <v>23</v>
      </c>
      <c r="G30" s="287"/>
      <c r="H30" s="287"/>
      <c r="J30" s="287" t="s">
        <v>38</v>
      </c>
      <c r="K30" s="287"/>
      <c r="L30" s="287"/>
      <c r="Q30" s="42" t="s">
        <v>220</v>
      </c>
      <c r="R30" s="42">
        <v>1</v>
      </c>
      <c r="S30" s="43">
        <v>2</v>
      </c>
      <c r="T30" s="43">
        <v>3</v>
      </c>
      <c r="U30" s="44">
        <v>4</v>
      </c>
      <c r="V30" s="43">
        <v>5</v>
      </c>
      <c r="W30" s="44">
        <v>6</v>
      </c>
    </row>
    <row r="31" spans="1:23" x14ac:dyDescent="0.25">
      <c r="A31" t="s">
        <v>38</v>
      </c>
      <c r="B31">
        <v>0.57999999999999996</v>
      </c>
      <c r="D31">
        <v>5</v>
      </c>
      <c r="F31" s="42" t="s">
        <v>239</v>
      </c>
      <c r="G31" s="42">
        <v>1</v>
      </c>
      <c r="H31" s="42">
        <v>2</v>
      </c>
      <c r="J31" s="42" t="s">
        <v>249</v>
      </c>
      <c r="K31" s="42">
        <v>1</v>
      </c>
      <c r="L31" s="42">
        <v>2</v>
      </c>
      <c r="Q31" s="45" t="s">
        <v>38</v>
      </c>
      <c r="R31" s="83">
        <f>'Inputs - Tables de production'!F4</f>
        <v>1</v>
      </c>
      <c r="S31" s="83"/>
      <c r="T31" s="83"/>
      <c r="U31" s="83"/>
      <c r="V31" s="83"/>
      <c r="W31" s="83"/>
    </row>
    <row r="32" spans="1:23" x14ac:dyDescent="0.25">
      <c r="A32" s="46" t="s">
        <v>187</v>
      </c>
      <c r="B32">
        <v>0.57999999999999996</v>
      </c>
      <c r="D32">
        <v>10</v>
      </c>
      <c r="F32" s="45">
        <v>15</v>
      </c>
      <c r="G32" s="86">
        <f>'Inputs - Tables de production'!AM13</f>
        <v>116.77875</v>
      </c>
      <c r="H32" s="86">
        <f>'Inputs - Tables de production'!AM27</f>
        <v>99.573750000000004</v>
      </c>
      <c r="J32" s="45">
        <v>29</v>
      </c>
      <c r="K32" s="86">
        <v>132.202</v>
      </c>
      <c r="L32" s="86"/>
      <c r="Q32" s="46" t="s">
        <v>187</v>
      </c>
      <c r="R32" s="123">
        <v>0</v>
      </c>
      <c r="S32" s="123">
        <v>0</v>
      </c>
      <c r="T32" s="123">
        <v>0</v>
      </c>
      <c r="U32" s="84"/>
      <c r="V32" s="84"/>
      <c r="W32" s="84"/>
    </row>
    <row r="33" spans="1:23" x14ac:dyDescent="0.25">
      <c r="A33" t="str">
        <f>A4</f>
        <v xml:space="preserve">Douglas </v>
      </c>
      <c r="B33">
        <v>0.43</v>
      </c>
      <c r="D33">
        <v>15</v>
      </c>
      <c r="F33" s="46">
        <v>20</v>
      </c>
      <c r="G33" s="87">
        <f>'Inputs - Tables de production'!AM14</f>
        <v>150.95020833333334</v>
      </c>
      <c r="H33" s="87">
        <f>'Inputs - Tables de production'!AM28</f>
        <v>129.04437499999997</v>
      </c>
      <c r="J33" s="46">
        <v>37</v>
      </c>
      <c r="K33" s="87">
        <v>167.1096</v>
      </c>
      <c r="L33" s="87">
        <v>125.244</v>
      </c>
      <c r="Q33" s="45" t="s">
        <v>110</v>
      </c>
      <c r="R33" s="83">
        <v>0</v>
      </c>
      <c r="S33" s="83">
        <v>0</v>
      </c>
      <c r="T33" s="83">
        <v>0</v>
      </c>
      <c r="U33" s="83"/>
      <c r="V33" s="83"/>
      <c r="W33" s="83"/>
    </row>
    <row r="34" spans="1:23" x14ac:dyDescent="0.25">
      <c r="A34" t="s">
        <v>40</v>
      </c>
      <c r="B34">
        <v>0.46</v>
      </c>
      <c r="D34">
        <v>20</v>
      </c>
      <c r="F34" s="45">
        <v>25</v>
      </c>
      <c r="G34" s="86">
        <f>'Inputs - Tables de production'!AM15</f>
        <v>186.78059027777778</v>
      </c>
      <c r="H34" s="86">
        <f>'Inputs - Tables de production'!AM29</f>
        <v>160.04072916666667</v>
      </c>
      <c r="J34" s="45">
        <v>45</v>
      </c>
      <c r="K34" s="86">
        <v>144</v>
      </c>
      <c r="L34" s="86">
        <v>152.10580000000002</v>
      </c>
      <c r="Q34" s="46" t="s">
        <v>40</v>
      </c>
      <c r="R34" s="84">
        <v>0</v>
      </c>
      <c r="S34" s="84">
        <v>0</v>
      </c>
      <c r="T34" s="84">
        <v>0</v>
      </c>
      <c r="U34" s="84"/>
      <c r="V34" s="84"/>
      <c r="W34" s="84"/>
    </row>
    <row r="35" spans="1:23" x14ac:dyDescent="0.25">
      <c r="A35" t="s">
        <v>23</v>
      </c>
      <c r="B35">
        <v>0.47</v>
      </c>
      <c r="D35">
        <v>25</v>
      </c>
      <c r="F35" s="46">
        <v>30</v>
      </c>
      <c r="G35" s="87">
        <f>'Inputs - Tables de production'!AM16</f>
        <v>223.99340856481479</v>
      </c>
      <c r="H35" s="87">
        <f>'Inputs - Tables de production'!AM30</f>
        <v>192.30852430555558</v>
      </c>
      <c r="J35" s="46">
        <v>53</v>
      </c>
      <c r="K35" s="87">
        <v>171</v>
      </c>
      <c r="L35" s="87">
        <v>127</v>
      </c>
      <c r="Q35" s="45" t="s">
        <v>23</v>
      </c>
      <c r="R35" s="83">
        <f>'Inputs - Tables de production'!AN4</f>
        <v>132.34484143518517</v>
      </c>
      <c r="S35" s="83">
        <f>'Inputs - Tables de production'!AN5</f>
        <v>116.27872569444446</v>
      </c>
      <c r="T35" s="83">
        <f>'Inputs - Tables de production'!AN6</f>
        <v>101.19363773148149</v>
      </c>
      <c r="U35" s="83">
        <f>'Inputs - Tables de production'!AN7</f>
        <v>78.314155092592586</v>
      </c>
      <c r="V35" s="83">
        <f>'Inputs - Tables de production'!AN8</f>
        <v>57.968217592592595</v>
      </c>
      <c r="W35" s="83"/>
    </row>
    <row r="36" spans="1:23" x14ac:dyDescent="0.25">
      <c r="A36" t="s">
        <v>238</v>
      </c>
      <c r="B36">
        <f>0.58</f>
        <v>0.57999999999999996</v>
      </c>
      <c r="D36">
        <v>30</v>
      </c>
      <c r="F36" s="45">
        <v>35</v>
      </c>
      <c r="G36" s="133">
        <f>'Inputs - Tables de production'!AM17</f>
        <v>262.35825713734562</v>
      </c>
      <c r="H36" s="133">
        <f>'Inputs - Tables de production'!AM31</f>
        <v>225.63585358796297</v>
      </c>
      <c r="J36" s="45">
        <v>61</v>
      </c>
      <c r="K36" s="133">
        <v>197</v>
      </c>
      <c r="L36" s="133">
        <v>147</v>
      </c>
      <c r="Q36" s="144" t="s">
        <v>238</v>
      </c>
      <c r="R36" s="83">
        <f>'Inputs - Tables de production'!AN4</f>
        <v>132.34484143518517</v>
      </c>
      <c r="S36" s="83">
        <f>'Inputs - Tables de production'!AN5</f>
        <v>116.27872569444446</v>
      </c>
      <c r="T36" s="83">
        <f>'Inputs - Tables de production'!AN6</f>
        <v>101.19363773148149</v>
      </c>
      <c r="U36" s="83">
        <f>'Inputs - Tables de production'!AN7</f>
        <v>78.314155092592586</v>
      </c>
      <c r="V36" s="83">
        <f>'Inputs - Tables de production'!AN8</f>
        <v>57.968217592592595</v>
      </c>
      <c r="W36" s="83"/>
    </row>
    <row r="37" spans="1:23" x14ac:dyDescent="0.25">
      <c r="A37" t="s">
        <v>39</v>
      </c>
      <c r="B37">
        <v>0.46</v>
      </c>
      <c r="D37">
        <v>35</v>
      </c>
      <c r="F37" s="46">
        <v>40</v>
      </c>
      <c r="G37" s="87">
        <f>'Inputs - Tables de production'!AM18</f>
        <v>301.68313094778807</v>
      </c>
      <c r="H37" s="87">
        <f>'Inputs - Tables de production'!AM32</f>
        <v>259.84612798996909</v>
      </c>
      <c r="J37" s="46">
        <v>69</v>
      </c>
      <c r="K37" s="87">
        <v>218</v>
      </c>
      <c r="L37" s="87">
        <v>165</v>
      </c>
      <c r="Q37" s="46" t="s">
        <v>39</v>
      </c>
      <c r="R37" s="84">
        <f>'Inputs - Tables de production'!AU4</f>
        <v>0</v>
      </c>
      <c r="S37" s="84">
        <f>'Inputs - Tables de production'!AU5</f>
        <v>0</v>
      </c>
      <c r="T37" s="84">
        <f>'Inputs - Tables de production'!AU6</f>
        <v>0</v>
      </c>
      <c r="U37" s="84"/>
      <c r="V37" s="84"/>
      <c r="W37" s="84"/>
    </row>
    <row r="38" spans="1:23" x14ac:dyDescent="0.25">
      <c r="A38" t="s">
        <v>94</v>
      </c>
      <c r="B38">
        <v>0.44</v>
      </c>
      <c r="D38">
        <v>40</v>
      </c>
      <c r="F38" s="45">
        <v>45</v>
      </c>
      <c r="G38" s="86">
        <f>'Inputs - Tables de production'!AM19</f>
        <v>341.80802578982343</v>
      </c>
      <c r="H38" s="86">
        <f>'Inputs - Tables de production'!AM33</f>
        <v>294.79218999164101</v>
      </c>
      <c r="J38" s="45">
        <v>77</v>
      </c>
      <c r="K38" s="86">
        <v>238</v>
      </c>
      <c r="L38" s="86">
        <v>194</v>
      </c>
      <c r="Q38" s="45" t="s">
        <v>94</v>
      </c>
      <c r="R38" s="83">
        <f>'Inputs - Tables de production'!BP18</f>
        <v>0</v>
      </c>
      <c r="S38" s="83">
        <f>'Inputs - Tables de production'!BP19</f>
        <v>0</v>
      </c>
      <c r="T38" s="83">
        <f>'Inputs - Tables de production'!BP20</f>
        <v>0</v>
      </c>
      <c r="U38" s="83">
        <f>'Inputs - Tables de production'!BP21</f>
        <v>0</v>
      </c>
      <c r="V38" s="83"/>
      <c r="W38" s="83"/>
    </row>
    <row r="39" spans="1:23" x14ac:dyDescent="0.25">
      <c r="A39" t="s">
        <v>95</v>
      </c>
      <c r="B39">
        <v>0.36</v>
      </c>
      <c r="D39">
        <v>45</v>
      </c>
      <c r="F39" s="46">
        <v>50</v>
      </c>
      <c r="G39" s="87">
        <f>'Inputs - Tables de production'!AM20</f>
        <v>382.59960482485286</v>
      </c>
      <c r="H39" s="87">
        <f>'Inputs - Tables de production'!AM34</f>
        <v>330.3514083263675</v>
      </c>
      <c r="J39" s="46">
        <v>85</v>
      </c>
      <c r="K39" s="87">
        <v>251</v>
      </c>
      <c r="L39" s="87">
        <v>219</v>
      </c>
      <c r="Q39" s="46" t="s">
        <v>95</v>
      </c>
      <c r="R39" s="84">
        <v>0</v>
      </c>
      <c r="S39" s="84">
        <v>0</v>
      </c>
      <c r="T39" s="84"/>
      <c r="U39" s="84"/>
      <c r="V39" s="84"/>
      <c r="W39" s="84"/>
    </row>
    <row r="40" spans="1:23" x14ac:dyDescent="0.25">
      <c r="A40" t="s">
        <v>86</v>
      </c>
      <c r="B40">
        <v>0.36</v>
      </c>
      <c r="D40">
        <v>50</v>
      </c>
      <c r="F40" s="45">
        <v>55</v>
      </c>
      <c r="G40" s="86">
        <f>'Inputs - Tables de production'!AM21</f>
        <v>423.94675402071067</v>
      </c>
      <c r="H40" s="86">
        <f>'Inputs - Tables de production'!AM35</f>
        <v>366.42159027197283</v>
      </c>
      <c r="J40" s="45">
        <v>95</v>
      </c>
      <c r="K40" s="86">
        <v>287</v>
      </c>
      <c r="L40" s="86">
        <v>241</v>
      </c>
      <c r="Q40" s="45" t="s">
        <v>86</v>
      </c>
      <c r="R40" s="83">
        <f>'Inputs - Tables de production'!BA18</f>
        <v>0</v>
      </c>
      <c r="S40" s="83">
        <f>'Inputs - Tables de production'!BA20</f>
        <v>0</v>
      </c>
      <c r="T40" s="83">
        <f>'Inputs - Tables de production'!BA20</f>
        <v>0</v>
      </c>
      <c r="U40" s="83">
        <f>'Inputs - Tables de production'!BA21</f>
        <v>0</v>
      </c>
      <c r="V40" s="83">
        <f>'Inputs - Tables de production'!BA22</f>
        <v>0</v>
      </c>
      <c r="W40" s="83">
        <f>'Inputs - Tables de production'!BA23</f>
        <v>0</v>
      </c>
    </row>
    <row r="41" spans="1:23" x14ac:dyDescent="0.25">
      <c r="A41" t="s">
        <v>84</v>
      </c>
      <c r="B41">
        <v>0.43</v>
      </c>
      <c r="F41" s="46">
        <v>60</v>
      </c>
      <c r="G41" s="87">
        <f>'Inputs - Tables de production'!AM22</f>
        <v>465.75687835059222</v>
      </c>
      <c r="H41" s="87">
        <f>'Inputs - Tables de production'!AM36</f>
        <v>402.91757522664409</v>
      </c>
      <c r="J41" s="46">
        <v>105</v>
      </c>
      <c r="K41" s="87">
        <v>323</v>
      </c>
      <c r="L41" s="87">
        <v>263</v>
      </c>
      <c r="Q41" s="46" t="s">
        <v>85</v>
      </c>
      <c r="R41" s="84">
        <v>0</v>
      </c>
      <c r="S41" s="84">
        <v>0</v>
      </c>
      <c r="T41" s="84">
        <v>0</v>
      </c>
      <c r="U41" s="84"/>
      <c r="V41" s="84"/>
      <c r="W41" s="84"/>
    </row>
    <row r="42" spans="1:23" x14ac:dyDescent="0.25">
      <c r="A42" t="s">
        <v>85</v>
      </c>
      <c r="B42">
        <v>0.48</v>
      </c>
      <c r="F42" s="45">
        <v>65</v>
      </c>
      <c r="G42" s="86">
        <f>'Inputs - Tables de production'!AM23</f>
        <v>507.95281529216004</v>
      </c>
      <c r="H42" s="86">
        <f>'Inputs - Tables de production'!AM37</f>
        <v>439.76839602220338</v>
      </c>
      <c r="J42" s="124"/>
      <c r="K42" s="138"/>
      <c r="L42" s="138"/>
      <c r="Q42" s="45" t="s">
        <v>84</v>
      </c>
      <c r="R42" s="83">
        <v>0</v>
      </c>
      <c r="S42" s="83">
        <v>0</v>
      </c>
      <c r="T42" s="83">
        <v>0</v>
      </c>
      <c r="U42" s="83"/>
      <c r="V42" s="83"/>
      <c r="W42" s="83"/>
    </row>
    <row r="43" spans="1:23" x14ac:dyDescent="0.25">
      <c r="F43" s="45">
        <v>70</v>
      </c>
      <c r="G43" s="86">
        <f>'Inputs - Tables de production'!AM24</f>
        <v>550.47026274346661</v>
      </c>
      <c r="H43" s="86">
        <f>'Inputs - Tables de production'!AM38</f>
        <v>476.91491335183593</v>
      </c>
      <c r="J43" s="124"/>
      <c r="K43" s="138"/>
      <c r="L43" s="138"/>
    </row>
    <row r="44" spans="1:23" x14ac:dyDescent="0.25">
      <c r="A44" t="s">
        <v>98</v>
      </c>
      <c r="B44" t="s">
        <v>99</v>
      </c>
      <c r="H44" s="11"/>
      <c r="J44" s="20"/>
    </row>
    <row r="45" spans="1:23" x14ac:dyDescent="0.25">
      <c r="A45" t="s">
        <v>199</v>
      </c>
      <c r="B45">
        <v>1.52</v>
      </c>
      <c r="J45" s="20"/>
    </row>
    <row r="46" spans="1:23" x14ac:dyDescent="0.25">
      <c r="A46" t="s">
        <v>200</v>
      </c>
      <c r="B46">
        <f>0.77*0.56</f>
        <v>0.43120000000000003</v>
      </c>
      <c r="J46" s="20"/>
    </row>
    <row r="47" spans="1:23" x14ac:dyDescent="0.25">
      <c r="A47" t="s">
        <v>201</v>
      </c>
      <c r="B47">
        <f>0.25</f>
        <v>0.25</v>
      </c>
      <c r="J47" s="20"/>
    </row>
    <row r="48" spans="1:23" x14ac:dyDescent="0.25">
      <c r="J48" s="20"/>
    </row>
    <row r="49" spans="1:10" x14ac:dyDescent="0.25">
      <c r="A49" t="s">
        <v>202</v>
      </c>
      <c r="B49" s="85" t="s">
        <v>203</v>
      </c>
      <c r="J49" s="20"/>
    </row>
    <row r="50" spans="1:10" x14ac:dyDescent="0.25">
      <c r="A50" t="s">
        <v>38</v>
      </c>
      <c r="B50">
        <v>1</v>
      </c>
      <c r="J50" s="20"/>
    </row>
    <row r="51" spans="1:10" x14ac:dyDescent="0.25">
      <c r="A51" s="46" t="s">
        <v>187</v>
      </c>
      <c r="B51">
        <v>3</v>
      </c>
      <c r="J51" s="20"/>
    </row>
    <row r="52" spans="1:10" x14ac:dyDescent="0.25">
      <c r="A52" t="s">
        <v>42</v>
      </c>
      <c r="B52">
        <v>3</v>
      </c>
      <c r="J52" s="20"/>
    </row>
    <row r="53" spans="1:10" x14ac:dyDescent="0.25">
      <c r="A53" t="s">
        <v>40</v>
      </c>
      <c r="B53">
        <v>3</v>
      </c>
      <c r="J53" s="20"/>
    </row>
    <row r="54" spans="1:10" x14ac:dyDescent="0.25">
      <c r="A54" t="s">
        <v>23</v>
      </c>
      <c r="B54">
        <v>5</v>
      </c>
      <c r="J54" s="20"/>
    </row>
    <row r="55" spans="1:10" x14ac:dyDescent="0.25">
      <c r="A55" t="s">
        <v>39</v>
      </c>
      <c r="B55">
        <v>3</v>
      </c>
    </row>
    <row r="56" spans="1:10" x14ac:dyDescent="0.25">
      <c r="A56" t="s">
        <v>94</v>
      </c>
      <c r="B56">
        <v>5</v>
      </c>
    </row>
    <row r="57" spans="1:10" x14ac:dyDescent="0.25">
      <c r="A57" t="s">
        <v>83</v>
      </c>
      <c r="B57">
        <v>2</v>
      </c>
    </row>
    <row r="58" spans="1:10" x14ac:dyDescent="0.25">
      <c r="A58" t="s">
        <v>86</v>
      </c>
      <c r="B58">
        <v>6</v>
      </c>
    </row>
    <row r="59" spans="1:10" x14ac:dyDescent="0.25">
      <c r="A59" t="s">
        <v>85</v>
      </c>
    </row>
    <row r="60" spans="1:10" x14ac:dyDescent="0.25">
      <c r="A60" t="s">
        <v>84</v>
      </c>
      <c r="B60">
        <v>3</v>
      </c>
    </row>
    <row r="62" spans="1:10" x14ac:dyDescent="0.25">
      <c r="A62" s="45" t="s">
        <v>175</v>
      </c>
      <c r="B62" s="136"/>
      <c r="C62" s="136"/>
      <c r="D62" s="136"/>
      <c r="E62" s="136"/>
      <c r="F62" s="136"/>
    </row>
    <row r="63" spans="1:10" x14ac:dyDescent="0.25">
      <c r="A63" s="46" t="s">
        <v>189</v>
      </c>
      <c r="I63" t="s">
        <v>188</v>
      </c>
    </row>
    <row r="64" spans="1:10" x14ac:dyDescent="0.25">
      <c r="A64" s="45" t="s">
        <v>242</v>
      </c>
    </row>
    <row r="65" spans="1:1" x14ac:dyDescent="0.25">
      <c r="A65" s="46" t="s">
        <v>176</v>
      </c>
    </row>
    <row r="66" spans="1:1" x14ac:dyDescent="0.25">
      <c r="A66" s="45" t="s">
        <v>177</v>
      </c>
    </row>
    <row r="67" spans="1:1" x14ac:dyDescent="0.25">
      <c r="A67" s="47" t="s">
        <v>178</v>
      </c>
    </row>
    <row r="68" spans="1:1" x14ac:dyDescent="0.25">
      <c r="A68" s="143" t="s">
        <v>251</v>
      </c>
    </row>
    <row r="69" spans="1:1" x14ac:dyDescent="0.25">
      <c r="A69" s="46" t="s">
        <v>241</v>
      </c>
    </row>
    <row r="70" spans="1:1" x14ac:dyDescent="0.25">
      <c r="A70" s="45" t="s">
        <v>179</v>
      </c>
    </row>
    <row r="71" spans="1:1" x14ac:dyDescent="0.25">
      <c r="A71" s="46" t="s">
        <v>180</v>
      </c>
    </row>
    <row r="72" spans="1:1" x14ac:dyDescent="0.25">
      <c r="A72" s="45" t="s">
        <v>174</v>
      </c>
    </row>
    <row r="73" spans="1:1" x14ac:dyDescent="0.25">
      <c r="A73" s="47" t="s">
        <v>181</v>
      </c>
    </row>
    <row r="74" spans="1:1" x14ac:dyDescent="0.25">
      <c r="A74" s="45" t="s">
        <v>243</v>
      </c>
    </row>
    <row r="75" spans="1:1" x14ac:dyDescent="0.25">
      <c r="A75" s="47" t="s">
        <v>182</v>
      </c>
    </row>
    <row r="77" spans="1:1" x14ac:dyDescent="0.25">
      <c r="A77" t="s">
        <v>183</v>
      </c>
    </row>
    <row r="78" spans="1:1" x14ac:dyDescent="0.25">
      <c r="A78" s="1">
        <v>0</v>
      </c>
    </row>
    <row r="79" spans="1:1" x14ac:dyDescent="0.25">
      <c r="A79" s="1">
        <v>0.05</v>
      </c>
    </row>
    <row r="80" spans="1:1" x14ac:dyDescent="0.25">
      <c r="A80" s="1">
        <v>0.1</v>
      </c>
    </row>
    <row r="81" spans="1:3" x14ac:dyDescent="0.25">
      <c r="A81" s="1">
        <v>0.15</v>
      </c>
    </row>
    <row r="84" spans="1:3" x14ac:dyDescent="0.25">
      <c r="A84" t="s">
        <v>193</v>
      </c>
      <c r="B84" t="s">
        <v>190</v>
      </c>
      <c r="C84" t="s">
        <v>192</v>
      </c>
    </row>
    <row r="85" spans="1:3" x14ac:dyDescent="0.25">
      <c r="A85" s="45" t="s">
        <v>38</v>
      </c>
      <c r="B85" t="s">
        <v>26</v>
      </c>
      <c r="C85">
        <v>1</v>
      </c>
    </row>
    <row r="86" spans="1:3" x14ac:dyDescent="0.25">
      <c r="A86" s="46" t="s">
        <v>187</v>
      </c>
      <c r="B86" t="s">
        <v>26</v>
      </c>
      <c r="C86">
        <v>1</v>
      </c>
    </row>
    <row r="87" spans="1:3" x14ac:dyDescent="0.25">
      <c r="A87" s="45" t="s">
        <v>110</v>
      </c>
      <c r="B87" t="s">
        <v>191</v>
      </c>
      <c r="C87">
        <v>1.3</v>
      </c>
    </row>
    <row r="88" spans="1:3" x14ac:dyDescent="0.25">
      <c r="A88" s="46" t="s">
        <v>40</v>
      </c>
      <c r="B88" t="s">
        <v>191</v>
      </c>
      <c r="C88">
        <v>1.3</v>
      </c>
    </row>
    <row r="89" spans="1:3" x14ac:dyDescent="0.25">
      <c r="A89" s="45" t="s">
        <v>23</v>
      </c>
      <c r="B89" t="s">
        <v>191</v>
      </c>
      <c r="C89">
        <v>1.56</v>
      </c>
    </row>
    <row r="90" spans="1:3" x14ac:dyDescent="0.25">
      <c r="A90" s="45" t="s">
        <v>238</v>
      </c>
      <c r="B90" t="s">
        <v>191</v>
      </c>
      <c r="C90">
        <v>1.56</v>
      </c>
    </row>
    <row r="91" spans="1:3" x14ac:dyDescent="0.25">
      <c r="A91" s="46" t="s">
        <v>39</v>
      </c>
      <c r="B91" t="s">
        <v>191</v>
      </c>
      <c r="C91">
        <v>1.3</v>
      </c>
    </row>
    <row r="92" spans="1:3" x14ac:dyDescent="0.25">
      <c r="A92" s="45" t="s">
        <v>94</v>
      </c>
      <c r="B92" t="s">
        <v>191</v>
      </c>
      <c r="C92">
        <v>1.3</v>
      </c>
    </row>
    <row r="93" spans="1:3" x14ac:dyDescent="0.25">
      <c r="A93" s="46" t="s">
        <v>95</v>
      </c>
      <c r="B93" t="s">
        <v>191</v>
      </c>
      <c r="C93">
        <v>1.3</v>
      </c>
    </row>
    <row r="94" spans="1:3" x14ac:dyDescent="0.25">
      <c r="A94" s="45" t="s">
        <v>86</v>
      </c>
      <c r="B94" t="s">
        <v>191</v>
      </c>
      <c r="C94">
        <v>1.3</v>
      </c>
    </row>
    <row r="95" spans="1:3" x14ac:dyDescent="0.25">
      <c r="A95" s="46" t="s">
        <v>85</v>
      </c>
      <c r="B95" t="s">
        <v>191</v>
      </c>
      <c r="C95">
        <v>1.3</v>
      </c>
    </row>
    <row r="96" spans="1:3" x14ac:dyDescent="0.25">
      <c r="A96" s="45" t="s">
        <v>84</v>
      </c>
      <c r="B96" t="s">
        <v>191</v>
      </c>
      <c r="C96">
        <v>1.3</v>
      </c>
    </row>
    <row r="98" spans="1:16" x14ac:dyDescent="0.25">
      <c r="A98" t="s">
        <v>102</v>
      </c>
    </row>
    <row r="99" spans="1:16" x14ac:dyDescent="0.25">
      <c r="A99" s="80">
        <v>1</v>
      </c>
    </row>
    <row r="100" spans="1:16" x14ac:dyDescent="0.25">
      <c r="A100" s="80">
        <v>2</v>
      </c>
    </row>
    <row r="101" spans="1:16" x14ac:dyDescent="0.25">
      <c r="A101" s="80">
        <v>3</v>
      </c>
    </row>
    <row r="102" spans="1:16" x14ac:dyDescent="0.25">
      <c r="A102" s="80">
        <v>4</v>
      </c>
    </row>
    <row r="103" spans="1:16" x14ac:dyDescent="0.25">
      <c r="A103" s="80">
        <v>5</v>
      </c>
    </row>
    <row r="104" spans="1:16" x14ac:dyDescent="0.25">
      <c r="A104" s="80">
        <v>6</v>
      </c>
    </row>
    <row r="107" spans="1:16" x14ac:dyDescent="0.25">
      <c r="A107" s="112" t="s">
        <v>205</v>
      </c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</row>
    <row r="109" spans="1:16" x14ac:dyDescent="0.25">
      <c r="A109" s="2" t="s">
        <v>6</v>
      </c>
      <c r="B109" s="2" t="s">
        <v>22</v>
      </c>
    </row>
    <row r="110" spans="1:16" x14ac:dyDescent="0.25">
      <c r="A110" t="s">
        <v>7</v>
      </c>
      <c r="B110" s="3">
        <v>900</v>
      </c>
      <c r="E110" s="16"/>
    </row>
    <row r="111" spans="1:16" x14ac:dyDescent="0.25">
      <c r="A111" t="s">
        <v>8</v>
      </c>
      <c r="B111" s="3">
        <v>700</v>
      </c>
    </row>
    <row r="112" spans="1:16" x14ac:dyDescent="0.25">
      <c r="A112" t="s">
        <v>11</v>
      </c>
      <c r="B112" s="3">
        <v>1500</v>
      </c>
    </row>
    <row r="113" spans="1:23" x14ac:dyDescent="0.25">
      <c r="A113" t="s">
        <v>10</v>
      </c>
      <c r="B113" s="3">
        <v>400</v>
      </c>
      <c r="D113" s="16"/>
    </row>
    <row r="114" spans="1:23" x14ac:dyDescent="0.25">
      <c r="A114" t="s">
        <v>9</v>
      </c>
      <c r="B114" s="3">
        <v>150</v>
      </c>
    </row>
    <row r="115" spans="1:23" x14ac:dyDescent="0.25">
      <c r="A115" t="s">
        <v>13</v>
      </c>
      <c r="B115" s="3">
        <v>150</v>
      </c>
    </row>
    <row r="116" spans="1:23" x14ac:dyDescent="0.25">
      <c r="A116" t="s">
        <v>159</v>
      </c>
      <c r="B116" s="3">
        <v>1200</v>
      </c>
    </row>
    <row r="117" spans="1:23" x14ac:dyDescent="0.25">
      <c r="A117" t="s">
        <v>160</v>
      </c>
      <c r="B117" s="3">
        <v>2200</v>
      </c>
    </row>
    <row r="118" spans="1:23" x14ac:dyDescent="0.25">
      <c r="A118" t="s">
        <v>12</v>
      </c>
      <c r="B118" s="3">
        <v>250</v>
      </c>
    </row>
    <row r="119" spans="1:23" x14ac:dyDescent="0.25">
      <c r="A119" t="s">
        <v>14</v>
      </c>
      <c r="B119" s="3">
        <v>500</v>
      </c>
    </row>
    <row r="120" spans="1:23" x14ac:dyDescent="0.25">
      <c r="A120" t="s">
        <v>15</v>
      </c>
      <c r="B120" s="3">
        <v>500</v>
      </c>
    </row>
    <row r="121" spans="1:23" x14ac:dyDescent="0.25">
      <c r="A121" t="s">
        <v>16</v>
      </c>
      <c r="B121" s="3">
        <v>500</v>
      </c>
    </row>
    <row r="122" spans="1:23" x14ac:dyDescent="0.25">
      <c r="A122" t="s">
        <v>17</v>
      </c>
      <c r="B122" s="3">
        <v>60</v>
      </c>
    </row>
    <row r="123" spans="1:23" x14ac:dyDescent="0.25">
      <c r="A123" t="s">
        <v>18</v>
      </c>
      <c r="B123" s="3">
        <v>300</v>
      </c>
    </row>
    <row r="124" spans="1:23" x14ac:dyDescent="0.25">
      <c r="B124" s="285" t="s">
        <v>185</v>
      </c>
      <c r="C124" s="285"/>
      <c r="D124" s="285"/>
      <c r="E124" s="285"/>
      <c r="F124" s="285"/>
      <c r="G124" s="285"/>
      <c r="H124" s="285"/>
      <c r="I124" s="285"/>
      <c r="J124" s="285"/>
      <c r="K124" s="285"/>
      <c r="M124" s="286" t="s">
        <v>186</v>
      </c>
      <c r="N124" s="286"/>
      <c r="O124" s="286"/>
      <c r="P124" s="286"/>
      <c r="Q124" s="286"/>
      <c r="R124" s="286"/>
      <c r="S124" s="286"/>
      <c r="T124" s="286"/>
      <c r="U124" s="286"/>
      <c r="V124" s="286"/>
    </row>
    <row r="125" spans="1:23" x14ac:dyDescent="0.25">
      <c r="A125" s="100"/>
      <c r="B125" s="101" t="s">
        <v>38</v>
      </c>
      <c r="C125" s="101" t="s">
        <v>194</v>
      </c>
      <c r="D125" s="102" t="s">
        <v>110</v>
      </c>
      <c r="E125" s="101" t="s">
        <v>40</v>
      </c>
      <c r="F125" s="102" t="s">
        <v>23</v>
      </c>
      <c r="G125" s="101" t="s">
        <v>39</v>
      </c>
      <c r="H125" s="102" t="s">
        <v>94</v>
      </c>
      <c r="I125" s="101" t="s">
        <v>83</v>
      </c>
      <c r="J125" s="102" t="s">
        <v>86</v>
      </c>
      <c r="K125" s="101" t="s">
        <v>85</v>
      </c>
      <c r="L125" s="103" t="s">
        <v>84</v>
      </c>
      <c r="M125" s="104"/>
      <c r="N125" s="100" t="s">
        <v>38</v>
      </c>
      <c r="O125" s="105" t="s">
        <v>110</v>
      </c>
      <c r="P125" s="100" t="s">
        <v>40</v>
      </c>
      <c r="Q125" s="105" t="s">
        <v>23</v>
      </c>
      <c r="R125" s="100" t="s">
        <v>39</v>
      </c>
      <c r="S125" s="105" t="s">
        <v>94</v>
      </c>
      <c r="T125" s="100" t="s">
        <v>83</v>
      </c>
      <c r="U125" s="105" t="s">
        <v>86</v>
      </c>
      <c r="V125" s="100" t="s">
        <v>85</v>
      </c>
      <c r="W125" s="106" t="s">
        <v>84</v>
      </c>
    </row>
    <row r="126" spans="1:23" x14ac:dyDescent="0.25">
      <c r="A126" s="68" t="s">
        <v>19</v>
      </c>
      <c r="B126" s="88">
        <f t="shared" ref="B126:B148" si="0">N126*0.8</f>
        <v>8</v>
      </c>
      <c r="C126" s="88">
        <v>8</v>
      </c>
      <c r="D126" s="88">
        <f t="shared" ref="D126:D148" si="1">O126*0.8</f>
        <v>8</v>
      </c>
      <c r="E126" s="88">
        <f t="shared" ref="E126:E148" si="2">P126*0.8</f>
        <v>8</v>
      </c>
      <c r="F126" s="88">
        <f t="shared" ref="F126:F148" si="3">Q126*0.8</f>
        <v>4</v>
      </c>
      <c r="G126" s="88">
        <f t="shared" ref="G126:G148" si="4">R126*0.8</f>
        <v>8</v>
      </c>
      <c r="H126" s="88">
        <f t="shared" ref="H126:H148" si="5">S126*0.8</f>
        <v>8</v>
      </c>
      <c r="I126" s="88">
        <f t="shared" ref="I126:I148" si="6">T126*0.8</f>
        <v>8</v>
      </c>
      <c r="J126" s="88">
        <f t="shared" ref="J126:J148" si="7">U126*0.8</f>
        <v>8</v>
      </c>
      <c r="K126" s="88">
        <f t="shared" ref="K126:K148" si="8">V126*0.8</f>
        <v>0</v>
      </c>
      <c r="L126" s="88">
        <f t="shared" ref="L126:L148" si="9">W126*0.8</f>
        <v>8</v>
      </c>
      <c r="N126" s="89">
        <v>10</v>
      </c>
      <c r="O126" s="90">
        <v>10</v>
      </c>
      <c r="P126" s="90">
        <v>10</v>
      </c>
      <c r="Q126" s="90">
        <v>5</v>
      </c>
      <c r="R126" s="90">
        <v>10</v>
      </c>
      <c r="S126" s="90">
        <v>10</v>
      </c>
      <c r="T126" s="90">
        <v>10</v>
      </c>
      <c r="U126" s="90">
        <v>10</v>
      </c>
      <c r="V126" s="90"/>
      <c r="W126" s="91">
        <v>10</v>
      </c>
    </row>
    <row r="127" spans="1:23" x14ac:dyDescent="0.25">
      <c r="A127" s="69" t="s">
        <v>20</v>
      </c>
      <c r="B127" s="88">
        <f t="shared" si="0"/>
        <v>8</v>
      </c>
      <c r="C127" s="88">
        <v>20</v>
      </c>
      <c r="D127" s="88">
        <f t="shared" si="1"/>
        <v>8</v>
      </c>
      <c r="E127" s="88">
        <f t="shared" si="2"/>
        <v>8</v>
      </c>
      <c r="F127" s="88">
        <f t="shared" si="3"/>
        <v>4.8000000000000007</v>
      </c>
      <c r="G127" s="88">
        <f t="shared" si="4"/>
        <v>8</v>
      </c>
      <c r="H127" s="88">
        <f t="shared" si="5"/>
        <v>8</v>
      </c>
      <c r="I127" s="88">
        <f t="shared" si="6"/>
        <v>14.4</v>
      </c>
      <c r="J127" s="88">
        <f t="shared" si="7"/>
        <v>8</v>
      </c>
      <c r="K127" s="88">
        <f t="shared" si="8"/>
        <v>0</v>
      </c>
      <c r="L127" s="88">
        <f t="shared" si="9"/>
        <v>8</v>
      </c>
      <c r="N127" s="92">
        <v>10</v>
      </c>
      <c r="O127" s="93">
        <v>10</v>
      </c>
      <c r="P127" s="93">
        <v>10</v>
      </c>
      <c r="Q127" s="93">
        <v>6</v>
      </c>
      <c r="R127" s="93">
        <v>10</v>
      </c>
      <c r="S127" s="93">
        <v>10</v>
      </c>
      <c r="T127" s="93">
        <v>18</v>
      </c>
      <c r="U127" s="93">
        <v>10</v>
      </c>
      <c r="V127" s="93"/>
      <c r="W127" s="94">
        <v>10</v>
      </c>
    </row>
    <row r="128" spans="1:23" x14ac:dyDescent="0.25">
      <c r="A128" s="68" t="s">
        <v>21</v>
      </c>
      <c r="B128" s="88">
        <f t="shared" si="0"/>
        <v>8</v>
      </c>
      <c r="C128" s="88">
        <v>20</v>
      </c>
      <c r="D128" s="88">
        <f t="shared" si="1"/>
        <v>8</v>
      </c>
      <c r="E128" s="88">
        <f t="shared" si="2"/>
        <v>8</v>
      </c>
      <c r="F128" s="88">
        <f t="shared" si="3"/>
        <v>6.4</v>
      </c>
      <c r="G128" s="88">
        <f t="shared" si="4"/>
        <v>8</v>
      </c>
      <c r="H128" s="88">
        <f t="shared" si="5"/>
        <v>8</v>
      </c>
      <c r="I128" s="88">
        <f t="shared" si="6"/>
        <v>20</v>
      </c>
      <c r="J128" s="88">
        <f t="shared" si="7"/>
        <v>8</v>
      </c>
      <c r="K128" s="88">
        <f t="shared" si="8"/>
        <v>0</v>
      </c>
      <c r="L128" s="88">
        <f>W128*0.8</f>
        <v>8</v>
      </c>
      <c r="N128" s="89">
        <v>10</v>
      </c>
      <c r="O128" s="90">
        <v>10</v>
      </c>
      <c r="P128" s="90">
        <v>10</v>
      </c>
      <c r="Q128" s="90">
        <v>8</v>
      </c>
      <c r="R128" s="90">
        <v>10</v>
      </c>
      <c r="S128" s="90">
        <v>10</v>
      </c>
      <c r="T128" s="90">
        <v>25</v>
      </c>
      <c r="U128" s="90">
        <v>10</v>
      </c>
      <c r="V128" s="90"/>
      <c r="W128" s="91">
        <v>10</v>
      </c>
    </row>
    <row r="129" spans="1:23" x14ac:dyDescent="0.25">
      <c r="A129" s="69" t="s">
        <v>122</v>
      </c>
      <c r="B129" s="88">
        <f t="shared" si="0"/>
        <v>8</v>
      </c>
      <c r="C129" s="88">
        <v>40</v>
      </c>
      <c r="D129" s="88">
        <f t="shared" si="1"/>
        <v>14.4</v>
      </c>
      <c r="E129" s="88">
        <f t="shared" si="2"/>
        <v>14.4</v>
      </c>
      <c r="F129" s="88">
        <f t="shared" si="3"/>
        <v>16</v>
      </c>
      <c r="G129" s="88">
        <f t="shared" si="4"/>
        <v>12</v>
      </c>
      <c r="H129" s="88">
        <f t="shared" si="5"/>
        <v>14.4</v>
      </c>
      <c r="I129" s="88">
        <f t="shared" si="6"/>
        <v>28</v>
      </c>
      <c r="J129" s="88">
        <f t="shared" si="7"/>
        <v>14.4</v>
      </c>
      <c r="K129" s="88">
        <f t="shared" si="8"/>
        <v>0</v>
      </c>
      <c r="L129" s="88">
        <f t="shared" si="9"/>
        <v>14.4</v>
      </c>
      <c r="N129" s="92">
        <v>10</v>
      </c>
      <c r="O129" s="93">
        <v>18</v>
      </c>
      <c r="P129" s="93">
        <v>18</v>
      </c>
      <c r="Q129" s="93">
        <v>20</v>
      </c>
      <c r="R129" s="93">
        <v>15</v>
      </c>
      <c r="S129" s="93">
        <v>18</v>
      </c>
      <c r="T129" s="93">
        <v>35</v>
      </c>
      <c r="U129" s="93">
        <v>18</v>
      </c>
      <c r="V129" s="93"/>
      <c r="W129" s="94">
        <v>18</v>
      </c>
    </row>
    <row r="130" spans="1:23" x14ac:dyDescent="0.25">
      <c r="A130" s="68" t="s">
        <v>123</v>
      </c>
      <c r="B130" s="88">
        <f t="shared" si="0"/>
        <v>8</v>
      </c>
      <c r="C130" s="88">
        <v>40</v>
      </c>
      <c r="D130" s="88">
        <f t="shared" si="1"/>
        <v>20</v>
      </c>
      <c r="E130" s="88">
        <f t="shared" si="2"/>
        <v>20</v>
      </c>
      <c r="F130" s="88">
        <f t="shared" si="3"/>
        <v>24</v>
      </c>
      <c r="G130" s="88">
        <f t="shared" si="4"/>
        <v>20</v>
      </c>
      <c r="H130" s="88">
        <f t="shared" si="5"/>
        <v>20</v>
      </c>
      <c r="I130" s="88">
        <f t="shared" si="6"/>
        <v>32</v>
      </c>
      <c r="J130" s="88">
        <f t="shared" si="7"/>
        <v>20</v>
      </c>
      <c r="K130" s="88">
        <f t="shared" si="8"/>
        <v>0</v>
      </c>
      <c r="L130" s="88">
        <f t="shared" si="9"/>
        <v>20</v>
      </c>
      <c r="N130" s="89">
        <v>10</v>
      </c>
      <c r="O130" s="90">
        <v>25</v>
      </c>
      <c r="P130" s="90">
        <v>25</v>
      </c>
      <c r="Q130" s="90">
        <v>30</v>
      </c>
      <c r="R130" s="90">
        <v>25</v>
      </c>
      <c r="S130" s="90">
        <v>25</v>
      </c>
      <c r="T130" s="90">
        <v>40</v>
      </c>
      <c r="U130" s="90">
        <v>25</v>
      </c>
      <c r="V130" s="90"/>
      <c r="W130" s="91">
        <v>25</v>
      </c>
    </row>
    <row r="131" spans="1:23" x14ac:dyDescent="0.25">
      <c r="A131" s="69" t="s">
        <v>124</v>
      </c>
      <c r="B131" s="88">
        <f t="shared" si="0"/>
        <v>8</v>
      </c>
      <c r="C131" s="88">
        <v>60</v>
      </c>
      <c r="D131" s="88">
        <f t="shared" si="1"/>
        <v>20</v>
      </c>
      <c r="E131" s="88">
        <f t="shared" si="2"/>
        <v>20</v>
      </c>
      <c r="F131" s="88">
        <f t="shared" si="3"/>
        <v>32</v>
      </c>
      <c r="G131" s="88">
        <f t="shared" si="4"/>
        <v>20</v>
      </c>
      <c r="H131" s="88">
        <f t="shared" si="5"/>
        <v>20</v>
      </c>
      <c r="I131" s="88">
        <f t="shared" si="6"/>
        <v>36</v>
      </c>
      <c r="J131" s="88">
        <f t="shared" si="7"/>
        <v>24</v>
      </c>
      <c r="K131" s="88">
        <f t="shared" si="8"/>
        <v>0</v>
      </c>
      <c r="L131" s="88">
        <f t="shared" si="9"/>
        <v>20</v>
      </c>
      <c r="N131" s="92">
        <v>10</v>
      </c>
      <c r="O131" s="93">
        <v>25</v>
      </c>
      <c r="P131" s="93">
        <v>25</v>
      </c>
      <c r="Q131" s="93">
        <v>40</v>
      </c>
      <c r="R131" s="93">
        <v>25</v>
      </c>
      <c r="S131" s="93">
        <v>25</v>
      </c>
      <c r="T131" s="93">
        <v>45</v>
      </c>
      <c r="U131" s="93">
        <v>30</v>
      </c>
      <c r="V131" s="93"/>
      <c r="W131" s="94">
        <v>25</v>
      </c>
    </row>
    <row r="132" spans="1:23" x14ac:dyDescent="0.25">
      <c r="A132" s="68" t="s">
        <v>125</v>
      </c>
      <c r="B132" s="88">
        <f t="shared" si="0"/>
        <v>8</v>
      </c>
      <c r="C132" s="88">
        <v>120</v>
      </c>
      <c r="D132" s="88">
        <f t="shared" si="1"/>
        <v>28</v>
      </c>
      <c r="E132" s="88">
        <f t="shared" si="2"/>
        <v>28</v>
      </c>
      <c r="F132" s="88">
        <f t="shared" si="3"/>
        <v>40</v>
      </c>
      <c r="G132" s="88">
        <f t="shared" si="4"/>
        <v>20</v>
      </c>
      <c r="H132" s="88">
        <f t="shared" si="5"/>
        <v>21.6</v>
      </c>
      <c r="I132" s="88">
        <f t="shared" si="6"/>
        <v>36</v>
      </c>
      <c r="J132" s="88">
        <f t="shared" si="7"/>
        <v>32</v>
      </c>
      <c r="K132" s="88">
        <f t="shared" si="8"/>
        <v>0</v>
      </c>
      <c r="L132" s="88">
        <f t="shared" si="9"/>
        <v>28</v>
      </c>
      <c r="N132" s="89">
        <v>10</v>
      </c>
      <c r="O132" s="90">
        <v>35</v>
      </c>
      <c r="P132" s="90">
        <v>35</v>
      </c>
      <c r="Q132" s="90">
        <v>50</v>
      </c>
      <c r="R132" s="90">
        <v>25</v>
      </c>
      <c r="S132" s="90">
        <v>27</v>
      </c>
      <c r="T132" s="90">
        <v>45</v>
      </c>
      <c r="U132" s="90">
        <v>40</v>
      </c>
      <c r="V132" s="90"/>
      <c r="W132" s="91">
        <v>35</v>
      </c>
    </row>
    <row r="133" spans="1:23" x14ac:dyDescent="0.25">
      <c r="A133" s="69" t="s">
        <v>126</v>
      </c>
      <c r="B133" s="88">
        <f t="shared" si="0"/>
        <v>16</v>
      </c>
      <c r="C133" s="88">
        <v>120</v>
      </c>
      <c r="D133" s="88">
        <f t="shared" si="1"/>
        <v>32</v>
      </c>
      <c r="E133" s="88">
        <f t="shared" si="2"/>
        <v>28</v>
      </c>
      <c r="F133" s="88">
        <f t="shared" si="3"/>
        <v>48</v>
      </c>
      <c r="G133" s="88">
        <f t="shared" si="4"/>
        <v>20</v>
      </c>
      <c r="H133" s="88">
        <f t="shared" si="5"/>
        <v>21.6</v>
      </c>
      <c r="I133" s="88">
        <f t="shared" si="6"/>
        <v>44.800000000000004</v>
      </c>
      <c r="J133" s="88">
        <f t="shared" si="7"/>
        <v>0</v>
      </c>
      <c r="K133" s="88">
        <f t="shared" si="8"/>
        <v>0</v>
      </c>
      <c r="L133" s="88">
        <f t="shared" si="9"/>
        <v>32</v>
      </c>
      <c r="N133" s="92">
        <v>20</v>
      </c>
      <c r="O133" s="93">
        <v>40</v>
      </c>
      <c r="P133" s="93">
        <v>35</v>
      </c>
      <c r="Q133" s="93">
        <v>60</v>
      </c>
      <c r="R133" s="93">
        <v>25</v>
      </c>
      <c r="S133" s="93">
        <v>27</v>
      </c>
      <c r="T133" s="93">
        <v>56</v>
      </c>
      <c r="U133" s="93"/>
      <c r="V133" s="93"/>
      <c r="W133" s="94">
        <v>40</v>
      </c>
    </row>
    <row r="134" spans="1:23" x14ac:dyDescent="0.25">
      <c r="A134" s="68" t="s">
        <v>127</v>
      </c>
      <c r="B134" s="88">
        <f t="shared" si="0"/>
        <v>16</v>
      </c>
      <c r="C134" s="88">
        <v>120</v>
      </c>
      <c r="D134" s="88">
        <f t="shared" si="1"/>
        <v>36</v>
      </c>
      <c r="E134" s="88">
        <f t="shared" si="2"/>
        <v>28</v>
      </c>
      <c r="F134" s="88">
        <f>Q134*0.8</f>
        <v>56</v>
      </c>
      <c r="G134" s="88">
        <f t="shared" si="4"/>
        <v>24</v>
      </c>
      <c r="H134" s="88">
        <f t="shared" si="5"/>
        <v>24</v>
      </c>
      <c r="I134" s="88">
        <f t="shared" si="6"/>
        <v>44.800000000000004</v>
      </c>
      <c r="J134" s="88">
        <f t="shared" si="7"/>
        <v>0</v>
      </c>
      <c r="K134" s="88">
        <f t="shared" si="8"/>
        <v>0</v>
      </c>
      <c r="L134" s="88">
        <f t="shared" si="9"/>
        <v>36</v>
      </c>
      <c r="N134" s="89">
        <v>20</v>
      </c>
      <c r="O134" s="90">
        <v>45</v>
      </c>
      <c r="P134" s="90">
        <v>35</v>
      </c>
      <c r="Q134" s="90">
        <v>70</v>
      </c>
      <c r="R134" s="90">
        <v>30</v>
      </c>
      <c r="S134" s="90">
        <v>30</v>
      </c>
      <c r="T134" s="90">
        <v>56</v>
      </c>
      <c r="U134" s="90"/>
      <c r="V134" s="90"/>
      <c r="W134" s="91">
        <v>45</v>
      </c>
    </row>
    <row r="135" spans="1:23" x14ac:dyDescent="0.25">
      <c r="A135" s="69" t="s">
        <v>128</v>
      </c>
      <c r="B135" s="88">
        <f t="shared" si="0"/>
        <v>16</v>
      </c>
      <c r="C135" s="88">
        <v>120</v>
      </c>
      <c r="D135" s="88">
        <f t="shared" si="1"/>
        <v>44</v>
      </c>
      <c r="E135" s="88">
        <f t="shared" si="2"/>
        <v>28</v>
      </c>
      <c r="F135" s="88">
        <f t="shared" si="3"/>
        <v>56</v>
      </c>
      <c r="G135" s="88">
        <f t="shared" si="4"/>
        <v>28</v>
      </c>
      <c r="H135" s="88">
        <f t="shared" si="5"/>
        <v>28</v>
      </c>
      <c r="I135" s="88">
        <f t="shared" si="6"/>
        <v>0</v>
      </c>
      <c r="J135" s="88">
        <f t="shared" si="7"/>
        <v>0</v>
      </c>
      <c r="K135" s="88">
        <f t="shared" si="8"/>
        <v>0</v>
      </c>
      <c r="L135" s="88">
        <f t="shared" si="9"/>
        <v>44</v>
      </c>
      <c r="N135" s="92">
        <v>20</v>
      </c>
      <c r="O135" s="93">
        <v>55</v>
      </c>
      <c r="P135" s="93">
        <v>35</v>
      </c>
      <c r="Q135" s="93">
        <v>70</v>
      </c>
      <c r="R135" s="93">
        <v>35</v>
      </c>
      <c r="S135" s="93">
        <v>35</v>
      </c>
      <c r="T135" s="93"/>
      <c r="U135" s="93"/>
      <c r="V135" s="93"/>
      <c r="W135" s="94">
        <v>55</v>
      </c>
    </row>
    <row r="136" spans="1:23" x14ac:dyDescent="0.25">
      <c r="A136" s="68" t="s">
        <v>129</v>
      </c>
      <c r="B136" s="88">
        <f t="shared" si="0"/>
        <v>16</v>
      </c>
      <c r="C136" s="88">
        <v>120</v>
      </c>
      <c r="D136" s="88">
        <f t="shared" si="1"/>
        <v>44</v>
      </c>
      <c r="E136" s="88">
        <f t="shared" si="2"/>
        <v>28</v>
      </c>
      <c r="F136" s="88">
        <f t="shared" si="3"/>
        <v>56</v>
      </c>
      <c r="G136" s="88">
        <f t="shared" si="4"/>
        <v>32</v>
      </c>
      <c r="H136" s="88">
        <f t="shared" si="5"/>
        <v>30.400000000000002</v>
      </c>
      <c r="I136" s="88">
        <f t="shared" si="6"/>
        <v>0</v>
      </c>
      <c r="J136" s="88">
        <f t="shared" si="7"/>
        <v>0</v>
      </c>
      <c r="K136" s="88">
        <f t="shared" si="8"/>
        <v>0</v>
      </c>
      <c r="L136" s="88">
        <f t="shared" si="9"/>
        <v>44</v>
      </c>
      <c r="N136" s="89">
        <v>20</v>
      </c>
      <c r="O136" s="90">
        <v>55</v>
      </c>
      <c r="P136" s="90">
        <v>35</v>
      </c>
      <c r="Q136" s="90">
        <v>70</v>
      </c>
      <c r="R136" s="90">
        <v>40</v>
      </c>
      <c r="S136" s="90">
        <v>38</v>
      </c>
      <c r="T136" s="90"/>
      <c r="U136" s="90"/>
      <c r="V136" s="90"/>
      <c r="W136" s="91">
        <v>55</v>
      </c>
    </row>
    <row r="137" spans="1:23" x14ac:dyDescent="0.25">
      <c r="A137" s="69" t="s">
        <v>130</v>
      </c>
      <c r="B137" s="88">
        <f t="shared" si="0"/>
        <v>20</v>
      </c>
      <c r="C137" s="88">
        <v>120</v>
      </c>
      <c r="D137" s="88">
        <f t="shared" si="1"/>
        <v>0</v>
      </c>
      <c r="E137" s="88">
        <f t="shared" si="2"/>
        <v>0</v>
      </c>
      <c r="F137" s="88">
        <f t="shared" si="3"/>
        <v>56</v>
      </c>
      <c r="G137" s="88">
        <f t="shared" si="4"/>
        <v>0</v>
      </c>
      <c r="H137" s="88">
        <f t="shared" si="5"/>
        <v>0</v>
      </c>
      <c r="I137" s="88">
        <f t="shared" si="6"/>
        <v>0</v>
      </c>
      <c r="J137" s="88">
        <f t="shared" si="7"/>
        <v>0</v>
      </c>
      <c r="K137" s="88">
        <f t="shared" si="8"/>
        <v>0</v>
      </c>
      <c r="L137" s="88">
        <f t="shared" si="9"/>
        <v>0</v>
      </c>
      <c r="N137" s="92">
        <v>25</v>
      </c>
      <c r="O137" s="93"/>
      <c r="P137" s="93"/>
      <c r="Q137" s="93">
        <v>70</v>
      </c>
      <c r="R137" s="93"/>
      <c r="S137" s="93"/>
      <c r="T137" s="93"/>
      <c r="U137" s="93"/>
      <c r="V137" s="93"/>
      <c r="W137" s="94"/>
    </row>
    <row r="138" spans="1:23" x14ac:dyDescent="0.25">
      <c r="A138" s="68" t="s">
        <v>131</v>
      </c>
      <c r="B138" s="88">
        <f t="shared" si="0"/>
        <v>20</v>
      </c>
      <c r="C138" s="88">
        <v>160</v>
      </c>
      <c r="D138" s="88">
        <f t="shared" si="1"/>
        <v>0</v>
      </c>
      <c r="E138" s="88">
        <f t="shared" si="2"/>
        <v>0</v>
      </c>
      <c r="F138" s="88">
        <f t="shared" si="3"/>
        <v>56</v>
      </c>
      <c r="G138" s="88">
        <f t="shared" si="4"/>
        <v>0</v>
      </c>
      <c r="H138" s="88">
        <f t="shared" si="5"/>
        <v>0</v>
      </c>
      <c r="I138" s="88">
        <f t="shared" si="6"/>
        <v>0</v>
      </c>
      <c r="J138" s="88">
        <f t="shared" si="7"/>
        <v>0</v>
      </c>
      <c r="K138" s="88">
        <f t="shared" si="8"/>
        <v>0</v>
      </c>
      <c r="L138" s="88">
        <f t="shared" si="9"/>
        <v>0</v>
      </c>
      <c r="N138" s="89">
        <v>25</v>
      </c>
      <c r="O138" s="90"/>
      <c r="P138" s="90"/>
      <c r="Q138" s="90">
        <v>70</v>
      </c>
      <c r="R138" s="90"/>
      <c r="S138" s="90"/>
      <c r="T138" s="90"/>
      <c r="U138" s="90"/>
      <c r="V138" s="90"/>
      <c r="W138" s="91"/>
    </row>
    <row r="139" spans="1:23" x14ac:dyDescent="0.25">
      <c r="A139" s="69" t="s">
        <v>132</v>
      </c>
      <c r="B139" s="88">
        <f t="shared" si="0"/>
        <v>40</v>
      </c>
      <c r="C139" s="88">
        <v>160</v>
      </c>
      <c r="D139" s="88">
        <f t="shared" si="1"/>
        <v>0</v>
      </c>
      <c r="E139" s="88">
        <f t="shared" si="2"/>
        <v>0</v>
      </c>
      <c r="F139" s="88">
        <f t="shared" si="3"/>
        <v>56</v>
      </c>
      <c r="G139" s="88">
        <f t="shared" si="4"/>
        <v>0</v>
      </c>
      <c r="H139" s="88">
        <f t="shared" si="5"/>
        <v>0</v>
      </c>
      <c r="I139" s="88">
        <f t="shared" si="6"/>
        <v>0</v>
      </c>
      <c r="J139" s="88">
        <f t="shared" si="7"/>
        <v>0</v>
      </c>
      <c r="K139" s="88">
        <f t="shared" si="8"/>
        <v>0</v>
      </c>
      <c r="L139" s="88">
        <f t="shared" si="9"/>
        <v>0</v>
      </c>
      <c r="N139" s="92">
        <v>50</v>
      </c>
      <c r="O139" s="93"/>
      <c r="P139" s="93"/>
      <c r="Q139" s="93">
        <v>70</v>
      </c>
      <c r="R139" s="93"/>
      <c r="S139" s="93"/>
      <c r="T139" s="93"/>
      <c r="U139" s="93"/>
      <c r="V139" s="93"/>
      <c r="W139" s="94"/>
    </row>
    <row r="140" spans="1:23" x14ac:dyDescent="0.25">
      <c r="A140" s="68" t="s">
        <v>133</v>
      </c>
      <c r="B140" s="88">
        <f t="shared" si="0"/>
        <v>40</v>
      </c>
      <c r="C140" s="88">
        <v>160</v>
      </c>
      <c r="D140" s="88">
        <f t="shared" si="1"/>
        <v>0</v>
      </c>
      <c r="E140" s="88">
        <f t="shared" si="2"/>
        <v>0</v>
      </c>
      <c r="F140" s="88">
        <f t="shared" si="3"/>
        <v>56</v>
      </c>
      <c r="G140" s="88">
        <f t="shared" si="4"/>
        <v>0</v>
      </c>
      <c r="H140" s="88">
        <f t="shared" si="5"/>
        <v>0</v>
      </c>
      <c r="I140" s="88">
        <f t="shared" si="6"/>
        <v>0</v>
      </c>
      <c r="J140" s="88">
        <f t="shared" si="7"/>
        <v>0</v>
      </c>
      <c r="K140" s="88">
        <f t="shared" si="8"/>
        <v>0</v>
      </c>
      <c r="L140" s="88">
        <f t="shared" si="9"/>
        <v>0</v>
      </c>
      <c r="N140" s="89">
        <v>50</v>
      </c>
      <c r="O140" s="90"/>
      <c r="P140" s="90"/>
      <c r="Q140" s="90">
        <v>70</v>
      </c>
      <c r="R140" s="90"/>
      <c r="S140" s="90"/>
      <c r="T140" s="90"/>
      <c r="U140" s="90"/>
      <c r="V140" s="90"/>
      <c r="W140" s="91"/>
    </row>
    <row r="141" spans="1:23" x14ac:dyDescent="0.25">
      <c r="A141" s="69" t="s">
        <v>134</v>
      </c>
      <c r="B141" s="88">
        <f t="shared" si="0"/>
        <v>40</v>
      </c>
      <c r="C141" s="88">
        <v>160</v>
      </c>
      <c r="D141" s="88">
        <f t="shared" si="1"/>
        <v>0</v>
      </c>
      <c r="E141" s="88">
        <f t="shared" si="2"/>
        <v>0</v>
      </c>
      <c r="F141" s="88">
        <f t="shared" si="3"/>
        <v>56</v>
      </c>
      <c r="G141" s="88">
        <f t="shared" si="4"/>
        <v>0</v>
      </c>
      <c r="H141" s="88">
        <f t="shared" si="5"/>
        <v>0</v>
      </c>
      <c r="I141" s="88">
        <f t="shared" si="6"/>
        <v>0</v>
      </c>
      <c r="J141" s="88">
        <f t="shared" si="7"/>
        <v>0</v>
      </c>
      <c r="K141" s="88">
        <f t="shared" si="8"/>
        <v>0</v>
      </c>
      <c r="L141" s="88">
        <f t="shared" si="9"/>
        <v>0</v>
      </c>
      <c r="N141" s="92">
        <v>50</v>
      </c>
      <c r="O141" s="93"/>
      <c r="P141" s="93"/>
      <c r="Q141" s="93">
        <v>70</v>
      </c>
      <c r="R141" s="93"/>
      <c r="S141" s="93"/>
      <c r="T141" s="93"/>
      <c r="U141" s="93"/>
      <c r="V141" s="93"/>
      <c r="W141" s="94"/>
    </row>
    <row r="142" spans="1:23" x14ac:dyDescent="0.25">
      <c r="A142" s="68" t="s">
        <v>135</v>
      </c>
      <c r="B142" s="88">
        <f t="shared" si="0"/>
        <v>40</v>
      </c>
      <c r="C142" s="88">
        <v>160</v>
      </c>
      <c r="D142" s="88">
        <f t="shared" si="1"/>
        <v>0</v>
      </c>
      <c r="E142" s="88">
        <f t="shared" si="2"/>
        <v>0</v>
      </c>
      <c r="F142" s="88">
        <f t="shared" si="3"/>
        <v>56</v>
      </c>
      <c r="G142" s="88">
        <f t="shared" si="4"/>
        <v>0</v>
      </c>
      <c r="H142" s="88">
        <f t="shared" si="5"/>
        <v>0</v>
      </c>
      <c r="I142" s="88">
        <f t="shared" si="6"/>
        <v>0</v>
      </c>
      <c r="J142" s="88">
        <f t="shared" si="7"/>
        <v>0</v>
      </c>
      <c r="K142" s="88">
        <f t="shared" si="8"/>
        <v>0</v>
      </c>
      <c r="L142" s="88">
        <f t="shared" si="9"/>
        <v>0</v>
      </c>
      <c r="N142" s="89">
        <v>50</v>
      </c>
      <c r="O142" s="90"/>
      <c r="P142" s="90"/>
      <c r="Q142" s="90">
        <v>70</v>
      </c>
      <c r="R142" s="90"/>
      <c r="S142" s="90"/>
      <c r="T142" s="90"/>
      <c r="U142" s="90"/>
      <c r="V142" s="90"/>
      <c r="W142" s="91"/>
    </row>
    <row r="143" spans="1:23" x14ac:dyDescent="0.25">
      <c r="A143" s="69" t="s">
        <v>138</v>
      </c>
      <c r="B143" s="88">
        <f t="shared" si="0"/>
        <v>40</v>
      </c>
      <c r="C143" s="88"/>
      <c r="D143" s="88">
        <f t="shared" si="1"/>
        <v>0</v>
      </c>
      <c r="E143" s="88">
        <f t="shared" si="2"/>
        <v>0</v>
      </c>
      <c r="F143" s="88">
        <f t="shared" si="3"/>
        <v>56</v>
      </c>
      <c r="G143" s="88">
        <f t="shared" si="4"/>
        <v>0</v>
      </c>
      <c r="H143" s="88">
        <f t="shared" si="5"/>
        <v>0</v>
      </c>
      <c r="I143" s="88">
        <f t="shared" si="6"/>
        <v>0</v>
      </c>
      <c r="J143" s="88">
        <f t="shared" si="7"/>
        <v>0</v>
      </c>
      <c r="K143" s="88">
        <f t="shared" si="8"/>
        <v>0</v>
      </c>
      <c r="L143" s="88">
        <f t="shared" si="9"/>
        <v>0</v>
      </c>
      <c r="N143" s="92">
        <v>50</v>
      </c>
      <c r="O143" s="93"/>
      <c r="P143" s="93"/>
      <c r="Q143" s="93">
        <v>70</v>
      </c>
      <c r="R143" s="93"/>
      <c r="S143" s="93"/>
      <c r="T143" s="93"/>
      <c r="U143" s="93"/>
      <c r="V143" s="93"/>
      <c r="W143" s="94"/>
    </row>
    <row r="144" spans="1:23" x14ac:dyDescent="0.25">
      <c r="A144" s="68" t="s">
        <v>139</v>
      </c>
      <c r="B144" s="88">
        <f t="shared" si="0"/>
        <v>120</v>
      </c>
      <c r="C144" s="88"/>
      <c r="D144" s="88">
        <f t="shared" si="1"/>
        <v>0</v>
      </c>
      <c r="E144" s="88">
        <f t="shared" si="2"/>
        <v>0</v>
      </c>
      <c r="F144" s="88">
        <f t="shared" si="3"/>
        <v>56</v>
      </c>
      <c r="G144" s="88">
        <f t="shared" si="4"/>
        <v>0</v>
      </c>
      <c r="H144" s="88">
        <f t="shared" si="5"/>
        <v>0</v>
      </c>
      <c r="I144" s="88">
        <f t="shared" si="6"/>
        <v>0</v>
      </c>
      <c r="J144" s="88">
        <f t="shared" si="7"/>
        <v>0</v>
      </c>
      <c r="K144" s="88">
        <f t="shared" si="8"/>
        <v>0</v>
      </c>
      <c r="L144" s="88">
        <f t="shared" si="9"/>
        <v>0</v>
      </c>
      <c r="N144" s="89">
        <v>150</v>
      </c>
      <c r="O144" s="90"/>
      <c r="P144" s="90"/>
      <c r="Q144" s="90">
        <v>70</v>
      </c>
      <c r="R144" s="90"/>
      <c r="S144" s="90"/>
      <c r="T144" s="90"/>
      <c r="U144" s="90"/>
      <c r="V144" s="90"/>
      <c r="W144" s="91"/>
    </row>
    <row r="145" spans="1:23" x14ac:dyDescent="0.25">
      <c r="A145" s="69" t="s">
        <v>140</v>
      </c>
      <c r="B145" s="88">
        <f t="shared" si="0"/>
        <v>120</v>
      </c>
      <c r="C145" s="88"/>
      <c r="D145" s="88">
        <f t="shared" si="1"/>
        <v>0</v>
      </c>
      <c r="E145" s="88">
        <f t="shared" si="2"/>
        <v>0</v>
      </c>
      <c r="F145" s="88">
        <f t="shared" si="3"/>
        <v>56</v>
      </c>
      <c r="G145" s="88">
        <f t="shared" si="4"/>
        <v>0</v>
      </c>
      <c r="H145" s="88">
        <f t="shared" si="5"/>
        <v>0</v>
      </c>
      <c r="I145" s="88">
        <f t="shared" si="6"/>
        <v>0</v>
      </c>
      <c r="J145" s="88">
        <f t="shared" si="7"/>
        <v>0</v>
      </c>
      <c r="K145" s="88">
        <f t="shared" si="8"/>
        <v>0</v>
      </c>
      <c r="L145" s="88">
        <f t="shared" si="9"/>
        <v>0</v>
      </c>
      <c r="N145" s="92">
        <v>150</v>
      </c>
      <c r="O145" s="93"/>
      <c r="P145" s="93"/>
      <c r="Q145" s="93">
        <v>70</v>
      </c>
      <c r="R145" s="93"/>
      <c r="S145" s="93"/>
      <c r="T145" s="93"/>
      <c r="U145" s="93"/>
      <c r="V145" s="93"/>
      <c r="W145" s="94"/>
    </row>
    <row r="146" spans="1:23" x14ac:dyDescent="0.25">
      <c r="A146" s="68" t="s">
        <v>141</v>
      </c>
      <c r="B146" s="88">
        <f t="shared" si="0"/>
        <v>160</v>
      </c>
      <c r="C146" s="88"/>
      <c r="D146" s="88">
        <f t="shared" si="1"/>
        <v>0</v>
      </c>
      <c r="E146" s="88">
        <f t="shared" si="2"/>
        <v>0</v>
      </c>
      <c r="F146" s="88">
        <f t="shared" si="3"/>
        <v>56</v>
      </c>
      <c r="G146" s="88">
        <f t="shared" si="4"/>
        <v>0</v>
      </c>
      <c r="H146" s="88">
        <f t="shared" si="5"/>
        <v>0</v>
      </c>
      <c r="I146" s="88">
        <f t="shared" si="6"/>
        <v>0</v>
      </c>
      <c r="J146" s="88">
        <f t="shared" si="7"/>
        <v>0</v>
      </c>
      <c r="K146" s="88">
        <f t="shared" si="8"/>
        <v>0</v>
      </c>
      <c r="L146" s="88">
        <f t="shared" si="9"/>
        <v>0</v>
      </c>
      <c r="N146" s="89">
        <v>200</v>
      </c>
      <c r="O146" s="90"/>
      <c r="P146" s="90"/>
      <c r="Q146" s="90">
        <v>70</v>
      </c>
      <c r="R146" s="90"/>
      <c r="S146" s="90"/>
      <c r="T146" s="90"/>
      <c r="U146" s="90"/>
      <c r="V146" s="90"/>
      <c r="W146" s="91"/>
    </row>
    <row r="147" spans="1:23" x14ac:dyDescent="0.25">
      <c r="A147" s="69" t="s">
        <v>142</v>
      </c>
      <c r="B147" s="88">
        <f t="shared" si="0"/>
        <v>160</v>
      </c>
      <c r="C147" s="88"/>
      <c r="D147" s="88">
        <f t="shared" si="1"/>
        <v>0</v>
      </c>
      <c r="E147" s="88">
        <f t="shared" si="2"/>
        <v>0</v>
      </c>
      <c r="F147" s="88">
        <f t="shared" si="3"/>
        <v>56</v>
      </c>
      <c r="G147" s="88">
        <f t="shared" si="4"/>
        <v>0</v>
      </c>
      <c r="H147" s="88">
        <f t="shared" si="5"/>
        <v>0</v>
      </c>
      <c r="I147" s="88">
        <f t="shared" si="6"/>
        <v>0</v>
      </c>
      <c r="J147" s="88">
        <f t="shared" si="7"/>
        <v>0</v>
      </c>
      <c r="K147" s="88">
        <f t="shared" si="8"/>
        <v>0</v>
      </c>
      <c r="L147" s="88">
        <f t="shared" si="9"/>
        <v>0</v>
      </c>
      <c r="N147" s="92">
        <v>200</v>
      </c>
      <c r="O147" s="93"/>
      <c r="P147" s="93"/>
      <c r="Q147" s="93">
        <v>70</v>
      </c>
      <c r="R147" s="93"/>
      <c r="S147" s="93"/>
      <c r="T147" s="93"/>
      <c r="U147" s="93"/>
      <c r="V147" s="93"/>
      <c r="W147" s="94"/>
    </row>
    <row r="148" spans="1:23" x14ac:dyDescent="0.25">
      <c r="A148" s="68" t="s">
        <v>143</v>
      </c>
      <c r="B148" s="88">
        <f t="shared" si="0"/>
        <v>160</v>
      </c>
      <c r="C148" s="88"/>
      <c r="D148" s="88">
        <f t="shared" si="1"/>
        <v>0</v>
      </c>
      <c r="E148" s="88">
        <f t="shared" si="2"/>
        <v>0</v>
      </c>
      <c r="F148" s="88">
        <f t="shared" si="3"/>
        <v>56</v>
      </c>
      <c r="G148" s="88">
        <f t="shared" si="4"/>
        <v>0</v>
      </c>
      <c r="H148" s="88">
        <f t="shared" si="5"/>
        <v>0</v>
      </c>
      <c r="I148" s="88">
        <f t="shared" si="6"/>
        <v>0</v>
      </c>
      <c r="J148" s="88">
        <f t="shared" si="7"/>
        <v>0</v>
      </c>
      <c r="K148" s="88">
        <f t="shared" si="8"/>
        <v>0</v>
      </c>
      <c r="L148" s="88">
        <f t="shared" si="9"/>
        <v>0</v>
      </c>
      <c r="N148" s="89">
        <v>200</v>
      </c>
      <c r="O148" s="90"/>
      <c r="P148" s="90"/>
      <c r="Q148" s="90">
        <v>70</v>
      </c>
      <c r="R148" s="90"/>
      <c r="S148" s="90"/>
      <c r="T148" s="90"/>
      <c r="U148" s="90"/>
      <c r="V148" s="90"/>
      <c r="W148" s="91"/>
    </row>
  </sheetData>
  <mergeCells count="4">
    <mergeCell ref="B124:K124"/>
    <mergeCell ref="M124:V124"/>
    <mergeCell ref="F30:H30"/>
    <mergeCell ref="J30:L30"/>
  </mergeCells>
  <pageMargins left="0.7" right="0.7" top="0.75" bottom="0.75" header="0.3" footer="0.3"/>
  <pageSetup paperSize="9" scale="24" orientation="portrait" r:id="rId1"/>
  <colBreaks count="1" manualBreakCount="1">
    <brk id="23" max="165" man="1"/>
  </colBreaks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BX139"/>
  <sheetViews>
    <sheetView showGridLines="0" view="pageBreakPreview" topLeftCell="AA88" zoomScale="80" zoomScaleNormal="55" zoomScaleSheetLayoutView="80" workbookViewId="0">
      <selection activeCell="Q115" sqref="Q115"/>
    </sheetView>
  </sheetViews>
  <sheetFormatPr baseColWidth="10" defaultRowHeight="15" x14ac:dyDescent="0.25"/>
  <cols>
    <col min="1" max="1" width="13.85546875" bestFit="1" customWidth="1"/>
    <col min="2" max="2" width="19.140625" customWidth="1"/>
    <col min="3" max="3" width="17.5703125" customWidth="1"/>
    <col min="7" max="7" width="11.42578125" style="40"/>
    <col min="13" max="13" width="14.140625" bestFit="1" customWidth="1"/>
    <col min="15" max="15" width="11.42578125" style="22"/>
    <col min="16" max="16" width="11.5703125" style="40"/>
    <col min="17" max="17" width="15.42578125" bestFit="1" customWidth="1"/>
    <col min="18" max="18" width="19" customWidth="1"/>
    <col min="19" max="19" width="12.42578125" bestFit="1" customWidth="1"/>
    <col min="26" max="26" width="18.28515625" customWidth="1"/>
    <col min="27" max="27" width="25.7109375" bestFit="1" customWidth="1"/>
    <col min="34" max="34" width="18.28515625" bestFit="1" customWidth="1"/>
    <col min="35" max="35" width="17.28515625" bestFit="1" customWidth="1"/>
    <col min="36" max="36" width="8.85546875" customWidth="1"/>
    <col min="37" max="37" width="11.7109375" bestFit="1" customWidth="1"/>
    <col min="38" max="38" width="10.140625" customWidth="1"/>
    <col min="39" max="39" width="12.5703125" bestFit="1" customWidth="1"/>
    <col min="42" max="42" width="18.28515625" bestFit="1" customWidth="1"/>
    <col min="49" max="49" width="17.85546875" bestFit="1" customWidth="1"/>
    <col min="56" max="56" width="19.140625" customWidth="1"/>
    <col min="58" max="58" width="20.28515625" customWidth="1"/>
    <col min="59" max="61" width="13.5703125" bestFit="1" customWidth="1"/>
    <col min="62" max="62" width="13.5703125" customWidth="1"/>
    <col min="64" max="64" width="17.85546875" bestFit="1" customWidth="1"/>
    <col min="72" max="72" width="14.28515625" bestFit="1" customWidth="1"/>
  </cols>
  <sheetData>
    <row r="1" spans="1:76" ht="16.5" x14ac:dyDescent="0.3">
      <c r="A1" s="288" t="s">
        <v>78</v>
      </c>
      <c r="B1" s="288"/>
      <c r="C1" s="288"/>
      <c r="D1" s="288"/>
      <c r="E1" s="288"/>
      <c r="F1" s="114"/>
      <c r="G1" s="137"/>
      <c r="H1" s="129"/>
      <c r="I1" s="129"/>
      <c r="J1" s="129" t="s">
        <v>78</v>
      </c>
      <c r="K1" s="129"/>
      <c r="L1" s="129"/>
      <c r="M1" s="129"/>
      <c r="N1" s="129"/>
      <c r="O1" s="27"/>
      <c r="P1" s="137"/>
      <c r="Q1" s="288" t="s">
        <v>69</v>
      </c>
      <c r="R1" s="288"/>
      <c r="S1" s="288"/>
      <c r="T1" s="288"/>
      <c r="U1" s="288"/>
      <c r="V1" s="288"/>
      <c r="W1" s="288"/>
      <c r="X1" s="288"/>
      <c r="Z1" s="288" t="s">
        <v>76</v>
      </c>
      <c r="AA1" s="288"/>
      <c r="AB1" s="288"/>
      <c r="AC1" s="288"/>
      <c r="AD1" s="288"/>
      <c r="AE1" s="288"/>
      <c r="AF1" s="127"/>
      <c r="AH1" s="288" t="s">
        <v>23</v>
      </c>
      <c r="AI1" s="288"/>
      <c r="AJ1" s="288"/>
      <c r="AK1" s="288"/>
      <c r="AL1" s="288"/>
      <c r="AM1" s="288"/>
      <c r="AN1" s="288"/>
      <c r="AP1" s="288" t="s">
        <v>82</v>
      </c>
      <c r="AQ1" s="288"/>
      <c r="AR1" s="288"/>
      <c r="AS1" s="288"/>
      <c r="AT1" s="288"/>
      <c r="AU1" s="288"/>
      <c r="AW1" s="288" t="s">
        <v>41</v>
      </c>
      <c r="AX1" s="288"/>
      <c r="AY1" s="288"/>
      <c r="AZ1" s="288"/>
      <c r="BA1" s="288"/>
      <c r="BB1" s="288"/>
      <c r="BD1" s="288" t="s">
        <v>95</v>
      </c>
      <c r="BE1" s="288"/>
      <c r="BF1" s="288"/>
      <c r="BG1" s="288"/>
      <c r="BH1" s="288"/>
      <c r="BI1" s="288"/>
      <c r="BJ1" s="114"/>
      <c r="BL1" s="288" t="s">
        <v>109</v>
      </c>
      <c r="BM1" s="288"/>
      <c r="BN1" s="288"/>
      <c r="BO1" s="288"/>
      <c r="BP1" s="288"/>
      <c r="BQ1" s="288"/>
      <c r="BR1" s="207"/>
      <c r="BS1" s="288"/>
      <c r="BT1" s="288"/>
      <c r="BU1" s="288"/>
      <c r="BV1" s="288"/>
      <c r="BW1" s="288"/>
      <c r="BX1" s="288"/>
    </row>
    <row r="2" spans="1:76" x14ac:dyDescent="0.25">
      <c r="BR2" s="207"/>
      <c r="BS2" s="207"/>
      <c r="BT2" s="287"/>
      <c r="BU2" s="287"/>
      <c r="BV2" s="207"/>
    </row>
    <row r="3" spans="1:76" x14ac:dyDescent="0.25">
      <c r="A3" s="18" t="s">
        <v>24</v>
      </c>
      <c r="B3" s="18" t="s">
        <v>71</v>
      </c>
      <c r="C3" s="18" t="s">
        <v>148</v>
      </c>
      <c r="D3" s="56" t="s">
        <v>206</v>
      </c>
      <c r="E3" s="56" t="s">
        <v>207</v>
      </c>
      <c r="F3" s="56" t="s">
        <v>208</v>
      </c>
      <c r="H3" s="23" t="s">
        <v>24</v>
      </c>
      <c r="I3" s="23" t="s">
        <v>71</v>
      </c>
      <c r="J3" s="56" t="s">
        <v>206</v>
      </c>
      <c r="K3" s="56" t="s">
        <v>207</v>
      </c>
      <c r="L3" s="56" t="s">
        <v>208</v>
      </c>
      <c r="M3" s="40"/>
      <c r="N3" s="40"/>
      <c r="Q3" s="23" t="s">
        <v>24</v>
      </c>
      <c r="R3" s="23" t="s">
        <v>71</v>
      </c>
      <c r="S3" s="23" t="s">
        <v>148</v>
      </c>
      <c r="T3" s="56" t="s">
        <v>206</v>
      </c>
      <c r="U3" s="56" t="s">
        <v>207</v>
      </c>
      <c r="V3" s="56" t="s">
        <v>208</v>
      </c>
      <c r="W3" s="40"/>
      <c r="Z3" s="18" t="s">
        <v>70</v>
      </c>
      <c r="AA3" s="18" t="s">
        <v>75</v>
      </c>
      <c r="AB3" s="18" t="s">
        <v>148</v>
      </c>
      <c r="AC3" s="56" t="s">
        <v>206</v>
      </c>
      <c r="AD3" s="56" t="s">
        <v>207</v>
      </c>
      <c r="AE3" s="56" t="s">
        <v>208</v>
      </c>
      <c r="AF3" s="40"/>
      <c r="AH3" s="98" t="s">
        <v>70</v>
      </c>
      <c r="AI3" s="98" t="s">
        <v>73</v>
      </c>
      <c r="AJ3" s="98" t="s">
        <v>26</v>
      </c>
      <c r="AK3" s="98" t="s">
        <v>148</v>
      </c>
      <c r="AL3" s="56" t="s">
        <v>206</v>
      </c>
      <c r="AM3" s="56" t="s">
        <v>207</v>
      </c>
      <c r="AN3" s="56" t="s">
        <v>208</v>
      </c>
      <c r="AP3" s="98" t="s">
        <v>70</v>
      </c>
      <c r="AQ3" s="98" t="s">
        <v>81</v>
      </c>
      <c r="AR3" s="99" t="s">
        <v>148</v>
      </c>
      <c r="AS3" s="56" t="s">
        <v>206</v>
      </c>
      <c r="AT3" s="56" t="s">
        <v>207</v>
      </c>
      <c r="AU3" s="56" t="s">
        <v>208</v>
      </c>
      <c r="AW3" s="98" t="s">
        <v>102</v>
      </c>
      <c r="AX3" s="99" t="s">
        <v>71</v>
      </c>
      <c r="AY3" s="99" t="s">
        <v>148</v>
      </c>
      <c r="AZ3" s="56" t="s">
        <v>206</v>
      </c>
      <c r="BA3" s="56" t="s">
        <v>207</v>
      </c>
      <c r="BB3" s="56" t="s">
        <v>208</v>
      </c>
      <c r="BD3" s="98" t="s">
        <v>102</v>
      </c>
      <c r="BE3" s="99" t="s">
        <v>71</v>
      </c>
      <c r="BF3" s="99"/>
      <c r="BG3" s="99" t="s">
        <v>148</v>
      </c>
      <c r="BH3" s="56" t="s">
        <v>206</v>
      </c>
      <c r="BI3" s="56" t="s">
        <v>207</v>
      </c>
      <c r="BJ3" s="56" t="s">
        <v>208</v>
      </c>
      <c r="BL3" s="98" t="s">
        <v>102</v>
      </c>
      <c r="BM3" s="98" t="s">
        <v>71</v>
      </c>
      <c r="BN3" s="99" t="s">
        <v>148</v>
      </c>
      <c r="BO3" s="56" t="s">
        <v>206</v>
      </c>
      <c r="BP3" s="56" t="s">
        <v>207</v>
      </c>
      <c r="BQ3" s="56" t="s">
        <v>208</v>
      </c>
      <c r="BR3" s="207"/>
      <c r="BT3" s="289"/>
      <c r="BU3" s="289"/>
      <c r="BV3" s="207"/>
    </row>
    <row r="4" spans="1:76" x14ac:dyDescent="0.25">
      <c r="A4" s="18">
        <v>1</v>
      </c>
      <c r="B4" s="96">
        <v>15</v>
      </c>
      <c r="C4" s="97">
        <f>E66</f>
        <v>-4085.3316290902881</v>
      </c>
      <c r="D4" s="18">
        <v>0</v>
      </c>
      <c r="E4" s="18">
        <v>0</v>
      </c>
      <c r="F4" s="18">
        <f>C11</f>
        <v>1</v>
      </c>
      <c r="H4" s="18">
        <v>1</v>
      </c>
      <c r="I4" s="95">
        <f>M13+(O14-O13)/8</f>
        <v>81.571524999999994</v>
      </c>
      <c r="J4" s="18">
        <v>0</v>
      </c>
      <c r="K4" s="18">
        <v>0</v>
      </c>
      <c r="L4" s="18">
        <f>I11</f>
        <v>0</v>
      </c>
      <c r="M4" s="20"/>
      <c r="N4" s="20"/>
      <c r="Q4" s="18">
        <v>1</v>
      </c>
      <c r="R4" s="96">
        <f>S14</f>
        <v>493</v>
      </c>
      <c r="S4" s="97">
        <f>U65</f>
        <v>-469.08938217533068</v>
      </c>
      <c r="T4" s="18">
        <v>0</v>
      </c>
      <c r="U4" s="120">
        <f>T14</f>
        <v>124</v>
      </c>
      <c r="V4" s="18">
        <v>0</v>
      </c>
      <c r="W4" s="20"/>
      <c r="Z4" s="18">
        <v>1</v>
      </c>
      <c r="AA4" s="95">
        <f>AB16+(2*(AE17-AE16)/6)</f>
        <v>229.33333333333334</v>
      </c>
      <c r="AB4" s="97">
        <f>AD64</f>
        <v>-2546.68296526828</v>
      </c>
      <c r="AC4" s="18">
        <v>0</v>
      </c>
      <c r="AD4" s="120">
        <f>AC16</f>
        <v>143</v>
      </c>
      <c r="AE4" s="18">
        <v>0</v>
      </c>
      <c r="AF4" s="20"/>
      <c r="AH4" s="18">
        <v>1</v>
      </c>
      <c r="AI4" s="56">
        <v>363</v>
      </c>
      <c r="AJ4" s="95">
        <f>AM16</f>
        <v>223.99340856481479</v>
      </c>
      <c r="AK4" s="108">
        <f>AL101</f>
        <v>-3783.5781497164849</v>
      </c>
      <c r="AL4" s="56">
        <v>0</v>
      </c>
      <c r="AM4" s="18">
        <v>0</v>
      </c>
      <c r="AN4" s="122">
        <f>AL16</f>
        <v>132.34484143518517</v>
      </c>
      <c r="AP4" s="18">
        <v>1</v>
      </c>
      <c r="AQ4" s="96">
        <f>AR16</f>
        <v>202</v>
      </c>
      <c r="AR4" s="97">
        <f>AT65</f>
        <v>-2106.8381429844317</v>
      </c>
      <c r="AS4" s="18">
        <v>0</v>
      </c>
      <c r="AT4" s="120">
        <f>AT16</f>
        <v>120</v>
      </c>
      <c r="AU4" s="18">
        <v>0</v>
      </c>
      <c r="AW4" s="18">
        <v>1</v>
      </c>
      <c r="AX4" s="96">
        <f>AY17</f>
        <v>463</v>
      </c>
      <c r="AY4" s="97">
        <f>BA72</f>
        <v>1755.7727177320717</v>
      </c>
      <c r="AZ4" s="18">
        <v>0</v>
      </c>
      <c r="BA4" s="120">
        <f>SUM(AZ13:AZ17)</f>
        <v>321</v>
      </c>
      <c r="BB4" s="18">
        <v>0</v>
      </c>
      <c r="BD4" s="18">
        <v>1</v>
      </c>
      <c r="BE4" s="96">
        <v>186</v>
      </c>
      <c r="BF4" s="97" t="s">
        <v>106</v>
      </c>
      <c r="BG4" s="97">
        <f>BH49</f>
        <v>-2156.0229243008753</v>
      </c>
      <c r="BH4" s="18">
        <v>0</v>
      </c>
      <c r="BI4" s="122">
        <f>BH14</f>
        <v>63.611111111111114</v>
      </c>
      <c r="BJ4" s="18">
        <v>0</v>
      </c>
      <c r="BL4" s="18">
        <v>1</v>
      </c>
      <c r="BM4" s="96">
        <v>179</v>
      </c>
      <c r="BN4" s="97">
        <f>BP70</f>
        <v>-2621.1420265976521</v>
      </c>
      <c r="BO4" s="18">
        <f>0</f>
        <v>0</v>
      </c>
      <c r="BP4" s="120">
        <f>SUM(BO13:BO15)</f>
        <v>112</v>
      </c>
      <c r="BQ4" s="18">
        <v>0</v>
      </c>
      <c r="BR4" s="207"/>
      <c r="BS4" s="207"/>
      <c r="BU4" s="207"/>
      <c r="BV4" s="207"/>
    </row>
    <row r="5" spans="1:76" x14ac:dyDescent="0.25">
      <c r="H5" s="18">
        <v>2</v>
      </c>
      <c r="I5" s="95">
        <f>M32-(6*(O33-O32)/8)</f>
        <v>60.103399999999965</v>
      </c>
      <c r="J5" s="18">
        <v>0</v>
      </c>
      <c r="K5" s="18">
        <v>0</v>
      </c>
      <c r="L5" s="18">
        <v>0</v>
      </c>
      <c r="Q5" s="18">
        <v>2</v>
      </c>
      <c r="R5" s="96">
        <f>S26</f>
        <v>436</v>
      </c>
      <c r="S5" s="97">
        <f>U83</f>
        <v>-907.83199025894532</v>
      </c>
      <c r="T5" s="18">
        <v>0</v>
      </c>
      <c r="U5" s="120">
        <f>T26</f>
        <v>69</v>
      </c>
      <c r="V5" s="18">
        <v>0</v>
      </c>
      <c r="W5" s="20"/>
      <c r="Z5" s="18">
        <v>2</v>
      </c>
      <c r="AA5" s="95">
        <f>AB27+(2*(AE28-AE27)/6)</f>
        <v>184.66666666666666</v>
      </c>
      <c r="AB5" s="97">
        <f>AD82</f>
        <v>-2869.7931596626904</v>
      </c>
      <c r="AC5" s="18">
        <v>0</v>
      </c>
      <c r="AD5" s="120">
        <f>AC27</f>
        <v>103</v>
      </c>
      <c r="AE5" s="18">
        <v>0</v>
      </c>
      <c r="AF5" s="20"/>
      <c r="AH5" s="18">
        <v>2</v>
      </c>
      <c r="AI5" s="56">
        <v>309</v>
      </c>
      <c r="AJ5" s="95">
        <f>AM30</f>
        <v>192.30852430555558</v>
      </c>
      <c r="AK5" s="108">
        <f>AL120</f>
        <v>-3853.5958005648104</v>
      </c>
      <c r="AL5" s="56">
        <v>0</v>
      </c>
      <c r="AM5" s="18">
        <v>0</v>
      </c>
      <c r="AN5" s="122">
        <f>AL30</f>
        <v>116.27872569444446</v>
      </c>
      <c r="AP5" s="18">
        <v>2</v>
      </c>
      <c r="AQ5" s="96">
        <f>AR27</f>
        <v>160</v>
      </c>
      <c r="AR5" s="97">
        <f>AT83</f>
        <v>-2913.6449832252579</v>
      </c>
      <c r="AS5" s="18">
        <v>0</v>
      </c>
      <c r="AT5" s="120">
        <f>AT27</f>
        <v>67</v>
      </c>
      <c r="AU5" s="18">
        <v>0</v>
      </c>
      <c r="AW5" s="18">
        <v>2</v>
      </c>
      <c r="AX5" s="96">
        <f>AY24+(2*(739-557)/4)</f>
        <v>425</v>
      </c>
      <c r="AY5" s="97">
        <f>BA86</f>
        <v>996.66079789146306</v>
      </c>
      <c r="AZ5" s="18">
        <v>0</v>
      </c>
      <c r="BA5" s="120">
        <f>SUM(AZ21:AZ24)</f>
        <v>223</v>
      </c>
      <c r="BB5" s="18">
        <v>0</v>
      </c>
      <c r="BD5" s="18">
        <v>2</v>
      </c>
      <c r="BE5" s="96">
        <v>134</v>
      </c>
      <c r="BF5" s="97" t="s">
        <v>107</v>
      </c>
      <c r="BG5" s="97">
        <f>BH65</f>
        <v>-2949.2778874529258</v>
      </c>
      <c r="BH5" s="18">
        <v>0</v>
      </c>
      <c r="BI5" s="122">
        <f>BH24</f>
        <v>45.972222222222229</v>
      </c>
      <c r="BJ5" s="18">
        <v>0</v>
      </c>
      <c r="BL5" s="18">
        <v>2</v>
      </c>
      <c r="BM5" s="96">
        <v>146</v>
      </c>
      <c r="BN5" s="97">
        <f>BP88</f>
        <v>-3112.4688560926561</v>
      </c>
      <c r="BO5" s="56">
        <v>0</v>
      </c>
      <c r="BP5" s="120">
        <f>SUM(BO24:BO26)</f>
        <v>66</v>
      </c>
      <c r="BQ5" s="18">
        <v>0</v>
      </c>
      <c r="BR5" s="207"/>
      <c r="BS5" s="207"/>
      <c r="BT5" s="207"/>
      <c r="BU5" s="207"/>
      <c r="BV5" s="207"/>
    </row>
    <row r="6" spans="1:76" x14ac:dyDescent="0.25">
      <c r="H6" s="56">
        <v>3</v>
      </c>
      <c r="I6" s="95">
        <f>M50-(17*(30)/8)</f>
        <v>43.951999999999984</v>
      </c>
      <c r="J6" s="18">
        <v>0</v>
      </c>
      <c r="K6" s="18">
        <v>0</v>
      </c>
      <c r="L6" s="18">
        <v>0</v>
      </c>
      <c r="Q6" s="18">
        <v>3</v>
      </c>
      <c r="R6" s="96">
        <f>S38</f>
        <v>366</v>
      </c>
      <c r="S6" s="97">
        <f>U101</f>
        <v>-1347.0715612905028</v>
      </c>
      <c r="T6" s="18">
        <v>0</v>
      </c>
      <c r="U6" s="120">
        <f>T38</f>
        <v>25</v>
      </c>
      <c r="V6" s="18">
        <v>0</v>
      </c>
      <c r="W6" s="20"/>
      <c r="Z6" s="18">
        <v>3</v>
      </c>
      <c r="AA6" s="95">
        <f>AB38+(2*(AE39-AE38)/6)</f>
        <v>146.33333333333334</v>
      </c>
      <c r="AB6" s="97">
        <f>AD100</f>
        <v>-3225.2977471226768</v>
      </c>
      <c r="AC6" s="18">
        <v>0</v>
      </c>
      <c r="AD6" s="120">
        <f>AC38</f>
        <v>65</v>
      </c>
      <c r="AE6" s="18">
        <v>0</v>
      </c>
      <c r="AF6" s="20"/>
      <c r="AH6" s="18">
        <v>3</v>
      </c>
      <c r="AI6" s="56">
        <v>259</v>
      </c>
      <c r="AJ6" s="95">
        <f>AM44</f>
        <v>161.75961226851854</v>
      </c>
      <c r="AK6" s="108">
        <f>AL139</f>
        <v>-3925.0313742257381</v>
      </c>
      <c r="AL6" s="56">
        <v>0</v>
      </c>
      <c r="AM6" s="18">
        <v>0</v>
      </c>
      <c r="AN6" s="122">
        <f>AL44</f>
        <v>101.19363773148149</v>
      </c>
      <c r="AP6" s="18">
        <v>3</v>
      </c>
      <c r="AQ6" s="96">
        <f>AR38</f>
        <v>119</v>
      </c>
      <c r="AR6" s="97">
        <f>AT98</f>
        <v>-3441.1780626521904</v>
      </c>
      <c r="AS6" s="18">
        <v>0</v>
      </c>
      <c r="AT6" s="120">
        <f>AT38</f>
        <v>28</v>
      </c>
      <c r="AU6" s="18">
        <v>0</v>
      </c>
      <c r="AW6" s="18">
        <v>3</v>
      </c>
      <c r="AX6" s="96">
        <f>AY31+2*(601-433)/4</f>
        <v>346</v>
      </c>
      <c r="AY6" s="97">
        <f>BA100</f>
        <v>40.940854412213866</v>
      </c>
      <c r="AZ6" s="18">
        <v>0</v>
      </c>
      <c r="BA6" s="120">
        <f>SUM(AZ29:AZ31)</f>
        <v>172</v>
      </c>
      <c r="BB6" s="18">
        <v>0</v>
      </c>
      <c r="BL6" s="18">
        <v>3</v>
      </c>
      <c r="BM6" s="96">
        <v>117</v>
      </c>
      <c r="BN6" s="97">
        <f>BP103</f>
        <v>-3506.8119299351761</v>
      </c>
      <c r="BO6" s="18">
        <v>0</v>
      </c>
      <c r="BP6" s="120">
        <f>SUM(BO36:BO37)</f>
        <v>35</v>
      </c>
      <c r="BQ6" s="18">
        <v>0</v>
      </c>
      <c r="BR6" s="207"/>
      <c r="BS6" s="207"/>
      <c r="BT6" s="207"/>
      <c r="BU6" s="207"/>
      <c r="BV6" s="207"/>
    </row>
    <row r="7" spans="1:76" x14ac:dyDescent="0.25">
      <c r="AH7" s="18">
        <v>4</v>
      </c>
      <c r="AI7" s="56">
        <v>209</v>
      </c>
      <c r="AJ7" s="95">
        <f>AM58</f>
        <v>129.03084490740741</v>
      </c>
      <c r="AK7" s="18">
        <v>0</v>
      </c>
      <c r="AL7" s="56">
        <v>0</v>
      </c>
      <c r="AM7" s="18">
        <v>0</v>
      </c>
      <c r="AN7" s="122">
        <f>AL58</f>
        <v>78.314155092592586</v>
      </c>
      <c r="AW7" s="18">
        <v>4</v>
      </c>
      <c r="AX7" s="96">
        <f>258</f>
        <v>258</v>
      </c>
      <c r="AY7" s="97">
        <f>BA114</f>
        <v>-1218.4486013738333</v>
      </c>
      <c r="AZ7" s="18">
        <v>0</v>
      </c>
      <c r="BA7" s="120">
        <f>SUM(AZ37:AZ38)</f>
        <v>74</v>
      </c>
      <c r="BB7" s="18">
        <v>0</v>
      </c>
      <c r="BL7" s="18">
        <v>4</v>
      </c>
      <c r="BM7" s="96">
        <v>86</v>
      </c>
      <c r="BN7" s="97">
        <f>BP117</f>
        <v>-3734.2720907010525</v>
      </c>
      <c r="BO7" s="18">
        <v>0</v>
      </c>
      <c r="BP7" s="120">
        <f>SUM(BO45)</f>
        <v>12</v>
      </c>
      <c r="BQ7" s="18">
        <v>0</v>
      </c>
      <c r="BR7" s="207"/>
      <c r="BS7" s="207"/>
      <c r="BT7" s="207"/>
      <c r="BU7" s="207"/>
      <c r="BV7" s="207"/>
    </row>
    <row r="8" spans="1:76" ht="16.5" x14ac:dyDescent="0.3">
      <c r="A8" s="25" t="s">
        <v>79</v>
      </c>
      <c r="B8" s="25"/>
      <c r="C8" s="25"/>
      <c r="D8" s="25"/>
      <c r="E8" s="25"/>
      <c r="F8" s="113"/>
      <c r="G8" s="119"/>
      <c r="H8" s="128" t="s">
        <v>189</v>
      </c>
      <c r="I8" s="128"/>
      <c r="J8" s="128"/>
      <c r="K8" s="128"/>
      <c r="L8" s="128"/>
      <c r="M8" s="128"/>
      <c r="N8" s="128"/>
      <c r="O8" s="26"/>
      <c r="P8" s="119"/>
      <c r="Q8" s="290" t="s">
        <v>68</v>
      </c>
      <c r="R8" s="290"/>
      <c r="S8" s="290"/>
      <c r="T8" s="290"/>
      <c r="U8" s="290"/>
      <c r="V8" s="290"/>
      <c r="W8" s="290"/>
      <c r="X8" s="290"/>
      <c r="AH8" s="18">
        <v>5</v>
      </c>
      <c r="AI8" s="56">
        <v>154</v>
      </c>
      <c r="AJ8" s="95">
        <f>AM72</f>
        <v>96.066782407407416</v>
      </c>
      <c r="AK8" s="18">
        <v>0</v>
      </c>
      <c r="AL8" s="56">
        <v>0</v>
      </c>
      <c r="AM8" s="18">
        <v>0</v>
      </c>
      <c r="AN8" s="122">
        <f>AL72</f>
        <v>57.968217592592595</v>
      </c>
      <c r="AW8" s="18">
        <v>5</v>
      </c>
      <c r="AX8" s="96">
        <f>161</f>
        <v>161</v>
      </c>
      <c r="AY8" s="97">
        <f>BA127</f>
        <v>-2253.2874187808916</v>
      </c>
      <c r="AZ8" s="18">
        <v>0</v>
      </c>
      <c r="BA8" s="120">
        <f>SUM(AZ45:AZ46)</f>
        <v>72</v>
      </c>
      <c r="BB8" s="18">
        <v>0</v>
      </c>
      <c r="BR8" s="207"/>
      <c r="BS8" s="207"/>
      <c r="BT8" s="207"/>
      <c r="BU8" s="207"/>
      <c r="BV8" s="207"/>
    </row>
    <row r="9" spans="1:76" ht="16.5" x14ac:dyDescent="0.3">
      <c r="Z9" s="290" t="s">
        <v>77</v>
      </c>
      <c r="AA9" s="290"/>
      <c r="AB9" s="290"/>
      <c r="AC9" s="290"/>
      <c r="AD9" s="290"/>
      <c r="AE9" s="290"/>
      <c r="AF9" s="126"/>
      <c r="AW9" s="18">
        <v>6</v>
      </c>
      <c r="AX9" s="95">
        <f>AY52+2*(283-159)/5</f>
        <v>155.6</v>
      </c>
      <c r="AY9" s="97">
        <f>BA139</f>
        <v>-2731.0955812730508</v>
      </c>
      <c r="AZ9" s="18">
        <v>0</v>
      </c>
      <c r="BA9" s="120">
        <f>SUM(AZ52)</f>
        <v>53</v>
      </c>
      <c r="BB9" s="18">
        <v>0</v>
      </c>
      <c r="BR9" s="207"/>
      <c r="BS9" s="207"/>
      <c r="BT9" s="207"/>
      <c r="BU9" s="207"/>
      <c r="BV9" s="207"/>
    </row>
    <row r="10" spans="1:76" ht="16.5" x14ac:dyDescent="0.3">
      <c r="A10" s="18" t="s">
        <v>25</v>
      </c>
      <c r="B10" s="18" t="s">
        <v>26</v>
      </c>
      <c r="C10" s="18" t="s">
        <v>217</v>
      </c>
      <c r="D10" s="79"/>
      <c r="E10" s="20"/>
      <c r="H10" t="s">
        <v>244</v>
      </c>
      <c r="Q10" s="18" t="s">
        <v>24</v>
      </c>
      <c r="R10" s="18" t="s">
        <v>25</v>
      </c>
      <c r="S10" s="18" t="s">
        <v>26</v>
      </c>
      <c r="T10" s="18" t="s">
        <v>217</v>
      </c>
      <c r="U10" s="18" t="s">
        <v>27</v>
      </c>
      <c r="V10" s="18" t="s">
        <v>29</v>
      </c>
      <c r="W10" s="18" t="s">
        <v>28</v>
      </c>
      <c r="X10" s="18"/>
      <c r="AH10" s="290" t="s">
        <v>72</v>
      </c>
      <c r="AI10" s="290"/>
      <c r="AJ10" s="290"/>
      <c r="AK10" s="290"/>
      <c r="AL10" s="290"/>
      <c r="AM10" s="290"/>
      <c r="AN10" s="290"/>
      <c r="AP10" s="290" t="s">
        <v>80</v>
      </c>
      <c r="AQ10" s="290"/>
      <c r="AR10" s="290"/>
      <c r="AS10" s="290"/>
      <c r="AT10" s="290"/>
      <c r="AU10" s="290"/>
      <c r="AW10" s="290" t="s">
        <v>104</v>
      </c>
      <c r="AX10" s="290"/>
      <c r="AY10" s="290"/>
      <c r="AZ10" s="290"/>
      <c r="BA10" s="290"/>
      <c r="BB10" s="290"/>
      <c r="BD10" s="290" t="s">
        <v>105</v>
      </c>
      <c r="BE10" s="290"/>
      <c r="BF10" s="290"/>
      <c r="BG10" s="290"/>
      <c r="BH10" s="290"/>
      <c r="BI10" s="290"/>
      <c r="BJ10" s="113"/>
      <c r="BL10" s="290" t="s">
        <v>108</v>
      </c>
      <c r="BM10" s="290"/>
      <c r="BN10" s="290"/>
      <c r="BO10" s="290"/>
      <c r="BP10" s="290"/>
      <c r="BQ10" s="290"/>
      <c r="BR10" s="207"/>
      <c r="BS10" s="207"/>
      <c r="BT10" s="207"/>
      <c r="BU10" s="207"/>
      <c r="BV10" s="207"/>
    </row>
    <row r="11" spans="1:76" ht="16.5" x14ac:dyDescent="0.3">
      <c r="A11" s="18">
        <v>30</v>
      </c>
      <c r="B11" s="96">
        <v>15</v>
      </c>
      <c r="C11" s="120">
        <v>1</v>
      </c>
      <c r="Q11" s="298">
        <v>1</v>
      </c>
      <c r="R11" s="18">
        <v>15</v>
      </c>
      <c r="S11" s="18">
        <v>189</v>
      </c>
      <c r="T11" s="18">
        <v>0</v>
      </c>
      <c r="U11" s="18">
        <f>0</f>
        <v>0</v>
      </c>
      <c r="V11" s="18">
        <f t="shared" ref="V11:V21" si="0">S11+T11</f>
        <v>189</v>
      </c>
      <c r="W11" s="18">
        <v>27.8</v>
      </c>
      <c r="X11" s="55">
        <f t="shared" ref="X11:X21" si="1">W11/V11</f>
        <v>0.1470899470899471</v>
      </c>
      <c r="Z11" s="18" t="s">
        <v>31</v>
      </c>
      <c r="AA11" s="18" t="s">
        <v>25</v>
      </c>
      <c r="AB11" s="18" t="s">
        <v>26</v>
      </c>
      <c r="AC11" s="18" t="s">
        <v>217</v>
      </c>
      <c r="AD11" s="56" t="s">
        <v>27</v>
      </c>
      <c r="AE11" s="18" t="s">
        <v>29</v>
      </c>
      <c r="AF11" s="18" t="s">
        <v>28</v>
      </c>
      <c r="AH11" s="26"/>
      <c r="AI11" s="26"/>
      <c r="AJ11" s="26"/>
      <c r="AK11" s="26"/>
      <c r="AL11" s="26"/>
      <c r="AM11" s="26"/>
      <c r="AN11" s="26"/>
      <c r="AP11" s="26"/>
      <c r="AQ11" s="26"/>
      <c r="AR11" s="26"/>
      <c r="AS11" s="26"/>
      <c r="AT11" s="26"/>
      <c r="AU11" s="26"/>
      <c r="BR11" s="207"/>
      <c r="BS11" s="207"/>
      <c r="BT11" s="207"/>
      <c r="BU11" s="207"/>
      <c r="BV11" s="207"/>
    </row>
    <row r="12" spans="1:76" x14ac:dyDescent="0.25">
      <c r="A12" s="18">
        <v>36</v>
      </c>
      <c r="B12" s="18">
        <v>50</v>
      </c>
      <c r="C12" s="18">
        <v>4</v>
      </c>
      <c r="H12" s="18" t="s">
        <v>24</v>
      </c>
      <c r="I12" s="18" t="s">
        <v>25</v>
      </c>
      <c r="J12" s="18" t="s">
        <v>245</v>
      </c>
      <c r="K12" s="18" t="s">
        <v>246</v>
      </c>
      <c r="L12" s="18" t="s">
        <v>247</v>
      </c>
      <c r="M12" s="18" t="s">
        <v>248</v>
      </c>
      <c r="N12" s="56" t="s">
        <v>260</v>
      </c>
      <c r="O12" s="56" t="s">
        <v>261</v>
      </c>
      <c r="Q12" s="298"/>
      <c r="R12" s="18">
        <v>20</v>
      </c>
      <c r="S12" s="18">
        <v>320</v>
      </c>
      <c r="T12" s="18">
        <v>11</v>
      </c>
      <c r="U12" s="18">
        <f>T12-T11</f>
        <v>11</v>
      </c>
      <c r="V12" s="18">
        <f t="shared" si="0"/>
        <v>331</v>
      </c>
      <c r="W12" s="18">
        <v>29.1</v>
      </c>
      <c r="X12" s="55">
        <f t="shared" si="1"/>
        <v>8.7915407854984903E-2</v>
      </c>
      <c r="Z12" s="298">
        <v>1</v>
      </c>
      <c r="AA12" s="18">
        <v>12</v>
      </c>
      <c r="AB12" s="18">
        <v>46</v>
      </c>
      <c r="AC12" s="18">
        <v>0</v>
      </c>
      <c r="AD12" s="18">
        <f>0</f>
        <v>0</v>
      </c>
      <c r="AE12" s="18">
        <f t="shared" ref="AE12:AE21" si="2">AB12+AC12</f>
        <v>46</v>
      </c>
      <c r="AF12" s="23" t="s">
        <v>30</v>
      </c>
      <c r="AH12" s="18" t="s">
        <v>24</v>
      </c>
      <c r="AI12" s="18" t="s">
        <v>25</v>
      </c>
      <c r="AJ12" s="18" t="s">
        <v>29</v>
      </c>
      <c r="AK12" s="18" t="s">
        <v>27</v>
      </c>
      <c r="AL12" s="18" t="s">
        <v>217</v>
      </c>
      <c r="AM12" s="18" t="s">
        <v>26</v>
      </c>
      <c r="AP12" s="18" t="s">
        <v>31</v>
      </c>
      <c r="AQ12" s="18" t="s">
        <v>25</v>
      </c>
      <c r="AR12" s="18" t="s">
        <v>26</v>
      </c>
      <c r="AS12" s="56" t="s">
        <v>27</v>
      </c>
      <c r="AT12" s="18" t="s">
        <v>217</v>
      </c>
      <c r="AW12" s="18" t="s">
        <v>31</v>
      </c>
      <c r="AX12" s="18" t="s">
        <v>25</v>
      </c>
      <c r="AY12" s="18" t="s">
        <v>26</v>
      </c>
      <c r="AZ12" s="18" t="s">
        <v>27</v>
      </c>
      <c r="BD12" s="18" t="s">
        <v>31</v>
      </c>
      <c r="BE12" s="18" t="s">
        <v>25</v>
      </c>
      <c r="BF12" s="18" t="s">
        <v>32</v>
      </c>
      <c r="BG12" s="18" t="s">
        <v>27</v>
      </c>
      <c r="BH12" s="18" t="s">
        <v>217</v>
      </c>
      <c r="BI12" s="18" t="s">
        <v>26</v>
      </c>
      <c r="BJ12" s="20"/>
      <c r="BL12" s="18" t="s">
        <v>31</v>
      </c>
      <c r="BM12" s="18" t="s">
        <v>25</v>
      </c>
      <c r="BN12" s="18" t="s">
        <v>103</v>
      </c>
      <c r="BO12" s="18" t="s">
        <v>27</v>
      </c>
      <c r="BR12" s="207"/>
      <c r="BS12" s="207"/>
      <c r="BT12" s="207"/>
      <c r="BU12" s="207"/>
      <c r="BV12" s="207"/>
    </row>
    <row r="13" spans="1:76" x14ac:dyDescent="0.25">
      <c r="A13" s="18">
        <v>42</v>
      </c>
      <c r="B13" s="18">
        <v>83</v>
      </c>
      <c r="C13" s="18">
        <v>8</v>
      </c>
      <c r="H13" s="299">
        <v>1</v>
      </c>
      <c r="I13" s="18">
        <v>29</v>
      </c>
      <c r="J13" s="18">
        <v>14.2</v>
      </c>
      <c r="K13" s="19">
        <v>16.3</v>
      </c>
      <c r="L13" s="18">
        <v>11</v>
      </c>
      <c r="M13" s="95">
        <f>L13*J13*0.49</f>
        <v>76.537999999999997</v>
      </c>
      <c r="N13" s="56">
        <v>0</v>
      </c>
      <c r="O13" s="131">
        <f>SUM(M13:N13)</f>
        <v>76.537999999999997</v>
      </c>
      <c r="P13" s="110"/>
      <c r="Q13" s="298"/>
      <c r="R13" s="18">
        <v>25</v>
      </c>
      <c r="S13" s="18">
        <v>423</v>
      </c>
      <c r="T13" s="18">
        <v>57</v>
      </c>
      <c r="U13" s="18">
        <f t="shared" ref="U13:U21" si="3">T13-T12</f>
        <v>46</v>
      </c>
      <c r="V13" s="18">
        <f t="shared" si="0"/>
        <v>480</v>
      </c>
      <c r="W13" s="18">
        <v>28.6</v>
      </c>
      <c r="X13" s="55">
        <f t="shared" si="1"/>
        <v>5.9583333333333335E-2</v>
      </c>
      <c r="Z13" s="298"/>
      <c r="AA13" s="18">
        <v>16</v>
      </c>
      <c r="AB13" s="18">
        <v>82</v>
      </c>
      <c r="AC13" s="18">
        <v>25</v>
      </c>
      <c r="AD13" s="18">
        <f>AC13-AC12</f>
        <v>25</v>
      </c>
      <c r="AE13" s="18">
        <f t="shared" si="2"/>
        <v>107</v>
      </c>
      <c r="AF13" s="18">
        <v>16.2</v>
      </c>
      <c r="AH13" s="294">
        <v>1</v>
      </c>
      <c r="AI13" s="18">
        <v>15</v>
      </c>
      <c r="AJ13" s="56">
        <f>0.1765*(AI13^2)+6.6948*AI13</f>
        <v>140.1345</v>
      </c>
      <c r="AK13" s="19">
        <v>20</v>
      </c>
      <c r="AL13" s="19">
        <f>AK13</f>
        <v>20</v>
      </c>
      <c r="AM13" s="19">
        <f>AJ13/1.2</f>
        <v>116.77875</v>
      </c>
      <c r="AP13" s="298">
        <v>1</v>
      </c>
      <c r="AQ13" s="18">
        <v>17</v>
      </c>
      <c r="AR13" s="18">
        <v>103</v>
      </c>
      <c r="AS13" s="18">
        <f>AT13</f>
        <v>15</v>
      </c>
      <c r="AT13" s="18">
        <v>15</v>
      </c>
      <c r="AW13" s="298">
        <v>1</v>
      </c>
      <c r="AX13" s="18">
        <v>17</v>
      </c>
      <c r="AY13" s="18">
        <v>115</v>
      </c>
      <c r="AZ13" s="120">
        <v>58</v>
      </c>
      <c r="BD13" s="298">
        <v>1</v>
      </c>
      <c r="BE13" s="18">
        <v>20</v>
      </c>
      <c r="BF13" s="18">
        <v>158</v>
      </c>
      <c r="BG13" s="19">
        <f>0.2*BI13</f>
        <v>26.333333333333339</v>
      </c>
      <c r="BH13" s="19">
        <f>BG13</f>
        <v>26.333333333333339</v>
      </c>
      <c r="BI13" s="19">
        <f>BF13/1.2</f>
        <v>131.66666666666669</v>
      </c>
      <c r="BJ13" s="21"/>
      <c r="BL13" s="294">
        <v>1</v>
      </c>
      <c r="BM13" s="18">
        <v>20</v>
      </c>
      <c r="BN13" s="18">
        <v>87</v>
      </c>
      <c r="BO13" s="120">
        <v>13</v>
      </c>
      <c r="BR13" s="207"/>
      <c r="BS13" s="207"/>
      <c r="BT13" s="207"/>
      <c r="BU13" s="207"/>
      <c r="BV13" s="207"/>
    </row>
    <row r="14" spans="1:76" x14ac:dyDescent="0.25">
      <c r="A14" s="18">
        <v>48</v>
      </c>
      <c r="B14" s="18">
        <v>114</v>
      </c>
      <c r="C14" s="18">
        <v>15</v>
      </c>
      <c r="H14" s="299"/>
      <c r="I14" s="18">
        <v>37</v>
      </c>
      <c r="J14" s="18">
        <v>17.399999999999999</v>
      </c>
      <c r="K14" s="19">
        <v>20.5</v>
      </c>
      <c r="L14" s="18">
        <v>13.7</v>
      </c>
      <c r="M14" s="95">
        <f>L14*J14*0.49</f>
        <v>116.80619999999998</v>
      </c>
      <c r="N14" s="56">
        <v>0</v>
      </c>
      <c r="O14" s="131">
        <f t="shared" ref="O14:O29" si="4">SUM(M14:N14)</f>
        <v>116.80619999999998</v>
      </c>
      <c r="P14" s="110"/>
      <c r="Q14" s="298"/>
      <c r="R14" s="18">
        <v>30</v>
      </c>
      <c r="S14" s="96">
        <v>493</v>
      </c>
      <c r="T14" s="120">
        <v>124</v>
      </c>
      <c r="U14" s="18">
        <f t="shared" si="3"/>
        <v>67</v>
      </c>
      <c r="V14" s="18">
        <f t="shared" si="0"/>
        <v>617</v>
      </c>
      <c r="W14" s="18">
        <v>26</v>
      </c>
      <c r="X14" s="55">
        <f t="shared" si="1"/>
        <v>4.2139384116693678E-2</v>
      </c>
      <c r="Z14" s="298"/>
      <c r="AA14" s="18">
        <v>20</v>
      </c>
      <c r="AB14" s="18">
        <v>117</v>
      </c>
      <c r="AC14" s="18">
        <v>59</v>
      </c>
      <c r="AD14" s="18">
        <f t="shared" ref="AD14:AD20" si="5">AC14-AC13</f>
        <v>34</v>
      </c>
      <c r="AE14" s="18">
        <f t="shared" si="2"/>
        <v>176</v>
      </c>
      <c r="AF14" s="18">
        <v>18.5</v>
      </c>
      <c r="AH14" s="295"/>
      <c r="AI14" s="18">
        <v>20</v>
      </c>
      <c r="AJ14" s="56">
        <f t="shared" ref="AJ14:AJ23" si="6">0.1765*(AI14^2)+6.6948*AI14</f>
        <v>204.49599999999998</v>
      </c>
      <c r="AK14" s="19">
        <f>0.2*AM14</f>
        <v>30.190041666666669</v>
      </c>
      <c r="AL14" s="19">
        <f>AK14+AL13</f>
        <v>50.190041666666673</v>
      </c>
      <c r="AM14" s="19">
        <f>AJ14/1.2-(0.2/1.2)*SUM(AM13)</f>
        <v>150.95020833333334</v>
      </c>
      <c r="AP14" s="298"/>
      <c r="AQ14" s="18">
        <v>20</v>
      </c>
      <c r="AR14" s="18">
        <v>122</v>
      </c>
      <c r="AS14" s="18">
        <f>AT14-AT13</f>
        <v>15</v>
      </c>
      <c r="AT14" s="18">
        <v>30</v>
      </c>
      <c r="AW14" s="298"/>
      <c r="AX14" s="18">
        <v>20</v>
      </c>
      <c r="AY14" s="18">
        <v>171</v>
      </c>
      <c r="AZ14" s="120">
        <v>66</v>
      </c>
      <c r="BD14" s="298"/>
      <c r="BE14" s="18">
        <v>30</v>
      </c>
      <c r="BF14" s="18">
        <v>250</v>
      </c>
      <c r="BG14" s="19">
        <f>0.2*BI14</f>
        <v>37.277777777777779</v>
      </c>
      <c r="BH14" s="122">
        <f>BG14+BH13</f>
        <v>63.611111111111114</v>
      </c>
      <c r="BI14" s="95">
        <f>(BF14-BG13)/1.2</f>
        <v>186.38888888888889</v>
      </c>
      <c r="BJ14" s="110"/>
      <c r="BL14" s="295"/>
      <c r="BM14" s="18">
        <v>25</v>
      </c>
      <c r="BN14" s="18">
        <v>135</v>
      </c>
      <c r="BO14" s="120">
        <v>41</v>
      </c>
      <c r="BR14" s="207"/>
      <c r="BS14" s="207"/>
      <c r="BT14" s="207"/>
      <c r="BU14" s="207"/>
      <c r="BV14" s="207"/>
    </row>
    <row r="15" spans="1:76" x14ac:dyDescent="0.25">
      <c r="A15" s="18">
        <v>54</v>
      </c>
      <c r="B15" s="18">
        <v>141</v>
      </c>
      <c r="C15" s="18">
        <v>23</v>
      </c>
      <c r="H15" s="299"/>
      <c r="I15" s="18">
        <v>45</v>
      </c>
      <c r="J15" s="18">
        <v>20.2</v>
      </c>
      <c r="K15" s="19">
        <v>24.9</v>
      </c>
      <c r="L15" s="18">
        <v>15.5</v>
      </c>
      <c r="M15" s="19">
        <v>104</v>
      </c>
      <c r="N15" s="56">
        <v>40</v>
      </c>
      <c r="O15" s="131">
        <f t="shared" si="4"/>
        <v>144</v>
      </c>
      <c r="P15" s="110"/>
      <c r="Q15" s="298"/>
      <c r="R15" s="18">
        <v>35</v>
      </c>
      <c r="S15" s="18">
        <v>544</v>
      </c>
      <c r="T15" s="18">
        <v>196</v>
      </c>
      <c r="U15" s="18">
        <f t="shared" si="3"/>
        <v>72</v>
      </c>
      <c r="V15" s="18">
        <f t="shared" si="0"/>
        <v>740</v>
      </c>
      <c r="W15" s="18">
        <v>23.2</v>
      </c>
      <c r="X15" s="55">
        <f t="shared" si="1"/>
        <v>3.135135135135135E-2</v>
      </c>
      <c r="Z15" s="298"/>
      <c r="AA15" s="18">
        <v>24</v>
      </c>
      <c r="AB15" s="18">
        <v>154</v>
      </c>
      <c r="AC15" s="18">
        <v>102</v>
      </c>
      <c r="AD15" s="18">
        <f t="shared" si="5"/>
        <v>43</v>
      </c>
      <c r="AE15" s="18">
        <f t="shared" si="2"/>
        <v>256</v>
      </c>
      <c r="AF15" s="18">
        <v>19.8</v>
      </c>
      <c r="AH15" s="295"/>
      <c r="AI15" s="18">
        <v>25</v>
      </c>
      <c r="AJ15" s="56">
        <f t="shared" si="6"/>
        <v>277.6825</v>
      </c>
      <c r="AK15" s="19">
        <f t="shared" ref="AK15:AK23" si="7">0.2*AM15</f>
        <v>37.356118055555555</v>
      </c>
      <c r="AL15" s="19">
        <f>AK15+AL14</f>
        <v>87.546159722222228</v>
      </c>
      <c r="AM15" s="19">
        <f>AJ15/1.2-(0.2/1.2)*SUM(AM13:AM14)</f>
        <v>186.78059027777778</v>
      </c>
      <c r="AP15" s="298"/>
      <c r="AQ15" s="18">
        <v>25</v>
      </c>
      <c r="AR15" s="18">
        <v>168</v>
      </c>
      <c r="AS15" s="18">
        <f t="shared" ref="AS15:AS23" si="8">AT15-AT14</f>
        <v>36</v>
      </c>
      <c r="AT15" s="18">
        <v>66</v>
      </c>
      <c r="AW15" s="298"/>
      <c r="AX15" s="18">
        <v>23</v>
      </c>
      <c r="AY15" s="18">
        <v>257</v>
      </c>
      <c r="AZ15" s="120">
        <v>57</v>
      </c>
      <c r="BD15" s="298"/>
      <c r="BE15" s="18">
        <v>40</v>
      </c>
      <c r="BF15" s="18">
        <v>350</v>
      </c>
      <c r="BG15" s="19">
        <f t="shared" ref="BG15:BG21" si="9">0.2*BI15</f>
        <v>52.120370370370374</v>
      </c>
      <c r="BH15" s="19">
        <f t="shared" ref="BH15:BH21" si="10">BG15+BH14</f>
        <v>115.7314814814815</v>
      </c>
      <c r="BI15" s="19">
        <f t="shared" ref="BI15:BI21" si="11">(BF15-BG14)/1.2</f>
        <v>260.60185185185185</v>
      </c>
      <c r="BJ15" s="110"/>
      <c r="BL15" s="295"/>
      <c r="BM15" s="18">
        <v>30</v>
      </c>
      <c r="BN15" s="96">
        <v>179</v>
      </c>
      <c r="BO15" s="120">
        <v>58</v>
      </c>
      <c r="BR15" s="207"/>
      <c r="BS15" s="207"/>
      <c r="BT15" s="207"/>
      <c r="BU15" s="207"/>
      <c r="BV15" s="207"/>
    </row>
    <row r="16" spans="1:76" x14ac:dyDescent="0.25">
      <c r="A16" s="18">
        <v>60</v>
      </c>
      <c r="B16" s="18">
        <v>169</v>
      </c>
      <c r="C16" s="18">
        <v>20</v>
      </c>
      <c r="H16" s="299"/>
      <c r="I16" s="18">
        <v>53</v>
      </c>
      <c r="J16" s="18">
        <v>22.6</v>
      </c>
      <c r="K16" s="19">
        <v>29.4</v>
      </c>
      <c r="L16" s="18">
        <v>17.100000000000001</v>
      </c>
      <c r="M16" s="18">
        <v>131</v>
      </c>
      <c r="N16" s="56">
        <v>42</v>
      </c>
      <c r="O16" s="131">
        <f t="shared" si="4"/>
        <v>173</v>
      </c>
      <c r="P16" s="110"/>
      <c r="Q16" s="298"/>
      <c r="R16" s="18">
        <v>40</v>
      </c>
      <c r="S16" s="18">
        <v>575</v>
      </c>
      <c r="T16" s="18">
        <v>275</v>
      </c>
      <c r="U16" s="18">
        <f t="shared" si="3"/>
        <v>79</v>
      </c>
      <c r="V16" s="18">
        <f t="shared" si="0"/>
        <v>850</v>
      </c>
      <c r="W16" s="18">
        <v>21.2</v>
      </c>
      <c r="X16" s="55">
        <f t="shared" si="1"/>
        <v>2.4941176470588234E-2</v>
      </c>
      <c r="Z16" s="298"/>
      <c r="AA16" s="18">
        <v>28</v>
      </c>
      <c r="AB16" s="96">
        <v>192</v>
      </c>
      <c r="AC16" s="120">
        <v>143</v>
      </c>
      <c r="AD16" s="18">
        <f t="shared" si="5"/>
        <v>41</v>
      </c>
      <c r="AE16" s="18">
        <f t="shared" si="2"/>
        <v>335</v>
      </c>
      <c r="AF16" s="18">
        <v>19.100000000000001</v>
      </c>
      <c r="AH16" s="295"/>
      <c r="AI16" s="18">
        <v>30</v>
      </c>
      <c r="AJ16" s="56">
        <f t="shared" si="6"/>
        <v>359.69399999999996</v>
      </c>
      <c r="AK16" s="19">
        <f t="shared" si="7"/>
        <v>44.79868171296296</v>
      </c>
      <c r="AL16" s="122">
        <f t="shared" ref="AL16:AL23" si="12">AK16+AL15</f>
        <v>132.34484143518517</v>
      </c>
      <c r="AM16" s="95">
        <f>AJ16/1.2-(0.2/1.2)*SUM(AM13:AM15)</f>
        <v>223.99340856481479</v>
      </c>
      <c r="AP16" s="298"/>
      <c r="AQ16" s="18">
        <v>30</v>
      </c>
      <c r="AR16" s="96">
        <v>202</v>
      </c>
      <c r="AS16" s="18">
        <f t="shared" si="8"/>
        <v>54</v>
      </c>
      <c r="AT16" s="120">
        <v>120</v>
      </c>
      <c r="AW16" s="298"/>
      <c r="AX16" s="18">
        <v>26</v>
      </c>
      <c r="AY16" s="18">
        <v>345</v>
      </c>
      <c r="AZ16" s="120">
        <v>62</v>
      </c>
      <c r="BD16" s="298"/>
      <c r="BE16" s="18">
        <v>50</v>
      </c>
      <c r="BF16" s="18">
        <v>465</v>
      </c>
      <c r="BG16" s="19">
        <f t="shared" si="9"/>
        <v>68.813271604938265</v>
      </c>
      <c r="BH16" s="19">
        <f t="shared" si="10"/>
        <v>184.54475308641975</v>
      </c>
      <c r="BI16" s="19">
        <f t="shared" si="11"/>
        <v>344.06635802469134</v>
      </c>
      <c r="BJ16" s="110"/>
      <c r="BL16" s="295"/>
      <c r="BM16" s="18">
        <v>35</v>
      </c>
      <c r="BN16" s="18">
        <v>223</v>
      </c>
      <c r="BO16" s="18">
        <v>55</v>
      </c>
      <c r="BR16" s="207"/>
      <c r="BS16" s="207"/>
      <c r="BT16" s="207"/>
      <c r="BU16" s="207"/>
      <c r="BV16" s="207"/>
    </row>
    <row r="17" spans="1:74" x14ac:dyDescent="0.25">
      <c r="A17" s="18">
        <v>66</v>
      </c>
      <c r="B17" s="18">
        <v>197</v>
      </c>
      <c r="C17" s="18">
        <v>18</v>
      </c>
      <c r="H17" s="299"/>
      <c r="I17" s="18">
        <v>61</v>
      </c>
      <c r="J17" s="18">
        <v>24.8</v>
      </c>
      <c r="K17" s="19">
        <v>33.6</v>
      </c>
      <c r="L17" s="18">
        <v>18.2</v>
      </c>
      <c r="M17" s="18">
        <v>155</v>
      </c>
      <c r="N17" s="56">
        <v>43</v>
      </c>
      <c r="O17" s="131">
        <f t="shared" si="4"/>
        <v>198</v>
      </c>
      <c r="P17" s="110"/>
      <c r="Q17" s="298"/>
      <c r="R17" s="18">
        <v>45</v>
      </c>
      <c r="S17" s="18">
        <v>595</v>
      </c>
      <c r="T17" s="18">
        <v>358</v>
      </c>
      <c r="U17" s="18">
        <f t="shared" si="3"/>
        <v>83</v>
      </c>
      <c r="V17" s="18">
        <f t="shared" si="0"/>
        <v>953</v>
      </c>
      <c r="W17" s="18">
        <v>19.8</v>
      </c>
      <c r="X17" s="55">
        <f t="shared" si="1"/>
        <v>2.0776495278069254E-2</v>
      </c>
      <c r="Z17" s="298"/>
      <c r="AA17" s="18">
        <v>34</v>
      </c>
      <c r="AB17" s="96">
        <v>244</v>
      </c>
      <c r="AC17" s="18">
        <v>203</v>
      </c>
      <c r="AD17" s="18">
        <f t="shared" si="5"/>
        <v>60</v>
      </c>
      <c r="AE17" s="18">
        <f t="shared" si="2"/>
        <v>447</v>
      </c>
      <c r="AF17" s="18">
        <v>16.7</v>
      </c>
      <c r="AH17" s="295"/>
      <c r="AI17" s="56">
        <v>35</v>
      </c>
      <c r="AJ17" s="56">
        <f t="shared" si="6"/>
        <v>450.53049999999996</v>
      </c>
      <c r="AK17" s="19">
        <f t="shared" si="7"/>
        <v>52.471651427469126</v>
      </c>
      <c r="AL17" s="19">
        <f t="shared" si="12"/>
        <v>184.81649286265429</v>
      </c>
      <c r="AM17" s="19">
        <f>AJ17/1.2-(0.2/1.2)*SUM(AM13:AM16)</f>
        <v>262.35825713734562</v>
      </c>
      <c r="AP17" s="298"/>
      <c r="AQ17" s="18">
        <v>35</v>
      </c>
      <c r="AR17" s="18">
        <v>244</v>
      </c>
      <c r="AS17" s="18">
        <f t="shared" si="8"/>
        <v>55</v>
      </c>
      <c r="AT17" s="18">
        <v>175</v>
      </c>
      <c r="AW17" s="298"/>
      <c r="AX17" s="18">
        <v>30</v>
      </c>
      <c r="AY17" s="96">
        <v>463</v>
      </c>
      <c r="AZ17" s="120">
        <v>78</v>
      </c>
      <c r="BD17" s="298"/>
      <c r="BE17" s="18">
        <v>60</v>
      </c>
      <c r="BF17" s="18">
        <v>600</v>
      </c>
      <c r="BG17" s="19">
        <f t="shared" si="9"/>
        <v>88.531121399176982</v>
      </c>
      <c r="BH17" s="19">
        <f t="shared" si="10"/>
        <v>273.07587448559673</v>
      </c>
      <c r="BI17" s="19">
        <f t="shared" si="11"/>
        <v>442.65560699588485</v>
      </c>
      <c r="BJ17" s="110"/>
      <c r="BL17" s="295"/>
      <c r="BM17" s="18">
        <v>40</v>
      </c>
      <c r="BN17" s="18">
        <v>263</v>
      </c>
      <c r="BO17" s="18">
        <v>51</v>
      </c>
      <c r="BR17" s="207"/>
      <c r="BS17" s="207"/>
      <c r="BT17" s="207"/>
      <c r="BU17" s="207"/>
      <c r="BV17" s="207"/>
    </row>
    <row r="18" spans="1:74" x14ac:dyDescent="0.25">
      <c r="A18" s="18">
        <v>72</v>
      </c>
      <c r="B18" s="18">
        <v>221</v>
      </c>
      <c r="C18" s="18">
        <v>20</v>
      </c>
      <c r="H18" s="299"/>
      <c r="I18" s="18">
        <v>69</v>
      </c>
      <c r="J18" s="18">
        <v>26.7</v>
      </c>
      <c r="K18" s="19">
        <v>37.799999999999997</v>
      </c>
      <c r="L18" s="18">
        <v>19.3</v>
      </c>
      <c r="M18" s="19">
        <v>177</v>
      </c>
      <c r="N18" s="56">
        <v>40</v>
      </c>
      <c r="O18" s="131">
        <f t="shared" si="4"/>
        <v>217</v>
      </c>
      <c r="P18" s="110"/>
      <c r="Q18" s="298"/>
      <c r="R18" s="18">
        <v>50</v>
      </c>
      <c r="S18" s="18">
        <v>616</v>
      </c>
      <c r="T18" s="18">
        <v>433</v>
      </c>
      <c r="U18" s="18">
        <f t="shared" si="3"/>
        <v>75</v>
      </c>
      <c r="V18" s="18">
        <f t="shared" si="0"/>
        <v>1049</v>
      </c>
      <c r="W18" s="18">
        <v>18.399999999999999</v>
      </c>
      <c r="X18" s="55">
        <f t="shared" si="1"/>
        <v>1.7540514775977119E-2</v>
      </c>
      <c r="Z18" s="298"/>
      <c r="AA18" s="18">
        <v>40</v>
      </c>
      <c r="AB18" s="18">
        <v>299</v>
      </c>
      <c r="AC18" s="18">
        <v>237</v>
      </c>
      <c r="AD18" s="18">
        <f t="shared" si="5"/>
        <v>34</v>
      </c>
      <c r="AE18" s="18">
        <f t="shared" si="2"/>
        <v>536</v>
      </c>
      <c r="AF18" s="18">
        <v>12.9</v>
      </c>
      <c r="AH18" s="295"/>
      <c r="AI18" s="56">
        <v>40</v>
      </c>
      <c r="AJ18" s="56">
        <f t="shared" si="6"/>
        <v>550.19200000000001</v>
      </c>
      <c r="AK18" s="19">
        <f t="shared" si="7"/>
        <v>60.33662618955762</v>
      </c>
      <c r="AL18" s="19">
        <f t="shared" si="12"/>
        <v>245.15311905221191</v>
      </c>
      <c r="AM18" s="19">
        <f>AJ18/1.2-(0.2/1.2)*SUM(AM13:AM17)</f>
        <v>301.68313094778807</v>
      </c>
      <c r="AP18" s="298"/>
      <c r="AQ18" s="18">
        <v>40</v>
      </c>
      <c r="AR18" s="18">
        <v>284</v>
      </c>
      <c r="AS18" s="18">
        <f t="shared" si="8"/>
        <v>48</v>
      </c>
      <c r="AT18" s="18">
        <v>223</v>
      </c>
      <c r="AW18" s="298"/>
      <c r="AX18" s="18">
        <v>34</v>
      </c>
      <c r="AY18" s="18">
        <v>579</v>
      </c>
      <c r="AZ18" s="18">
        <v>64</v>
      </c>
      <c r="BD18" s="298"/>
      <c r="BE18" s="18">
        <v>70</v>
      </c>
      <c r="BF18" s="18">
        <v>755</v>
      </c>
      <c r="BG18" s="19">
        <f t="shared" si="9"/>
        <v>111.07814643347052</v>
      </c>
      <c r="BH18" s="19">
        <f t="shared" si="10"/>
        <v>384.15402091906725</v>
      </c>
      <c r="BI18" s="19">
        <f t="shared" si="11"/>
        <v>555.39073216735255</v>
      </c>
      <c r="BJ18" s="110"/>
      <c r="BL18" s="295"/>
      <c r="BM18" s="18">
        <v>45</v>
      </c>
      <c r="BN18" s="18">
        <v>297</v>
      </c>
      <c r="BO18" s="18">
        <v>45</v>
      </c>
      <c r="BR18" s="207"/>
      <c r="BS18" s="207"/>
      <c r="BT18" s="207"/>
      <c r="BU18" s="207"/>
      <c r="BV18" s="207"/>
    </row>
    <row r="19" spans="1:74" x14ac:dyDescent="0.25">
      <c r="A19" s="18">
        <v>78</v>
      </c>
      <c r="B19" s="18">
        <v>242</v>
      </c>
      <c r="C19" s="18">
        <v>22</v>
      </c>
      <c r="H19" s="299"/>
      <c r="I19" s="18">
        <v>77</v>
      </c>
      <c r="J19" s="18">
        <v>28.4</v>
      </c>
      <c r="K19" s="19">
        <v>41.7</v>
      </c>
      <c r="L19" s="18">
        <v>19.8</v>
      </c>
      <c r="M19" s="19">
        <v>194</v>
      </c>
      <c r="N19" s="56">
        <v>44</v>
      </c>
      <c r="O19" s="131">
        <f t="shared" si="4"/>
        <v>238</v>
      </c>
      <c r="P19" s="110"/>
      <c r="Q19" s="298"/>
      <c r="R19" s="18">
        <v>55</v>
      </c>
      <c r="S19" s="18">
        <v>639</v>
      </c>
      <c r="T19" s="18">
        <v>499</v>
      </c>
      <c r="U19" s="18">
        <f t="shared" si="3"/>
        <v>66</v>
      </c>
      <c r="V19" s="18">
        <f t="shared" si="0"/>
        <v>1138</v>
      </c>
      <c r="W19" s="18">
        <v>17.3</v>
      </c>
      <c r="X19" s="55">
        <f t="shared" si="1"/>
        <v>1.5202108963093146E-2</v>
      </c>
      <c r="Z19" s="298"/>
      <c r="AA19" s="18">
        <v>46</v>
      </c>
      <c r="AB19" s="18">
        <v>344</v>
      </c>
      <c r="AC19" s="18">
        <v>259</v>
      </c>
      <c r="AD19" s="18">
        <f t="shared" si="5"/>
        <v>22</v>
      </c>
      <c r="AE19" s="18">
        <f t="shared" si="2"/>
        <v>603</v>
      </c>
      <c r="AF19" s="18">
        <v>8.9</v>
      </c>
      <c r="AH19" s="295"/>
      <c r="AI19" s="56">
        <v>45</v>
      </c>
      <c r="AJ19" s="56">
        <f t="shared" si="6"/>
        <v>658.67849999999999</v>
      </c>
      <c r="AK19" s="19">
        <f t="shared" si="7"/>
        <v>68.361605157964689</v>
      </c>
      <c r="AL19" s="19">
        <f t="shared" si="12"/>
        <v>313.51472421017661</v>
      </c>
      <c r="AM19" s="19">
        <f>AJ19/1.2-(0.2/1.2)*SUM(AM13:AM18)</f>
        <v>341.80802578982343</v>
      </c>
      <c r="AP19" s="298"/>
      <c r="AQ19" s="18">
        <v>45</v>
      </c>
      <c r="AR19" s="18">
        <v>327</v>
      </c>
      <c r="AS19" s="18">
        <f t="shared" si="8"/>
        <v>57</v>
      </c>
      <c r="AT19" s="18">
        <v>280</v>
      </c>
      <c r="AW19" s="298"/>
      <c r="AX19" s="18">
        <v>38</v>
      </c>
      <c r="AY19" s="18">
        <v>682</v>
      </c>
      <c r="AZ19" s="18">
        <v>55</v>
      </c>
      <c r="BD19" s="298"/>
      <c r="BE19" s="18">
        <v>80</v>
      </c>
      <c r="BF19" s="18">
        <v>925</v>
      </c>
      <c r="BG19" s="19">
        <f t="shared" si="9"/>
        <v>135.65364226108827</v>
      </c>
      <c r="BH19" s="19">
        <f t="shared" si="10"/>
        <v>519.80766318015549</v>
      </c>
      <c r="BI19" s="19">
        <f t="shared" si="11"/>
        <v>678.26821130544135</v>
      </c>
      <c r="BJ19" s="110"/>
      <c r="BL19" s="295"/>
      <c r="BM19" s="18">
        <v>50</v>
      </c>
      <c r="BN19" s="18">
        <v>338</v>
      </c>
      <c r="BO19" s="18">
        <v>42</v>
      </c>
      <c r="BR19" s="207"/>
      <c r="BS19" s="207"/>
      <c r="BT19" s="207"/>
      <c r="BU19" s="207"/>
      <c r="BV19" s="207"/>
    </row>
    <row r="20" spans="1:74" x14ac:dyDescent="0.25">
      <c r="A20" s="18">
        <v>84</v>
      </c>
      <c r="B20" s="18">
        <v>265</v>
      </c>
      <c r="C20" s="18">
        <v>19</v>
      </c>
      <c r="H20" s="299"/>
      <c r="I20" s="18">
        <v>85</v>
      </c>
      <c r="J20" s="18">
        <v>29.9</v>
      </c>
      <c r="K20" s="19">
        <v>44.9</v>
      </c>
      <c r="L20" s="18">
        <v>21</v>
      </c>
      <c r="M20" s="19">
        <v>217</v>
      </c>
      <c r="N20" s="56">
        <v>34</v>
      </c>
      <c r="O20" s="131">
        <f t="shared" si="4"/>
        <v>251</v>
      </c>
      <c r="P20" s="110"/>
      <c r="Q20" s="298"/>
      <c r="R20" s="18">
        <v>60</v>
      </c>
      <c r="S20" s="18">
        <v>659</v>
      </c>
      <c r="T20" s="18">
        <v>563</v>
      </c>
      <c r="U20" s="18">
        <f t="shared" si="3"/>
        <v>64</v>
      </c>
      <c r="V20" s="18">
        <f t="shared" si="0"/>
        <v>1222</v>
      </c>
      <c r="W20" s="18">
        <v>16.600000000000001</v>
      </c>
      <c r="X20" s="55">
        <f t="shared" si="1"/>
        <v>1.358428805237316E-2</v>
      </c>
      <c r="Z20" s="298"/>
      <c r="AA20" s="18">
        <v>54</v>
      </c>
      <c r="AB20" s="18">
        <v>385</v>
      </c>
      <c r="AC20" s="18">
        <v>276</v>
      </c>
      <c r="AD20" s="18">
        <f t="shared" si="5"/>
        <v>17</v>
      </c>
      <c r="AE20" s="18">
        <f t="shared" si="2"/>
        <v>661</v>
      </c>
      <c r="AF20" s="18">
        <v>5.0999999999999996</v>
      </c>
      <c r="AH20" s="295"/>
      <c r="AI20" s="56">
        <v>50</v>
      </c>
      <c r="AJ20" s="56">
        <f t="shared" si="6"/>
        <v>775.99</v>
      </c>
      <c r="AK20" s="19">
        <f t="shared" si="7"/>
        <v>76.519920964970581</v>
      </c>
      <c r="AL20" s="19">
        <f t="shared" si="12"/>
        <v>390.0346451751472</v>
      </c>
      <c r="AM20" s="19">
        <f>AJ20/1.2-(0.2/1.2)*SUM(AM13:AM19)</f>
        <v>382.59960482485286</v>
      </c>
      <c r="AP20" s="298"/>
      <c r="AQ20" s="18">
        <v>50</v>
      </c>
      <c r="AR20" s="18">
        <v>367</v>
      </c>
      <c r="AS20" s="18">
        <f t="shared" si="8"/>
        <v>47</v>
      </c>
      <c r="AT20" s="18">
        <v>327</v>
      </c>
      <c r="BD20" s="298"/>
      <c r="BE20" s="18">
        <v>90</v>
      </c>
      <c r="BF20" s="18">
        <v>1100</v>
      </c>
      <c r="BG20" s="19">
        <f t="shared" si="9"/>
        <v>160.7243929564853</v>
      </c>
      <c r="BH20" s="19">
        <f t="shared" si="10"/>
        <v>680.53205613664079</v>
      </c>
      <c r="BI20" s="19">
        <f t="shared" si="11"/>
        <v>803.6219647824264</v>
      </c>
      <c r="BJ20" s="110"/>
      <c r="BL20" s="295"/>
      <c r="BM20" s="18">
        <v>55</v>
      </c>
      <c r="BN20" s="18">
        <v>379</v>
      </c>
      <c r="BO20" s="18">
        <v>33</v>
      </c>
      <c r="BR20" s="207"/>
      <c r="BS20" s="207"/>
      <c r="BT20" s="207"/>
      <c r="BU20" s="207"/>
      <c r="BV20" s="207"/>
    </row>
    <row r="21" spans="1:74" x14ac:dyDescent="0.25">
      <c r="A21" s="18">
        <v>90</v>
      </c>
      <c r="B21" s="18">
        <v>286</v>
      </c>
      <c r="C21" s="18">
        <v>21</v>
      </c>
      <c r="H21" s="299"/>
      <c r="I21" s="18">
        <v>95</v>
      </c>
      <c r="J21" s="18">
        <v>31.7</v>
      </c>
      <c r="K21" s="19">
        <v>48.6</v>
      </c>
      <c r="L21" s="18">
        <v>23.1</v>
      </c>
      <c r="M21" s="19">
        <v>255</v>
      </c>
      <c r="N21" s="56">
        <v>32</v>
      </c>
      <c r="O21" s="131">
        <f t="shared" si="4"/>
        <v>287</v>
      </c>
      <c r="P21" s="110"/>
      <c r="Q21" s="298"/>
      <c r="R21" s="18">
        <v>65</v>
      </c>
      <c r="S21" s="18">
        <v>671</v>
      </c>
      <c r="T21" s="18">
        <v>633</v>
      </c>
      <c r="U21" s="18">
        <f t="shared" si="3"/>
        <v>70</v>
      </c>
      <c r="V21" s="18">
        <f t="shared" si="0"/>
        <v>1304</v>
      </c>
      <c r="W21" s="18">
        <v>16.100000000000001</v>
      </c>
      <c r="X21" s="55">
        <f t="shared" si="1"/>
        <v>1.2346625766871167E-2</v>
      </c>
      <c r="Z21" s="298"/>
      <c r="AA21" s="18">
        <v>62</v>
      </c>
      <c r="AB21" s="18">
        <v>402</v>
      </c>
      <c r="AC21" s="18">
        <v>283</v>
      </c>
      <c r="AD21" s="18">
        <f>AC21-AC20</f>
        <v>7</v>
      </c>
      <c r="AE21" s="18">
        <f t="shared" si="2"/>
        <v>685</v>
      </c>
      <c r="AF21" s="23" t="s">
        <v>30</v>
      </c>
      <c r="AH21" s="295"/>
      <c r="AI21" s="56">
        <v>55</v>
      </c>
      <c r="AJ21" s="56">
        <f t="shared" si="6"/>
        <v>902.12650000000008</v>
      </c>
      <c r="AK21" s="19">
        <f t="shared" si="7"/>
        <v>84.789350804142146</v>
      </c>
      <c r="AL21" s="19">
        <f t="shared" si="12"/>
        <v>474.82399597928935</v>
      </c>
      <c r="AM21" s="19">
        <f>AJ21/1.2-(0.2/1.2)*SUM(AM13:AM20)</f>
        <v>423.94675402071067</v>
      </c>
      <c r="AP21" s="298"/>
      <c r="AQ21" s="18">
        <v>55</v>
      </c>
      <c r="AR21" s="18">
        <v>415</v>
      </c>
      <c r="AS21" s="18">
        <f t="shared" si="8"/>
        <v>48</v>
      </c>
      <c r="AT21" s="18">
        <v>375</v>
      </c>
      <c r="AW21" s="294">
        <v>2</v>
      </c>
      <c r="AX21" s="18">
        <v>18</v>
      </c>
      <c r="AY21" s="18">
        <v>96</v>
      </c>
      <c r="AZ21" s="120">
        <v>48</v>
      </c>
      <c r="BD21" s="298"/>
      <c r="BE21" s="18">
        <v>100</v>
      </c>
      <c r="BF21" s="18">
        <v>1285</v>
      </c>
      <c r="BG21" s="19">
        <f t="shared" si="9"/>
        <v>187.37926784058584</v>
      </c>
      <c r="BH21" s="19">
        <f t="shared" si="10"/>
        <v>867.91132397722663</v>
      </c>
      <c r="BI21" s="19">
        <f t="shared" si="11"/>
        <v>936.89633920292908</v>
      </c>
      <c r="BJ21" s="110"/>
      <c r="BL21" s="295"/>
      <c r="BM21" s="18">
        <v>60</v>
      </c>
      <c r="BN21" s="18">
        <v>413</v>
      </c>
      <c r="BO21" s="18">
        <v>20</v>
      </c>
      <c r="BR21" s="207"/>
      <c r="BS21" s="207"/>
      <c r="BT21" s="207"/>
      <c r="BU21" s="207"/>
      <c r="BV21" s="207"/>
    </row>
    <row r="22" spans="1:74" x14ac:dyDescent="0.25">
      <c r="A22" s="18">
        <v>98</v>
      </c>
      <c r="B22" s="18">
        <v>314</v>
      </c>
      <c r="C22" s="18">
        <v>27</v>
      </c>
      <c r="H22" s="299"/>
      <c r="I22" s="18">
        <v>105</v>
      </c>
      <c r="J22" s="18">
        <v>33.299999999999997</v>
      </c>
      <c r="K22" s="19">
        <v>52.2</v>
      </c>
      <c r="L22" s="18">
        <v>24.2</v>
      </c>
      <c r="M22" s="19">
        <v>280</v>
      </c>
      <c r="N22" s="56">
        <v>43</v>
      </c>
      <c r="O22" s="131">
        <f t="shared" si="4"/>
        <v>323</v>
      </c>
      <c r="P22" s="110"/>
      <c r="AH22" s="295"/>
      <c r="AI22" s="56">
        <v>60</v>
      </c>
      <c r="AJ22" s="56">
        <f t="shared" si="6"/>
        <v>1037.088</v>
      </c>
      <c r="AK22" s="19">
        <f t="shared" si="7"/>
        <v>93.151375670118455</v>
      </c>
      <c r="AL22" s="19">
        <f t="shared" si="12"/>
        <v>567.97537164940786</v>
      </c>
      <c r="AM22" s="19">
        <f>AJ22/1.2-(0.2/1.2)*SUM(AM13:AM21)</f>
        <v>465.75687835059222</v>
      </c>
      <c r="AP22" s="298"/>
      <c r="AQ22" s="18">
        <v>60</v>
      </c>
      <c r="AR22" s="18">
        <v>468</v>
      </c>
      <c r="AS22" s="18">
        <f t="shared" si="8"/>
        <v>32</v>
      </c>
      <c r="AT22" s="18">
        <v>407</v>
      </c>
      <c r="AW22" s="295"/>
      <c r="AX22" s="18">
        <v>21</v>
      </c>
      <c r="AY22" s="18">
        <v>156</v>
      </c>
      <c r="AZ22" s="120">
        <v>45</v>
      </c>
      <c r="BJ22" s="22"/>
      <c r="BL22" s="296"/>
      <c r="BM22" s="18">
        <v>65</v>
      </c>
      <c r="BN22" s="18">
        <v>442</v>
      </c>
      <c r="BO22" s="18">
        <v>16</v>
      </c>
      <c r="BR22" s="207"/>
      <c r="BS22" s="207"/>
      <c r="BT22" s="207"/>
      <c r="BU22" s="207"/>
      <c r="BV22" s="207"/>
    </row>
    <row r="23" spans="1:74" x14ac:dyDescent="0.25">
      <c r="A23" s="18">
        <v>106</v>
      </c>
      <c r="B23" s="18">
        <v>341</v>
      </c>
      <c r="C23" s="18">
        <v>28</v>
      </c>
      <c r="H23" s="299"/>
      <c r="I23" s="56">
        <v>115</v>
      </c>
      <c r="J23" s="56">
        <v>34.9</v>
      </c>
      <c r="K23" s="131">
        <v>55</v>
      </c>
      <c r="L23" s="56">
        <v>25.1</v>
      </c>
      <c r="M23" s="19">
        <v>305</v>
      </c>
      <c r="N23" s="56">
        <v>44</v>
      </c>
      <c r="O23" s="131">
        <f t="shared" si="4"/>
        <v>349</v>
      </c>
      <c r="P23" s="110"/>
      <c r="Q23" s="298">
        <v>2</v>
      </c>
      <c r="R23" s="18">
        <v>15</v>
      </c>
      <c r="S23" s="18">
        <v>126</v>
      </c>
      <c r="T23" s="18">
        <v>0</v>
      </c>
      <c r="U23" s="18">
        <f>0</f>
        <v>0</v>
      </c>
      <c r="V23" s="18">
        <f t="shared" ref="V23:V33" si="13">S23+T23</f>
        <v>126</v>
      </c>
      <c r="W23" s="18">
        <v>21.8</v>
      </c>
      <c r="X23" s="55">
        <f t="shared" ref="X23:X33" si="14">W23/V23</f>
        <v>0.17301587301587301</v>
      </c>
      <c r="Z23" s="298">
        <v>2</v>
      </c>
      <c r="AA23" s="18">
        <v>12</v>
      </c>
      <c r="AB23" s="18">
        <v>36</v>
      </c>
      <c r="AC23" s="18">
        <v>0</v>
      </c>
      <c r="AD23" s="18">
        <f>0</f>
        <v>0</v>
      </c>
      <c r="AE23" s="18">
        <f t="shared" ref="AE23:AE32" si="15">AB23+AC23</f>
        <v>36</v>
      </c>
      <c r="AF23" s="23" t="s">
        <v>30</v>
      </c>
      <c r="AH23" s="295"/>
      <c r="AI23" s="56">
        <v>65</v>
      </c>
      <c r="AJ23" s="56">
        <f t="shared" si="6"/>
        <v>1180.8744999999999</v>
      </c>
      <c r="AK23" s="19">
        <f t="shared" si="7"/>
        <v>101.59056305843201</v>
      </c>
      <c r="AL23" s="19">
        <f t="shared" si="12"/>
        <v>669.56593470783992</v>
      </c>
      <c r="AM23" s="19">
        <f>AJ23/1.2-(0.2/1.2)*SUM(AM13:AM22)</f>
        <v>507.95281529216004</v>
      </c>
      <c r="AP23" s="298"/>
      <c r="AQ23" s="18">
        <v>65</v>
      </c>
      <c r="AR23" s="18">
        <v>527</v>
      </c>
      <c r="AS23" s="18">
        <f t="shared" si="8"/>
        <v>28</v>
      </c>
      <c r="AT23" s="18">
        <v>435</v>
      </c>
      <c r="AW23" s="295"/>
      <c r="AX23" s="18">
        <v>24</v>
      </c>
      <c r="AY23" s="18">
        <v>231</v>
      </c>
      <c r="AZ23" s="120">
        <v>50</v>
      </c>
      <c r="BD23" s="298">
        <v>2</v>
      </c>
      <c r="BE23" s="18">
        <v>20</v>
      </c>
      <c r="BF23" s="18">
        <v>115</v>
      </c>
      <c r="BG23" s="19">
        <f>0.2*BI23</f>
        <v>19.166666666666668</v>
      </c>
      <c r="BH23" s="19">
        <f>BG23</f>
        <v>19.166666666666668</v>
      </c>
      <c r="BI23" s="19">
        <f>BF23/1.2</f>
        <v>95.833333333333343</v>
      </c>
      <c r="BJ23" s="110"/>
      <c r="BR23" s="207"/>
      <c r="BS23" s="207"/>
      <c r="BT23" s="207"/>
      <c r="BU23" s="207"/>
      <c r="BV23" s="207"/>
    </row>
    <row r="24" spans="1:74" x14ac:dyDescent="0.25">
      <c r="A24" s="18">
        <v>114</v>
      </c>
      <c r="B24" s="18">
        <v>364</v>
      </c>
      <c r="C24" s="18">
        <v>32</v>
      </c>
      <c r="H24" s="299"/>
      <c r="I24" s="56">
        <v>125</v>
      </c>
      <c r="J24" s="56">
        <v>6.3</v>
      </c>
      <c r="K24" s="131">
        <v>58</v>
      </c>
      <c r="L24" s="56">
        <v>25.6</v>
      </c>
      <c r="M24" s="131">
        <v>326</v>
      </c>
      <c r="N24" s="56">
        <v>47</v>
      </c>
      <c r="O24" s="131">
        <f t="shared" si="4"/>
        <v>373</v>
      </c>
      <c r="P24" s="110"/>
      <c r="Q24" s="298"/>
      <c r="R24" s="18">
        <v>20</v>
      </c>
      <c r="S24" s="18">
        <v>238</v>
      </c>
      <c r="T24" s="18">
        <v>0</v>
      </c>
      <c r="U24" s="18">
        <f>T24-T23</f>
        <v>0</v>
      </c>
      <c r="V24" s="18">
        <f t="shared" si="13"/>
        <v>238</v>
      </c>
      <c r="W24" s="18">
        <v>24.5</v>
      </c>
      <c r="X24" s="55">
        <f t="shared" si="14"/>
        <v>0.10294117647058823</v>
      </c>
      <c r="Z24" s="298"/>
      <c r="AA24" s="18">
        <v>16</v>
      </c>
      <c r="AB24" s="18">
        <v>66</v>
      </c>
      <c r="AC24" s="18">
        <v>15</v>
      </c>
      <c r="AD24" s="18">
        <f>AC24-AC23</f>
        <v>15</v>
      </c>
      <c r="AE24" s="18">
        <f t="shared" si="15"/>
        <v>81</v>
      </c>
      <c r="AF24" s="18">
        <v>12.3</v>
      </c>
      <c r="AH24" s="296"/>
      <c r="AI24" s="56">
        <v>70</v>
      </c>
      <c r="AJ24" s="56">
        <f>0.1765*(AI24^2)+6.6948*AI24</f>
        <v>1333.4859999999999</v>
      </c>
      <c r="AK24" s="19">
        <f>0.2*AM24</f>
        <v>110.09405254869333</v>
      </c>
      <c r="AL24" s="19">
        <f>AK24+AL23</f>
        <v>779.65998725653321</v>
      </c>
      <c r="AM24" s="19">
        <f>AJ24/1.2-(0.2/1.2)*SUM(AM13:AM23)</f>
        <v>550.47026274346661</v>
      </c>
      <c r="AW24" s="295"/>
      <c r="AX24" s="18">
        <v>28</v>
      </c>
      <c r="AY24" s="96">
        <v>334</v>
      </c>
      <c r="AZ24" s="120">
        <v>80</v>
      </c>
      <c r="BD24" s="298"/>
      <c r="BE24" s="18">
        <v>30</v>
      </c>
      <c r="BF24" s="18">
        <v>180</v>
      </c>
      <c r="BG24" s="19">
        <f>0.2*BI24</f>
        <v>26.805555555555561</v>
      </c>
      <c r="BH24" s="122">
        <f>BG24+BH23</f>
        <v>45.972222222222229</v>
      </c>
      <c r="BI24" s="95">
        <f>(BF24-BG23)/1.2</f>
        <v>134.0277777777778</v>
      </c>
      <c r="BJ24" s="110"/>
      <c r="BL24" s="294">
        <v>2</v>
      </c>
      <c r="BM24" s="18">
        <v>22</v>
      </c>
      <c r="BN24" s="18">
        <v>84</v>
      </c>
      <c r="BO24" s="120">
        <v>9</v>
      </c>
      <c r="BR24" s="207"/>
      <c r="BS24" s="207"/>
      <c r="BT24" s="207"/>
      <c r="BU24" s="207"/>
      <c r="BV24" s="207"/>
    </row>
    <row r="25" spans="1:74" x14ac:dyDescent="0.25">
      <c r="A25" s="18">
        <v>122</v>
      </c>
      <c r="B25" s="18">
        <v>388</v>
      </c>
      <c r="C25" s="18">
        <v>31</v>
      </c>
      <c r="H25" s="299"/>
      <c r="I25" s="56">
        <v>135</v>
      </c>
      <c r="J25" s="56">
        <v>37.799999999999997</v>
      </c>
      <c r="K25" s="131">
        <v>62</v>
      </c>
      <c r="L25" s="56">
        <v>25.9</v>
      </c>
      <c r="M25" s="131">
        <v>343</v>
      </c>
      <c r="N25" s="56">
        <v>50</v>
      </c>
      <c r="O25" s="131">
        <f t="shared" si="4"/>
        <v>393</v>
      </c>
      <c r="P25" s="110"/>
      <c r="Q25" s="298"/>
      <c r="R25" s="18">
        <v>25</v>
      </c>
      <c r="S25" s="18">
        <v>351</v>
      </c>
      <c r="T25" s="18">
        <v>21</v>
      </c>
      <c r="U25" s="18">
        <f t="shared" ref="U25:U33" si="16">T25-T24</f>
        <v>21</v>
      </c>
      <c r="V25" s="18">
        <f t="shared" si="13"/>
        <v>372</v>
      </c>
      <c r="W25" s="18">
        <v>26.7</v>
      </c>
      <c r="X25" s="55">
        <f t="shared" si="14"/>
        <v>7.17741935483871E-2</v>
      </c>
      <c r="Z25" s="298"/>
      <c r="AA25" s="18">
        <v>20</v>
      </c>
      <c r="AB25" s="18">
        <v>97</v>
      </c>
      <c r="AC25" s="18">
        <v>37</v>
      </c>
      <c r="AD25" s="18">
        <f t="shared" ref="AD25:AD31" si="17">AC25-AC24</f>
        <v>22</v>
      </c>
      <c r="AE25" s="18">
        <f t="shared" si="15"/>
        <v>134</v>
      </c>
      <c r="AF25" s="18">
        <v>14</v>
      </c>
      <c r="AP25" s="298">
        <v>2</v>
      </c>
      <c r="AQ25" s="18">
        <v>22</v>
      </c>
      <c r="AR25" s="18">
        <v>107</v>
      </c>
      <c r="AS25" s="18">
        <f>AT25</f>
        <v>16</v>
      </c>
      <c r="AT25" s="18">
        <v>16</v>
      </c>
      <c r="AW25" s="295"/>
      <c r="AX25" s="18">
        <v>32</v>
      </c>
      <c r="AY25" s="96">
        <v>460</v>
      </c>
      <c r="AZ25" s="18">
        <v>56</v>
      </c>
      <c r="BD25" s="298"/>
      <c r="BE25" s="18">
        <v>40</v>
      </c>
      <c r="BF25" s="18">
        <v>250</v>
      </c>
      <c r="BG25" s="19">
        <f t="shared" ref="BG25:BG31" si="18">0.2*BI25</f>
        <v>37.199074074074069</v>
      </c>
      <c r="BH25" s="19">
        <f t="shared" ref="BH25:BH31" si="19">BG25+BH24</f>
        <v>83.171296296296305</v>
      </c>
      <c r="BI25" s="19">
        <f t="shared" ref="BI25:BI31" si="20">(BF25-BG24)/1.2</f>
        <v>185.99537037037035</v>
      </c>
      <c r="BJ25" s="21"/>
      <c r="BL25" s="295"/>
      <c r="BM25" s="18">
        <v>25</v>
      </c>
      <c r="BN25" s="18">
        <v>110</v>
      </c>
      <c r="BO25" s="120">
        <v>21</v>
      </c>
      <c r="BR25" s="207"/>
      <c r="BS25" s="207"/>
      <c r="BT25" s="207"/>
      <c r="BU25" s="207"/>
      <c r="BV25" s="207"/>
    </row>
    <row r="26" spans="1:74" x14ac:dyDescent="0.25">
      <c r="A26" s="18">
        <v>130</v>
      </c>
      <c r="B26" s="18">
        <v>412</v>
      </c>
      <c r="C26" s="18">
        <v>30</v>
      </c>
      <c r="H26" s="299"/>
      <c r="I26" s="56">
        <v>145</v>
      </c>
      <c r="J26" s="56">
        <v>39.200000000000003</v>
      </c>
      <c r="K26" s="131">
        <v>67</v>
      </c>
      <c r="L26" s="56">
        <v>26.7</v>
      </c>
      <c r="M26" s="131">
        <v>367</v>
      </c>
      <c r="N26" s="56">
        <v>44</v>
      </c>
      <c r="O26" s="131">
        <f t="shared" si="4"/>
        <v>411</v>
      </c>
      <c r="P26" s="110"/>
      <c r="Q26" s="298"/>
      <c r="R26" s="18">
        <v>30</v>
      </c>
      <c r="S26" s="96">
        <v>436</v>
      </c>
      <c r="T26" s="120">
        <v>69</v>
      </c>
      <c r="U26" s="18">
        <f t="shared" si="16"/>
        <v>48</v>
      </c>
      <c r="V26" s="18">
        <f t="shared" si="13"/>
        <v>505</v>
      </c>
      <c r="W26" s="18">
        <v>25.6</v>
      </c>
      <c r="X26" s="55">
        <f t="shared" si="14"/>
        <v>5.0693069306930696E-2</v>
      </c>
      <c r="Z26" s="298"/>
      <c r="AA26" s="18">
        <v>24</v>
      </c>
      <c r="AB26" s="18">
        <v>126</v>
      </c>
      <c r="AC26" s="18">
        <v>68</v>
      </c>
      <c r="AD26" s="18">
        <f t="shared" si="17"/>
        <v>31</v>
      </c>
      <c r="AE26" s="18">
        <f t="shared" si="15"/>
        <v>194</v>
      </c>
      <c r="AF26" s="18">
        <v>15.5</v>
      </c>
      <c r="AH26" s="18" t="s">
        <v>24</v>
      </c>
      <c r="AI26" s="24" t="s">
        <v>25</v>
      </c>
      <c r="AJ26" s="109" t="s">
        <v>29</v>
      </c>
      <c r="AK26" s="24" t="s">
        <v>27</v>
      </c>
      <c r="AL26" s="24" t="s">
        <v>217</v>
      </c>
      <c r="AM26" s="24" t="s">
        <v>26</v>
      </c>
      <c r="AP26" s="298"/>
      <c r="AQ26" s="18">
        <v>25</v>
      </c>
      <c r="AR26" s="18">
        <v>127</v>
      </c>
      <c r="AS26" s="18">
        <f>AT26-AT25</f>
        <v>17</v>
      </c>
      <c r="AT26" s="18">
        <v>33</v>
      </c>
      <c r="AW26" s="295"/>
      <c r="AX26" s="18">
        <v>36</v>
      </c>
      <c r="AY26" s="18">
        <v>550</v>
      </c>
      <c r="AZ26" s="18">
        <v>78</v>
      </c>
      <c r="BD26" s="298"/>
      <c r="BE26" s="18">
        <v>50</v>
      </c>
      <c r="BF26" s="18">
        <v>320</v>
      </c>
      <c r="BG26" s="19">
        <f t="shared" si="18"/>
        <v>47.133487654320987</v>
      </c>
      <c r="BH26" s="19">
        <f t="shared" si="19"/>
        <v>130.30478395061729</v>
      </c>
      <c r="BI26" s="19">
        <f t="shared" si="20"/>
        <v>235.66743827160494</v>
      </c>
      <c r="BJ26" s="21"/>
      <c r="BL26" s="295"/>
      <c r="BM26" s="18">
        <v>30</v>
      </c>
      <c r="BN26" s="96">
        <v>146</v>
      </c>
      <c r="BO26" s="120">
        <v>36</v>
      </c>
      <c r="BR26" s="207"/>
      <c r="BS26" s="207"/>
      <c r="BT26" s="207"/>
      <c r="BU26" s="207"/>
      <c r="BV26" s="207"/>
    </row>
    <row r="27" spans="1:74" x14ac:dyDescent="0.25">
      <c r="A27" s="18">
        <v>140</v>
      </c>
      <c r="B27" s="18">
        <v>440</v>
      </c>
      <c r="C27" s="18">
        <v>39</v>
      </c>
      <c r="H27" s="299"/>
      <c r="I27" s="56">
        <v>155</v>
      </c>
      <c r="J27" s="56">
        <v>40.700000000000003</v>
      </c>
      <c r="K27" s="131">
        <v>72</v>
      </c>
      <c r="L27" s="56">
        <v>27</v>
      </c>
      <c r="M27" s="131">
        <v>384</v>
      </c>
      <c r="N27" s="56">
        <v>51</v>
      </c>
      <c r="O27" s="131">
        <f t="shared" si="4"/>
        <v>435</v>
      </c>
      <c r="P27" s="110"/>
      <c r="Q27" s="298"/>
      <c r="R27" s="18">
        <v>35</v>
      </c>
      <c r="S27" s="18">
        <v>498</v>
      </c>
      <c r="T27" s="18">
        <v>130</v>
      </c>
      <c r="U27" s="18">
        <f t="shared" si="16"/>
        <v>61</v>
      </c>
      <c r="V27" s="18">
        <f t="shared" si="13"/>
        <v>628</v>
      </c>
      <c r="W27" s="18">
        <v>23.2</v>
      </c>
      <c r="X27" s="55">
        <f t="shared" si="14"/>
        <v>3.6942675159235668E-2</v>
      </c>
      <c r="Z27" s="298"/>
      <c r="AA27" s="18">
        <v>28</v>
      </c>
      <c r="AB27" s="96">
        <v>155</v>
      </c>
      <c r="AC27" s="120">
        <v>103</v>
      </c>
      <c r="AD27" s="18">
        <f t="shared" si="17"/>
        <v>35</v>
      </c>
      <c r="AE27" s="18">
        <f t="shared" si="15"/>
        <v>258</v>
      </c>
      <c r="AF27" s="18">
        <v>15.4</v>
      </c>
      <c r="AH27" s="298">
        <v>2</v>
      </c>
      <c r="AI27" s="18">
        <v>15</v>
      </c>
      <c r="AJ27" s="131">
        <f>0.1545*(AI27)^2+5.6484*AI27</f>
        <v>119.4885</v>
      </c>
      <c r="AK27" s="18">
        <f>20</f>
        <v>20</v>
      </c>
      <c r="AL27" s="18">
        <v>20</v>
      </c>
      <c r="AM27" s="19">
        <f>AJ27/1.2</f>
        <v>99.573750000000004</v>
      </c>
      <c r="AP27" s="298"/>
      <c r="AQ27" s="18">
        <v>30</v>
      </c>
      <c r="AR27" s="96">
        <v>160</v>
      </c>
      <c r="AS27" s="18">
        <f t="shared" ref="AS27:AS35" si="21">AT27-AT26</f>
        <v>34</v>
      </c>
      <c r="AT27" s="120">
        <v>67</v>
      </c>
      <c r="AW27" s="296"/>
      <c r="AX27" s="18">
        <v>42</v>
      </c>
      <c r="AY27" s="18">
        <v>687</v>
      </c>
      <c r="AZ27" s="18">
        <v>79</v>
      </c>
      <c r="BD27" s="298"/>
      <c r="BE27" s="18">
        <v>60</v>
      </c>
      <c r="BF27" s="18">
        <v>400</v>
      </c>
      <c r="BG27" s="19">
        <f t="shared" si="18"/>
        <v>58.811085390946509</v>
      </c>
      <c r="BH27" s="19">
        <f t="shared" si="19"/>
        <v>189.11586934156381</v>
      </c>
      <c r="BI27" s="19">
        <f t="shared" si="20"/>
        <v>294.05542695473252</v>
      </c>
      <c r="BJ27" s="21"/>
      <c r="BL27" s="295"/>
      <c r="BM27" s="18">
        <v>35</v>
      </c>
      <c r="BN27" s="18">
        <v>180</v>
      </c>
      <c r="BO27" s="18">
        <v>49</v>
      </c>
      <c r="BR27" s="207"/>
      <c r="BS27" s="207"/>
      <c r="BT27" s="207"/>
      <c r="BU27" s="207"/>
      <c r="BV27" s="207"/>
    </row>
    <row r="28" spans="1:74" x14ac:dyDescent="0.25">
      <c r="A28" s="18">
        <v>150</v>
      </c>
      <c r="B28" s="18">
        <v>468</v>
      </c>
      <c r="C28" s="18">
        <v>38</v>
      </c>
      <c r="H28" s="299"/>
      <c r="I28" s="56">
        <v>165</v>
      </c>
      <c r="J28" s="56">
        <v>42.1</v>
      </c>
      <c r="K28" s="131">
        <v>77</v>
      </c>
      <c r="L28" s="56">
        <v>27.6</v>
      </c>
      <c r="M28" s="131">
        <v>407</v>
      </c>
      <c r="N28" s="56">
        <v>45</v>
      </c>
      <c r="O28" s="131">
        <f t="shared" si="4"/>
        <v>452</v>
      </c>
      <c r="P28" s="110"/>
      <c r="Q28" s="298"/>
      <c r="R28" s="18">
        <v>40</v>
      </c>
      <c r="S28" s="18">
        <v>543</v>
      </c>
      <c r="T28" s="18">
        <v>195</v>
      </c>
      <c r="U28" s="18">
        <f t="shared" si="16"/>
        <v>65</v>
      </c>
      <c r="V28" s="18">
        <f t="shared" si="13"/>
        <v>738</v>
      </c>
      <c r="W28" s="18">
        <v>20.8</v>
      </c>
      <c r="X28" s="55">
        <f t="shared" si="14"/>
        <v>2.8184281842818428E-2</v>
      </c>
      <c r="Z28" s="298"/>
      <c r="AA28" s="18">
        <v>34</v>
      </c>
      <c r="AB28" s="96">
        <v>198</v>
      </c>
      <c r="AC28" s="18">
        <v>149</v>
      </c>
      <c r="AD28" s="18">
        <f t="shared" si="17"/>
        <v>46</v>
      </c>
      <c r="AE28" s="18">
        <f t="shared" si="15"/>
        <v>347</v>
      </c>
      <c r="AF28" s="18">
        <v>13.8</v>
      </c>
      <c r="AH28" s="298"/>
      <c r="AI28" s="18">
        <v>20</v>
      </c>
      <c r="AJ28" s="131">
        <f t="shared" ref="AJ28:AJ38" si="22">0.1545*(AI28)^2+5.6484*AI28</f>
        <v>174.76799999999997</v>
      </c>
      <c r="AK28" s="19">
        <f>0.2*AM28</f>
        <v>25.808874999999997</v>
      </c>
      <c r="AL28" s="19">
        <f>AK28+AL27</f>
        <v>45.808875</v>
      </c>
      <c r="AM28" s="19">
        <f>AJ28/1.2-(0.2/1.2)*SUM(AM27)</f>
        <v>129.04437499999997</v>
      </c>
      <c r="AP28" s="298"/>
      <c r="AQ28" s="56">
        <v>35</v>
      </c>
      <c r="AR28" s="56">
        <v>192</v>
      </c>
      <c r="AS28" s="18">
        <f t="shared" si="21"/>
        <v>41</v>
      </c>
      <c r="AT28" s="56">
        <v>108</v>
      </c>
      <c r="BD28" s="298"/>
      <c r="BE28" s="18">
        <v>70</v>
      </c>
      <c r="BF28" s="18">
        <v>475</v>
      </c>
      <c r="BG28" s="19">
        <f t="shared" si="18"/>
        <v>69.364819101508928</v>
      </c>
      <c r="BH28" s="19">
        <f t="shared" si="19"/>
        <v>258.48068844307272</v>
      </c>
      <c r="BI28" s="19">
        <f t="shared" si="20"/>
        <v>346.8240955075446</v>
      </c>
      <c r="BJ28" s="21"/>
      <c r="BL28" s="295"/>
      <c r="BM28" s="18">
        <v>40</v>
      </c>
      <c r="BN28" s="18">
        <v>214</v>
      </c>
      <c r="BO28" s="18">
        <v>42</v>
      </c>
      <c r="BR28" s="207"/>
      <c r="BS28" s="207"/>
      <c r="BT28" s="207"/>
      <c r="BU28" s="207"/>
      <c r="BV28" s="207"/>
    </row>
    <row r="29" spans="1:74" x14ac:dyDescent="0.25">
      <c r="A29" s="18">
        <v>160</v>
      </c>
      <c r="B29" s="18">
        <v>491</v>
      </c>
      <c r="C29" s="18">
        <v>40</v>
      </c>
      <c r="H29" s="299"/>
      <c r="I29" s="56">
        <v>170</v>
      </c>
      <c r="J29" s="56">
        <v>42.9</v>
      </c>
      <c r="K29" s="131">
        <v>80</v>
      </c>
      <c r="L29" s="56">
        <v>29.8</v>
      </c>
      <c r="M29" s="131">
        <v>448</v>
      </c>
      <c r="N29" s="18"/>
      <c r="O29" s="131">
        <f t="shared" si="4"/>
        <v>448</v>
      </c>
      <c r="P29" s="110"/>
      <c r="Q29" s="298"/>
      <c r="R29" s="18">
        <v>45</v>
      </c>
      <c r="S29" s="18">
        <v>572</v>
      </c>
      <c r="T29" s="18">
        <v>264</v>
      </c>
      <c r="U29" s="18">
        <f t="shared" si="16"/>
        <v>69</v>
      </c>
      <c r="V29" s="18">
        <f t="shared" si="13"/>
        <v>836</v>
      </c>
      <c r="W29" s="18">
        <v>18.899999999999999</v>
      </c>
      <c r="X29" s="55">
        <f t="shared" si="14"/>
        <v>2.2607655502392344E-2</v>
      </c>
      <c r="Z29" s="298"/>
      <c r="AA29" s="18">
        <v>40</v>
      </c>
      <c r="AB29" s="18">
        <v>234</v>
      </c>
      <c r="AC29" s="18">
        <v>191</v>
      </c>
      <c r="AD29" s="18">
        <f t="shared" si="17"/>
        <v>42</v>
      </c>
      <c r="AE29" s="18">
        <f t="shared" si="15"/>
        <v>425</v>
      </c>
      <c r="AF29" s="18">
        <v>11.3</v>
      </c>
      <c r="AH29" s="298"/>
      <c r="AI29" s="18">
        <v>25</v>
      </c>
      <c r="AJ29" s="131">
        <f t="shared" si="22"/>
        <v>237.77249999999998</v>
      </c>
      <c r="AK29" s="19">
        <f>0.2*AM29</f>
        <v>32.008145833333337</v>
      </c>
      <c r="AL29" s="19">
        <f>AK29+AL28</f>
        <v>77.817020833333345</v>
      </c>
      <c r="AM29" s="19">
        <f>AJ29/1.2-(0.2/1.2)*SUM(AM27:AM28)</f>
        <v>160.04072916666667</v>
      </c>
      <c r="AP29" s="298"/>
      <c r="AQ29" s="56">
        <v>40</v>
      </c>
      <c r="AR29" s="56">
        <v>223</v>
      </c>
      <c r="AS29" s="18">
        <f t="shared" si="21"/>
        <v>41</v>
      </c>
      <c r="AT29" s="56">
        <v>149</v>
      </c>
      <c r="AW29" s="294">
        <v>3</v>
      </c>
      <c r="AX29" s="18">
        <v>20</v>
      </c>
      <c r="AY29" s="18">
        <v>96</v>
      </c>
      <c r="AZ29" s="120">
        <v>48</v>
      </c>
      <c r="BD29" s="298"/>
      <c r="BE29" s="18">
        <v>80</v>
      </c>
      <c r="BF29" s="18">
        <v>552</v>
      </c>
      <c r="BG29" s="19">
        <f t="shared" si="18"/>
        <v>80.439196816415176</v>
      </c>
      <c r="BH29" s="19">
        <f t="shared" si="19"/>
        <v>338.9198852594879</v>
      </c>
      <c r="BI29" s="19">
        <f t="shared" si="20"/>
        <v>402.19598408207588</v>
      </c>
      <c r="BJ29" s="21"/>
      <c r="BL29" s="295"/>
      <c r="BM29" s="18">
        <v>45</v>
      </c>
      <c r="BN29" s="18">
        <v>245</v>
      </c>
      <c r="BO29" s="18">
        <v>38</v>
      </c>
      <c r="BR29" s="207"/>
      <c r="BS29" s="207"/>
      <c r="BT29" s="207"/>
      <c r="BU29" s="207"/>
      <c r="BV29" s="207"/>
    </row>
    <row r="30" spans="1:74" x14ac:dyDescent="0.25">
      <c r="A30" s="18">
        <v>170</v>
      </c>
      <c r="B30" s="18">
        <v>514</v>
      </c>
      <c r="C30" s="18">
        <v>36</v>
      </c>
      <c r="H30" s="73"/>
      <c r="I30" s="73"/>
      <c r="J30" s="73"/>
      <c r="K30" s="73"/>
      <c r="L30" s="73"/>
      <c r="M30" s="73"/>
      <c r="Q30" s="298"/>
      <c r="R30" s="18">
        <v>50</v>
      </c>
      <c r="S30" s="18">
        <v>590</v>
      </c>
      <c r="T30" s="18">
        <v>337</v>
      </c>
      <c r="U30" s="18">
        <f t="shared" si="16"/>
        <v>73</v>
      </c>
      <c r="V30" s="18">
        <f t="shared" si="13"/>
        <v>927</v>
      </c>
      <c r="W30" s="18">
        <v>17.600000000000001</v>
      </c>
      <c r="X30" s="55">
        <f t="shared" si="14"/>
        <v>1.8985976267529667E-2</v>
      </c>
      <c r="Z30" s="298"/>
      <c r="AA30" s="18">
        <v>46</v>
      </c>
      <c r="AB30" s="18">
        <v>264</v>
      </c>
      <c r="AC30" s="18">
        <v>220</v>
      </c>
      <c r="AD30" s="18">
        <f t="shared" si="17"/>
        <v>29</v>
      </c>
      <c r="AE30" s="18">
        <f t="shared" si="15"/>
        <v>484</v>
      </c>
      <c r="AF30" s="18">
        <v>7.5</v>
      </c>
      <c r="AH30" s="298"/>
      <c r="AI30" s="18">
        <v>30</v>
      </c>
      <c r="AJ30" s="131">
        <f t="shared" si="22"/>
        <v>308.50200000000001</v>
      </c>
      <c r="AK30" s="19">
        <f t="shared" ref="AK30:AK38" si="23">0.2*AM30</f>
        <v>38.461704861111116</v>
      </c>
      <c r="AL30" s="122">
        <f t="shared" ref="AL30:AL38" si="24">AK30+AL29</f>
        <v>116.27872569444446</v>
      </c>
      <c r="AM30" s="95">
        <f>AJ30/1.2-(0.2/1.2)*SUM(AM27:AM29)</f>
        <v>192.30852430555558</v>
      </c>
      <c r="AP30" s="298"/>
      <c r="AQ30" s="56">
        <v>45</v>
      </c>
      <c r="AR30" s="56">
        <v>265</v>
      </c>
      <c r="AS30" s="18">
        <f>AT30-AT29</f>
        <v>41</v>
      </c>
      <c r="AT30" s="56">
        <v>190</v>
      </c>
      <c r="AW30" s="295"/>
      <c r="AX30" s="18">
        <v>24</v>
      </c>
      <c r="AY30" s="18">
        <v>169</v>
      </c>
      <c r="AZ30" s="120">
        <v>58</v>
      </c>
      <c r="BD30" s="298"/>
      <c r="BE30" s="18">
        <v>90</v>
      </c>
      <c r="BF30" s="18">
        <v>635</v>
      </c>
      <c r="BG30" s="19">
        <f t="shared" si="18"/>
        <v>92.426800530597461</v>
      </c>
      <c r="BH30" s="19">
        <f t="shared" si="19"/>
        <v>431.34668579008536</v>
      </c>
      <c r="BI30" s="19">
        <f t="shared" si="20"/>
        <v>462.13400265298731</v>
      </c>
      <c r="BJ30" s="21"/>
      <c r="BL30" s="295"/>
      <c r="BM30" s="18">
        <v>50</v>
      </c>
      <c r="BN30" s="18">
        <v>274</v>
      </c>
      <c r="BO30" s="18">
        <v>37</v>
      </c>
      <c r="BR30" s="207"/>
      <c r="BS30" s="207"/>
      <c r="BT30" s="207"/>
      <c r="BU30" s="207"/>
      <c r="BV30" s="207"/>
    </row>
    <row r="31" spans="1:74" x14ac:dyDescent="0.25">
      <c r="A31" s="18">
        <v>180</v>
      </c>
      <c r="B31" s="18">
        <v>528</v>
      </c>
      <c r="C31" s="18">
        <v>40</v>
      </c>
      <c r="H31" s="18" t="s">
        <v>24</v>
      </c>
      <c r="I31" s="18" t="s">
        <v>25</v>
      </c>
      <c r="J31" s="18" t="s">
        <v>245</v>
      </c>
      <c r="K31" s="18" t="s">
        <v>246</v>
      </c>
      <c r="L31" s="18" t="s">
        <v>247</v>
      </c>
      <c r="M31" s="18" t="s">
        <v>248</v>
      </c>
      <c r="N31" s="18" t="s">
        <v>262</v>
      </c>
      <c r="O31" s="56" t="s">
        <v>261</v>
      </c>
      <c r="Q31" s="298"/>
      <c r="R31" s="18">
        <v>55</v>
      </c>
      <c r="S31" s="18">
        <v>608</v>
      </c>
      <c r="T31" s="18">
        <v>405</v>
      </c>
      <c r="U31" s="18">
        <f t="shared" si="16"/>
        <v>68</v>
      </c>
      <c r="V31" s="18">
        <f t="shared" si="13"/>
        <v>1013</v>
      </c>
      <c r="W31" s="18">
        <v>16.5</v>
      </c>
      <c r="X31" s="55">
        <f t="shared" si="14"/>
        <v>1.6288252714708785E-2</v>
      </c>
      <c r="Z31" s="298"/>
      <c r="AA31" s="18">
        <v>54</v>
      </c>
      <c r="AB31" s="18">
        <v>295</v>
      </c>
      <c r="AC31" s="18">
        <v>235</v>
      </c>
      <c r="AD31" s="18">
        <f t="shared" si="17"/>
        <v>15</v>
      </c>
      <c r="AE31" s="18">
        <f t="shared" si="15"/>
        <v>530</v>
      </c>
      <c r="AF31" s="18">
        <v>4.2</v>
      </c>
      <c r="AH31" s="298"/>
      <c r="AI31" s="56">
        <v>35</v>
      </c>
      <c r="AJ31" s="131">
        <f t="shared" si="22"/>
        <v>386.95650000000001</v>
      </c>
      <c r="AK31" s="19">
        <f t="shared" si="23"/>
        <v>45.127170717592598</v>
      </c>
      <c r="AL31" s="19">
        <f t="shared" si="24"/>
        <v>161.40589641203707</v>
      </c>
      <c r="AM31" s="19">
        <f>AJ31/1.2-(0.2/1.2)*SUM(AM27:AM30)</f>
        <v>225.63585358796297</v>
      </c>
      <c r="AP31" s="298"/>
      <c r="AQ31" s="56">
        <v>50</v>
      </c>
      <c r="AR31" s="56">
        <v>299</v>
      </c>
      <c r="AS31" s="18">
        <f t="shared" si="21"/>
        <v>53</v>
      </c>
      <c r="AT31" s="56">
        <v>243</v>
      </c>
      <c r="AW31" s="295"/>
      <c r="AX31" s="18">
        <v>28</v>
      </c>
      <c r="AY31" s="96">
        <v>262</v>
      </c>
      <c r="AZ31" s="120">
        <v>66</v>
      </c>
      <c r="BD31" s="298"/>
      <c r="BE31" s="18">
        <v>100</v>
      </c>
      <c r="BF31" s="18">
        <v>718</v>
      </c>
      <c r="BG31" s="19">
        <f t="shared" si="18"/>
        <v>104.26219991156709</v>
      </c>
      <c r="BH31" s="19">
        <f t="shared" si="19"/>
        <v>535.60888570165241</v>
      </c>
      <c r="BI31" s="19">
        <f t="shared" si="20"/>
        <v>521.31099955783543</v>
      </c>
      <c r="BJ31" s="21"/>
      <c r="BL31" s="295"/>
      <c r="BM31" s="18">
        <v>58</v>
      </c>
      <c r="BN31" s="18">
        <v>324</v>
      </c>
      <c r="BO31" s="18">
        <v>48</v>
      </c>
      <c r="BR31" s="207"/>
      <c r="BS31" s="207"/>
      <c r="BT31" s="207"/>
      <c r="BU31" s="207"/>
      <c r="BV31" s="207"/>
    </row>
    <row r="32" spans="1:74" x14ac:dyDescent="0.25">
      <c r="A32" s="18">
        <v>190</v>
      </c>
      <c r="B32" s="18">
        <v>547</v>
      </c>
      <c r="C32" s="18">
        <v>29</v>
      </c>
      <c r="H32" s="294">
        <v>2</v>
      </c>
      <c r="I32" s="18">
        <v>36</v>
      </c>
      <c r="J32" s="18">
        <v>14.2</v>
      </c>
      <c r="K32" s="19">
        <v>16.3</v>
      </c>
      <c r="L32" s="18">
        <v>11.9</v>
      </c>
      <c r="M32" s="95">
        <f>J32*L32*0.49</f>
        <v>82.80019999999999</v>
      </c>
      <c r="N32" s="56">
        <v>0</v>
      </c>
      <c r="O32" s="131">
        <f>SUM(M32:N32)</f>
        <v>82.80019999999999</v>
      </c>
      <c r="Q32" s="298"/>
      <c r="R32" s="18">
        <v>60</v>
      </c>
      <c r="S32" s="18">
        <v>626</v>
      </c>
      <c r="T32" s="18">
        <v>466</v>
      </c>
      <c r="U32" s="18">
        <f t="shared" si="16"/>
        <v>61</v>
      </c>
      <c r="V32" s="18">
        <f t="shared" si="13"/>
        <v>1092</v>
      </c>
      <c r="W32" s="18">
        <v>15.3</v>
      </c>
      <c r="X32" s="55">
        <f t="shared" si="14"/>
        <v>1.4010989010989012E-2</v>
      </c>
      <c r="Z32" s="298"/>
      <c r="AA32" s="18">
        <v>62</v>
      </c>
      <c r="AB32" s="18">
        <v>309</v>
      </c>
      <c r="AC32" s="18">
        <v>242</v>
      </c>
      <c r="AD32" s="18">
        <f>AC32-AC31</f>
        <v>7</v>
      </c>
      <c r="AE32" s="18">
        <f t="shared" si="15"/>
        <v>551</v>
      </c>
      <c r="AF32" s="23" t="s">
        <v>30</v>
      </c>
      <c r="AH32" s="298"/>
      <c r="AI32" s="56">
        <v>40</v>
      </c>
      <c r="AJ32" s="131">
        <f t="shared" si="22"/>
        <v>473.13599999999997</v>
      </c>
      <c r="AK32" s="19">
        <f t="shared" si="23"/>
        <v>51.96922559799382</v>
      </c>
      <c r="AL32" s="19">
        <f t="shared" si="24"/>
        <v>213.37512201003088</v>
      </c>
      <c r="AM32" s="19">
        <f>AJ32/1.2-(0.2/1.2)*SUM(AM27:AM31)</f>
        <v>259.84612798996909</v>
      </c>
      <c r="AP32" s="298"/>
      <c r="AQ32" s="56">
        <v>58</v>
      </c>
      <c r="AR32" s="56">
        <v>362</v>
      </c>
      <c r="AS32" s="18">
        <f t="shared" si="21"/>
        <v>78</v>
      </c>
      <c r="AT32" s="56">
        <v>321</v>
      </c>
      <c r="AW32" s="295"/>
      <c r="AX32" s="18">
        <v>32</v>
      </c>
      <c r="AY32" s="96">
        <v>357</v>
      </c>
      <c r="AZ32" s="18">
        <v>72</v>
      </c>
      <c r="BL32" s="295"/>
      <c r="BM32" s="18">
        <v>66</v>
      </c>
      <c r="BN32" s="18">
        <v>365</v>
      </c>
      <c r="BO32" s="18">
        <v>50</v>
      </c>
      <c r="BR32" s="207"/>
      <c r="BS32" s="207"/>
      <c r="BT32" s="207"/>
      <c r="BU32" s="207"/>
      <c r="BV32" s="207"/>
    </row>
    <row r="33" spans="1:74" ht="16.5" x14ac:dyDescent="0.3">
      <c r="A33" s="18">
        <v>200</v>
      </c>
      <c r="B33" s="18" t="s">
        <v>30</v>
      </c>
      <c r="C33" s="18">
        <f>563+26</f>
        <v>589</v>
      </c>
      <c r="H33" s="295"/>
      <c r="I33" s="18">
        <v>44</v>
      </c>
      <c r="J33" s="18">
        <v>16.600000000000001</v>
      </c>
      <c r="K33" s="19">
        <v>19.899999999999999</v>
      </c>
      <c r="L33" s="18">
        <v>13.9</v>
      </c>
      <c r="M33" s="19">
        <f>J33*L33*0.49</f>
        <v>113.06260000000002</v>
      </c>
      <c r="N33" s="56">
        <v>0</v>
      </c>
      <c r="O33" s="131">
        <f t="shared" ref="O33:O47" si="25">SUM(M33:N33)</f>
        <v>113.06260000000002</v>
      </c>
      <c r="Q33" s="298"/>
      <c r="R33" s="18">
        <v>65</v>
      </c>
      <c r="S33" s="18">
        <v>646</v>
      </c>
      <c r="T33" s="18">
        <v>520</v>
      </c>
      <c r="U33" s="18">
        <f t="shared" si="16"/>
        <v>54</v>
      </c>
      <c r="V33" s="18">
        <f t="shared" si="13"/>
        <v>1166</v>
      </c>
      <c r="W33" s="18">
        <v>14.5</v>
      </c>
      <c r="X33" s="55">
        <f t="shared" si="14"/>
        <v>1.2435677530017153E-2</v>
      </c>
      <c r="AH33" s="298"/>
      <c r="AI33" s="56">
        <v>45</v>
      </c>
      <c r="AJ33" s="131">
        <f t="shared" si="22"/>
        <v>567.04050000000007</v>
      </c>
      <c r="AK33" s="19">
        <f t="shared" si="23"/>
        <v>58.958437998328208</v>
      </c>
      <c r="AL33" s="19">
        <f t="shared" si="24"/>
        <v>272.33356000835909</v>
      </c>
      <c r="AM33" s="19">
        <f>AJ33/1.2-(0.2/1.2)*SUM(AM27:AM32)</f>
        <v>294.79218999164101</v>
      </c>
      <c r="AP33" s="298"/>
      <c r="AQ33" s="56">
        <v>66</v>
      </c>
      <c r="AR33" s="56">
        <v>430</v>
      </c>
      <c r="AS33" s="18">
        <f t="shared" si="21"/>
        <v>65</v>
      </c>
      <c r="AT33" s="56">
        <v>386</v>
      </c>
      <c r="AW33" s="295"/>
      <c r="AX33" s="18">
        <v>36</v>
      </c>
      <c r="AY33" s="18">
        <v>460</v>
      </c>
      <c r="AZ33" s="18">
        <v>59</v>
      </c>
      <c r="BD33" s="290" t="s">
        <v>91</v>
      </c>
      <c r="BE33" s="290"/>
      <c r="BF33" s="290"/>
      <c r="BG33" s="290"/>
      <c r="BH33" s="290"/>
      <c r="BI33" s="290"/>
      <c r="BJ33" s="113"/>
      <c r="BL33" s="295"/>
      <c r="BM33" s="18">
        <v>74</v>
      </c>
      <c r="BN33" s="18">
        <v>399</v>
      </c>
      <c r="BO33" s="18">
        <v>20</v>
      </c>
      <c r="BR33" s="207"/>
      <c r="BS33" s="207"/>
      <c r="BT33" s="207"/>
      <c r="BU33" s="207"/>
      <c r="BV33" s="207"/>
    </row>
    <row r="34" spans="1:74" x14ac:dyDescent="0.25">
      <c r="H34" s="295"/>
      <c r="I34" s="18">
        <v>52</v>
      </c>
      <c r="J34" s="18">
        <v>18.7</v>
      </c>
      <c r="K34" s="19">
        <v>23.6</v>
      </c>
      <c r="L34" s="18">
        <v>15.5</v>
      </c>
      <c r="M34" s="18">
        <v>98</v>
      </c>
      <c r="N34" s="56">
        <v>29</v>
      </c>
      <c r="O34" s="131">
        <f t="shared" si="25"/>
        <v>127</v>
      </c>
      <c r="Z34" s="298">
        <v>3</v>
      </c>
      <c r="AA34" s="18">
        <v>12</v>
      </c>
      <c r="AB34" s="18">
        <v>25</v>
      </c>
      <c r="AC34" s="18">
        <v>0</v>
      </c>
      <c r="AD34" s="18">
        <f>0</f>
        <v>0</v>
      </c>
      <c r="AE34" s="18">
        <f t="shared" ref="AE34:AE43" si="26">AB34+AC34</f>
        <v>25</v>
      </c>
      <c r="AF34" s="23" t="s">
        <v>30</v>
      </c>
      <c r="AH34" s="298"/>
      <c r="AI34" s="56">
        <v>50</v>
      </c>
      <c r="AJ34" s="131">
        <f t="shared" si="22"/>
        <v>668.67</v>
      </c>
      <c r="AK34" s="19">
        <f t="shared" si="23"/>
        <v>66.070281665273498</v>
      </c>
      <c r="AL34" s="19">
        <f t="shared" si="24"/>
        <v>338.4038416736326</v>
      </c>
      <c r="AM34" s="19">
        <f>AJ34/1.2-(0.2/1.2)*SUM(AM27:AM33)</f>
        <v>330.3514083263675</v>
      </c>
      <c r="AP34" s="298"/>
      <c r="AQ34" s="56">
        <v>74</v>
      </c>
      <c r="AR34" s="56">
        <v>496</v>
      </c>
      <c r="AS34" s="18">
        <f t="shared" si="21"/>
        <v>37</v>
      </c>
      <c r="AT34" s="56">
        <v>423</v>
      </c>
      <c r="AW34" s="295"/>
      <c r="AX34" s="18">
        <v>40</v>
      </c>
      <c r="AY34" s="18">
        <v>553</v>
      </c>
      <c r="AZ34" s="18">
        <v>55</v>
      </c>
      <c r="BL34" s="296"/>
      <c r="BM34" s="18">
        <v>82</v>
      </c>
      <c r="BN34" s="18">
        <v>427</v>
      </c>
      <c r="BO34" s="18">
        <v>17</v>
      </c>
      <c r="BR34" s="207"/>
      <c r="BS34" s="207"/>
      <c r="BT34" s="207"/>
      <c r="BU34" s="207"/>
      <c r="BV34" s="207"/>
    </row>
    <row r="35" spans="1:74" x14ac:dyDescent="0.25">
      <c r="H35" s="295"/>
      <c r="I35" s="18">
        <v>60</v>
      </c>
      <c r="J35" s="18">
        <v>20.5</v>
      </c>
      <c r="K35" s="19">
        <v>27.3</v>
      </c>
      <c r="L35" s="18">
        <v>16.7</v>
      </c>
      <c r="M35" s="18">
        <v>117</v>
      </c>
      <c r="N35" s="56">
        <v>30</v>
      </c>
      <c r="O35" s="131">
        <f t="shared" si="25"/>
        <v>147</v>
      </c>
      <c r="Q35" s="298">
        <v>3</v>
      </c>
      <c r="R35" s="18">
        <v>15</v>
      </c>
      <c r="S35" s="18">
        <v>77</v>
      </c>
      <c r="T35" s="18">
        <v>0</v>
      </c>
      <c r="U35" s="18">
        <f>0</f>
        <v>0</v>
      </c>
      <c r="V35" s="18">
        <f t="shared" ref="V35:V45" si="27">S35+T35</f>
        <v>77</v>
      </c>
      <c r="W35" s="18">
        <v>15.3</v>
      </c>
      <c r="X35" s="55">
        <f t="shared" ref="X35:X45" si="28">W35/V35</f>
        <v>0.19870129870129871</v>
      </c>
      <c r="Z35" s="298"/>
      <c r="AA35" s="18">
        <v>16</v>
      </c>
      <c r="AB35" s="18">
        <v>51</v>
      </c>
      <c r="AC35" s="18">
        <v>8</v>
      </c>
      <c r="AD35" s="18">
        <f>AC35-AC34</f>
        <v>8</v>
      </c>
      <c r="AE35" s="18">
        <f t="shared" si="26"/>
        <v>59</v>
      </c>
      <c r="AF35" s="18">
        <v>9.1</v>
      </c>
      <c r="AH35" s="298"/>
      <c r="AI35" s="56">
        <v>55</v>
      </c>
      <c r="AJ35" s="131">
        <f t="shared" si="22"/>
        <v>778.02449999999999</v>
      </c>
      <c r="AK35" s="19">
        <f t="shared" si="23"/>
        <v>73.284318054394575</v>
      </c>
      <c r="AL35" s="19">
        <f t="shared" si="24"/>
        <v>411.68815972802719</v>
      </c>
      <c r="AM35" s="19">
        <f>AJ35/1.2-(0.2/1.2)*SUM(AM27:AM34)</f>
        <v>366.42159027197283</v>
      </c>
      <c r="AP35" s="298"/>
      <c r="AQ35" s="56">
        <v>82</v>
      </c>
      <c r="AR35" s="56">
        <v>541</v>
      </c>
      <c r="AS35" s="18">
        <f t="shared" si="21"/>
        <v>26</v>
      </c>
      <c r="AT35" s="56">
        <v>449</v>
      </c>
      <c r="AW35" s="296"/>
      <c r="AX35" s="18">
        <v>45</v>
      </c>
      <c r="AY35" s="18">
        <v>649</v>
      </c>
      <c r="AZ35" s="18">
        <v>62</v>
      </c>
      <c r="BD35" s="18" t="s">
        <v>93</v>
      </c>
      <c r="BE35" s="18" t="s">
        <v>1</v>
      </c>
      <c r="BF35" s="18" t="s">
        <v>3</v>
      </c>
      <c r="BG35" s="18" t="s">
        <v>4</v>
      </c>
      <c r="BH35" s="18" t="s">
        <v>5</v>
      </c>
      <c r="BR35" s="207"/>
      <c r="BS35" s="207"/>
      <c r="BT35" s="207"/>
      <c r="BU35" s="207"/>
      <c r="BV35" s="207"/>
    </row>
    <row r="36" spans="1:74" ht="16.5" x14ac:dyDescent="0.3">
      <c r="A36" s="41" t="s">
        <v>91</v>
      </c>
      <c r="B36" s="41"/>
      <c r="C36" s="41"/>
      <c r="D36" s="41"/>
      <c r="E36" s="41"/>
      <c r="F36" s="113"/>
      <c r="G36" s="119"/>
      <c r="H36" s="295"/>
      <c r="I36" s="18">
        <v>68</v>
      </c>
      <c r="J36" s="18">
        <v>22.5</v>
      </c>
      <c r="K36" s="19">
        <v>30.3</v>
      </c>
      <c r="L36" s="18">
        <v>17.7</v>
      </c>
      <c r="M36" s="18">
        <v>135</v>
      </c>
      <c r="N36" s="56">
        <v>31</v>
      </c>
      <c r="O36" s="131">
        <f t="shared" si="25"/>
        <v>166</v>
      </c>
      <c r="Q36" s="298"/>
      <c r="R36" s="18">
        <v>20</v>
      </c>
      <c r="S36" s="18">
        <v>158</v>
      </c>
      <c r="T36" s="18">
        <v>0</v>
      </c>
      <c r="U36" s="18">
        <f>T36-T35</f>
        <v>0</v>
      </c>
      <c r="V36" s="18">
        <f t="shared" si="27"/>
        <v>158</v>
      </c>
      <c r="W36" s="18">
        <v>18.899999999999999</v>
      </c>
      <c r="X36" s="55">
        <f t="shared" si="28"/>
        <v>0.11962025316455695</v>
      </c>
      <c r="Z36" s="298"/>
      <c r="AA36" s="18">
        <v>20</v>
      </c>
      <c r="AB36" s="18">
        <v>77</v>
      </c>
      <c r="AC36" s="18">
        <v>21</v>
      </c>
      <c r="AD36" s="18">
        <f t="shared" ref="AD36:AD42" si="29">AC36-AC35</f>
        <v>13</v>
      </c>
      <c r="AE36" s="18">
        <f t="shared" si="26"/>
        <v>98</v>
      </c>
      <c r="AF36" s="18">
        <v>10.5</v>
      </c>
      <c r="AH36" s="298"/>
      <c r="AI36" s="56">
        <v>60</v>
      </c>
      <c r="AJ36" s="131">
        <f t="shared" si="22"/>
        <v>895.10400000000004</v>
      </c>
      <c r="AK36" s="19">
        <f t="shared" si="23"/>
        <v>80.583515045328824</v>
      </c>
      <c r="AL36" s="19">
        <f t="shared" si="24"/>
        <v>492.27167477335604</v>
      </c>
      <c r="AM36" s="19">
        <f>AJ36/1.2-(0.2/1.2)*SUM(AM27:AM35)</f>
        <v>402.91757522664409</v>
      </c>
      <c r="BD36" s="18">
        <v>1</v>
      </c>
      <c r="BE36" s="18" t="s">
        <v>2</v>
      </c>
      <c r="BF36" s="97">
        <v>0</v>
      </c>
      <c r="BG36" s="97">
        <v>3000</v>
      </c>
      <c r="BH36" s="97">
        <f>(BF36-BG36)/((1+0.045)^BD36)</f>
        <v>-2870.8133971291868</v>
      </c>
      <c r="BL36" s="294">
        <v>3</v>
      </c>
      <c r="BM36" s="18">
        <v>25</v>
      </c>
      <c r="BN36" s="18">
        <v>86</v>
      </c>
      <c r="BO36" s="120">
        <v>12</v>
      </c>
      <c r="BR36" s="207"/>
      <c r="BS36" s="207"/>
      <c r="BT36" s="207"/>
      <c r="BU36" s="207"/>
      <c r="BV36" s="207"/>
    </row>
    <row r="37" spans="1:74" x14ac:dyDescent="0.25">
      <c r="H37" s="295"/>
      <c r="I37" s="18">
        <v>78</v>
      </c>
      <c r="J37" s="18">
        <v>24</v>
      </c>
      <c r="K37" s="19">
        <v>34.4</v>
      </c>
      <c r="L37" s="18">
        <v>19.5</v>
      </c>
      <c r="M37" s="18">
        <v>162</v>
      </c>
      <c r="N37" s="56">
        <v>32</v>
      </c>
      <c r="O37" s="131">
        <f t="shared" si="25"/>
        <v>194</v>
      </c>
      <c r="Q37" s="298"/>
      <c r="R37" s="18">
        <v>25</v>
      </c>
      <c r="S37" s="18">
        <v>267</v>
      </c>
      <c r="T37" s="18">
        <v>0</v>
      </c>
      <c r="U37" s="18">
        <f t="shared" ref="U37:U44" si="30">T37-T36</f>
        <v>0</v>
      </c>
      <c r="V37" s="18">
        <f t="shared" si="27"/>
        <v>267</v>
      </c>
      <c r="W37" s="18">
        <v>23.3</v>
      </c>
      <c r="X37" s="55">
        <f t="shared" si="28"/>
        <v>8.7265917602996262E-2</v>
      </c>
      <c r="Z37" s="298"/>
      <c r="AA37" s="18">
        <v>24</v>
      </c>
      <c r="AB37" s="18">
        <v>101</v>
      </c>
      <c r="AC37" s="18">
        <v>41</v>
      </c>
      <c r="AD37" s="18">
        <f t="shared" si="29"/>
        <v>20</v>
      </c>
      <c r="AE37" s="18">
        <f t="shared" si="26"/>
        <v>142</v>
      </c>
      <c r="AF37" s="18">
        <v>11.1</v>
      </c>
      <c r="AH37" s="298"/>
      <c r="AI37" s="56">
        <v>65</v>
      </c>
      <c r="AJ37" s="131">
        <f t="shared" si="22"/>
        <v>1019.9085</v>
      </c>
      <c r="AK37" s="19">
        <f t="shared" si="23"/>
        <v>87.953679204440675</v>
      </c>
      <c r="AL37" s="19">
        <f t="shared" si="24"/>
        <v>580.22535397779666</v>
      </c>
      <c r="AM37" s="19">
        <f>AJ37/1.2-(0.2/1.2)*SUM(AM27:AM36)</f>
        <v>439.76839602220338</v>
      </c>
      <c r="AP37" s="294">
        <v>3</v>
      </c>
      <c r="AQ37" s="18">
        <v>27</v>
      </c>
      <c r="AR37" s="18">
        <v>103</v>
      </c>
      <c r="AS37" s="18">
        <f>15</f>
        <v>15</v>
      </c>
      <c r="AT37" s="18">
        <v>15</v>
      </c>
      <c r="AW37" s="294">
        <v>4</v>
      </c>
      <c r="AX37" s="18">
        <v>23</v>
      </c>
      <c r="AY37" s="18">
        <v>110</v>
      </c>
      <c r="AZ37" s="120">
        <v>33</v>
      </c>
      <c r="BD37" s="18">
        <v>2</v>
      </c>
      <c r="BE37" s="18" t="s">
        <v>0</v>
      </c>
      <c r="BF37" s="97">
        <v>0</v>
      </c>
      <c r="BG37" s="97">
        <v>500</v>
      </c>
      <c r="BH37" s="97">
        <f t="shared" ref="BH37:BH48" si="31">(BF37-BG37)/((1+0.045)^BD37)</f>
        <v>-457.86497561869015</v>
      </c>
      <c r="BL37" s="295"/>
      <c r="BM37" s="18">
        <v>30</v>
      </c>
      <c r="BN37" s="96">
        <v>117</v>
      </c>
      <c r="BO37" s="120">
        <v>23</v>
      </c>
      <c r="BR37" s="207"/>
      <c r="BS37" s="207"/>
      <c r="BT37" s="207"/>
      <c r="BU37" s="207"/>
      <c r="BV37" s="207"/>
    </row>
    <row r="38" spans="1:74" x14ac:dyDescent="0.25">
      <c r="A38" s="18"/>
      <c r="B38" s="18" t="s">
        <v>1</v>
      </c>
      <c r="C38" s="18" t="s">
        <v>136</v>
      </c>
      <c r="D38" s="18" t="s">
        <v>137</v>
      </c>
      <c r="E38" s="18" t="s">
        <v>5</v>
      </c>
      <c r="F38" s="20"/>
      <c r="H38" s="295"/>
      <c r="I38" s="18">
        <v>88</v>
      </c>
      <c r="J38" s="18">
        <v>25.7</v>
      </c>
      <c r="K38" s="19">
        <v>38.200000000000003</v>
      </c>
      <c r="L38" s="18">
        <v>20.8</v>
      </c>
      <c r="M38" s="18">
        <v>184</v>
      </c>
      <c r="N38" s="56">
        <v>35</v>
      </c>
      <c r="O38" s="131">
        <f t="shared" si="25"/>
        <v>219</v>
      </c>
      <c r="Q38" s="298"/>
      <c r="R38" s="18">
        <v>30</v>
      </c>
      <c r="S38" s="96">
        <v>366</v>
      </c>
      <c r="T38" s="120">
        <v>25</v>
      </c>
      <c r="U38" s="18">
        <f t="shared" si="30"/>
        <v>25</v>
      </c>
      <c r="V38" s="18">
        <f t="shared" si="27"/>
        <v>391</v>
      </c>
      <c r="W38" s="18">
        <v>24.4</v>
      </c>
      <c r="X38" s="55">
        <f t="shared" si="28"/>
        <v>6.2404092071611253E-2</v>
      </c>
      <c r="Z38" s="298"/>
      <c r="AA38" s="18">
        <v>28</v>
      </c>
      <c r="AB38" s="96">
        <v>123</v>
      </c>
      <c r="AC38" s="120">
        <v>65</v>
      </c>
      <c r="AD38" s="18">
        <f t="shared" si="29"/>
        <v>24</v>
      </c>
      <c r="AE38" s="18">
        <f t="shared" si="26"/>
        <v>188</v>
      </c>
      <c r="AF38" s="18">
        <v>11.5</v>
      </c>
      <c r="AH38" s="298"/>
      <c r="AI38" s="56">
        <v>70</v>
      </c>
      <c r="AJ38" s="131">
        <f t="shared" si="22"/>
        <v>1152.4379999999999</v>
      </c>
      <c r="AK38" s="19">
        <f t="shared" si="23"/>
        <v>95.382982670367198</v>
      </c>
      <c r="AL38" s="19">
        <f t="shared" si="24"/>
        <v>675.60833664816391</v>
      </c>
      <c r="AM38" s="19">
        <f>AJ38/1.2-(0.2/1.2)*SUM(AM27:AM37)</f>
        <v>476.91491335183593</v>
      </c>
      <c r="AP38" s="295"/>
      <c r="AQ38" s="18">
        <v>30</v>
      </c>
      <c r="AR38" s="96">
        <v>119</v>
      </c>
      <c r="AS38" s="18">
        <f>AT38-AT37</f>
        <v>13</v>
      </c>
      <c r="AT38" s="120">
        <v>28</v>
      </c>
      <c r="AW38" s="295"/>
      <c r="AX38" s="18">
        <v>27</v>
      </c>
      <c r="AY38" s="96">
        <v>170</v>
      </c>
      <c r="AZ38" s="120">
        <v>41</v>
      </c>
      <c r="BD38" s="18">
        <v>3</v>
      </c>
      <c r="BE38" s="18" t="s">
        <v>0</v>
      </c>
      <c r="BF38" s="97">
        <v>0</v>
      </c>
      <c r="BG38" s="97">
        <v>500</v>
      </c>
      <c r="BH38" s="97">
        <f t="shared" si="31"/>
        <v>-438.14830202745469</v>
      </c>
      <c r="BL38" s="295"/>
      <c r="BM38" s="18">
        <v>35</v>
      </c>
      <c r="BN38" s="18">
        <v>143</v>
      </c>
      <c r="BO38" s="18">
        <v>28</v>
      </c>
      <c r="BR38" s="207"/>
      <c r="BS38" s="207"/>
      <c r="BT38" s="207"/>
      <c r="BU38" s="207"/>
      <c r="BV38" s="207"/>
    </row>
    <row r="39" spans="1:74" x14ac:dyDescent="0.25">
      <c r="A39" s="18">
        <v>1</v>
      </c>
      <c r="B39" s="18" t="s">
        <v>2</v>
      </c>
      <c r="C39" s="97">
        <v>0</v>
      </c>
      <c r="D39" s="97">
        <v>3000</v>
      </c>
      <c r="E39" s="97">
        <f>(C39-D39)/((1+0.045)^A39)</f>
        <v>-2870.8133971291868</v>
      </c>
      <c r="F39" s="117"/>
      <c r="G39" s="138"/>
      <c r="H39" s="295"/>
      <c r="I39" s="18">
        <v>98</v>
      </c>
      <c r="J39" s="18">
        <v>27.2</v>
      </c>
      <c r="K39" s="19">
        <v>41.9</v>
      </c>
      <c r="L39" s="18">
        <v>22</v>
      </c>
      <c r="M39" s="18">
        <v>207</v>
      </c>
      <c r="N39" s="56">
        <v>34</v>
      </c>
      <c r="O39" s="131">
        <f t="shared" si="25"/>
        <v>241</v>
      </c>
      <c r="Q39" s="298"/>
      <c r="R39" s="18">
        <v>35</v>
      </c>
      <c r="S39" s="18">
        <v>440</v>
      </c>
      <c r="T39" s="18">
        <v>72</v>
      </c>
      <c r="U39" s="18">
        <f t="shared" si="30"/>
        <v>47</v>
      </c>
      <c r="V39" s="18">
        <f t="shared" si="27"/>
        <v>512</v>
      </c>
      <c r="W39" s="18">
        <v>22.9</v>
      </c>
      <c r="X39" s="55">
        <f t="shared" si="28"/>
        <v>4.4726562499999997E-2</v>
      </c>
      <c r="Z39" s="298"/>
      <c r="AA39" s="18">
        <v>34</v>
      </c>
      <c r="AB39" s="96">
        <v>155</v>
      </c>
      <c r="AC39" s="18">
        <v>103</v>
      </c>
      <c r="AD39" s="18">
        <f t="shared" si="29"/>
        <v>38</v>
      </c>
      <c r="AE39" s="18">
        <f t="shared" si="26"/>
        <v>258</v>
      </c>
      <c r="AF39" s="18">
        <v>10.8</v>
      </c>
      <c r="AH39" s="132"/>
      <c r="AP39" s="295"/>
      <c r="AQ39" s="56">
        <v>35</v>
      </c>
      <c r="AR39" s="56">
        <v>146</v>
      </c>
      <c r="AS39" s="18">
        <f t="shared" ref="AS39:AS44" si="32">AT39-AT38</f>
        <v>23</v>
      </c>
      <c r="AT39" s="56">
        <v>51</v>
      </c>
      <c r="AW39" s="295"/>
      <c r="AX39" s="18">
        <v>31</v>
      </c>
      <c r="AY39" s="96">
        <v>258</v>
      </c>
      <c r="AZ39" s="18">
        <v>41</v>
      </c>
      <c r="BD39" s="18">
        <v>4</v>
      </c>
      <c r="BE39" s="18" t="s">
        <v>0</v>
      </c>
      <c r="BF39" s="97">
        <v>0</v>
      </c>
      <c r="BG39" s="97">
        <v>500</v>
      </c>
      <c r="BH39" s="97">
        <f t="shared" si="31"/>
        <v>-419.28067179660746</v>
      </c>
      <c r="BL39" s="295"/>
      <c r="BM39" s="18">
        <v>40</v>
      </c>
      <c r="BN39" s="18">
        <v>170</v>
      </c>
      <c r="BO39" s="18">
        <v>37</v>
      </c>
      <c r="BR39" s="207"/>
      <c r="BS39" s="207"/>
      <c r="BT39" s="207"/>
      <c r="BU39" s="207"/>
      <c r="BV39" s="207"/>
    </row>
    <row r="40" spans="1:74" x14ac:dyDescent="0.25">
      <c r="A40" s="18">
        <v>2</v>
      </c>
      <c r="B40" s="18" t="s">
        <v>0</v>
      </c>
      <c r="C40" s="97">
        <v>0</v>
      </c>
      <c r="D40" s="97">
        <v>500</v>
      </c>
      <c r="E40" s="97">
        <f t="shared" ref="E40:E64" si="33">(C40-D40)/((1+0.045)^A40)</f>
        <v>-457.86497561869015</v>
      </c>
      <c r="F40" s="117"/>
      <c r="G40" s="138"/>
      <c r="H40" s="295"/>
      <c r="I40" s="18">
        <v>108</v>
      </c>
      <c r="J40" s="18">
        <v>28.6</v>
      </c>
      <c r="K40" s="19">
        <v>45.7</v>
      </c>
      <c r="L40" s="18">
        <v>22.6</v>
      </c>
      <c r="M40" s="18">
        <v>225</v>
      </c>
      <c r="N40" s="56">
        <v>39</v>
      </c>
      <c r="O40" s="131">
        <f t="shared" si="25"/>
        <v>264</v>
      </c>
      <c r="Q40" s="298"/>
      <c r="R40" s="18">
        <v>40</v>
      </c>
      <c r="S40" s="18">
        <v>495</v>
      </c>
      <c r="T40" s="18">
        <v>126</v>
      </c>
      <c r="U40" s="18">
        <f t="shared" si="30"/>
        <v>54</v>
      </c>
      <c r="V40" s="18">
        <f t="shared" si="27"/>
        <v>621</v>
      </c>
      <c r="W40" s="18">
        <v>20.8</v>
      </c>
      <c r="X40" s="55">
        <f t="shared" si="28"/>
        <v>3.3494363929146537E-2</v>
      </c>
      <c r="Z40" s="298"/>
      <c r="AA40" s="18">
        <v>40</v>
      </c>
      <c r="AB40" s="18">
        <v>184</v>
      </c>
      <c r="AC40" s="18">
        <v>134</v>
      </c>
      <c r="AD40" s="18">
        <f t="shared" si="29"/>
        <v>31</v>
      </c>
      <c r="AE40" s="18">
        <f t="shared" si="26"/>
        <v>318</v>
      </c>
      <c r="AF40" s="18">
        <v>8.6</v>
      </c>
      <c r="AH40" s="18" t="s">
        <v>24</v>
      </c>
      <c r="AI40" s="24" t="s">
        <v>25</v>
      </c>
      <c r="AJ40" s="109" t="s">
        <v>29</v>
      </c>
      <c r="AK40" s="24" t="s">
        <v>27</v>
      </c>
      <c r="AL40" s="24" t="s">
        <v>74</v>
      </c>
      <c r="AM40" s="24" t="s">
        <v>26</v>
      </c>
      <c r="AP40" s="295"/>
      <c r="AQ40" s="56">
        <v>40</v>
      </c>
      <c r="AR40" s="56">
        <v>174</v>
      </c>
      <c r="AS40" s="18">
        <f t="shared" si="32"/>
        <v>34</v>
      </c>
      <c r="AT40" s="56">
        <v>85</v>
      </c>
      <c r="AW40" s="295"/>
      <c r="AX40" s="18">
        <v>35</v>
      </c>
      <c r="AY40" s="18">
        <v>344</v>
      </c>
      <c r="AZ40" s="18">
        <v>41</v>
      </c>
      <c r="BD40" s="18">
        <v>20</v>
      </c>
      <c r="BE40" s="18" t="s">
        <v>92</v>
      </c>
      <c r="BF40" s="97">
        <f>BG13*Inputs!I126</f>
        <v>210.66666666666671</v>
      </c>
      <c r="BG40" s="97">
        <v>60</v>
      </c>
      <c r="BH40" s="97">
        <f t="shared" si="31"/>
        <v>62.47285752581076</v>
      </c>
      <c r="BL40" s="295"/>
      <c r="BM40" s="18">
        <v>50</v>
      </c>
      <c r="BN40" s="18">
        <v>221</v>
      </c>
      <c r="BO40" s="18">
        <v>65</v>
      </c>
      <c r="BR40" s="207"/>
      <c r="BS40" s="207"/>
      <c r="BT40" s="207"/>
      <c r="BU40" s="207"/>
      <c r="BV40" s="207"/>
    </row>
    <row r="41" spans="1:74" x14ac:dyDescent="0.25">
      <c r="A41" s="18">
        <v>3</v>
      </c>
      <c r="B41" s="18" t="s">
        <v>0</v>
      </c>
      <c r="C41" s="97">
        <v>0</v>
      </c>
      <c r="D41" s="97">
        <v>500</v>
      </c>
      <c r="E41" s="97">
        <f t="shared" si="33"/>
        <v>-438.14830202745469</v>
      </c>
      <c r="F41" s="117"/>
      <c r="G41" s="138"/>
      <c r="H41" s="295"/>
      <c r="I41" s="56">
        <v>118</v>
      </c>
      <c r="J41" s="56">
        <v>30</v>
      </c>
      <c r="K41" s="131">
        <v>48.7</v>
      </c>
      <c r="L41" s="56">
        <v>23</v>
      </c>
      <c r="M41" s="56">
        <v>241</v>
      </c>
      <c r="N41" s="56">
        <v>40</v>
      </c>
      <c r="O41" s="131">
        <f t="shared" si="25"/>
        <v>281</v>
      </c>
      <c r="Q41" s="298"/>
      <c r="R41" s="18">
        <v>45</v>
      </c>
      <c r="S41" s="18">
        <v>538</v>
      </c>
      <c r="T41" s="18">
        <v>182</v>
      </c>
      <c r="U41" s="18">
        <f t="shared" si="30"/>
        <v>56</v>
      </c>
      <c r="V41" s="18">
        <f t="shared" si="27"/>
        <v>720</v>
      </c>
      <c r="W41" s="18">
        <v>18.600000000000001</v>
      </c>
      <c r="X41" s="55">
        <f t="shared" si="28"/>
        <v>2.5833333333333337E-2</v>
      </c>
      <c r="Z41" s="298"/>
      <c r="AA41" s="18">
        <v>46</v>
      </c>
      <c r="AB41" s="18">
        <v>205</v>
      </c>
      <c r="AC41" s="18">
        <v>157</v>
      </c>
      <c r="AD41" s="18">
        <f t="shared" si="29"/>
        <v>23</v>
      </c>
      <c r="AE41" s="18">
        <f t="shared" si="26"/>
        <v>362</v>
      </c>
      <c r="AF41" s="18">
        <v>6.1</v>
      </c>
      <c r="AH41" s="298">
        <v>3</v>
      </c>
      <c r="AI41" s="18">
        <v>15</v>
      </c>
      <c r="AJ41" s="56">
        <f>0.1264*($AI41^2)+4.8703*$AI41</f>
        <v>101.4945</v>
      </c>
      <c r="AK41" s="19">
        <v>20</v>
      </c>
      <c r="AL41" s="19">
        <v>20</v>
      </c>
      <c r="AM41" s="19">
        <f>AJ41/1.2</f>
        <v>84.578749999999999</v>
      </c>
      <c r="AP41" s="295"/>
      <c r="AQ41" s="56">
        <v>50</v>
      </c>
      <c r="AR41" s="56">
        <v>236</v>
      </c>
      <c r="AS41" s="18">
        <f t="shared" si="32"/>
        <v>79</v>
      </c>
      <c r="AT41" s="56">
        <v>164</v>
      </c>
      <c r="AW41" s="295"/>
      <c r="AX41" s="18">
        <v>39</v>
      </c>
      <c r="AY41" s="18">
        <v>437</v>
      </c>
      <c r="AZ41" s="18">
        <v>40</v>
      </c>
      <c r="BD41" s="18">
        <v>30</v>
      </c>
      <c r="BE41" s="18" t="s">
        <v>92</v>
      </c>
      <c r="BF41" s="97">
        <f>BG14*Inputs!I127</f>
        <v>536.80000000000007</v>
      </c>
      <c r="BG41" s="97">
        <v>60</v>
      </c>
      <c r="BH41" s="97">
        <f t="shared" si="31"/>
        <v>127.30560739373905</v>
      </c>
      <c r="BL41" s="295"/>
      <c r="BM41" s="18">
        <v>60</v>
      </c>
      <c r="BN41" s="18">
        <v>269</v>
      </c>
      <c r="BO41" s="18">
        <v>60</v>
      </c>
      <c r="BR41" s="207"/>
      <c r="BS41" s="207"/>
      <c r="BT41" s="207"/>
      <c r="BU41" s="207"/>
      <c r="BV41" s="207"/>
    </row>
    <row r="42" spans="1:74" x14ac:dyDescent="0.25">
      <c r="A42" s="18">
        <v>4</v>
      </c>
      <c r="B42" s="18" t="s">
        <v>0</v>
      </c>
      <c r="C42" s="97">
        <v>0</v>
      </c>
      <c r="D42" s="97">
        <v>500</v>
      </c>
      <c r="E42" s="97">
        <f t="shared" si="33"/>
        <v>-419.28067179660746</v>
      </c>
      <c r="F42" s="117"/>
      <c r="G42" s="138"/>
      <c r="H42" s="295"/>
      <c r="I42" s="56">
        <v>128</v>
      </c>
      <c r="J42" s="56">
        <v>31.4</v>
      </c>
      <c r="K42" s="131">
        <v>51.3</v>
      </c>
      <c r="L42" s="56">
        <v>23.6</v>
      </c>
      <c r="M42" s="56">
        <v>258</v>
      </c>
      <c r="N42" s="56">
        <v>39</v>
      </c>
      <c r="O42" s="131">
        <f t="shared" si="25"/>
        <v>297</v>
      </c>
      <c r="Q42" s="298"/>
      <c r="R42" s="18">
        <v>50</v>
      </c>
      <c r="S42" s="18">
        <v>563</v>
      </c>
      <c r="T42" s="18">
        <v>244</v>
      </c>
      <c r="U42" s="18">
        <f t="shared" si="30"/>
        <v>62</v>
      </c>
      <c r="V42" s="18">
        <f t="shared" si="27"/>
        <v>807</v>
      </c>
      <c r="W42" s="18">
        <v>16.8</v>
      </c>
      <c r="X42" s="55">
        <f t="shared" si="28"/>
        <v>2.0817843866171006E-2</v>
      </c>
      <c r="Z42" s="298"/>
      <c r="AA42" s="18">
        <v>54</v>
      </c>
      <c r="AB42" s="18">
        <v>224</v>
      </c>
      <c r="AC42" s="18">
        <v>179</v>
      </c>
      <c r="AD42" s="18">
        <f t="shared" si="29"/>
        <v>22</v>
      </c>
      <c r="AE42" s="18">
        <f t="shared" si="26"/>
        <v>403</v>
      </c>
      <c r="AF42" s="18">
        <v>3.6</v>
      </c>
      <c r="AH42" s="298"/>
      <c r="AI42" s="18">
        <v>20</v>
      </c>
      <c r="AJ42" s="56">
        <f t="shared" ref="AJ42:AJ52" si="34">0.1264*($AI42^2)+4.8703*$AI42</f>
        <v>147.96600000000001</v>
      </c>
      <c r="AK42" s="19">
        <f>0.2*AM42</f>
        <v>21.841708333333337</v>
      </c>
      <c r="AL42" s="19">
        <f>AK42+AL41</f>
        <v>41.841708333333337</v>
      </c>
      <c r="AM42" s="19">
        <f>AJ42/1.2-(0.2/1.2)*SUM(AM41)</f>
        <v>109.20854166666668</v>
      </c>
      <c r="AP42" s="295"/>
      <c r="AQ42" s="56">
        <v>60</v>
      </c>
      <c r="AR42" s="56">
        <v>305</v>
      </c>
      <c r="AS42" s="18">
        <f t="shared" si="32"/>
        <v>88</v>
      </c>
      <c r="AT42" s="56">
        <v>252</v>
      </c>
      <c r="AW42" s="295"/>
      <c r="AX42" s="18">
        <v>44</v>
      </c>
      <c r="AY42" s="18">
        <v>539</v>
      </c>
      <c r="AZ42" s="18">
        <v>39</v>
      </c>
      <c r="BD42" s="18">
        <v>40</v>
      </c>
      <c r="BE42" s="18" t="s">
        <v>92</v>
      </c>
      <c r="BF42" s="97">
        <f>BG15*Inputs!I128</f>
        <v>1042.4074074074074</v>
      </c>
      <c r="BG42" s="97">
        <v>60</v>
      </c>
      <c r="BH42" s="97">
        <f t="shared" si="31"/>
        <v>168.90402949420564</v>
      </c>
      <c r="BL42" s="295"/>
      <c r="BM42" s="18">
        <v>70</v>
      </c>
      <c r="BN42" s="18">
        <v>312</v>
      </c>
      <c r="BO42" s="18">
        <v>52</v>
      </c>
      <c r="BR42" s="207"/>
      <c r="BS42" s="207"/>
      <c r="BT42" s="207"/>
      <c r="BU42" s="207"/>
      <c r="BV42" s="207"/>
    </row>
    <row r="43" spans="1:74" x14ac:dyDescent="0.25">
      <c r="A43" s="18">
        <v>30</v>
      </c>
      <c r="B43" s="18" t="s">
        <v>19</v>
      </c>
      <c r="C43" s="97">
        <f>C11*Inputs!B126</f>
        <v>8</v>
      </c>
      <c r="D43" s="97">
        <v>60</v>
      </c>
      <c r="E43" s="97">
        <f t="shared" si="33"/>
        <v>-13.884000806364156</v>
      </c>
      <c r="F43" s="117"/>
      <c r="G43" s="138"/>
      <c r="H43" s="295"/>
      <c r="I43" s="56">
        <v>138</v>
      </c>
      <c r="J43" s="56">
        <v>32.700000000000003</v>
      </c>
      <c r="K43" s="131">
        <v>54</v>
      </c>
      <c r="L43" s="56">
        <v>24.2</v>
      </c>
      <c r="M43" s="56">
        <v>276</v>
      </c>
      <c r="N43" s="56">
        <v>39</v>
      </c>
      <c r="O43" s="131">
        <f t="shared" si="25"/>
        <v>315</v>
      </c>
      <c r="Q43" s="298"/>
      <c r="R43" s="18">
        <v>55</v>
      </c>
      <c r="S43" s="18">
        <v>583</v>
      </c>
      <c r="T43" s="18">
        <v>306</v>
      </c>
      <c r="U43" s="18">
        <f t="shared" si="30"/>
        <v>62</v>
      </c>
      <c r="V43" s="18">
        <f t="shared" si="27"/>
        <v>889</v>
      </c>
      <c r="W43" s="18">
        <v>15.5</v>
      </c>
      <c r="X43" s="55">
        <f t="shared" si="28"/>
        <v>1.7435320584926885E-2</v>
      </c>
      <c r="Z43" s="298"/>
      <c r="AA43" s="18">
        <v>62</v>
      </c>
      <c r="AB43" s="18">
        <v>232</v>
      </c>
      <c r="AC43" s="18">
        <v>189</v>
      </c>
      <c r="AD43" s="18">
        <f>AC43-AC42</f>
        <v>10</v>
      </c>
      <c r="AE43" s="18">
        <f t="shared" si="26"/>
        <v>421</v>
      </c>
      <c r="AF43" s="23" t="s">
        <v>30</v>
      </c>
      <c r="AH43" s="298"/>
      <c r="AI43" s="18">
        <v>25</v>
      </c>
      <c r="AJ43" s="56">
        <f t="shared" si="34"/>
        <v>200.75750000000002</v>
      </c>
      <c r="AK43" s="19">
        <f>0.2*AM43</f>
        <v>27.000006944444451</v>
      </c>
      <c r="AL43" s="19">
        <f>AK43+AL42</f>
        <v>68.84171527777778</v>
      </c>
      <c r="AM43" s="19">
        <f>AJ43/1.2-(0.2/1.2)*SUM(AM41:AM42)</f>
        <v>135.00003472222224</v>
      </c>
      <c r="AP43" s="295"/>
      <c r="AQ43" s="56">
        <v>70</v>
      </c>
      <c r="AR43" s="56">
        <v>370</v>
      </c>
      <c r="AS43" s="18">
        <f t="shared" si="32"/>
        <v>78</v>
      </c>
      <c r="AT43" s="56">
        <v>330</v>
      </c>
      <c r="AW43" s="296"/>
      <c r="AX43" s="18">
        <v>50</v>
      </c>
      <c r="AY43" s="18">
        <v>631</v>
      </c>
      <c r="AZ43" s="18">
        <v>40</v>
      </c>
      <c r="BD43" s="18">
        <v>50</v>
      </c>
      <c r="BE43" s="18" t="s">
        <v>92</v>
      </c>
      <c r="BF43" s="97">
        <f>BG16*Inputs!I129</f>
        <v>1926.7716049382714</v>
      </c>
      <c r="BG43" s="97">
        <v>60</v>
      </c>
      <c r="BH43" s="97">
        <f t="shared" si="31"/>
        <v>206.66963094853472</v>
      </c>
      <c r="BL43" s="296"/>
      <c r="BM43" s="18">
        <v>80</v>
      </c>
      <c r="BN43" s="18">
        <v>352</v>
      </c>
      <c r="BO43" s="18">
        <v>43</v>
      </c>
      <c r="BR43" s="207"/>
      <c r="BS43" s="207"/>
      <c r="BT43" s="207"/>
      <c r="BU43" s="207"/>
      <c r="BV43" s="207"/>
    </row>
    <row r="44" spans="1:74" x14ac:dyDescent="0.25">
      <c r="A44" s="18">
        <v>36</v>
      </c>
      <c r="B44" s="18" t="s">
        <v>20</v>
      </c>
      <c r="C44" s="97">
        <f>C12*Inputs!B127</f>
        <v>32</v>
      </c>
      <c r="D44" s="97">
        <v>60</v>
      </c>
      <c r="E44" s="97">
        <f t="shared" si="33"/>
        <v>-5.7407888727848979</v>
      </c>
      <c r="F44" s="117"/>
      <c r="G44" s="138"/>
      <c r="H44" s="295"/>
      <c r="I44" s="56">
        <v>148</v>
      </c>
      <c r="J44" s="56">
        <v>34</v>
      </c>
      <c r="K44" s="131">
        <v>57.5</v>
      </c>
      <c r="L44" s="56">
        <v>24.6</v>
      </c>
      <c r="M44" s="56">
        <v>293</v>
      </c>
      <c r="N44" s="56">
        <v>41</v>
      </c>
      <c r="O44" s="131">
        <f t="shared" si="25"/>
        <v>334</v>
      </c>
      <c r="Q44" s="298"/>
      <c r="R44" s="18">
        <v>60</v>
      </c>
      <c r="S44" s="18">
        <v>597</v>
      </c>
      <c r="T44" s="18">
        <v>366</v>
      </c>
      <c r="U44" s="18">
        <f t="shared" si="30"/>
        <v>60</v>
      </c>
      <c r="V44" s="18">
        <f t="shared" si="27"/>
        <v>963</v>
      </c>
      <c r="W44" s="18">
        <v>14.4</v>
      </c>
      <c r="X44" s="55">
        <f t="shared" si="28"/>
        <v>1.4953271028037384E-2</v>
      </c>
      <c r="AH44" s="298"/>
      <c r="AI44" s="18">
        <v>30</v>
      </c>
      <c r="AJ44" s="56">
        <f t="shared" si="34"/>
        <v>259.86900000000003</v>
      </c>
      <c r="AK44" s="19">
        <f>0.2*AM44</f>
        <v>32.351922453703708</v>
      </c>
      <c r="AL44" s="122">
        <f>AK44+AL43</f>
        <v>101.19363773148149</v>
      </c>
      <c r="AM44" s="95">
        <f>AJ44/1.2-(0.2/1.2)*SUM(AM41:AM43)</f>
        <v>161.75961226851854</v>
      </c>
      <c r="AP44" s="296"/>
      <c r="AQ44" s="56">
        <v>80</v>
      </c>
      <c r="AR44" s="56">
        <v>415</v>
      </c>
      <c r="AS44" s="18">
        <f t="shared" si="32"/>
        <v>45</v>
      </c>
      <c r="AT44" s="56">
        <v>375</v>
      </c>
      <c r="BD44" s="18">
        <v>60</v>
      </c>
      <c r="BE44" s="18" t="s">
        <v>92</v>
      </c>
      <c r="BF44" s="97">
        <f>BG17*Inputs!I130</f>
        <v>2832.9958847736634</v>
      </c>
      <c r="BG44" s="97">
        <v>60</v>
      </c>
      <c r="BH44" s="97">
        <f t="shared" si="31"/>
        <v>197.68412659208721</v>
      </c>
      <c r="BR44" s="207"/>
      <c r="BS44" s="207"/>
      <c r="BT44" s="207"/>
      <c r="BU44" s="207"/>
      <c r="BV44" s="207"/>
    </row>
    <row r="45" spans="1:74" x14ac:dyDescent="0.25">
      <c r="A45" s="18">
        <v>42</v>
      </c>
      <c r="B45" s="18" t="s">
        <v>21</v>
      </c>
      <c r="C45" s="97">
        <f>C13*Inputs!B128</f>
        <v>64</v>
      </c>
      <c r="D45" s="97">
        <v>60</v>
      </c>
      <c r="E45" s="97">
        <f t="shared" si="33"/>
        <v>0.62976104425232071</v>
      </c>
      <c r="F45" s="117"/>
      <c r="G45" s="138"/>
      <c r="H45" s="295"/>
      <c r="I45" s="56">
        <v>158</v>
      </c>
      <c r="J45" s="56">
        <v>35.299999999999997</v>
      </c>
      <c r="K45" s="131">
        <v>62</v>
      </c>
      <c r="L45" s="56">
        <v>25.1</v>
      </c>
      <c r="M45" s="56">
        <v>310</v>
      </c>
      <c r="N45" s="56">
        <v>41</v>
      </c>
      <c r="O45" s="131">
        <f t="shared" si="25"/>
        <v>351</v>
      </c>
      <c r="Q45" s="298"/>
      <c r="R45" s="18">
        <v>65</v>
      </c>
      <c r="S45" s="18">
        <v>612</v>
      </c>
      <c r="T45" s="18">
        <v>420</v>
      </c>
      <c r="U45" s="18">
        <f>T45-T44</f>
        <v>54</v>
      </c>
      <c r="V45" s="18">
        <f t="shared" si="27"/>
        <v>1032</v>
      </c>
      <c r="W45" s="18">
        <v>13.4</v>
      </c>
      <c r="X45" s="55">
        <f t="shared" si="28"/>
        <v>1.2984496124031008E-2</v>
      </c>
      <c r="AH45" s="298"/>
      <c r="AI45" s="56">
        <v>35</v>
      </c>
      <c r="AJ45" s="56">
        <f t="shared" si="34"/>
        <v>325.30050000000006</v>
      </c>
      <c r="AK45" s="19">
        <f t="shared" ref="AK45:AK51" si="35">0.2*AM45</f>
        <v>37.86518537808643</v>
      </c>
      <c r="AL45" s="131">
        <f t="shared" ref="AL45:AL51" si="36">AK45+AL44</f>
        <v>139.05882310956792</v>
      </c>
      <c r="AM45" s="131">
        <f>AJ45/1.2-(0.2/1.2)*SUM(AM41:AM44)</f>
        <v>189.32592689043213</v>
      </c>
      <c r="AW45" s="298">
        <v>5</v>
      </c>
      <c r="AX45" s="18">
        <v>25</v>
      </c>
      <c r="AY45" s="18">
        <v>103</v>
      </c>
      <c r="AZ45" s="120">
        <v>33</v>
      </c>
      <c r="BD45" s="18">
        <v>70</v>
      </c>
      <c r="BE45" s="18" t="s">
        <v>92</v>
      </c>
      <c r="BF45" s="97">
        <f>BG18*Inputs!I131</f>
        <v>3998.8132716049386</v>
      </c>
      <c r="BG45" s="97">
        <v>60</v>
      </c>
      <c r="BH45" s="97">
        <f t="shared" si="31"/>
        <v>180.81108874790712</v>
      </c>
      <c r="BL45" s="294">
        <v>4</v>
      </c>
      <c r="BM45" s="18">
        <v>30</v>
      </c>
      <c r="BN45" s="96">
        <v>86</v>
      </c>
      <c r="BO45" s="120">
        <v>12</v>
      </c>
      <c r="BR45" s="207"/>
      <c r="BS45" s="207"/>
      <c r="BT45" s="207"/>
      <c r="BU45" s="207"/>
      <c r="BV45" s="207"/>
    </row>
    <row r="46" spans="1:74" x14ac:dyDescent="0.25">
      <c r="A46" s="18">
        <v>48</v>
      </c>
      <c r="B46" s="18" t="s">
        <v>122</v>
      </c>
      <c r="C46" s="97">
        <f>C14*Inputs!B129</f>
        <v>120</v>
      </c>
      <c r="D46" s="97">
        <v>60</v>
      </c>
      <c r="E46" s="97">
        <f t="shared" si="33"/>
        <v>7.253862330224476</v>
      </c>
      <c r="F46" s="117"/>
      <c r="G46" s="138"/>
      <c r="H46" s="295"/>
      <c r="I46" s="56">
        <v>168</v>
      </c>
      <c r="J46" s="56">
        <v>36.6</v>
      </c>
      <c r="K46" s="131">
        <v>66.900000000000006</v>
      </c>
      <c r="L46" s="56">
        <v>25.6</v>
      </c>
      <c r="M46" s="56">
        <v>328</v>
      </c>
      <c r="N46" s="56">
        <v>41</v>
      </c>
      <c r="O46" s="131">
        <f t="shared" si="25"/>
        <v>369</v>
      </c>
      <c r="AH46" s="298"/>
      <c r="AI46" s="56">
        <v>40</v>
      </c>
      <c r="AJ46" s="56">
        <f t="shared" si="34"/>
        <v>397.05200000000002</v>
      </c>
      <c r="AK46" s="19">
        <f t="shared" si="35"/>
        <v>43.512904481738694</v>
      </c>
      <c r="AL46" s="131">
        <f t="shared" si="36"/>
        <v>182.57172759130663</v>
      </c>
      <c r="AM46" s="131">
        <f>AJ46/1.2-(0.2/1.2)*SUM(AM41:AM45)</f>
        <v>217.56452240869345</v>
      </c>
      <c r="AW46" s="298"/>
      <c r="AX46" s="18">
        <v>29</v>
      </c>
      <c r="AY46" s="96">
        <v>161</v>
      </c>
      <c r="AZ46" s="120">
        <v>39</v>
      </c>
      <c r="BD46" s="18">
        <v>80</v>
      </c>
      <c r="BE46" s="18" t="s">
        <v>92</v>
      </c>
      <c r="BF46" s="97">
        <f>BG19*Inputs!I132</f>
        <v>4883.5311213991772</v>
      </c>
      <c r="BG46" s="97">
        <v>60</v>
      </c>
      <c r="BH46" s="97">
        <f t="shared" si="31"/>
        <v>142.58106330787524</v>
      </c>
      <c r="BL46" s="295"/>
      <c r="BM46" s="18">
        <v>35</v>
      </c>
      <c r="BN46" s="18">
        <v>108</v>
      </c>
      <c r="BO46" s="18">
        <v>18</v>
      </c>
      <c r="BR46" s="207"/>
      <c r="BS46" s="207"/>
      <c r="BT46" s="207"/>
      <c r="BU46" s="207"/>
      <c r="BV46" s="207"/>
    </row>
    <row r="47" spans="1:74" ht="16.5" x14ac:dyDescent="0.3">
      <c r="A47" s="18">
        <v>54</v>
      </c>
      <c r="B47" s="18" t="s">
        <v>123</v>
      </c>
      <c r="C47" s="97">
        <f>C15*Inputs!B130</f>
        <v>184</v>
      </c>
      <c r="D47" s="97">
        <v>60</v>
      </c>
      <c r="E47" s="97">
        <f t="shared" si="33"/>
        <v>11.511767270167542</v>
      </c>
      <c r="F47" s="117"/>
      <c r="G47" s="138"/>
      <c r="H47" s="296"/>
      <c r="I47" s="56">
        <v>180</v>
      </c>
      <c r="J47" s="56">
        <v>38.299999999999997</v>
      </c>
      <c r="K47" s="131">
        <v>73.400000000000006</v>
      </c>
      <c r="L47" s="56">
        <v>27.5</v>
      </c>
      <c r="M47" s="56">
        <v>368</v>
      </c>
      <c r="N47" s="18"/>
      <c r="O47" s="131">
        <f t="shared" si="25"/>
        <v>368</v>
      </c>
      <c r="Q47" s="290" t="s">
        <v>91</v>
      </c>
      <c r="R47" s="290"/>
      <c r="S47" s="290"/>
      <c r="T47" s="290"/>
      <c r="U47" s="290"/>
      <c r="V47" s="290"/>
      <c r="W47" s="290"/>
      <c r="X47" s="290"/>
      <c r="Z47" s="290" t="s">
        <v>91</v>
      </c>
      <c r="AA47" s="290"/>
      <c r="AB47" s="290"/>
      <c r="AC47" s="290"/>
      <c r="AD47" s="290"/>
      <c r="AE47" s="290"/>
      <c r="AF47" s="290"/>
      <c r="AG47" s="290"/>
      <c r="AH47" s="298"/>
      <c r="AI47" s="56">
        <v>45</v>
      </c>
      <c r="AJ47" s="56">
        <f t="shared" si="34"/>
        <v>475.12350000000004</v>
      </c>
      <c r="AK47" s="19">
        <f t="shared" si="35"/>
        <v>49.272670401448906</v>
      </c>
      <c r="AL47" s="131">
        <f t="shared" si="36"/>
        <v>231.84439799275555</v>
      </c>
      <c r="AM47" s="131">
        <f>AJ47/1.2-(0.2/1.2)*SUM(AM41:AM46)</f>
        <v>246.36335200724452</v>
      </c>
      <c r="AP47" s="290" t="s">
        <v>91</v>
      </c>
      <c r="AQ47" s="290"/>
      <c r="AR47" s="290"/>
      <c r="AS47" s="290"/>
      <c r="AT47" s="290"/>
      <c r="AU47" s="290"/>
      <c r="AV47" s="57"/>
      <c r="AW47" s="298"/>
      <c r="AX47" s="18">
        <v>34</v>
      </c>
      <c r="AY47" s="96">
        <v>255</v>
      </c>
      <c r="AZ47" s="18">
        <v>40</v>
      </c>
      <c r="BD47" s="18">
        <v>90</v>
      </c>
      <c r="BE47" s="18" t="s">
        <v>92</v>
      </c>
      <c r="BF47" s="97">
        <f>BG20*Inputs!I133</f>
        <v>7200.4528044505423</v>
      </c>
      <c r="BG47" s="97">
        <v>60</v>
      </c>
      <c r="BH47" s="97">
        <f t="shared" si="31"/>
        <v>135.9125662545764</v>
      </c>
      <c r="BL47" s="295"/>
      <c r="BM47" s="18">
        <v>40</v>
      </c>
      <c r="BN47" s="18">
        <v>131</v>
      </c>
      <c r="BO47" s="18">
        <v>20</v>
      </c>
      <c r="BR47" s="207"/>
      <c r="BS47" s="207"/>
      <c r="BT47" s="207"/>
      <c r="BU47" s="207"/>
      <c r="BV47" s="207"/>
    </row>
    <row r="48" spans="1:74" x14ac:dyDescent="0.25">
      <c r="A48" s="18">
        <v>60</v>
      </c>
      <c r="B48" s="18" t="s">
        <v>124</v>
      </c>
      <c r="C48" s="97">
        <f>C16*Inputs!B131</f>
        <v>160</v>
      </c>
      <c r="D48" s="97">
        <v>60</v>
      </c>
      <c r="E48" s="97">
        <f t="shared" si="33"/>
        <v>7.1289008280739852</v>
      </c>
      <c r="F48" s="117"/>
      <c r="G48" s="138"/>
      <c r="H48" s="117"/>
      <c r="I48" s="117"/>
      <c r="J48" s="117"/>
      <c r="K48" s="117"/>
      <c r="L48" s="117"/>
      <c r="M48" s="117"/>
      <c r="N48" s="117"/>
      <c r="AH48" s="298"/>
      <c r="AI48" s="56">
        <v>50</v>
      </c>
      <c r="AJ48" s="56">
        <f t="shared" si="34"/>
        <v>559.5150000000001</v>
      </c>
      <c r="AK48" s="19">
        <f t="shared" si="35"/>
        <v>55.125808667874097</v>
      </c>
      <c r="AL48" s="131">
        <f t="shared" si="36"/>
        <v>286.97020666062963</v>
      </c>
      <c r="AM48" s="131">
        <f>AJ48/1.2-(0.2/1.2)*SUM(AM41:AM47)</f>
        <v>275.62904333937047</v>
      </c>
      <c r="AW48" s="298"/>
      <c r="AX48" s="18">
        <v>39</v>
      </c>
      <c r="AY48" s="18">
        <v>348</v>
      </c>
      <c r="AZ48" s="18">
        <v>41</v>
      </c>
      <c r="BD48" s="18">
        <v>100</v>
      </c>
      <c r="BE48" s="56" t="s">
        <v>144</v>
      </c>
      <c r="BF48" s="97">
        <f>(BG21+BF21)*Inputs!I134</f>
        <v>65962.591199258241</v>
      </c>
      <c r="BG48" s="97">
        <v>60</v>
      </c>
      <c r="BH48" s="97">
        <f t="shared" si="31"/>
        <v>807.74345200632808</v>
      </c>
      <c r="BL48" s="295"/>
      <c r="BM48" s="18">
        <v>50</v>
      </c>
      <c r="BN48" s="18">
        <v>171</v>
      </c>
      <c r="BO48" s="18">
        <v>53</v>
      </c>
      <c r="BR48" s="207"/>
      <c r="BS48" s="207"/>
      <c r="BT48" s="207"/>
      <c r="BU48" s="207"/>
      <c r="BV48" s="207"/>
    </row>
    <row r="49" spans="1:74" x14ac:dyDescent="0.25">
      <c r="A49" s="18">
        <v>66</v>
      </c>
      <c r="B49" s="18" t="s">
        <v>125</v>
      </c>
      <c r="C49" s="97">
        <f>C17*Inputs!B132</f>
        <v>144</v>
      </c>
      <c r="D49" s="97">
        <v>60</v>
      </c>
      <c r="E49" s="97">
        <f t="shared" si="33"/>
        <v>4.5983721541679952</v>
      </c>
      <c r="F49" s="117"/>
      <c r="G49" s="138"/>
      <c r="H49" s="18" t="s">
        <v>24</v>
      </c>
      <c r="I49" s="171" t="s">
        <v>25</v>
      </c>
      <c r="J49" s="171" t="s">
        <v>245</v>
      </c>
      <c r="K49" s="171" t="s">
        <v>246</v>
      </c>
      <c r="L49" s="171" t="s">
        <v>247</v>
      </c>
      <c r="M49" s="171" t="s">
        <v>248</v>
      </c>
      <c r="N49" s="18" t="s">
        <v>262</v>
      </c>
      <c r="O49" s="56" t="s">
        <v>261</v>
      </c>
      <c r="Q49" s="18" t="s">
        <v>93</v>
      </c>
      <c r="R49" s="18" t="s">
        <v>1</v>
      </c>
      <c r="S49" s="18" t="s">
        <v>3</v>
      </c>
      <c r="T49" s="18" t="s">
        <v>4</v>
      </c>
      <c r="U49" s="18" t="s">
        <v>5</v>
      </c>
      <c r="Z49" s="18" t="s">
        <v>93</v>
      </c>
      <c r="AA49" s="18" t="s">
        <v>1</v>
      </c>
      <c r="AB49" s="18" t="s">
        <v>3</v>
      </c>
      <c r="AC49" s="18" t="s">
        <v>4</v>
      </c>
      <c r="AD49" s="18" t="s">
        <v>5</v>
      </c>
      <c r="AH49" s="298"/>
      <c r="AI49" s="56">
        <v>55</v>
      </c>
      <c r="AJ49" s="56">
        <f t="shared" si="34"/>
        <v>650.22649999999999</v>
      </c>
      <c r="AK49" s="19">
        <f t="shared" si="35"/>
        <v>61.056757223228402</v>
      </c>
      <c r="AL49" s="131">
        <f t="shared" si="36"/>
        <v>348.026963883858</v>
      </c>
      <c r="AM49" s="131">
        <f>AJ49/1.2-(0.2/1.2)*SUM(AM41:AM48)</f>
        <v>305.28378611614198</v>
      </c>
      <c r="AP49" s="18" t="s">
        <v>93</v>
      </c>
      <c r="AQ49" s="18" t="s">
        <v>1</v>
      </c>
      <c r="AR49" s="18" t="s">
        <v>3</v>
      </c>
      <c r="AS49" s="18" t="s">
        <v>4</v>
      </c>
      <c r="AT49" s="18" t="s">
        <v>5</v>
      </c>
      <c r="AW49" s="298"/>
      <c r="AX49" s="18">
        <v>44</v>
      </c>
      <c r="AY49" s="18">
        <v>444</v>
      </c>
      <c r="AZ49" s="18">
        <v>40</v>
      </c>
      <c r="BD49" s="297" t="s">
        <v>153</v>
      </c>
      <c r="BE49" s="297"/>
      <c r="BF49" s="297"/>
      <c r="BG49" s="297"/>
      <c r="BH49" s="107">
        <f>SUM(BH36:BH48)</f>
        <v>-2156.0229243008753</v>
      </c>
      <c r="BL49" s="295"/>
      <c r="BM49" s="18">
        <v>60</v>
      </c>
      <c r="BN49" s="18">
        <v>218</v>
      </c>
      <c r="BO49" s="18">
        <v>54</v>
      </c>
      <c r="BR49" s="207"/>
      <c r="BS49" s="207"/>
      <c r="BT49" s="207"/>
      <c r="BU49" s="207"/>
      <c r="BV49" s="207"/>
    </row>
    <row r="50" spans="1:74" x14ac:dyDescent="0.25">
      <c r="A50" s="18">
        <v>72</v>
      </c>
      <c r="B50" s="18" t="s">
        <v>126</v>
      </c>
      <c r="C50" s="97">
        <f>C18*Inputs!B133</f>
        <v>320</v>
      </c>
      <c r="D50" s="97">
        <v>60</v>
      </c>
      <c r="E50" s="97">
        <f t="shared" si="33"/>
        <v>10.929503557769943</v>
      </c>
      <c r="F50" s="117"/>
      <c r="G50" s="138"/>
      <c r="H50" s="294">
        <v>3</v>
      </c>
      <c r="I50" s="171">
        <v>47</v>
      </c>
      <c r="J50" s="171">
        <v>14</v>
      </c>
      <c r="K50" s="171">
        <v>17.399999999999999</v>
      </c>
      <c r="L50" s="171">
        <v>15.7</v>
      </c>
      <c r="M50" s="95">
        <f>J50*L50*0.49</f>
        <v>107.70199999999998</v>
      </c>
      <c r="N50" s="171">
        <v>0</v>
      </c>
      <c r="O50" s="19">
        <f t="shared" ref="O50:O62" si="37">SUM(M50:N50)</f>
        <v>107.70199999999998</v>
      </c>
      <c r="Q50" s="18">
        <v>1</v>
      </c>
      <c r="R50" s="18" t="s">
        <v>2</v>
      </c>
      <c r="S50" s="97">
        <v>0</v>
      </c>
      <c r="T50" s="97">
        <v>3000</v>
      </c>
      <c r="U50" s="97">
        <f>(S50-T50)/((1+0.045)^Q50)</f>
        <v>-2870.8133971291868</v>
      </c>
      <c r="Z50" s="18">
        <v>1</v>
      </c>
      <c r="AA50" s="18" t="s">
        <v>2</v>
      </c>
      <c r="AB50" s="108">
        <v>0</v>
      </c>
      <c r="AC50" s="108">
        <v>3000</v>
      </c>
      <c r="AD50" s="108">
        <f>(AB50-AC50)/((1+0.045)^Z50)</f>
        <v>-2870.8133971291868</v>
      </c>
      <c r="AH50" s="298"/>
      <c r="AI50" s="56">
        <v>60</v>
      </c>
      <c r="AJ50" s="56">
        <f t="shared" si="34"/>
        <v>747.25800000000004</v>
      </c>
      <c r="AK50" s="19">
        <f t="shared" si="35"/>
        <v>67.052547686023672</v>
      </c>
      <c r="AL50" s="131">
        <f t="shared" si="36"/>
        <v>415.07951156988167</v>
      </c>
      <c r="AM50" s="131">
        <f>AJ50/1.2-(0.2/1.2)*SUM(AM41:AM49)</f>
        <v>335.26273843011836</v>
      </c>
      <c r="AP50" s="18">
        <v>1</v>
      </c>
      <c r="AQ50" s="18" t="s">
        <v>2</v>
      </c>
      <c r="AR50" s="97">
        <v>0</v>
      </c>
      <c r="AS50" s="97">
        <v>3000</v>
      </c>
      <c r="AT50" s="97">
        <f>(AR50-AS50)/((1+0.045)^AP50)</f>
        <v>-2870.8133971291868</v>
      </c>
      <c r="AW50" s="298"/>
      <c r="AX50" s="18">
        <v>50</v>
      </c>
      <c r="AY50" s="18">
        <v>541</v>
      </c>
      <c r="AZ50" s="18">
        <v>39</v>
      </c>
      <c r="BL50" s="295"/>
      <c r="BM50" s="18">
        <v>70</v>
      </c>
      <c r="BN50" s="18">
        <v>256</v>
      </c>
      <c r="BO50" s="18">
        <v>52</v>
      </c>
      <c r="BR50" s="207"/>
      <c r="BS50" s="207"/>
      <c r="BT50" s="207"/>
      <c r="BU50" s="207"/>
      <c r="BV50" s="207"/>
    </row>
    <row r="51" spans="1:74" x14ac:dyDescent="0.25">
      <c r="A51" s="18">
        <v>78</v>
      </c>
      <c r="B51" s="18" t="s">
        <v>127</v>
      </c>
      <c r="C51" s="97">
        <f>C19*Inputs!B134</f>
        <v>352</v>
      </c>
      <c r="D51" s="97">
        <v>60</v>
      </c>
      <c r="E51" s="97">
        <f t="shared" si="33"/>
        <v>9.4256692593239215</v>
      </c>
      <c r="F51" s="117"/>
      <c r="G51" s="138"/>
      <c r="H51" s="295"/>
      <c r="I51" s="171">
        <v>55</v>
      </c>
      <c r="J51" s="171">
        <v>15.6</v>
      </c>
      <c r="K51" s="171">
        <v>20</v>
      </c>
      <c r="L51" s="171">
        <v>15.5</v>
      </c>
      <c r="M51" s="19">
        <f>J51*L51*0.49</f>
        <v>118.48199999999999</v>
      </c>
      <c r="N51" s="171">
        <v>0</v>
      </c>
      <c r="O51" s="19">
        <f t="shared" si="37"/>
        <v>118.48199999999999</v>
      </c>
      <c r="Q51" s="18">
        <v>2</v>
      </c>
      <c r="R51" s="18" t="s">
        <v>0</v>
      </c>
      <c r="S51" s="97">
        <v>0</v>
      </c>
      <c r="T51" s="97">
        <v>500</v>
      </c>
      <c r="U51" s="97">
        <f t="shared" ref="U51:U64" si="38">(S51-T51)/((1+0.045)^Q51)</f>
        <v>-457.86497561869015</v>
      </c>
      <c r="Z51" s="18">
        <v>2</v>
      </c>
      <c r="AA51" s="18" t="s">
        <v>0</v>
      </c>
      <c r="AB51" s="108">
        <v>0</v>
      </c>
      <c r="AC51" s="108">
        <v>500</v>
      </c>
      <c r="AD51" s="108">
        <f t="shared" ref="AD51:AD63" si="39">(AB51-AC51)/((1+0.045)^Z51)</f>
        <v>-457.86497561869015</v>
      </c>
      <c r="AH51" s="298"/>
      <c r="AI51" s="56">
        <v>65</v>
      </c>
      <c r="AJ51" s="56">
        <f t="shared" si="34"/>
        <v>850.60950000000003</v>
      </c>
      <c r="AK51" s="19">
        <f t="shared" si="35"/>
        <v>73.102373071686415</v>
      </c>
      <c r="AL51" s="131">
        <f t="shared" si="36"/>
        <v>488.1818846415681</v>
      </c>
      <c r="AM51" s="131">
        <f>AJ51/1.2-(0.2/1.2)*SUM(AM41:AM50)</f>
        <v>365.51186535843203</v>
      </c>
      <c r="AP51" s="18">
        <v>2</v>
      </c>
      <c r="AQ51" s="18" t="s">
        <v>0</v>
      </c>
      <c r="AR51" s="97">
        <v>0</v>
      </c>
      <c r="AS51" s="97">
        <v>500</v>
      </c>
      <c r="AT51" s="97">
        <f t="shared" ref="AT51:AT64" si="40">(AR51-AS51)/((1+0.045)^AP51)</f>
        <v>-457.86497561869015</v>
      </c>
      <c r="BD51" s="18" t="s">
        <v>146</v>
      </c>
      <c r="BE51" s="18" t="s">
        <v>1</v>
      </c>
      <c r="BF51" s="18" t="s">
        <v>3</v>
      </c>
      <c r="BG51" s="18" t="s">
        <v>4</v>
      </c>
      <c r="BH51" s="18" t="s">
        <v>5</v>
      </c>
      <c r="BL51" s="296"/>
      <c r="BM51" s="18">
        <v>80</v>
      </c>
      <c r="BN51" s="18">
        <v>290</v>
      </c>
      <c r="BO51" s="18">
        <v>44</v>
      </c>
      <c r="BR51" s="207"/>
      <c r="BS51" s="207"/>
      <c r="BT51" s="207"/>
      <c r="BU51" s="207"/>
      <c r="BV51" s="207"/>
    </row>
    <row r="52" spans="1:74" x14ac:dyDescent="0.25">
      <c r="A52" s="18">
        <v>84</v>
      </c>
      <c r="B52" s="18" t="s">
        <v>128</v>
      </c>
      <c r="C52" s="97">
        <f>C20*Inputs!B135</f>
        <v>304</v>
      </c>
      <c r="D52" s="97">
        <v>60</v>
      </c>
      <c r="E52" s="97">
        <f t="shared" si="33"/>
        <v>6.0481343360810449</v>
      </c>
      <c r="F52" s="117"/>
      <c r="G52" s="138"/>
      <c r="H52" s="295"/>
      <c r="I52" s="171">
        <v>63</v>
      </c>
      <c r="J52" s="171">
        <v>17.100000000000001</v>
      </c>
      <c r="K52" s="171">
        <v>22.9</v>
      </c>
      <c r="L52" s="171">
        <v>16.100000000000001</v>
      </c>
      <c r="M52" s="171">
        <v>92</v>
      </c>
      <c r="N52" s="172">
        <v>24</v>
      </c>
      <c r="O52" s="19">
        <f t="shared" si="37"/>
        <v>116</v>
      </c>
      <c r="Q52" s="18">
        <v>3</v>
      </c>
      <c r="R52" s="18" t="s">
        <v>0</v>
      </c>
      <c r="S52" s="97">
        <v>0</v>
      </c>
      <c r="T52" s="97">
        <v>500</v>
      </c>
      <c r="U52" s="97">
        <f t="shared" si="38"/>
        <v>-438.14830202745469</v>
      </c>
      <c r="Z52" s="18">
        <v>3</v>
      </c>
      <c r="AA52" s="18" t="s">
        <v>0</v>
      </c>
      <c r="AB52" s="108">
        <v>0</v>
      </c>
      <c r="AC52" s="108">
        <v>500</v>
      </c>
      <c r="AD52" s="108">
        <f t="shared" si="39"/>
        <v>-438.14830202745469</v>
      </c>
      <c r="AH52" s="298"/>
      <c r="AI52" s="56">
        <v>70</v>
      </c>
      <c r="AJ52" s="56">
        <f t="shared" si="34"/>
        <v>960.28100000000006</v>
      </c>
      <c r="AK52" s="19">
        <f>0.2*AM52</f>
        <v>79.197227559738678</v>
      </c>
      <c r="AL52" s="131">
        <f>AK52+AL51</f>
        <v>567.37911220130673</v>
      </c>
      <c r="AM52" s="131">
        <f>AJ52/1.2-(0.2/1.2)*SUM(AM41:AM51)</f>
        <v>395.98613779869333</v>
      </c>
      <c r="AP52" s="18">
        <v>3</v>
      </c>
      <c r="AQ52" s="18" t="s">
        <v>0</v>
      </c>
      <c r="AR52" s="97">
        <v>0</v>
      </c>
      <c r="AS52" s="97">
        <v>500</v>
      </c>
      <c r="AT52" s="97">
        <f t="shared" si="40"/>
        <v>-438.14830202745469</v>
      </c>
      <c r="AW52" s="298">
        <v>6</v>
      </c>
      <c r="AX52" s="18">
        <v>28</v>
      </c>
      <c r="AY52" s="96">
        <v>106</v>
      </c>
      <c r="AZ52" s="120">
        <v>53</v>
      </c>
      <c r="BD52" s="18">
        <v>1</v>
      </c>
      <c r="BE52" s="18" t="s">
        <v>2</v>
      </c>
      <c r="BF52" s="97">
        <v>0</v>
      </c>
      <c r="BG52" s="97">
        <v>3000</v>
      </c>
      <c r="BH52" s="97">
        <f>(BF52-BG52)/((1+0.045)^BD52)</f>
        <v>-2870.8133971291868</v>
      </c>
      <c r="BR52" s="207"/>
      <c r="BS52" s="207"/>
      <c r="BT52" s="207"/>
      <c r="BU52" s="207"/>
      <c r="BV52" s="207"/>
    </row>
    <row r="53" spans="1:74" ht="16.5" x14ac:dyDescent="0.3">
      <c r="A53" s="18">
        <v>90</v>
      </c>
      <c r="B53" s="18" t="s">
        <v>129</v>
      </c>
      <c r="C53" s="97">
        <f>C21*Inputs!B136</f>
        <v>336</v>
      </c>
      <c r="D53" s="97">
        <v>60</v>
      </c>
      <c r="E53" s="97">
        <f t="shared" si="33"/>
        <v>5.2534299033364489</v>
      </c>
      <c r="F53" s="117"/>
      <c r="G53" s="138"/>
      <c r="H53" s="295"/>
      <c r="I53" s="171">
        <v>73</v>
      </c>
      <c r="J53" s="171">
        <v>18.7</v>
      </c>
      <c r="K53" s="171">
        <v>26.4</v>
      </c>
      <c r="L53" s="171">
        <v>17.600000000000001</v>
      </c>
      <c r="M53" s="171">
        <v>112</v>
      </c>
      <c r="N53" s="172">
        <v>25</v>
      </c>
      <c r="O53" s="19">
        <f t="shared" si="37"/>
        <v>137</v>
      </c>
      <c r="Q53" s="18">
        <v>4</v>
      </c>
      <c r="R53" s="18" t="s">
        <v>0</v>
      </c>
      <c r="S53" s="97">
        <v>0</v>
      </c>
      <c r="T53" s="97">
        <v>500</v>
      </c>
      <c r="U53" s="97">
        <f t="shared" si="38"/>
        <v>-419.28067179660746</v>
      </c>
      <c r="Z53" s="18">
        <v>4</v>
      </c>
      <c r="AA53" s="18" t="s">
        <v>0</v>
      </c>
      <c r="AB53" s="108">
        <v>0</v>
      </c>
      <c r="AC53" s="108">
        <v>500</v>
      </c>
      <c r="AD53" s="108">
        <f t="shared" si="39"/>
        <v>-419.28067179660746</v>
      </c>
      <c r="AP53" s="18">
        <v>4</v>
      </c>
      <c r="AQ53" s="18" t="s">
        <v>0</v>
      </c>
      <c r="AR53" s="97">
        <v>0</v>
      </c>
      <c r="AS53" s="97">
        <v>500</v>
      </c>
      <c r="AT53" s="97">
        <f t="shared" si="40"/>
        <v>-419.28067179660746</v>
      </c>
      <c r="AW53" s="298"/>
      <c r="AX53" s="18">
        <v>33</v>
      </c>
      <c r="AY53" s="96">
        <v>169</v>
      </c>
      <c r="AZ53" s="18">
        <v>61</v>
      </c>
      <c r="BD53" s="18">
        <v>2</v>
      </c>
      <c r="BE53" s="18" t="s">
        <v>0</v>
      </c>
      <c r="BF53" s="97">
        <v>0</v>
      </c>
      <c r="BG53" s="97">
        <v>500</v>
      </c>
      <c r="BH53" s="97">
        <f t="shared" ref="BH53:BH64" si="41">(BF53-BG53)/((1+0.045)^BD53)</f>
        <v>-457.86497561869015</v>
      </c>
      <c r="BL53" s="290" t="s">
        <v>91</v>
      </c>
      <c r="BM53" s="290"/>
      <c r="BN53" s="290"/>
      <c r="BO53" s="290"/>
      <c r="BP53" s="290"/>
      <c r="BQ53" s="290"/>
      <c r="BR53" s="207"/>
      <c r="BS53" s="207"/>
      <c r="BT53" s="207"/>
      <c r="BU53" s="207"/>
      <c r="BV53" s="207"/>
    </row>
    <row r="54" spans="1:74" x14ac:dyDescent="0.25">
      <c r="A54" s="18">
        <v>98</v>
      </c>
      <c r="B54" s="18" t="s">
        <v>130</v>
      </c>
      <c r="C54" s="97">
        <f>C22*Inputs!B137</f>
        <v>540</v>
      </c>
      <c r="D54" s="97">
        <v>60</v>
      </c>
      <c r="E54" s="97">
        <f t="shared" si="33"/>
        <v>6.4245804758254543</v>
      </c>
      <c r="F54" s="117"/>
      <c r="G54" s="138"/>
      <c r="H54" s="295"/>
      <c r="I54" s="171">
        <v>83</v>
      </c>
      <c r="J54" s="171">
        <v>20.2</v>
      </c>
      <c r="K54" s="171">
        <v>29.8</v>
      </c>
      <c r="L54" s="171">
        <v>18.7</v>
      </c>
      <c r="M54" s="171">
        <v>129</v>
      </c>
      <c r="N54" s="172">
        <v>27</v>
      </c>
      <c r="O54" s="19">
        <f t="shared" si="37"/>
        <v>156</v>
      </c>
      <c r="Q54" s="18">
        <v>15</v>
      </c>
      <c r="R54" s="18" t="s">
        <v>92</v>
      </c>
      <c r="S54" s="97">
        <f>U11*Inputs!D126</f>
        <v>0</v>
      </c>
      <c r="T54" s="97">
        <v>60</v>
      </c>
      <c r="U54" s="97">
        <f t="shared" si="38"/>
        <v>-31.003226538946077</v>
      </c>
      <c r="Z54" s="18">
        <v>15</v>
      </c>
      <c r="AA54" s="18" t="s">
        <v>92</v>
      </c>
      <c r="AB54" s="108">
        <f>AD12*Inputs!E126</f>
        <v>0</v>
      </c>
      <c r="AC54" s="108">
        <v>60</v>
      </c>
      <c r="AD54" s="108">
        <f t="shared" si="39"/>
        <v>-31.003226538946077</v>
      </c>
      <c r="AH54" s="18" t="s">
        <v>24</v>
      </c>
      <c r="AI54" s="24" t="s">
        <v>25</v>
      </c>
      <c r="AJ54" s="109" t="s">
        <v>29</v>
      </c>
      <c r="AK54" s="24" t="s">
        <v>27</v>
      </c>
      <c r="AL54" s="24" t="s">
        <v>74</v>
      </c>
      <c r="AM54" s="24" t="s">
        <v>26</v>
      </c>
      <c r="AN54" s="20"/>
      <c r="AP54" s="18">
        <v>17</v>
      </c>
      <c r="AQ54" s="18" t="s">
        <v>92</v>
      </c>
      <c r="AR54" s="97">
        <f>AS13*Inputs!G126</f>
        <v>120</v>
      </c>
      <c r="AS54" s="97">
        <v>60</v>
      </c>
      <c r="AT54" s="97">
        <f t="shared" si="40"/>
        <v>28.390583126710549</v>
      </c>
      <c r="AW54" s="298"/>
      <c r="AX54" s="18">
        <v>39</v>
      </c>
      <c r="AY54" s="18">
        <v>267</v>
      </c>
      <c r="AZ54" s="18">
        <v>70</v>
      </c>
      <c r="BD54" s="18">
        <v>3</v>
      </c>
      <c r="BE54" s="18" t="s">
        <v>0</v>
      </c>
      <c r="BF54" s="97">
        <v>0</v>
      </c>
      <c r="BG54" s="97">
        <v>500</v>
      </c>
      <c r="BH54" s="97">
        <f t="shared" si="41"/>
        <v>-438.14830202745469</v>
      </c>
      <c r="BR54" s="207"/>
      <c r="BS54" s="207"/>
      <c r="BT54" s="207"/>
      <c r="BU54" s="207"/>
      <c r="BV54" s="207"/>
    </row>
    <row r="55" spans="1:74" x14ac:dyDescent="0.25">
      <c r="A55" s="18">
        <v>106</v>
      </c>
      <c r="B55" s="18" t="s">
        <v>131</v>
      </c>
      <c r="C55" s="97">
        <f>C23*Inputs!B138</f>
        <v>560</v>
      </c>
      <c r="D55" s="97">
        <v>60</v>
      </c>
      <c r="E55" s="97">
        <f t="shared" si="33"/>
        <v>4.7059056641822572</v>
      </c>
      <c r="F55" s="117"/>
      <c r="G55" s="138"/>
      <c r="H55" s="295"/>
      <c r="I55" s="171">
        <v>93</v>
      </c>
      <c r="J55" s="171">
        <v>21.6</v>
      </c>
      <c r="K55" s="171">
        <v>33.200000000000003</v>
      </c>
      <c r="L55" s="171">
        <v>19.600000000000001</v>
      </c>
      <c r="M55" s="171">
        <v>145</v>
      </c>
      <c r="N55" s="172">
        <v>28</v>
      </c>
      <c r="O55" s="19">
        <f t="shared" si="37"/>
        <v>173</v>
      </c>
      <c r="Q55" s="18">
        <v>20</v>
      </c>
      <c r="R55" s="18" t="s">
        <v>92</v>
      </c>
      <c r="S55" s="97">
        <f>U12*Inputs!D127</f>
        <v>88</v>
      </c>
      <c r="T55" s="97">
        <v>60</v>
      </c>
      <c r="U55" s="97">
        <f t="shared" si="38"/>
        <v>11.610000071168367</v>
      </c>
      <c r="Z55" s="18">
        <v>20</v>
      </c>
      <c r="AA55" s="18" t="s">
        <v>92</v>
      </c>
      <c r="AB55" s="108">
        <f>AD13*Inputs!E127</f>
        <v>200</v>
      </c>
      <c r="AC55" s="108">
        <v>60</v>
      </c>
      <c r="AD55" s="108">
        <f t="shared" si="39"/>
        <v>58.050000355841838</v>
      </c>
      <c r="AH55" s="294">
        <v>4</v>
      </c>
      <c r="AI55" s="18">
        <v>15</v>
      </c>
      <c r="AJ55" s="56">
        <f>0.1003*(AI55^2)+3.9025*AI55</f>
        <v>81.10499999999999</v>
      </c>
      <c r="AK55" s="18">
        <f>AJ55-AM55</f>
        <v>13.517499999999998</v>
      </c>
      <c r="AL55" s="18">
        <f>AK55</f>
        <v>13.517499999999998</v>
      </c>
      <c r="AM55" s="18">
        <f>AJ55/1.2</f>
        <v>67.587499999999991</v>
      </c>
      <c r="AN55" s="40"/>
      <c r="AP55" s="18">
        <v>20</v>
      </c>
      <c r="AQ55" s="18" t="s">
        <v>92</v>
      </c>
      <c r="AR55" s="97">
        <f>AS14*Inputs!G127</f>
        <v>120</v>
      </c>
      <c r="AS55" s="97">
        <v>60</v>
      </c>
      <c r="AT55" s="97">
        <f t="shared" si="40"/>
        <v>24.878571581075072</v>
      </c>
      <c r="AW55" s="298"/>
      <c r="AX55" s="18">
        <v>45</v>
      </c>
      <c r="AY55" s="18">
        <v>358</v>
      </c>
      <c r="AZ55" s="18">
        <v>67</v>
      </c>
      <c r="BD55" s="18">
        <v>4</v>
      </c>
      <c r="BE55" s="18" t="s">
        <v>0</v>
      </c>
      <c r="BF55" s="97">
        <v>0</v>
      </c>
      <c r="BG55" s="97">
        <v>500</v>
      </c>
      <c r="BH55" s="97">
        <f t="shared" si="41"/>
        <v>-419.28067179660746</v>
      </c>
      <c r="BL55" s="18" t="s">
        <v>93</v>
      </c>
      <c r="BM55" s="18" t="s">
        <v>1</v>
      </c>
      <c r="BN55" s="18" t="s">
        <v>3</v>
      </c>
      <c r="BO55" s="18" t="s">
        <v>4</v>
      </c>
      <c r="BP55" s="18" t="s">
        <v>5</v>
      </c>
      <c r="BR55" s="207"/>
      <c r="BS55" s="207"/>
      <c r="BT55" s="207"/>
      <c r="BU55" s="207"/>
      <c r="BV55" s="207"/>
    </row>
    <row r="56" spans="1:74" x14ac:dyDescent="0.25">
      <c r="A56" s="18">
        <v>114</v>
      </c>
      <c r="B56" s="18" t="s">
        <v>132</v>
      </c>
      <c r="C56" s="97">
        <f>C24*Inputs!B139</f>
        <v>1280</v>
      </c>
      <c r="D56" s="97">
        <v>60</v>
      </c>
      <c r="E56" s="97">
        <f t="shared" si="33"/>
        <v>8.0742598076103818</v>
      </c>
      <c r="F56" s="117"/>
      <c r="G56" s="138"/>
      <c r="H56" s="295"/>
      <c r="I56" s="171">
        <v>103</v>
      </c>
      <c r="J56" s="171">
        <v>22.9</v>
      </c>
      <c r="K56" s="171">
        <v>36.299999999999997</v>
      </c>
      <c r="L56" s="171">
        <v>20</v>
      </c>
      <c r="M56" s="171">
        <v>157</v>
      </c>
      <c r="N56" s="172">
        <v>32</v>
      </c>
      <c r="O56" s="19">
        <f t="shared" si="37"/>
        <v>189</v>
      </c>
      <c r="Q56" s="18">
        <v>25</v>
      </c>
      <c r="R56" s="18" t="s">
        <v>92</v>
      </c>
      <c r="S56" s="97">
        <f>U13*Inputs!D128</f>
        <v>368</v>
      </c>
      <c r="T56" s="97">
        <v>60</v>
      </c>
      <c r="U56" s="97">
        <f t="shared" si="38"/>
        <v>102.48102377680281</v>
      </c>
      <c r="Z56" s="18">
        <v>25</v>
      </c>
      <c r="AA56" s="18" t="s">
        <v>92</v>
      </c>
      <c r="AB56" s="108">
        <f>AD14*Inputs!E128</f>
        <v>272</v>
      </c>
      <c r="AC56" s="108">
        <v>60</v>
      </c>
      <c r="AD56" s="108">
        <f t="shared" si="39"/>
        <v>70.538886495721414</v>
      </c>
      <c r="AH56" s="295"/>
      <c r="AI56" s="18">
        <v>20</v>
      </c>
      <c r="AJ56" s="56">
        <f t="shared" ref="AJ56:AJ66" si="42">0.1003*(AI56^2)+3.9025*AI56</f>
        <v>118.16999999999999</v>
      </c>
      <c r="AK56" s="19">
        <f>0.2*AM56</f>
        <v>17.442083333333333</v>
      </c>
      <c r="AL56" s="19">
        <f>AK56+AL55</f>
        <v>30.959583333333331</v>
      </c>
      <c r="AM56" s="19">
        <f>AJ56/1.2-(0.2/1.2)*SUM(AM55)</f>
        <v>87.21041666666666</v>
      </c>
      <c r="AN56" s="40"/>
      <c r="AP56" s="18">
        <v>25</v>
      </c>
      <c r="AQ56" s="18" t="s">
        <v>92</v>
      </c>
      <c r="AR56" s="97">
        <f>AS15*Inputs!G128</f>
        <v>288</v>
      </c>
      <c r="AS56" s="97">
        <v>60</v>
      </c>
      <c r="AT56" s="97">
        <f t="shared" si="40"/>
        <v>75.862576042568307</v>
      </c>
      <c r="AW56" s="298"/>
      <c r="AX56" s="18">
        <v>52</v>
      </c>
      <c r="AY56" s="18">
        <v>465</v>
      </c>
      <c r="AZ56" s="18">
        <v>48</v>
      </c>
      <c r="BD56" s="18">
        <v>20</v>
      </c>
      <c r="BE56" s="18" t="s">
        <v>92</v>
      </c>
      <c r="BF56" s="97">
        <f>BG23*Inputs!I126</f>
        <v>153.33333333333334</v>
      </c>
      <c r="BG56" s="97">
        <v>60</v>
      </c>
      <c r="BH56" s="97">
        <f t="shared" si="41"/>
        <v>38.700000237227897</v>
      </c>
      <c r="BL56" s="18">
        <v>1</v>
      </c>
      <c r="BM56" s="18" t="s">
        <v>2</v>
      </c>
      <c r="BN56" s="97">
        <v>0</v>
      </c>
      <c r="BO56" s="97">
        <v>3000</v>
      </c>
      <c r="BP56" s="97">
        <f>(BN56-BO56)/((1+0.045)^BL56)</f>
        <v>-2870.8133971291868</v>
      </c>
      <c r="BR56" s="207"/>
      <c r="BS56" s="207"/>
      <c r="BT56" s="207"/>
      <c r="BU56" s="207"/>
      <c r="BV56" s="207"/>
    </row>
    <row r="57" spans="1:74" x14ac:dyDescent="0.25">
      <c r="A57" s="18">
        <v>122</v>
      </c>
      <c r="B57" s="18" t="s">
        <v>133</v>
      </c>
      <c r="C57" s="97">
        <f>C25*Inputs!B140</f>
        <v>1240</v>
      </c>
      <c r="D57" s="97">
        <v>60</v>
      </c>
      <c r="E57" s="97">
        <f t="shared" si="33"/>
        <v>5.4915453290434275</v>
      </c>
      <c r="F57" s="117"/>
      <c r="G57" s="138"/>
      <c r="H57" s="295"/>
      <c r="I57" s="172">
        <v>113</v>
      </c>
      <c r="J57" s="172">
        <v>24.1</v>
      </c>
      <c r="K57" s="172">
        <v>39.4</v>
      </c>
      <c r="L57" s="172">
        <v>20.5</v>
      </c>
      <c r="M57" s="172">
        <v>170</v>
      </c>
      <c r="N57" s="172">
        <v>32</v>
      </c>
      <c r="O57" s="19">
        <f t="shared" si="37"/>
        <v>202</v>
      </c>
      <c r="Q57" s="18">
        <v>30</v>
      </c>
      <c r="R57" s="18" t="s">
        <v>92</v>
      </c>
      <c r="S57" s="97">
        <f>U14*Inputs!D129</f>
        <v>964.80000000000007</v>
      </c>
      <c r="T57" s="97">
        <v>60</v>
      </c>
      <c r="U57" s="97">
        <f t="shared" si="38"/>
        <v>241.58161403073635</v>
      </c>
      <c r="Z57" s="18">
        <v>30</v>
      </c>
      <c r="AA57" s="18" t="s">
        <v>92</v>
      </c>
      <c r="AB57" s="108">
        <f>AD15*Inputs!E129</f>
        <v>619.20000000000005</v>
      </c>
      <c r="AC57" s="108">
        <v>60</v>
      </c>
      <c r="AD57" s="108">
        <f t="shared" si="39"/>
        <v>149.3064086715161</v>
      </c>
      <c r="AH57" s="295"/>
      <c r="AI57" s="18">
        <v>25</v>
      </c>
      <c r="AJ57" s="56">
        <f t="shared" si="42"/>
        <v>160.25</v>
      </c>
      <c r="AK57" s="19">
        <f>0.2*AM57</f>
        <v>21.548402777777781</v>
      </c>
      <c r="AL57" s="19">
        <f>AK57+AL56</f>
        <v>52.507986111111109</v>
      </c>
      <c r="AM57" s="19">
        <f>AJ57/1.2-(0.2/1.2)*SUM(AM55:AM56)</f>
        <v>107.74201388888891</v>
      </c>
      <c r="AN57" s="40"/>
      <c r="AP57" s="18">
        <v>30</v>
      </c>
      <c r="AQ57" s="18" t="s">
        <v>92</v>
      </c>
      <c r="AR57" s="97">
        <f>AS16*Inputs!G129</f>
        <v>648</v>
      </c>
      <c r="AS57" s="97">
        <v>60</v>
      </c>
      <c r="AT57" s="97">
        <f t="shared" si="40"/>
        <v>156.99600911811777</v>
      </c>
      <c r="BD57" s="18">
        <v>30</v>
      </c>
      <c r="BE57" s="18" t="s">
        <v>92</v>
      </c>
      <c r="BF57" s="97">
        <f>BG24*Inputs!I127</f>
        <v>386.00000000000006</v>
      </c>
      <c r="BG57" s="97">
        <v>60</v>
      </c>
      <c r="BH57" s="97">
        <f t="shared" si="41"/>
        <v>87.042005055282999</v>
      </c>
      <c r="BL57" s="18">
        <v>2</v>
      </c>
      <c r="BM57" s="18" t="s">
        <v>0</v>
      </c>
      <c r="BN57" s="97">
        <v>0</v>
      </c>
      <c r="BO57" s="97">
        <v>500</v>
      </c>
      <c r="BP57" s="97">
        <f t="shared" ref="BP57:BP69" si="43">(BN57-BO57)/((1+0.045)^BL57)</f>
        <v>-457.86497561869015</v>
      </c>
      <c r="BR57" s="207"/>
      <c r="BS57" s="207"/>
      <c r="BT57" s="207"/>
      <c r="BU57" s="207"/>
      <c r="BV57" s="207"/>
    </row>
    <row r="58" spans="1:74" ht="16.5" x14ac:dyDescent="0.3">
      <c r="A58" s="18">
        <v>130</v>
      </c>
      <c r="B58" s="18" t="s">
        <v>134</v>
      </c>
      <c r="C58" s="97">
        <f>C26*Inputs!B141</f>
        <v>1200</v>
      </c>
      <c r="D58" s="97">
        <v>60</v>
      </c>
      <c r="E58" s="97">
        <f t="shared" si="33"/>
        <v>3.730672219815975</v>
      </c>
      <c r="F58" s="117"/>
      <c r="G58" s="138"/>
      <c r="H58" s="295"/>
      <c r="I58" s="173">
        <v>125</v>
      </c>
      <c r="J58" s="173">
        <v>25.6</v>
      </c>
      <c r="K58" s="174">
        <v>42.2</v>
      </c>
      <c r="L58" s="173">
        <v>21.1</v>
      </c>
      <c r="M58" s="173">
        <v>187</v>
      </c>
      <c r="N58" s="173">
        <v>38</v>
      </c>
      <c r="O58" s="19">
        <f t="shared" si="37"/>
        <v>225</v>
      </c>
      <c r="Q58" s="18">
        <v>35</v>
      </c>
      <c r="R58" s="18" t="s">
        <v>92</v>
      </c>
      <c r="S58" s="97">
        <f>U15*Inputs!D130</f>
        <v>1440</v>
      </c>
      <c r="T58" s="97">
        <v>60</v>
      </c>
      <c r="U58" s="97">
        <f t="shared" si="38"/>
        <v>295.67112976582501</v>
      </c>
      <c r="Z58" s="18">
        <v>35</v>
      </c>
      <c r="AA58" s="18" t="s">
        <v>92</v>
      </c>
      <c r="AB58" s="108">
        <f>AD16*Inputs!E130</f>
        <v>820</v>
      </c>
      <c r="AC58" s="108">
        <v>60</v>
      </c>
      <c r="AD58" s="108">
        <f t="shared" si="39"/>
        <v>162.83337581306304</v>
      </c>
      <c r="AH58" s="295"/>
      <c r="AI58" s="18">
        <v>30</v>
      </c>
      <c r="AJ58" s="56">
        <f t="shared" si="42"/>
        <v>207.34499999999997</v>
      </c>
      <c r="AK58" s="19">
        <f>0.2*AM58</f>
        <v>25.806168981481484</v>
      </c>
      <c r="AL58" s="122">
        <f>AK58+AL57</f>
        <v>78.314155092592586</v>
      </c>
      <c r="AM58" s="95">
        <f>AJ58/1.2-(0.2/1.2)*SUM(AM55:AM57)</f>
        <v>129.03084490740741</v>
      </c>
      <c r="AN58" s="40"/>
      <c r="AP58" s="18">
        <v>35</v>
      </c>
      <c r="AQ58" s="18" t="s">
        <v>92</v>
      </c>
      <c r="AR58" s="97">
        <f>AS17*Inputs!G130</f>
        <v>1100</v>
      </c>
      <c r="AS58" s="97">
        <v>60</v>
      </c>
      <c r="AT58" s="97">
        <f t="shared" si="40"/>
        <v>222.82461953366521</v>
      </c>
      <c r="AW58" s="58" t="s">
        <v>91</v>
      </c>
      <c r="AX58" s="58"/>
      <c r="AY58" s="58"/>
      <c r="AZ58" s="58"/>
      <c r="BA58" s="58"/>
      <c r="BB58" s="58"/>
      <c r="BC58" s="57"/>
      <c r="BD58" s="18">
        <v>40</v>
      </c>
      <c r="BE58" s="18" t="s">
        <v>92</v>
      </c>
      <c r="BF58" s="97">
        <f>BG25*Inputs!I128</f>
        <v>743.98148148148141</v>
      </c>
      <c r="BG58" s="97">
        <v>60</v>
      </c>
      <c r="BH58" s="97">
        <f t="shared" si="41"/>
        <v>117.59604767895352</v>
      </c>
      <c r="BL58" s="18">
        <v>3</v>
      </c>
      <c r="BM58" s="18" t="s">
        <v>0</v>
      </c>
      <c r="BN58" s="97">
        <v>0</v>
      </c>
      <c r="BO58" s="97">
        <v>500</v>
      </c>
      <c r="BP58" s="97">
        <f t="shared" si="43"/>
        <v>-438.14830202745469</v>
      </c>
      <c r="BR58" s="207"/>
      <c r="BS58" s="207"/>
      <c r="BT58" s="207"/>
      <c r="BU58" s="207"/>
      <c r="BV58" s="207"/>
    </row>
    <row r="59" spans="1:74" x14ac:dyDescent="0.25">
      <c r="A59" s="18">
        <v>140</v>
      </c>
      <c r="B59" s="18" t="s">
        <v>135</v>
      </c>
      <c r="C59" s="97">
        <f>C27*Inputs!B142</f>
        <v>1560</v>
      </c>
      <c r="D59" s="97">
        <v>60</v>
      </c>
      <c r="E59" s="97">
        <f t="shared" si="33"/>
        <v>3.1608988354210226</v>
      </c>
      <c r="F59" s="117"/>
      <c r="G59" s="138"/>
      <c r="H59" s="295"/>
      <c r="I59" s="172">
        <v>137</v>
      </c>
      <c r="J59" s="172">
        <v>27</v>
      </c>
      <c r="K59" s="172">
        <v>44.6</v>
      </c>
      <c r="L59" s="172">
        <v>21.7</v>
      </c>
      <c r="M59" s="172">
        <v>203</v>
      </c>
      <c r="N59" s="172">
        <v>40</v>
      </c>
      <c r="O59" s="19">
        <f t="shared" si="37"/>
        <v>243</v>
      </c>
      <c r="Q59" s="18">
        <v>40</v>
      </c>
      <c r="R59" s="18" t="s">
        <v>92</v>
      </c>
      <c r="S59" s="97">
        <f>U16*Inputs!D131</f>
        <v>1580</v>
      </c>
      <c r="T59" s="97">
        <v>60</v>
      </c>
      <c r="U59" s="97">
        <f t="shared" si="38"/>
        <v>261.33162565286329</v>
      </c>
      <c r="Z59" s="18">
        <v>40</v>
      </c>
      <c r="AA59" s="18" t="s">
        <v>92</v>
      </c>
      <c r="AB59" s="108">
        <f>AD17*Inputs!E131</f>
        <v>1200</v>
      </c>
      <c r="AC59" s="108">
        <v>60</v>
      </c>
      <c r="AD59" s="108">
        <f t="shared" si="39"/>
        <v>195.99871923964747</v>
      </c>
      <c r="AH59" s="295"/>
      <c r="AI59" s="56">
        <v>35</v>
      </c>
      <c r="AJ59" s="56">
        <f t="shared" si="42"/>
        <v>259.45500000000004</v>
      </c>
      <c r="AK59" s="19">
        <f t="shared" ref="AK59:AK65" si="44">0.2*AM59</f>
        <v>30.190140817901238</v>
      </c>
      <c r="AL59" s="131">
        <f t="shared" ref="AL59:AL66" si="45">AK59+AL58</f>
        <v>108.50429591049382</v>
      </c>
      <c r="AM59" s="18">
        <f>AJ59/1.2-(0.2/1.2)*SUM(AM55:AM58)</f>
        <v>150.95070408950619</v>
      </c>
      <c r="AN59" s="20"/>
      <c r="AP59" s="18">
        <v>40</v>
      </c>
      <c r="AQ59" s="18" t="s">
        <v>92</v>
      </c>
      <c r="AR59" s="97">
        <f>AS18*Inputs!G131</f>
        <v>960</v>
      </c>
      <c r="AS59" s="97">
        <v>60</v>
      </c>
      <c r="AT59" s="97">
        <f t="shared" si="40"/>
        <v>154.73583097866907</v>
      </c>
      <c r="BD59" s="18">
        <v>50</v>
      </c>
      <c r="BE59" s="18" t="s">
        <v>92</v>
      </c>
      <c r="BF59" s="97">
        <f>BG26*Inputs!I129</f>
        <v>1319.7376543209875</v>
      </c>
      <c r="BG59" s="97">
        <v>60</v>
      </c>
      <c r="BH59" s="97">
        <f t="shared" si="41"/>
        <v>139.46511475842823</v>
      </c>
      <c r="BL59" s="18">
        <v>4</v>
      </c>
      <c r="BM59" s="18" t="s">
        <v>0</v>
      </c>
      <c r="BN59" s="97">
        <v>0</v>
      </c>
      <c r="BO59" s="97">
        <v>500</v>
      </c>
      <c r="BP59" s="97">
        <f t="shared" si="43"/>
        <v>-419.28067179660746</v>
      </c>
      <c r="BR59" s="207"/>
      <c r="BS59" s="207"/>
      <c r="BT59" s="207"/>
      <c r="BU59" s="207"/>
      <c r="BV59" s="207"/>
    </row>
    <row r="60" spans="1:74" x14ac:dyDescent="0.25">
      <c r="A60" s="18">
        <v>150</v>
      </c>
      <c r="B60" s="18" t="s">
        <v>138</v>
      </c>
      <c r="C60" s="97">
        <f>C28*Inputs!B143</f>
        <v>1520</v>
      </c>
      <c r="D60" s="97">
        <v>60</v>
      </c>
      <c r="E60" s="97">
        <f t="shared" si="33"/>
        <v>1.9811131866181459</v>
      </c>
      <c r="F60" s="117"/>
      <c r="G60" s="138"/>
      <c r="H60" s="295"/>
      <c r="I60" s="172">
        <v>149</v>
      </c>
      <c r="J60" s="172">
        <v>28.5</v>
      </c>
      <c r="K60" s="172">
        <v>47.3</v>
      </c>
      <c r="L60" s="172">
        <v>22.3</v>
      </c>
      <c r="M60" s="172">
        <v>220</v>
      </c>
      <c r="N60" s="172">
        <v>40</v>
      </c>
      <c r="O60" s="19">
        <f t="shared" si="37"/>
        <v>260</v>
      </c>
      <c r="Q60" s="18">
        <v>45</v>
      </c>
      <c r="R60" s="18" t="s">
        <v>92</v>
      </c>
      <c r="S60" s="97">
        <f>U17*Inputs!D132</f>
        <v>2324</v>
      </c>
      <c r="T60" s="97">
        <v>60</v>
      </c>
      <c r="U60" s="97">
        <f t="shared" si="38"/>
        <v>312.35132487552022</v>
      </c>
      <c r="Z60" s="18">
        <v>45</v>
      </c>
      <c r="AA60" s="18" t="s">
        <v>92</v>
      </c>
      <c r="AB60" s="108">
        <f>AD18*Inputs!E132</f>
        <v>952</v>
      </c>
      <c r="AC60" s="108">
        <v>60</v>
      </c>
      <c r="AD60" s="108">
        <f t="shared" si="39"/>
        <v>123.0642145710972</v>
      </c>
      <c r="AH60" s="295"/>
      <c r="AI60" s="56">
        <v>40</v>
      </c>
      <c r="AJ60" s="56">
        <f t="shared" si="42"/>
        <v>316.58</v>
      </c>
      <c r="AK60" s="19">
        <f t="shared" si="44"/>
        <v>34.679284014917691</v>
      </c>
      <c r="AL60" s="131">
        <f t="shared" si="45"/>
        <v>143.18357992541152</v>
      </c>
      <c r="AM60" s="18">
        <f>AJ60/1.2-(0.2/1.2)*SUM(AM55:AM59)</f>
        <v>173.39642007458846</v>
      </c>
      <c r="AP60" s="18">
        <v>45</v>
      </c>
      <c r="AQ60" s="18" t="s">
        <v>92</v>
      </c>
      <c r="AR60" s="97">
        <f>AS19*Inputs!G132</f>
        <v>1140</v>
      </c>
      <c r="AS60" s="97">
        <v>60</v>
      </c>
      <c r="AT60" s="97">
        <f t="shared" si="40"/>
        <v>149.00151539998316</v>
      </c>
      <c r="AW60" s="18" t="s">
        <v>93</v>
      </c>
      <c r="AX60" s="18" t="s">
        <v>1</v>
      </c>
      <c r="AY60" s="18" t="s">
        <v>3</v>
      </c>
      <c r="AZ60" s="18" t="s">
        <v>4</v>
      </c>
      <c r="BA60" s="18" t="s">
        <v>5</v>
      </c>
      <c r="BD60" s="18">
        <v>60</v>
      </c>
      <c r="BE60" s="18" t="s">
        <v>92</v>
      </c>
      <c r="BF60" s="97">
        <f>BG27*Inputs!I130</f>
        <v>1881.9547325102883</v>
      </c>
      <c r="BG60" s="97">
        <v>60</v>
      </c>
      <c r="BH60" s="97">
        <f t="shared" si="41"/>
        <v>129.88534601305909</v>
      </c>
      <c r="BL60" s="18">
        <v>20</v>
      </c>
      <c r="BM60" s="18" t="s">
        <v>92</v>
      </c>
      <c r="BN60" s="97">
        <f>BO13*Inputs!H126</f>
        <v>104</v>
      </c>
      <c r="BO60" s="97">
        <v>60</v>
      </c>
      <c r="BP60" s="97">
        <f t="shared" si="43"/>
        <v>18.244285826121718</v>
      </c>
      <c r="BR60" s="207"/>
      <c r="BS60" s="207"/>
      <c r="BT60" s="207"/>
      <c r="BU60" s="207"/>
      <c r="BV60" s="207"/>
    </row>
    <row r="61" spans="1:74" x14ac:dyDescent="0.25">
      <c r="A61" s="18">
        <v>160</v>
      </c>
      <c r="B61" s="18" t="s">
        <v>139</v>
      </c>
      <c r="C61" s="97">
        <f>C29*Inputs!B144</f>
        <v>4800</v>
      </c>
      <c r="D61" s="97">
        <v>60</v>
      </c>
      <c r="E61" s="97">
        <f t="shared" si="33"/>
        <v>4.1416354580447603</v>
      </c>
      <c r="F61" s="117"/>
      <c r="G61" s="138"/>
      <c r="H61" s="295"/>
      <c r="I61" s="173">
        <v>164</v>
      </c>
      <c r="J61" s="172">
        <v>30.2</v>
      </c>
      <c r="K61" s="173">
        <v>50.9</v>
      </c>
      <c r="L61" s="173">
        <v>23.1</v>
      </c>
      <c r="M61" s="173">
        <v>244</v>
      </c>
      <c r="N61" s="173">
        <v>52</v>
      </c>
      <c r="O61" s="19">
        <f t="shared" si="37"/>
        <v>296</v>
      </c>
      <c r="Q61" s="18">
        <v>50</v>
      </c>
      <c r="R61" s="18" t="s">
        <v>92</v>
      </c>
      <c r="S61" s="97">
        <f>U18*Inputs!D133</f>
        <v>2400</v>
      </c>
      <c r="T61" s="97">
        <v>60</v>
      </c>
      <c r="U61" s="97">
        <f t="shared" si="38"/>
        <v>259.06058091962603</v>
      </c>
      <c r="Z61" s="18">
        <v>50</v>
      </c>
      <c r="AA61" s="18" t="s">
        <v>92</v>
      </c>
      <c r="AB61" s="108">
        <f>AD19*Inputs!E133</f>
        <v>616</v>
      </c>
      <c r="AC61" s="108">
        <v>60</v>
      </c>
      <c r="AD61" s="108">
        <f t="shared" si="39"/>
        <v>61.554565380902595</v>
      </c>
      <c r="AH61" s="295"/>
      <c r="AI61" s="56">
        <v>45</v>
      </c>
      <c r="AJ61" s="56">
        <f t="shared" si="42"/>
        <v>378.71999999999997</v>
      </c>
      <c r="AK61" s="19">
        <f t="shared" si="44"/>
        <v>39.256070012431408</v>
      </c>
      <c r="AL61" s="131">
        <f t="shared" si="45"/>
        <v>182.43964993784294</v>
      </c>
      <c r="AM61" s="18">
        <f>AJ61/1.2-(0.2/1.2)*SUM(AM55:AM60)</f>
        <v>196.28035006215703</v>
      </c>
      <c r="AP61" s="18">
        <v>50</v>
      </c>
      <c r="AQ61" s="18" t="s">
        <v>92</v>
      </c>
      <c r="AR61" s="97">
        <f>AS20*Inputs!G133</f>
        <v>940</v>
      </c>
      <c r="AS61" s="97">
        <v>60</v>
      </c>
      <c r="AT61" s="97">
        <f t="shared" si="40"/>
        <v>97.424491969773896</v>
      </c>
      <c r="AW61" s="18">
        <v>1</v>
      </c>
      <c r="AX61" s="18" t="s">
        <v>2</v>
      </c>
      <c r="AY61" s="97">
        <v>0</v>
      </c>
      <c r="AZ61" s="97">
        <v>3000</v>
      </c>
      <c r="BA61" s="97">
        <f>(AY61-AZ61)/((1+0.045)^AW61)</f>
        <v>-2870.8133971291868</v>
      </c>
      <c r="BD61" s="18">
        <v>70</v>
      </c>
      <c r="BE61" s="18" t="s">
        <v>92</v>
      </c>
      <c r="BF61" s="97">
        <f>BG28*Inputs!I131</f>
        <v>2497.1334876543215</v>
      </c>
      <c r="BG61" s="97">
        <v>60</v>
      </c>
      <c r="BH61" s="97">
        <f t="shared" si="41"/>
        <v>111.87652953835178</v>
      </c>
      <c r="BL61" s="18">
        <v>25</v>
      </c>
      <c r="BM61" s="18" t="s">
        <v>92</v>
      </c>
      <c r="BN61" s="97">
        <f>BO14*Inputs!H127</f>
        <v>328</v>
      </c>
      <c r="BO61" s="97">
        <v>60</v>
      </c>
      <c r="BP61" s="97">
        <f t="shared" si="43"/>
        <v>89.171799909685561</v>
      </c>
      <c r="BR61" s="207"/>
      <c r="BS61" s="207"/>
      <c r="BT61" s="207"/>
      <c r="BU61" s="207"/>
      <c r="BV61" s="207"/>
    </row>
    <row r="62" spans="1:74" x14ac:dyDescent="0.25">
      <c r="A62" s="18">
        <v>170</v>
      </c>
      <c r="B62" s="18" t="s">
        <v>140</v>
      </c>
      <c r="C62" s="97">
        <f>C30*Inputs!B145</f>
        <v>4320</v>
      </c>
      <c r="D62" s="97">
        <v>60</v>
      </c>
      <c r="E62" s="97">
        <f t="shared" si="33"/>
        <v>2.3968465081286854</v>
      </c>
      <c r="F62" s="117"/>
      <c r="G62" s="138"/>
      <c r="H62" s="295"/>
      <c r="I62" s="173">
        <v>179</v>
      </c>
      <c r="J62" s="172">
        <v>32</v>
      </c>
      <c r="K62" s="173">
        <v>54.9</v>
      </c>
      <c r="L62" s="173">
        <v>23.7</v>
      </c>
      <c r="M62" s="173">
        <v>266</v>
      </c>
      <c r="N62" s="173">
        <v>56</v>
      </c>
      <c r="O62" s="19">
        <f t="shared" si="37"/>
        <v>322</v>
      </c>
      <c r="Q62" s="18">
        <v>55</v>
      </c>
      <c r="R62" s="18" t="s">
        <v>92</v>
      </c>
      <c r="S62" s="97">
        <f>U19*Inputs!D134</f>
        <v>2376</v>
      </c>
      <c r="T62" s="97">
        <v>60</v>
      </c>
      <c r="U62" s="97">
        <f t="shared" si="38"/>
        <v>205.75129647868516</v>
      </c>
      <c r="Z62" s="18">
        <v>55</v>
      </c>
      <c r="AA62" s="18" t="s">
        <v>92</v>
      </c>
      <c r="AB62" s="108">
        <f>AD20*Inputs!E134</f>
        <v>476</v>
      </c>
      <c r="AC62" s="108">
        <v>60</v>
      </c>
      <c r="AD62" s="108">
        <f t="shared" si="39"/>
        <v>36.95705498062739</v>
      </c>
      <c r="AH62" s="295"/>
      <c r="AI62" s="56">
        <v>50</v>
      </c>
      <c r="AJ62" s="56">
        <f t="shared" si="42"/>
        <v>445.875</v>
      </c>
      <c r="AK62" s="19">
        <f t="shared" si="44"/>
        <v>43.905891677026176</v>
      </c>
      <c r="AL62" s="131">
        <f t="shared" si="45"/>
        <v>226.34554161486912</v>
      </c>
      <c r="AM62" s="18">
        <f>AJ62/1.2-(0.2/1.2)*SUM(AM55:AM61)</f>
        <v>219.52945838513088</v>
      </c>
      <c r="AP62" s="18">
        <v>55</v>
      </c>
      <c r="AQ62" s="18" t="s">
        <v>92</v>
      </c>
      <c r="AR62" s="97">
        <f>AS21*Inputs!G134</f>
        <v>1152</v>
      </c>
      <c r="AS62" s="97">
        <v>60</v>
      </c>
      <c r="AT62" s="97">
        <f t="shared" si="40"/>
        <v>97.012269324146899</v>
      </c>
      <c r="AW62" s="18">
        <v>2</v>
      </c>
      <c r="AX62" s="18" t="s">
        <v>0</v>
      </c>
      <c r="AY62" s="97">
        <v>0</v>
      </c>
      <c r="AZ62" s="97">
        <v>500</v>
      </c>
      <c r="BA62" s="97">
        <f t="shared" ref="BA62:BA71" si="46">(AY62-AZ62)/((1+0.045)^AW62)</f>
        <v>-457.86497561869015</v>
      </c>
      <c r="BD62" s="18">
        <v>80</v>
      </c>
      <c r="BE62" s="18" t="s">
        <v>92</v>
      </c>
      <c r="BF62" s="97">
        <f>BG29*Inputs!I132</f>
        <v>2895.8110853909466</v>
      </c>
      <c r="BG62" s="97">
        <v>60</v>
      </c>
      <c r="BH62" s="97">
        <f t="shared" si="41"/>
        <v>83.825096121286094</v>
      </c>
      <c r="BL62" s="18">
        <v>30</v>
      </c>
      <c r="BM62" s="18" t="s">
        <v>92</v>
      </c>
      <c r="BN62" s="97">
        <f>BO15*Inputs!H128</f>
        <v>464</v>
      </c>
      <c r="BO62" s="97">
        <v>60</v>
      </c>
      <c r="BP62" s="97">
        <f t="shared" si="43"/>
        <v>107.86800626482922</v>
      </c>
      <c r="BR62" s="207"/>
      <c r="BS62" s="207"/>
      <c r="BT62" s="207"/>
      <c r="BU62" s="207"/>
      <c r="BV62" s="207"/>
    </row>
    <row r="63" spans="1:74" x14ac:dyDescent="0.25">
      <c r="A63" s="18">
        <v>180</v>
      </c>
      <c r="B63" s="18" t="s">
        <v>141</v>
      </c>
      <c r="C63" s="97">
        <f>C31*Inputs!B146</f>
        <v>6400</v>
      </c>
      <c r="D63" s="97">
        <v>60</v>
      </c>
      <c r="E63" s="97">
        <f t="shared" si="33"/>
        <v>2.2969787498735732</v>
      </c>
      <c r="F63" s="117"/>
      <c r="G63" s="138"/>
      <c r="H63" s="296"/>
      <c r="I63" s="173">
        <v>190</v>
      </c>
      <c r="J63" s="172">
        <v>33.299999999999997</v>
      </c>
      <c r="K63" s="173">
        <v>59.3</v>
      </c>
      <c r="L63" s="173">
        <v>27.6</v>
      </c>
      <c r="M63" s="173">
        <v>323</v>
      </c>
      <c r="N63" s="171"/>
      <c r="O63" s="19">
        <f>SUM(M63:N63)</f>
        <v>323</v>
      </c>
      <c r="Q63" s="18">
        <v>60</v>
      </c>
      <c r="R63" s="18" t="s">
        <v>92</v>
      </c>
      <c r="S63" s="97">
        <f>U20*Inputs!D135</f>
        <v>2816</v>
      </c>
      <c r="T63" s="97">
        <v>60</v>
      </c>
      <c r="U63" s="97">
        <f t="shared" si="38"/>
        <v>196.47250682171904</v>
      </c>
      <c r="Z63" s="18">
        <v>60</v>
      </c>
      <c r="AA63" s="18" t="s">
        <v>92</v>
      </c>
      <c r="AB63" s="108">
        <f>(AD21+AB21)*Inputs!E135</f>
        <v>11452</v>
      </c>
      <c r="AC63" s="108">
        <v>60</v>
      </c>
      <c r="AD63" s="108">
        <f t="shared" si="39"/>
        <v>812.12438233418834</v>
      </c>
      <c r="AH63" s="295"/>
      <c r="AI63" s="56">
        <v>55</v>
      </c>
      <c r="AJ63" s="56">
        <f t="shared" si="42"/>
        <v>518.04500000000007</v>
      </c>
      <c r="AK63" s="19">
        <f t="shared" si="44"/>
        <v>48.616576397521833</v>
      </c>
      <c r="AL63" s="131">
        <f t="shared" si="45"/>
        <v>274.96211801239093</v>
      </c>
      <c r="AM63" s="18">
        <f>AJ63/1.2-(0.2/1.2)*SUM(AM55:AM62)</f>
        <v>243.08288198760914</v>
      </c>
      <c r="AP63" s="18">
        <v>60</v>
      </c>
      <c r="AQ63" s="18" t="s">
        <v>92</v>
      </c>
      <c r="AR63" s="97">
        <f>AS22*Inputs!G135</f>
        <v>896</v>
      </c>
      <c r="AS63" s="97">
        <v>60</v>
      </c>
      <c r="AT63" s="97">
        <f t="shared" si="40"/>
        <v>59.597610922698514</v>
      </c>
      <c r="AW63" s="18">
        <v>3</v>
      </c>
      <c r="AX63" s="18" t="s">
        <v>0</v>
      </c>
      <c r="AY63" s="97">
        <v>0</v>
      </c>
      <c r="AZ63" s="97">
        <v>500</v>
      </c>
      <c r="BA63" s="97">
        <f t="shared" si="46"/>
        <v>-438.14830202745469</v>
      </c>
      <c r="BD63" s="18">
        <v>90</v>
      </c>
      <c r="BE63" s="18" t="s">
        <v>92</v>
      </c>
      <c r="BF63" s="97">
        <f>BG30*Inputs!I133</f>
        <v>4140.7206637707668</v>
      </c>
      <c r="BG63" s="97">
        <v>60</v>
      </c>
      <c r="BH63" s="97">
        <f t="shared" si="41"/>
        <v>77.673115805131559</v>
      </c>
      <c r="BL63" s="18">
        <v>35</v>
      </c>
      <c r="BM63" s="18" t="s">
        <v>92</v>
      </c>
      <c r="BN63" s="97">
        <f>BO16*Inputs!H129</f>
        <v>792</v>
      </c>
      <c r="BO63" s="97">
        <v>60</v>
      </c>
      <c r="BP63" s="97">
        <f t="shared" si="43"/>
        <v>156.83425144100283</v>
      </c>
      <c r="BR63" s="207"/>
      <c r="BS63" s="207"/>
      <c r="BT63" s="207"/>
      <c r="BU63" s="207"/>
      <c r="BV63" s="207"/>
    </row>
    <row r="64" spans="1:74" x14ac:dyDescent="0.25">
      <c r="A64" s="18">
        <v>190</v>
      </c>
      <c r="B64" s="18" t="s">
        <v>142</v>
      </c>
      <c r="C64" s="97">
        <f>C32*Inputs!B147</f>
        <v>4640</v>
      </c>
      <c r="D64" s="97">
        <v>60</v>
      </c>
      <c r="E64" s="97">
        <f t="shared" si="33"/>
        <v>1.0684895844666995</v>
      </c>
      <c r="F64" s="117"/>
      <c r="G64" s="138"/>
      <c r="H64" s="117"/>
      <c r="I64" s="117"/>
      <c r="J64" s="117"/>
      <c r="K64" s="117"/>
      <c r="L64" s="117"/>
      <c r="M64" s="117"/>
      <c r="N64" s="117"/>
      <c r="Q64" s="18">
        <v>65</v>
      </c>
      <c r="R64" s="18" t="s">
        <v>144</v>
      </c>
      <c r="S64" s="97">
        <f>(U21+S21)*Inputs!D136</f>
        <v>32604</v>
      </c>
      <c r="T64" s="97">
        <v>60</v>
      </c>
      <c r="U64" s="97">
        <f t="shared" si="38"/>
        <v>1861.7100885426089</v>
      </c>
      <c r="Z64" s="291" t="s">
        <v>145</v>
      </c>
      <c r="AA64" s="292"/>
      <c r="AB64" s="292"/>
      <c r="AC64" s="293"/>
      <c r="AD64" s="107">
        <f>SUM(AD50:AD63)</f>
        <v>-2546.68296526828</v>
      </c>
      <c r="AH64" s="295"/>
      <c r="AI64" s="56">
        <v>60</v>
      </c>
      <c r="AJ64" s="56">
        <f t="shared" si="42"/>
        <v>595.23</v>
      </c>
      <c r="AK64" s="19">
        <f t="shared" si="44"/>
        <v>53.377980331268169</v>
      </c>
      <c r="AL64" s="131">
        <f t="shared" si="45"/>
        <v>328.34009834365912</v>
      </c>
      <c r="AM64" s="18">
        <f>AJ64/1.2-(0.2/1.2)*SUM(AM55:AM63)</f>
        <v>266.88990165634084</v>
      </c>
      <c r="AP64" s="18">
        <v>65</v>
      </c>
      <c r="AQ64" s="18" t="s">
        <v>144</v>
      </c>
      <c r="AR64" s="97">
        <f>(AS23+AR23)*Inputs!G136</f>
        <v>17760</v>
      </c>
      <c r="AS64" s="97">
        <v>60</v>
      </c>
      <c r="AT64" s="97">
        <f t="shared" si="40"/>
        <v>1012.5451255900988</v>
      </c>
      <c r="AW64" s="18">
        <v>4</v>
      </c>
      <c r="AX64" s="18" t="s">
        <v>0</v>
      </c>
      <c r="AY64" s="97">
        <v>0</v>
      </c>
      <c r="AZ64" s="97">
        <v>500</v>
      </c>
      <c r="BA64" s="97">
        <f t="shared" si="46"/>
        <v>-419.28067179660746</v>
      </c>
      <c r="BD64" s="18">
        <v>100</v>
      </c>
      <c r="BE64" s="56" t="s">
        <v>144</v>
      </c>
      <c r="BF64" s="97">
        <f>(BG31+BF31)*Inputs!I134</f>
        <v>36837.34655603821</v>
      </c>
      <c r="BG64" s="97">
        <v>60</v>
      </c>
      <c r="BH64" s="97">
        <f t="shared" si="41"/>
        <v>450.76620391129177</v>
      </c>
      <c r="BL64" s="18">
        <v>40</v>
      </c>
      <c r="BM64" s="18" t="s">
        <v>92</v>
      </c>
      <c r="BN64" s="97">
        <f>BO17*Inputs!H130</f>
        <v>1020</v>
      </c>
      <c r="BO64" s="97">
        <v>60</v>
      </c>
      <c r="BP64" s="97">
        <f t="shared" si="43"/>
        <v>165.05155304391366</v>
      </c>
      <c r="BR64" s="207"/>
      <c r="BS64" s="207"/>
      <c r="BT64" s="207"/>
      <c r="BU64" s="207"/>
      <c r="BV64" s="207"/>
    </row>
    <row r="65" spans="1:74" x14ac:dyDescent="0.25">
      <c r="A65" s="18">
        <v>200</v>
      </c>
      <c r="B65" s="18" t="s">
        <v>144</v>
      </c>
      <c r="C65" s="97">
        <f>C33*Inputs!B148</f>
        <v>94240</v>
      </c>
      <c r="D65" s="97">
        <v>60</v>
      </c>
      <c r="E65" s="97">
        <f>(C65-D65)/((1+0.045)^A65)</f>
        <v>14.148180658372725</v>
      </c>
      <c r="F65" s="117"/>
      <c r="G65" s="138"/>
      <c r="H65" s="117"/>
      <c r="I65" s="117"/>
      <c r="J65" s="117"/>
      <c r="K65" s="117"/>
      <c r="L65" s="117"/>
      <c r="M65" s="117"/>
      <c r="N65" s="117"/>
      <c r="Q65" s="291" t="s">
        <v>145</v>
      </c>
      <c r="R65" s="292"/>
      <c r="S65" s="292"/>
      <c r="T65" s="293"/>
      <c r="U65" s="107">
        <f>SUM(U50:U64)</f>
        <v>-469.08938217533068</v>
      </c>
      <c r="AH65" s="295"/>
      <c r="AI65" s="56">
        <v>65</v>
      </c>
      <c r="AJ65" s="56">
        <f t="shared" si="42"/>
        <v>677.43</v>
      </c>
      <c r="AK65" s="19">
        <f t="shared" si="44"/>
        <v>58.181650276056793</v>
      </c>
      <c r="AL65" s="131">
        <f t="shared" si="45"/>
        <v>386.52174861971594</v>
      </c>
      <c r="AM65" s="18">
        <f>AJ65/1.2-(0.2/1.2)*SUM(AM55:AM64)</f>
        <v>290.90825138028396</v>
      </c>
      <c r="AP65" s="291" t="s">
        <v>149</v>
      </c>
      <c r="AQ65" s="292"/>
      <c r="AR65" s="292"/>
      <c r="AS65" s="293"/>
      <c r="AT65" s="107">
        <f>SUM(AT50:AT64)</f>
        <v>-2106.8381429844317</v>
      </c>
      <c r="AW65" s="18">
        <v>17</v>
      </c>
      <c r="AX65" s="18" t="s">
        <v>92</v>
      </c>
      <c r="AY65" s="97">
        <f>AZ13*Inputs!J126</f>
        <v>464</v>
      </c>
      <c r="AZ65" s="97">
        <v>60</v>
      </c>
      <c r="BA65" s="97">
        <f t="shared" si="46"/>
        <v>191.16325971985103</v>
      </c>
      <c r="BD65" s="297" t="s">
        <v>153</v>
      </c>
      <c r="BE65" s="297"/>
      <c r="BF65" s="297"/>
      <c r="BG65" s="297"/>
      <c r="BH65" s="107">
        <f>SUM(BH52:BH64)</f>
        <v>-2949.2778874529258</v>
      </c>
      <c r="BL65" s="18">
        <v>45</v>
      </c>
      <c r="BM65" s="18" t="s">
        <v>92</v>
      </c>
      <c r="BN65" s="97">
        <f>BO18*Inputs!H131</f>
        <v>900</v>
      </c>
      <c r="BO65" s="97">
        <v>60</v>
      </c>
      <c r="BP65" s="97">
        <f t="shared" si="43"/>
        <v>115.89006753332023</v>
      </c>
      <c r="BR65" s="207"/>
      <c r="BS65" s="207"/>
      <c r="BT65" s="207"/>
      <c r="BU65" s="207"/>
      <c r="BV65" s="207"/>
    </row>
    <row r="66" spans="1:74" ht="16.5" x14ac:dyDescent="0.3">
      <c r="A66" s="291" t="s">
        <v>149</v>
      </c>
      <c r="B66" s="292"/>
      <c r="C66" s="292"/>
      <c r="D66" s="293"/>
      <c r="E66" s="107">
        <f>SUM(E39:E65)</f>
        <v>-4085.3316290902881</v>
      </c>
      <c r="F66" s="118"/>
      <c r="G66" s="139"/>
      <c r="H66" s="290" t="s">
        <v>91</v>
      </c>
      <c r="I66" s="290"/>
      <c r="J66" s="290"/>
      <c r="K66" s="290"/>
      <c r="L66" s="290"/>
      <c r="M66" s="290"/>
      <c r="N66" s="290"/>
      <c r="O66" s="290"/>
      <c r="AH66" s="296"/>
      <c r="AI66" s="56">
        <v>70</v>
      </c>
      <c r="AJ66" s="56">
        <f t="shared" si="42"/>
        <v>764.64499999999998</v>
      </c>
      <c r="AK66" s="19">
        <f>0.2*AM66</f>
        <v>63.020541896714001</v>
      </c>
      <c r="AL66" s="131">
        <f t="shared" si="45"/>
        <v>449.54229051642994</v>
      </c>
      <c r="AM66" s="18">
        <f>AJ66/1.2-(0.2/1.2)*SUM(AM55:AM65)</f>
        <v>315.10270948356998</v>
      </c>
      <c r="AW66" s="18">
        <v>20</v>
      </c>
      <c r="AX66" s="18" t="s">
        <v>92</v>
      </c>
      <c r="AY66" s="97">
        <f>AZ14*Inputs!J127</f>
        <v>528</v>
      </c>
      <c r="AZ66" s="97">
        <v>60</v>
      </c>
      <c r="BA66" s="97">
        <f t="shared" si="46"/>
        <v>194.05285833238557</v>
      </c>
      <c r="BL66" s="18">
        <v>50</v>
      </c>
      <c r="BM66" s="18" t="s">
        <v>92</v>
      </c>
      <c r="BN66" s="97">
        <f>BO19*Inputs!H132</f>
        <v>907.2</v>
      </c>
      <c r="BO66" s="97">
        <v>60</v>
      </c>
      <c r="BP66" s="97">
        <f t="shared" si="43"/>
        <v>93.793215450900504</v>
      </c>
      <c r="BR66" s="207"/>
      <c r="BS66" s="207"/>
      <c r="BT66" s="207"/>
      <c r="BU66" s="207"/>
      <c r="BV66" s="207"/>
    </row>
    <row r="67" spans="1:74" x14ac:dyDescent="0.25">
      <c r="Q67" s="18" t="s">
        <v>146</v>
      </c>
      <c r="R67" s="18" t="s">
        <v>1</v>
      </c>
      <c r="S67" s="18" t="s">
        <v>3</v>
      </c>
      <c r="T67" s="18" t="s">
        <v>4</v>
      </c>
      <c r="U67" s="18" t="s">
        <v>5</v>
      </c>
      <c r="Z67" s="18" t="s">
        <v>146</v>
      </c>
      <c r="AA67" s="18" t="s">
        <v>1</v>
      </c>
      <c r="AB67" s="18" t="s">
        <v>3</v>
      </c>
      <c r="AC67" s="18" t="s">
        <v>4</v>
      </c>
      <c r="AD67" s="18" t="s">
        <v>5</v>
      </c>
      <c r="AP67" s="18" t="s">
        <v>146</v>
      </c>
      <c r="AQ67" s="18" t="s">
        <v>1</v>
      </c>
      <c r="AR67" s="18" t="s">
        <v>136</v>
      </c>
      <c r="AS67" s="18" t="s">
        <v>137</v>
      </c>
      <c r="AT67" s="18" t="s">
        <v>5</v>
      </c>
      <c r="AW67" s="18">
        <v>23</v>
      </c>
      <c r="AX67" s="18" t="s">
        <v>92</v>
      </c>
      <c r="AY67" s="97">
        <f>AZ15*Inputs!J128</f>
        <v>456</v>
      </c>
      <c r="AZ67" s="97">
        <v>60</v>
      </c>
      <c r="BA67" s="97">
        <f t="shared" si="46"/>
        <v>143.88665141553821</v>
      </c>
      <c r="BL67" s="18">
        <v>55</v>
      </c>
      <c r="BM67" s="18" t="s">
        <v>92</v>
      </c>
      <c r="BN67" s="97">
        <f>BO20*Inputs!H133</f>
        <v>712.80000000000007</v>
      </c>
      <c r="BO67" s="97">
        <v>60</v>
      </c>
      <c r="BP67" s="97">
        <f t="shared" si="43"/>
        <v>57.994147815753756</v>
      </c>
      <c r="BR67" s="207"/>
      <c r="BS67" s="207"/>
      <c r="BT67" s="207"/>
      <c r="BU67" s="207"/>
      <c r="BV67" s="207"/>
    </row>
    <row r="68" spans="1:74" ht="16.5" x14ac:dyDescent="0.3">
      <c r="A68" s="119"/>
      <c r="B68" s="119"/>
      <c r="C68" s="119"/>
      <c r="D68" s="119"/>
      <c r="E68" s="119"/>
      <c r="F68" s="119"/>
      <c r="G68" s="119"/>
      <c r="H68" s="18" t="s">
        <v>93</v>
      </c>
      <c r="I68" s="18" t="s">
        <v>1</v>
      </c>
      <c r="J68" s="18" t="s">
        <v>3</v>
      </c>
      <c r="K68" s="18" t="s">
        <v>4</v>
      </c>
      <c r="L68" s="18" t="s">
        <v>5</v>
      </c>
      <c r="M68" s="119"/>
      <c r="N68" s="119"/>
      <c r="Q68" s="18">
        <v>1</v>
      </c>
      <c r="R68" s="18" t="s">
        <v>2</v>
      </c>
      <c r="S68" s="108">
        <v>0</v>
      </c>
      <c r="T68" s="108">
        <v>3000</v>
      </c>
      <c r="U68" s="108">
        <f>(S68-T68)/((1+0.045)^Q68)</f>
        <v>-2870.8133971291868</v>
      </c>
      <c r="Z68" s="18">
        <v>1</v>
      </c>
      <c r="AA68" s="18" t="s">
        <v>2</v>
      </c>
      <c r="AB68" s="108">
        <v>0</v>
      </c>
      <c r="AC68" s="108">
        <v>3000</v>
      </c>
      <c r="AD68" s="108">
        <f>(AB68-AC68)/((1+0.045)^Z68)</f>
        <v>-2870.8133971291868</v>
      </c>
      <c r="AH68" s="18" t="s">
        <v>24</v>
      </c>
      <c r="AI68" s="23" t="s">
        <v>25</v>
      </c>
      <c r="AJ68" s="111" t="s">
        <v>29</v>
      </c>
      <c r="AK68" s="23" t="s">
        <v>27</v>
      </c>
      <c r="AL68" s="23" t="s">
        <v>74</v>
      </c>
      <c r="AM68" s="23" t="s">
        <v>26</v>
      </c>
      <c r="AP68" s="18">
        <v>1</v>
      </c>
      <c r="AQ68" s="18" t="s">
        <v>2</v>
      </c>
      <c r="AR68" s="97">
        <v>0</v>
      </c>
      <c r="AS68" s="97">
        <v>3000</v>
      </c>
      <c r="AT68" s="97">
        <f>(AR68-AS68)/((1+0.045)^AP68)</f>
        <v>-2870.8133971291868</v>
      </c>
      <c r="AW68" s="18">
        <v>26</v>
      </c>
      <c r="AX68" s="18" t="s">
        <v>92</v>
      </c>
      <c r="AY68" s="97">
        <f>AZ16*Inputs!J129</f>
        <v>892.80000000000007</v>
      </c>
      <c r="AZ68" s="97">
        <v>60</v>
      </c>
      <c r="BA68" s="97">
        <f t="shared" si="46"/>
        <v>265.16558939079539</v>
      </c>
      <c r="BL68" s="18">
        <v>60</v>
      </c>
      <c r="BM68" s="18" t="s">
        <v>92</v>
      </c>
      <c r="BN68" s="97">
        <f>BO21*Inputs!H134</f>
        <v>480</v>
      </c>
      <c r="BO68" s="97">
        <v>60</v>
      </c>
      <c r="BP68" s="97">
        <f t="shared" si="43"/>
        <v>29.941383477910737</v>
      </c>
      <c r="BR68" s="207"/>
      <c r="BS68" s="207"/>
      <c r="BT68" s="207"/>
      <c r="BU68" s="207"/>
      <c r="BV68" s="207"/>
    </row>
    <row r="69" spans="1:74" x14ac:dyDescent="0.25">
      <c r="A69" s="40"/>
      <c r="B69" s="40"/>
      <c r="C69" s="40"/>
      <c r="D69" s="40"/>
      <c r="E69" s="40"/>
      <c r="F69" s="40"/>
      <c r="H69" s="18">
        <v>1</v>
      </c>
      <c r="I69" s="18" t="s">
        <v>2</v>
      </c>
      <c r="J69" s="97">
        <v>0</v>
      </c>
      <c r="K69" s="97">
        <v>3000</v>
      </c>
      <c r="L69" s="97">
        <f>(J69-K69)/((1+0.045)^H69)</f>
        <v>-2870.8133971291868</v>
      </c>
      <c r="M69" s="40"/>
      <c r="N69" s="40"/>
      <c r="Q69" s="18">
        <v>2</v>
      </c>
      <c r="R69" s="18" t="s">
        <v>0</v>
      </c>
      <c r="S69" s="108">
        <v>0</v>
      </c>
      <c r="T69" s="108">
        <v>500</v>
      </c>
      <c r="U69" s="108">
        <f t="shared" ref="U69:U82" si="47">(S69-T69)/((1+0.045)^Q69)</f>
        <v>-457.86497561869015</v>
      </c>
      <c r="Z69" s="18">
        <v>2</v>
      </c>
      <c r="AA69" s="18" t="s">
        <v>0</v>
      </c>
      <c r="AB69" s="108">
        <v>0</v>
      </c>
      <c r="AC69" s="108">
        <v>500</v>
      </c>
      <c r="AD69" s="108">
        <f t="shared" ref="AD69:AD81" si="48">(AB69-AC69)/((1+0.045)^Z69)</f>
        <v>-457.86497561869015</v>
      </c>
      <c r="AH69" s="294">
        <v>5</v>
      </c>
      <c r="AI69" s="18">
        <v>15</v>
      </c>
      <c r="AJ69" s="56">
        <f>0.0779*(AI69^2)+2.7975*AI69</f>
        <v>59.489999999999995</v>
      </c>
      <c r="AK69" s="19">
        <f>0.2*AM69</f>
        <v>9.9149999999999991</v>
      </c>
      <c r="AL69" s="19">
        <f>AK69</f>
        <v>9.9149999999999991</v>
      </c>
      <c r="AM69" s="19">
        <f>AJ69/1.2</f>
        <v>49.574999999999996</v>
      </c>
      <c r="AP69" s="18">
        <v>2</v>
      </c>
      <c r="AQ69" s="18" t="s">
        <v>0</v>
      </c>
      <c r="AR69" s="97">
        <v>0</v>
      </c>
      <c r="AS69" s="97">
        <v>500</v>
      </c>
      <c r="AT69" s="97">
        <f t="shared" ref="AT69:AT82" si="49">(AR69-AS69)/((1+0.045)^AP69)</f>
        <v>-457.86497561869015</v>
      </c>
      <c r="AW69" s="18">
        <v>30</v>
      </c>
      <c r="AX69" s="18" t="s">
        <v>92</v>
      </c>
      <c r="AY69" s="97">
        <f>AZ17*Inputs!J130</f>
        <v>1560</v>
      </c>
      <c r="AZ69" s="97">
        <v>60</v>
      </c>
      <c r="BA69" s="97">
        <f t="shared" si="46"/>
        <v>400.50002326050452</v>
      </c>
      <c r="BL69" s="18">
        <v>65</v>
      </c>
      <c r="BM69" s="18" t="s">
        <v>92</v>
      </c>
      <c r="BN69" s="97">
        <f>(BO22+BN22)*Inputs!H135</f>
        <v>12824</v>
      </c>
      <c r="BO69" s="97">
        <v>60</v>
      </c>
      <c r="BP69" s="97">
        <f t="shared" si="43"/>
        <v>730.17660921084871</v>
      </c>
      <c r="BR69" s="207"/>
      <c r="BS69" s="207"/>
      <c r="BT69" s="207"/>
      <c r="BU69" s="207"/>
      <c r="BV69" s="207"/>
    </row>
    <row r="70" spans="1:74" x14ac:dyDescent="0.25">
      <c r="A70" s="40"/>
      <c r="B70" s="40"/>
      <c r="C70" s="40"/>
      <c r="D70" s="40"/>
      <c r="E70" s="40"/>
      <c r="F70" s="40"/>
      <c r="H70" s="18">
        <v>2</v>
      </c>
      <c r="I70" s="18" t="s">
        <v>0</v>
      </c>
      <c r="J70" s="97">
        <v>0</v>
      </c>
      <c r="K70" s="97">
        <v>500</v>
      </c>
      <c r="L70" s="97">
        <f t="shared" ref="L70:L88" si="50">(J70-K70)/((1+0.045)^H70)</f>
        <v>-457.86497561869015</v>
      </c>
      <c r="M70" s="40"/>
      <c r="N70" s="40"/>
      <c r="Q70" s="18">
        <v>3</v>
      </c>
      <c r="R70" s="18" t="s">
        <v>0</v>
      </c>
      <c r="S70" s="108">
        <v>0</v>
      </c>
      <c r="T70" s="108">
        <v>500</v>
      </c>
      <c r="U70" s="108">
        <f t="shared" si="47"/>
        <v>-438.14830202745469</v>
      </c>
      <c r="Z70" s="18">
        <v>3</v>
      </c>
      <c r="AA70" s="18" t="s">
        <v>0</v>
      </c>
      <c r="AB70" s="108">
        <v>0</v>
      </c>
      <c r="AC70" s="108">
        <v>500</v>
      </c>
      <c r="AD70" s="108">
        <f>(AB70-AC70)/((1+0.045)^Z70)</f>
        <v>-438.14830202745469</v>
      </c>
      <c r="AH70" s="295"/>
      <c r="AI70" s="18">
        <v>20</v>
      </c>
      <c r="AJ70" s="56">
        <f t="shared" ref="AJ70:AJ79" si="51">0.0779*(AI70^2)+2.7975*AI70</f>
        <v>87.11</v>
      </c>
      <c r="AK70" s="19">
        <f>0.2*AM70</f>
        <v>12.865833333333335</v>
      </c>
      <c r="AL70" s="19">
        <f>AK70+AL69</f>
        <v>22.780833333333334</v>
      </c>
      <c r="AM70" s="19">
        <f>AJ70/1.2-(0.2/1.2)*SUM(AM69)</f>
        <v>64.329166666666666</v>
      </c>
      <c r="AP70" s="18">
        <v>3</v>
      </c>
      <c r="AQ70" s="18" t="s">
        <v>0</v>
      </c>
      <c r="AR70" s="97">
        <v>0</v>
      </c>
      <c r="AS70" s="97">
        <v>500</v>
      </c>
      <c r="AT70" s="97">
        <f t="shared" si="49"/>
        <v>-438.14830202745469</v>
      </c>
      <c r="AW70" s="18">
        <v>34</v>
      </c>
      <c r="AX70" s="18" t="s">
        <v>92</v>
      </c>
      <c r="AY70" s="97">
        <f>AZ18*Inputs!J131</f>
        <v>1536</v>
      </c>
      <c r="AZ70" s="97">
        <v>60</v>
      </c>
      <c r="BA70" s="97">
        <f t="shared" si="46"/>
        <v>330.47033621261147</v>
      </c>
      <c r="BL70" s="297" t="s">
        <v>153</v>
      </c>
      <c r="BM70" s="297"/>
      <c r="BN70" s="297"/>
      <c r="BO70" s="297"/>
      <c r="BP70" s="107">
        <f>SUM(BP56:BP69)</f>
        <v>-2621.1420265976521</v>
      </c>
      <c r="BR70" s="207"/>
      <c r="BS70" s="207"/>
      <c r="BT70" s="207"/>
      <c r="BU70" s="207"/>
      <c r="BV70" s="207"/>
    </row>
    <row r="71" spans="1:74" x14ac:dyDescent="0.25">
      <c r="A71" s="40"/>
      <c r="B71" s="40"/>
      <c r="C71" s="40"/>
      <c r="D71" s="40"/>
      <c r="E71" s="40"/>
      <c r="F71" s="40"/>
      <c r="H71" s="18">
        <v>3</v>
      </c>
      <c r="I71" s="18" t="s">
        <v>0</v>
      </c>
      <c r="J71" s="97">
        <v>0</v>
      </c>
      <c r="K71" s="97">
        <v>500</v>
      </c>
      <c r="L71" s="97">
        <f t="shared" si="50"/>
        <v>-438.14830202745469</v>
      </c>
      <c r="M71" s="40"/>
      <c r="N71" s="40"/>
      <c r="Q71" s="18">
        <v>4</v>
      </c>
      <c r="R71" s="18" t="s">
        <v>0</v>
      </c>
      <c r="S71" s="108">
        <v>0</v>
      </c>
      <c r="T71" s="108">
        <v>500</v>
      </c>
      <c r="U71" s="108">
        <f t="shared" si="47"/>
        <v>-419.28067179660746</v>
      </c>
      <c r="Z71" s="18">
        <v>4</v>
      </c>
      <c r="AA71" s="18" t="s">
        <v>0</v>
      </c>
      <c r="AB71" s="108">
        <v>0</v>
      </c>
      <c r="AC71" s="108">
        <v>500</v>
      </c>
      <c r="AD71" s="108">
        <f t="shared" si="48"/>
        <v>-419.28067179660746</v>
      </c>
      <c r="AH71" s="295"/>
      <c r="AI71" s="18">
        <v>25</v>
      </c>
      <c r="AJ71" s="56">
        <f t="shared" si="51"/>
        <v>118.625</v>
      </c>
      <c r="AK71" s="19">
        <f>0.2*AM71</f>
        <v>15.974027777777778</v>
      </c>
      <c r="AL71" s="19">
        <f>AK71+AL70</f>
        <v>38.754861111111111</v>
      </c>
      <c r="AM71" s="19">
        <f>AJ71/1.2-(0.2/1.2)*SUM(AM69:AM70)</f>
        <v>79.870138888888889</v>
      </c>
      <c r="AP71" s="18">
        <v>4</v>
      </c>
      <c r="AQ71" s="18" t="s">
        <v>0</v>
      </c>
      <c r="AR71" s="97">
        <v>0</v>
      </c>
      <c r="AS71" s="97">
        <v>500</v>
      </c>
      <c r="AT71" s="97">
        <f t="shared" si="49"/>
        <v>-419.28067179660746</v>
      </c>
      <c r="AW71" s="18">
        <v>38</v>
      </c>
      <c r="AX71" s="18" t="s">
        <v>144</v>
      </c>
      <c r="AY71" s="97">
        <f>(AZ19+AY19)*Inputs!J132</f>
        <v>23584</v>
      </c>
      <c r="AZ71" s="97">
        <v>60</v>
      </c>
      <c r="BA71" s="97">
        <f t="shared" si="46"/>
        <v>4416.6413459723244</v>
      </c>
      <c r="BR71" s="207"/>
      <c r="BS71" s="207"/>
      <c r="BT71" s="207"/>
      <c r="BU71" s="207"/>
      <c r="BV71" s="207"/>
    </row>
    <row r="72" spans="1:74" x14ac:dyDescent="0.25">
      <c r="A72" s="40"/>
      <c r="B72" s="40"/>
      <c r="C72" s="40"/>
      <c r="D72" s="40"/>
      <c r="E72" s="40"/>
      <c r="F72" s="40"/>
      <c r="H72" s="18">
        <v>4</v>
      </c>
      <c r="I72" s="18" t="s">
        <v>0</v>
      </c>
      <c r="J72" s="97">
        <v>0</v>
      </c>
      <c r="K72" s="97">
        <v>500</v>
      </c>
      <c r="L72" s="97">
        <f t="shared" si="50"/>
        <v>-419.28067179660746</v>
      </c>
      <c r="M72" s="40"/>
      <c r="N72" s="40"/>
      <c r="Q72" s="18">
        <v>15</v>
      </c>
      <c r="R72" s="18" t="s">
        <v>92</v>
      </c>
      <c r="S72" s="108">
        <f>U23*Inputs!D126</f>
        <v>0</v>
      </c>
      <c r="T72" s="108">
        <v>60</v>
      </c>
      <c r="U72" s="108">
        <f t="shared" si="47"/>
        <v>-31.003226538946077</v>
      </c>
      <c r="Z72" s="18">
        <v>15</v>
      </c>
      <c r="AA72" s="18" t="s">
        <v>92</v>
      </c>
      <c r="AB72" s="108">
        <f>AD23*Inputs!E126</f>
        <v>0</v>
      </c>
      <c r="AC72" s="108">
        <v>60</v>
      </c>
      <c r="AD72" s="108">
        <f>(AB72-AC72)/((1+0.045)^Z72)</f>
        <v>-31.003226538946077</v>
      </c>
      <c r="AH72" s="295"/>
      <c r="AI72" s="18">
        <v>30</v>
      </c>
      <c r="AJ72" s="56">
        <f t="shared" si="51"/>
        <v>154.035</v>
      </c>
      <c r="AK72" s="19">
        <f>0.2*AM72</f>
        <v>19.213356481481483</v>
      </c>
      <c r="AL72" s="122">
        <f>AK72+AL71</f>
        <v>57.968217592592595</v>
      </c>
      <c r="AM72" s="95">
        <f>AJ72/1.2-(0.2/1.2)*SUM(AM69:AM71)</f>
        <v>96.066782407407416</v>
      </c>
      <c r="AP72" s="18">
        <v>22</v>
      </c>
      <c r="AQ72" s="18" t="s">
        <v>92</v>
      </c>
      <c r="AR72" s="97">
        <f>AS25*Inputs!G126</f>
        <v>128</v>
      </c>
      <c r="AS72" s="97">
        <v>60</v>
      </c>
      <c r="AT72" s="97">
        <f>(AR72-AS72)/((1+0.045)^AP72)</f>
        <v>25.819660226232692</v>
      </c>
      <c r="AW72" s="297" t="s">
        <v>149</v>
      </c>
      <c r="AX72" s="297"/>
      <c r="AY72" s="297"/>
      <c r="AZ72" s="297"/>
      <c r="BA72" s="107">
        <f>SUM(BA61:BA71)</f>
        <v>1755.7727177320717</v>
      </c>
      <c r="BL72" s="18" t="s">
        <v>146</v>
      </c>
      <c r="BM72" s="18" t="s">
        <v>1</v>
      </c>
      <c r="BN72" s="18" t="s">
        <v>3</v>
      </c>
      <c r="BO72" s="18" t="s">
        <v>4</v>
      </c>
      <c r="BP72" s="18" t="s">
        <v>5</v>
      </c>
      <c r="BR72" s="207"/>
      <c r="BS72" s="207"/>
      <c r="BT72" s="207"/>
      <c r="BU72" s="207"/>
      <c r="BV72" s="207"/>
    </row>
    <row r="73" spans="1:74" x14ac:dyDescent="0.25">
      <c r="H73" s="18">
        <v>29</v>
      </c>
      <c r="I73" s="97" t="s">
        <v>258</v>
      </c>
      <c r="J73" s="97">
        <f>N13*Inputs!C126</f>
        <v>0</v>
      </c>
      <c r="K73" s="97">
        <f>150</f>
        <v>150</v>
      </c>
      <c r="L73" s="97">
        <f t="shared" si="50"/>
        <v>-41.852252430722707</v>
      </c>
      <c r="Q73" s="18">
        <v>20</v>
      </c>
      <c r="R73" s="18" t="s">
        <v>92</v>
      </c>
      <c r="S73" s="108">
        <f>U24*Inputs!D127</f>
        <v>0</v>
      </c>
      <c r="T73" s="108">
        <v>60</v>
      </c>
      <c r="U73" s="108">
        <f t="shared" si="47"/>
        <v>-24.878571581075072</v>
      </c>
      <c r="Z73" s="18">
        <v>20</v>
      </c>
      <c r="AA73" s="18" t="s">
        <v>92</v>
      </c>
      <c r="AB73" s="108">
        <f>AD24*Inputs!E127</f>
        <v>120</v>
      </c>
      <c r="AC73" s="108">
        <v>60</v>
      </c>
      <c r="AD73" s="108">
        <f t="shared" si="48"/>
        <v>24.878571581075072</v>
      </c>
      <c r="AH73" s="295"/>
      <c r="AI73" s="56">
        <v>35</v>
      </c>
      <c r="AJ73" s="56">
        <f t="shared" si="51"/>
        <v>193.33999999999997</v>
      </c>
      <c r="AK73" s="19">
        <f t="shared" ref="AK73:AK80" si="52">0.2*AM73</f>
        <v>22.561963734567897</v>
      </c>
      <c r="AL73" s="131">
        <f t="shared" ref="AL73:AL79" si="53">AK73+AL72</f>
        <v>80.530181327160491</v>
      </c>
      <c r="AM73" s="18">
        <f>AJ73/1.2-(0.2/1.2)*SUM(AM69:AM72)</f>
        <v>112.80981867283948</v>
      </c>
      <c r="AP73" s="18">
        <v>25</v>
      </c>
      <c r="AQ73" s="18" t="s">
        <v>92</v>
      </c>
      <c r="AR73" s="97">
        <f>AS26*Inputs!G127</f>
        <v>136</v>
      </c>
      <c r="AS73" s="97">
        <v>60</v>
      </c>
      <c r="AT73" s="97">
        <f t="shared" si="49"/>
        <v>25.28752534752277</v>
      </c>
      <c r="BL73" s="18">
        <v>1</v>
      </c>
      <c r="BM73" s="18" t="s">
        <v>2</v>
      </c>
      <c r="BN73" s="97">
        <v>0</v>
      </c>
      <c r="BO73" s="97">
        <v>3000</v>
      </c>
      <c r="BP73" s="97">
        <f>(BN73-BO73)/((1+0.045)^BL73)</f>
        <v>-2870.8133971291868</v>
      </c>
      <c r="BR73" s="207"/>
      <c r="BS73" s="207"/>
      <c r="BT73" s="207"/>
      <c r="BU73" s="207"/>
      <c r="BV73" s="207"/>
    </row>
    <row r="74" spans="1:74" x14ac:dyDescent="0.25">
      <c r="H74" s="18">
        <v>37</v>
      </c>
      <c r="I74" s="97" t="s">
        <v>20</v>
      </c>
      <c r="J74" s="97">
        <f>N14*Inputs!C127</f>
        <v>0</v>
      </c>
      <c r="K74" s="97">
        <f>150</f>
        <v>150</v>
      </c>
      <c r="L74" s="97">
        <f t="shared" si="50"/>
        <v>-29.429881439430442</v>
      </c>
      <c r="Q74" s="18">
        <v>25</v>
      </c>
      <c r="R74" s="18" t="s">
        <v>92</v>
      </c>
      <c r="S74" s="108">
        <f>U25*Inputs!D128</f>
        <v>168</v>
      </c>
      <c r="T74" s="108">
        <v>60</v>
      </c>
      <c r="U74" s="108">
        <f t="shared" si="47"/>
        <v>35.934904441216567</v>
      </c>
      <c r="Z74" s="18">
        <v>25</v>
      </c>
      <c r="AA74" s="18" t="s">
        <v>92</v>
      </c>
      <c r="AB74" s="108">
        <f>AD25*Inputs!E128</f>
        <v>176</v>
      </c>
      <c r="AC74" s="108">
        <v>60</v>
      </c>
      <c r="AD74" s="108">
        <f t="shared" si="48"/>
        <v>38.59674921464002</v>
      </c>
      <c r="AH74" s="295"/>
      <c r="AI74" s="56">
        <v>40</v>
      </c>
      <c r="AJ74" s="56">
        <f t="shared" si="51"/>
        <v>236.54</v>
      </c>
      <c r="AK74" s="19">
        <f>0.2*AM74</f>
        <v>26.001636445473252</v>
      </c>
      <c r="AL74" s="131">
        <f t="shared" si="53"/>
        <v>106.53181777263374</v>
      </c>
      <c r="AM74" s="18">
        <f>AJ74/1.2-(0.2/1.2)*SUM(AM69:AM73)</f>
        <v>130.00818222736626</v>
      </c>
      <c r="AP74" s="18">
        <v>30</v>
      </c>
      <c r="AQ74" s="18" t="s">
        <v>92</v>
      </c>
      <c r="AR74" s="97">
        <f>AS27*Inputs!G128</f>
        <v>272</v>
      </c>
      <c r="AS74" s="97">
        <v>60</v>
      </c>
      <c r="AT74" s="97">
        <f t="shared" si="49"/>
        <v>56.604003287484637</v>
      </c>
      <c r="AW74" s="18" t="s">
        <v>146</v>
      </c>
      <c r="AX74" s="18" t="s">
        <v>1</v>
      </c>
      <c r="AY74" s="18" t="s">
        <v>136</v>
      </c>
      <c r="AZ74" s="18" t="s">
        <v>137</v>
      </c>
      <c r="BA74" t="s">
        <v>5</v>
      </c>
      <c r="BL74" s="18">
        <v>2</v>
      </c>
      <c r="BM74" s="18" t="s">
        <v>0</v>
      </c>
      <c r="BN74" s="97">
        <v>0</v>
      </c>
      <c r="BO74" s="97">
        <v>500</v>
      </c>
      <c r="BP74" s="97">
        <f t="shared" ref="BP74:BP87" si="54">(BN74-BO74)/((1+0.045)^BL74)</f>
        <v>-457.86497561869015</v>
      </c>
      <c r="BR74" s="207"/>
      <c r="BS74" s="207"/>
      <c r="BT74" s="207"/>
      <c r="BU74" s="207"/>
      <c r="BV74" s="207"/>
    </row>
    <row r="75" spans="1:74" x14ac:dyDescent="0.25">
      <c r="H75" s="18">
        <v>45</v>
      </c>
      <c r="I75" s="97" t="s">
        <v>21</v>
      </c>
      <c r="J75" s="97">
        <f>N15*Inputs!C128</f>
        <v>800</v>
      </c>
      <c r="K75" s="97">
        <f>150</f>
        <v>150</v>
      </c>
      <c r="L75" s="97">
        <f t="shared" si="50"/>
        <v>89.676837972212084</v>
      </c>
      <c r="Q75" s="18">
        <v>30</v>
      </c>
      <c r="R75" s="18" t="s">
        <v>92</v>
      </c>
      <c r="S75" s="108">
        <f>U26*Inputs!D129</f>
        <v>691.2</v>
      </c>
      <c r="T75" s="108">
        <v>60</v>
      </c>
      <c r="U75" s="108">
        <f t="shared" si="47"/>
        <v>168.53040978802031</v>
      </c>
      <c r="Z75" s="18">
        <v>30</v>
      </c>
      <c r="AA75" s="18" t="s">
        <v>92</v>
      </c>
      <c r="AB75" s="108">
        <f>AD26*Inputs!E129</f>
        <v>446.40000000000003</v>
      </c>
      <c r="AC75" s="108">
        <v>60</v>
      </c>
      <c r="AD75" s="108">
        <f t="shared" si="48"/>
        <v>103.16880599190597</v>
      </c>
      <c r="AH75" s="295"/>
      <c r="AI75" s="56">
        <v>45</v>
      </c>
      <c r="AJ75" s="56">
        <f t="shared" si="51"/>
        <v>283.63499999999999</v>
      </c>
      <c r="AK75" s="19">
        <f t="shared" si="52"/>
        <v>29.51719703789438</v>
      </c>
      <c r="AL75" s="131">
        <f t="shared" si="53"/>
        <v>136.04901481052812</v>
      </c>
      <c r="AM75" s="18">
        <f>AJ75/1.2-(0.2/1.2)*SUM(AM69:AM74)</f>
        <v>147.5859851894719</v>
      </c>
      <c r="AP75" s="18">
        <v>35</v>
      </c>
      <c r="AQ75" s="18" t="s">
        <v>92</v>
      </c>
      <c r="AR75" s="97">
        <f>AS28*Inputs!G129</f>
        <v>492</v>
      </c>
      <c r="AS75" s="97">
        <v>60</v>
      </c>
      <c r="AT75" s="97">
        <f t="shared" si="49"/>
        <v>92.557918883214782</v>
      </c>
      <c r="AW75" s="18">
        <v>1</v>
      </c>
      <c r="AX75" s="18" t="s">
        <v>2</v>
      </c>
      <c r="AY75" s="97">
        <v>0</v>
      </c>
      <c r="AZ75" s="97">
        <v>3000</v>
      </c>
      <c r="BA75" s="97">
        <f>(AY75-AZ75)/((1+0.045)^AW75)</f>
        <v>-2870.8133971291868</v>
      </c>
      <c r="BL75" s="18">
        <v>3</v>
      </c>
      <c r="BM75" s="18" t="s">
        <v>0</v>
      </c>
      <c r="BN75" s="97">
        <v>0</v>
      </c>
      <c r="BO75" s="97">
        <v>500</v>
      </c>
      <c r="BP75" s="97">
        <f t="shared" si="54"/>
        <v>-438.14830202745469</v>
      </c>
      <c r="BR75" s="207"/>
      <c r="BS75" s="207"/>
      <c r="BT75" s="207"/>
      <c r="BU75" s="207"/>
      <c r="BV75" s="207"/>
    </row>
    <row r="76" spans="1:74" x14ac:dyDescent="0.25">
      <c r="H76" s="18">
        <v>53</v>
      </c>
      <c r="I76" s="97" t="s">
        <v>122</v>
      </c>
      <c r="J76" s="97">
        <f>N16*Inputs!C129</f>
        <v>1680</v>
      </c>
      <c r="K76" s="97">
        <f>150</f>
        <v>150</v>
      </c>
      <c r="L76" s="97">
        <f t="shared" si="50"/>
        <v>148.43217016054331</v>
      </c>
      <c r="Q76" s="18">
        <v>35</v>
      </c>
      <c r="R76" s="18" t="s">
        <v>92</v>
      </c>
      <c r="S76" s="108">
        <f>U27*Inputs!D130</f>
        <v>1220</v>
      </c>
      <c r="T76" s="108">
        <v>60</v>
      </c>
      <c r="U76" s="108">
        <f t="shared" si="47"/>
        <v>248.53515255678045</v>
      </c>
      <c r="Z76" s="18">
        <v>35</v>
      </c>
      <c r="AA76" s="18" t="s">
        <v>92</v>
      </c>
      <c r="AB76" s="108">
        <f>AD27*Inputs!E130</f>
        <v>700</v>
      </c>
      <c r="AC76" s="108">
        <v>60</v>
      </c>
      <c r="AD76" s="108">
        <f t="shared" si="48"/>
        <v>137.12284278994784</v>
      </c>
      <c r="AH76" s="295"/>
      <c r="AI76" s="56">
        <v>50</v>
      </c>
      <c r="AJ76" s="56">
        <f t="shared" si="51"/>
        <v>334.625</v>
      </c>
      <c r="AK76" s="19">
        <f t="shared" si="52"/>
        <v>33.095997531578654</v>
      </c>
      <c r="AL76" s="131">
        <f t="shared" si="53"/>
        <v>169.14501234210678</v>
      </c>
      <c r="AM76" s="18">
        <f>AJ76/1.2-(0.2/1.2)*SUM(AM69:AM75)</f>
        <v>165.47998765789325</v>
      </c>
      <c r="AP76" s="18">
        <v>40</v>
      </c>
      <c r="AQ76" s="18" t="s">
        <v>92</v>
      </c>
      <c r="AR76" s="97">
        <f>AS29*Inputs!G130</f>
        <v>820</v>
      </c>
      <c r="AS76" s="97">
        <v>60</v>
      </c>
      <c r="AT76" s="97">
        <f t="shared" si="49"/>
        <v>130.66581282643165</v>
      </c>
      <c r="AW76" s="18">
        <v>2</v>
      </c>
      <c r="AX76" s="18" t="s">
        <v>0</v>
      </c>
      <c r="AY76" s="97">
        <v>0</v>
      </c>
      <c r="AZ76" s="97">
        <v>500</v>
      </c>
      <c r="BA76" s="97">
        <f t="shared" ref="BA76:BA84" si="55">(AY76-AZ76)/((1+0.045)^AW76)</f>
        <v>-457.86497561869015</v>
      </c>
      <c r="BL76" s="18">
        <v>4</v>
      </c>
      <c r="BM76" s="18" t="s">
        <v>0</v>
      </c>
      <c r="BN76" s="97">
        <v>0</v>
      </c>
      <c r="BO76" s="97">
        <v>500</v>
      </c>
      <c r="BP76" s="97">
        <f t="shared" si="54"/>
        <v>-419.28067179660746</v>
      </c>
      <c r="BR76" s="207"/>
      <c r="BS76" s="207"/>
      <c r="BT76" s="207"/>
      <c r="BU76" s="207"/>
      <c r="BV76" s="207"/>
    </row>
    <row r="77" spans="1:74" x14ac:dyDescent="0.25">
      <c r="H77" s="18">
        <v>61</v>
      </c>
      <c r="I77" s="97" t="s">
        <v>123</v>
      </c>
      <c r="J77" s="97">
        <f>N17*Inputs!C130</f>
        <v>1720</v>
      </c>
      <c r="K77" s="97">
        <f>150</f>
        <v>150</v>
      </c>
      <c r="L77" s="97">
        <f t="shared" si="50"/>
        <v>107.1040602878101</v>
      </c>
      <c r="Q77" s="18">
        <v>40</v>
      </c>
      <c r="R77" s="18" t="s">
        <v>92</v>
      </c>
      <c r="S77" s="108">
        <f>U28*Inputs!D131</f>
        <v>1300</v>
      </c>
      <c r="T77" s="108">
        <v>60</v>
      </c>
      <c r="U77" s="108">
        <f t="shared" si="47"/>
        <v>213.1915893483885</v>
      </c>
      <c r="Z77" s="18">
        <v>40</v>
      </c>
      <c r="AA77" s="18" t="s">
        <v>92</v>
      </c>
      <c r="AB77" s="108">
        <f>AD28*Inputs!E131</f>
        <v>920</v>
      </c>
      <c r="AC77" s="108">
        <v>60</v>
      </c>
      <c r="AD77" s="108">
        <f t="shared" si="48"/>
        <v>147.85868293517265</v>
      </c>
      <c r="AH77" s="295"/>
      <c r="AI77" s="56">
        <v>55</v>
      </c>
      <c r="AJ77" s="56">
        <f t="shared" si="51"/>
        <v>389.51</v>
      </c>
      <c r="AK77" s="19">
        <f t="shared" si="52"/>
        <v>36.727497942982204</v>
      </c>
      <c r="AL77" s="131">
        <f t="shared" si="53"/>
        <v>205.87251028508899</v>
      </c>
      <c r="AM77" s="18">
        <f>AJ77/1.2-(0.2/1.2)*SUM(AM69:AM76)</f>
        <v>183.63748971491103</v>
      </c>
      <c r="AP77" s="18">
        <v>45</v>
      </c>
      <c r="AQ77" s="18" t="s">
        <v>92</v>
      </c>
      <c r="AR77" s="97">
        <f>AS30*Inputs!G131</f>
        <v>820</v>
      </c>
      <c r="AS77" s="97">
        <v>60</v>
      </c>
      <c r="AT77" s="97">
        <f t="shared" si="49"/>
        <v>104.85291824443259</v>
      </c>
      <c r="AW77" s="18">
        <v>3</v>
      </c>
      <c r="AX77" s="18" t="s">
        <v>0</v>
      </c>
      <c r="AY77" s="97">
        <v>0</v>
      </c>
      <c r="AZ77" s="97">
        <v>500</v>
      </c>
      <c r="BA77" s="97">
        <f t="shared" si="55"/>
        <v>-438.14830202745469</v>
      </c>
      <c r="BL77" s="18">
        <v>22</v>
      </c>
      <c r="BM77" s="18" t="s">
        <v>92</v>
      </c>
      <c r="BN77" s="97">
        <f>BO24*Inputs!H126</f>
        <v>72</v>
      </c>
      <c r="BO77" s="97">
        <v>60</v>
      </c>
      <c r="BP77" s="97">
        <f t="shared" si="54"/>
        <v>4.5564106281587105</v>
      </c>
      <c r="BR77" s="207"/>
      <c r="BS77" s="207"/>
      <c r="BT77" s="207"/>
      <c r="BU77" s="207"/>
      <c r="BV77" s="207"/>
    </row>
    <row r="78" spans="1:74" x14ac:dyDescent="0.25">
      <c r="H78" s="18">
        <v>69</v>
      </c>
      <c r="I78" s="97" t="s">
        <v>124</v>
      </c>
      <c r="J78" s="97">
        <f>N18*Inputs!C131</f>
        <v>2400</v>
      </c>
      <c r="K78" s="97">
        <f>150</f>
        <v>150</v>
      </c>
      <c r="L78" s="97">
        <f t="shared" si="50"/>
        <v>107.93405096994836</v>
      </c>
      <c r="Q78" s="18">
        <v>45</v>
      </c>
      <c r="R78" s="18" t="s">
        <v>92</v>
      </c>
      <c r="S78" s="108">
        <f>U29*Inputs!D132</f>
        <v>1932</v>
      </c>
      <c r="T78" s="108">
        <v>60</v>
      </c>
      <c r="U78" s="108">
        <f t="shared" si="47"/>
        <v>258.26929335997079</v>
      </c>
      <c r="Z78" s="18">
        <v>45</v>
      </c>
      <c r="AA78" s="18" t="s">
        <v>92</v>
      </c>
      <c r="AB78" s="108">
        <f>AD29*Inputs!E132</f>
        <v>1176</v>
      </c>
      <c r="AC78" s="108">
        <v>60</v>
      </c>
      <c r="AD78" s="108">
        <f t="shared" si="48"/>
        <v>153.96823257998258</v>
      </c>
      <c r="AH78" s="295"/>
      <c r="AI78" s="56">
        <v>60</v>
      </c>
      <c r="AJ78" s="56">
        <f t="shared" si="51"/>
        <v>448.28999999999996</v>
      </c>
      <c r="AK78" s="19">
        <f t="shared" si="52"/>
        <v>40.402914952485162</v>
      </c>
      <c r="AL78" s="131">
        <f t="shared" si="53"/>
        <v>246.27542523757415</v>
      </c>
      <c r="AM78" s="18">
        <f>AJ78/1.2-(0.2/1.2)*SUM(AM69:AM77)</f>
        <v>202.01457476242581</v>
      </c>
      <c r="AP78" s="18">
        <v>50</v>
      </c>
      <c r="AQ78" s="18" t="s">
        <v>92</v>
      </c>
      <c r="AR78" s="97">
        <f>AS31*Inputs!G132</f>
        <v>1060</v>
      </c>
      <c r="AS78" s="97">
        <v>60</v>
      </c>
      <c r="AT78" s="97">
        <f t="shared" si="49"/>
        <v>110.70964996565215</v>
      </c>
      <c r="AW78" s="18">
        <v>4</v>
      </c>
      <c r="AX78" s="18" t="s">
        <v>0</v>
      </c>
      <c r="AY78" s="97">
        <v>0</v>
      </c>
      <c r="AZ78" s="97">
        <v>500</v>
      </c>
      <c r="BA78" s="97">
        <f t="shared" si="55"/>
        <v>-419.28067179660746</v>
      </c>
      <c r="BL78" s="18">
        <v>25</v>
      </c>
      <c r="BM78" s="18" t="s">
        <v>92</v>
      </c>
      <c r="BN78" s="97">
        <f>BO25*Inputs!H127</f>
        <v>168</v>
      </c>
      <c r="BO78" s="97">
        <v>60</v>
      </c>
      <c r="BP78" s="97">
        <f t="shared" si="54"/>
        <v>35.934904441216567</v>
      </c>
      <c r="BR78" s="207"/>
      <c r="BS78" s="207"/>
      <c r="BT78" s="207"/>
      <c r="BU78" s="207"/>
      <c r="BV78" s="207"/>
    </row>
    <row r="79" spans="1:74" x14ac:dyDescent="0.25">
      <c r="H79" s="18">
        <v>77</v>
      </c>
      <c r="I79" s="97" t="s">
        <v>125</v>
      </c>
      <c r="J79" s="97">
        <f>N19*Inputs!C132</f>
        <v>5280</v>
      </c>
      <c r="K79" s="97">
        <f>150</f>
        <v>150</v>
      </c>
      <c r="L79" s="97">
        <f t="shared" si="50"/>
        <v>173.04657208509119</v>
      </c>
      <c r="Q79" s="18">
        <v>50</v>
      </c>
      <c r="R79" s="18" t="s">
        <v>92</v>
      </c>
      <c r="S79" s="108">
        <f>U30*Inputs!D133</f>
        <v>2336</v>
      </c>
      <c r="T79" s="108">
        <v>60</v>
      </c>
      <c r="U79" s="108">
        <f t="shared" si="47"/>
        <v>251.97516332182428</v>
      </c>
      <c r="Z79" s="18">
        <v>50</v>
      </c>
      <c r="AA79" s="18" t="s">
        <v>92</v>
      </c>
      <c r="AB79" s="108">
        <f>AD30*Inputs!E133</f>
        <v>812</v>
      </c>
      <c r="AC79" s="108">
        <v>60</v>
      </c>
      <c r="AD79" s="108">
        <f t="shared" si="48"/>
        <v>83.253656774170423</v>
      </c>
      <c r="AH79" s="295"/>
      <c r="AI79" s="56">
        <v>65</v>
      </c>
      <c r="AJ79" s="56">
        <f t="shared" si="51"/>
        <v>510.96500000000003</v>
      </c>
      <c r="AK79" s="19">
        <f t="shared" si="52"/>
        <v>44.114929127070987</v>
      </c>
      <c r="AL79" s="131">
        <f t="shared" si="53"/>
        <v>290.39035436464513</v>
      </c>
      <c r="AM79" s="18">
        <f>AJ79/1.2-(0.2/1.2)*SUM(AM69:AM78)</f>
        <v>220.57464563535493</v>
      </c>
      <c r="AP79" s="18">
        <v>58</v>
      </c>
      <c r="AQ79" s="18" t="s">
        <v>92</v>
      </c>
      <c r="AR79" s="97">
        <f>AS32*Inputs!G133</f>
        <v>1560</v>
      </c>
      <c r="AS79" s="97">
        <v>60</v>
      </c>
      <c r="AT79" s="97">
        <f t="shared" si="49"/>
        <v>116.77406890166239</v>
      </c>
      <c r="AW79" s="18">
        <v>18</v>
      </c>
      <c r="AX79" s="18" t="s">
        <v>92</v>
      </c>
      <c r="AY79" s="97">
        <f>AZ21*Inputs!J126</f>
        <v>384</v>
      </c>
      <c r="AZ79" s="97">
        <v>60</v>
      </c>
      <c r="BA79" s="97">
        <f t="shared" si="55"/>
        <v>146.70731950644688</v>
      </c>
      <c r="BL79" s="18">
        <v>30</v>
      </c>
      <c r="BM79" s="18" t="s">
        <v>92</v>
      </c>
      <c r="BN79" s="97">
        <f>BO26*Inputs!H128</f>
        <v>288</v>
      </c>
      <c r="BO79" s="97">
        <v>60</v>
      </c>
      <c r="BP79" s="97">
        <f t="shared" si="54"/>
        <v>60.876003535596688</v>
      </c>
      <c r="BR79" s="207"/>
      <c r="BS79" s="207"/>
      <c r="BT79" s="207"/>
      <c r="BU79" s="207"/>
      <c r="BV79" s="207"/>
    </row>
    <row r="80" spans="1:74" x14ac:dyDescent="0.25">
      <c r="H80" s="18">
        <v>85</v>
      </c>
      <c r="I80" s="97" t="s">
        <v>126</v>
      </c>
      <c r="J80" s="97">
        <f>N20*Inputs!C133</f>
        <v>4080</v>
      </c>
      <c r="K80" s="97">
        <f>150</f>
        <v>150</v>
      </c>
      <c r="L80" s="97">
        <f t="shared" si="50"/>
        <v>93.219734648986204</v>
      </c>
      <c r="Q80" s="18">
        <v>55</v>
      </c>
      <c r="R80" s="18" t="s">
        <v>92</v>
      </c>
      <c r="S80" s="108">
        <f>U31*Inputs!D134</f>
        <v>2448</v>
      </c>
      <c r="T80" s="108">
        <v>60</v>
      </c>
      <c r="U80" s="108">
        <f t="shared" si="47"/>
        <v>212.14770984071683</v>
      </c>
      <c r="Z80" s="18">
        <v>55</v>
      </c>
      <c r="AA80" s="18" t="s">
        <v>92</v>
      </c>
      <c r="AB80" s="108">
        <f>AD31*Inputs!E134</f>
        <v>420</v>
      </c>
      <c r="AC80" s="108">
        <v>60</v>
      </c>
      <c r="AD80" s="108">
        <f t="shared" si="48"/>
        <v>31.982066810158319</v>
      </c>
      <c r="AH80" s="296"/>
      <c r="AI80" s="56">
        <v>70</v>
      </c>
      <c r="AJ80" s="56">
        <f>0.0779*(AI80^2)+2.7975*AI80</f>
        <v>577.53499999999997</v>
      </c>
      <c r="AK80" s="19">
        <f t="shared" si="52"/>
        <v>47.857440939225796</v>
      </c>
      <c r="AL80" s="131">
        <f>AK80+AL79</f>
        <v>338.24779530387093</v>
      </c>
      <c r="AM80" s="18">
        <f>AJ80/1.2-(0.2/1.2)*SUM(AM69:AM79)</f>
        <v>239.28720469612898</v>
      </c>
      <c r="AP80" s="18">
        <v>66</v>
      </c>
      <c r="AQ80" s="18" t="s">
        <v>92</v>
      </c>
      <c r="AR80" s="97">
        <f>AS33*Inputs!G134</f>
        <v>1560</v>
      </c>
      <c r="AS80" s="97">
        <v>60</v>
      </c>
      <c r="AT80" s="97">
        <f t="shared" si="49"/>
        <v>82.11378846728563</v>
      </c>
      <c r="AW80" s="18">
        <v>21</v>
      </c>
      <c r="AX80" s="18" t="s">
        <v>92</v>
      </c>
      <c r="AY80" s="97">
        <f>AZ22*Inputs!J127</f>
        <v>360</v>
      </c>
      <c r="AZ80" s="97">
        <v>60</v>
      </c>
      <c r="BA80" s="97">
        <f t="shared" si="55"/>
        <v>119.03622766064626</v>
      </c>
      <c r="BL80" s="18">
        <v>35</v>
      </c>
      <c r="BM80" s="18" t="s">
        <v>92</v>
      </c>
      <c r="BN80" s="97">
        <f>BO27*Inputs!H129</f>
        <v>705.6</v>
      </c>
      <c r="BO80" s="97">
        <v>60</v>
      </c>
      <c r="BP80" s="97">
        <f t="shared" si="54"/>
        <v>138.32266766435987</v>
      </c>
      <c r="BR80" s="207"/>
      <c r="BS80" s="207"/>
      <c r="BT80" s="207"/>
      <c r="BU80" s="207"/>
      <c r="BV80" s="207"/>
    </row>
    <row r="81" spans="8:74" x14ac:dyDescent="0.25">
      <c r="H81" s="18">
        <v>95</v>
      </c>
      <c r="I81" s="97" t="s">
        <v>127</v>
      </c>
      <c r="J81" s="97">
        <f>N21*Inputs!C134</f>
        <v>3840</v>
      </c>
      <c r="K81" s="97">
        <f>150</f>
        <v>150</v>
      </c>
      <c r="L81" s="97">
        <f t="shared" si="50"/>
        <v>56.361010848803197</v>
      </c>
      <c r="Q81" s="18">
        <v>60</v>
      </c>
      <c r="R81" s="18" t="s">
        <v>92</v>
      </c>
      <c r="S81" s="108">
        <f>U32*Inputs!D135</f>
        <v>2684</v>
      </c>
      <c r="T81" s="108">
        <v>60</v>
      </c>
      <c r="U81" s="108">
        <f t="shared" si="47"/>
        <v>187.06235772866137</v>
      </c>
      <c r="Z81" s="18">
        <v>60</v>
      </c>
      <c r="AA81" s="18" t="s">
        <v>92</v>
      </c>
      <c r="AB81" s="108">
        <f>(AD32+AB32)*Inputs!E135</f>
        <v>8848</v>
      </c>
      <c r="AC81" s="108">
        <v>60</v>
      </c>
      <c r="AD81" s="108">
        <f t="shared" si="48"/>
        <v>626.48780477114178</v>
      </c>
      <c r="AP81" s="18">
        <v>74</v>
      </c>
      <c r="AQ81" s="18" t="s">
        <v>92</v>
      </c>
      <c r="AR81" s="97">
        <f>AS34*Inputs!G135</f>
        <v>1036</v>
      </c>
      <c r="AS81" s="97">
        <v>60</v>
      </c>
      <c r="AT81" s="97">
        <f t="shared" si="49"/>
        <v>37.570270729866593</v>
      </c>
      <c r="AW81" s="18">
        <v>24</v>
      </c>
      <c r="AX81" s="18" t="s">
        <v>92</v>
      </c>
      <c r="AY81" s="97">
        <f>AZ23*Inputs!J128</f>
        <v>400</v>
      </c>
      <c r="AZ81" s="97">
        <v>60</v>
      </c>
      <c r="BA81" s="97">
        <f t="shared" si="55"/>
        <v>118.21918099966895</v>
      </c>
      <c r="BL81" s="18">
        <v>40</v>
      </c>
      <c r="BM81" s="18" t="s">
        <v>92</v>
      </c>
      <c r="BN81" s="97">
        <f>BO28*Inputs!H130</f>
        <v>840</v>
      </c>
      <c r="BO81" s="97">
        <v>60</v>
      </c>
      <c r="BP81" s="97">
        <f t="shared" si="54"/>
        <v>134.10438684817987</v>
      </c>
      <c r="BR81" s="207"/>
      <c r="BS81" s="207"/>
      <c r="BT81" s="207"/>
      <c r="BU81" s="207"/>
      <c r="BV81" s="207"/>
    </row>
    <row r="82" spans="8:74" ht="16.5" x14ac:dyDescent="0.3">
      <c r="H82" s="18">
        <v>105</v>
      </c>
      <c r="I82" s="97" t="s">
        <v>128</v>
      </c>
      <c r="J82" s="97">
        <f>N22*Inputs!C135</f>
        <v>5160</v>
      </c>
      <c r="K82" s="97">
        <f>150</f>
        <v>150</v>
      </c>
      <c r="L82" s="97">
        <f t="shared" si="50"/>
        <v>49.275067619085988</v>
      </c>
      <c r="Q82" s="18">
        <v>65</v>
      </c>
      <c r="R82" s="18" t="s">
        <v>144</v>
      </c>
      <c r="S82" s="108">
        <f>(U33+S33)*Inputs!D136</f>
        <v>30800</v>
      </c>
      <c r="T82" s="108">
        <v>60</v>
      </c>
      <c r="U82" s="108">
        <f t="shared" si="47"/>
        <v>1758.5105740474371</v>
      </c>
      <c r="Z82" s="291" t="s">
        <v>145</v>
      </c>
      <c r="AA82" s="292"/>
      <c r="AB82" s="292"/>
      <c r="AC82" s="293"/>
      <c r="AD82" s="107">
        <f>SUM(AD68:AD81)</f>
        <v>-2869.7931596626904</v>
      </c>
      <c r="AH82" s="290" t="s">
        <v>91</v>
      </c>
      <c r="AI82" s="290"/>
      <c r="AJ82" s="290"/>
      <c r="AK82" s="290"/>
      <c r="AL82" s="290"/>
      <c r="AM82" s="290"/>
      <c r="AP82" s="18">
        <v>82</v>
      </c>
      <c r="AQ82" s="18" t="s">
        <v>144</v>
      </c>
      <c r="AR82" s="97">
        <f>(AS35+AR35)*Inputs!G136</f>
        <v>18144</v>
      </c>
      <c r="AS82" s="97">
        <v>60</v>
      </c>
      <c r="AT82" s="97">
        <f t="shared" si="49"/>
        <v>489.50674646689487</v>
      </c>
      <c r="AW82" s="18">
        <v>28</v>
      </c>
      <c r="AX82" s="18" t="s">
        <v>92</v>
      </c>
      <c r="AY82" s="97">
        <f>AZ24*Inputs!J129</f>
        <v>1152</v>
      </c>
      <c r="AZ82" s="97">
        <v>60</v>
      </c>
      <c r="BA82" s="97">
        <f t="shared" si="55"/>
        <v>318.39519559196611</v>
      </c>
      <c r="BL82" s="18">
        <v>45</v>
      </c>
      <c r="BM82" s="18" t="s">
        <v>92</v>
      </c>
      <c r="BN82" s="97">
        <f>BO29*Inputs!H131</f>
        <v>760</v>
      </c>
      <c r="BO82" s="97">
        <v>60</v>
      </c>
      <c r="BP82" s="97">
        <f t="shared" si="54"/>
        <v>96.575056277766862</v>
      </c>
      <c r="BR82" s="207"/>
      <c r="BS82" s="207"/>
      <c r="BT82" s="207"/>
      <c r="BU82" s="207"/>
      <c r="BV82" s="207"/>
    </row>
    <row r="83" spans="8:74" x14ac:dyDescent="0.25">
      <c r="H83" s="56">
        <v>115</v>
      </c>
      <c r="I83" s="97" t="s">
        <v>129</v>
      </c>
      <c r="J83" s="97">
        <f>N23*Inputs!C136</f>
        <v>5280</v>
      </c>
      <c r="K83" s="97">
        <f>150</f>
        <v>150</v>
      </c>
      <c r="L83" s="97">
        <f t="shared" si="50"/>
        <v>32.48957001571987</v>
      </c>
      <c r="Q83" s="291" t="s">
        <v>145</v>
      </c>
      <c r="R83" s="292"/>
      <c r="S83" s="292"/>
      <c r="T83" s="293"/>
      <c r="U83" s="107">
        <f>SUM(U68:U82)</f>
        <v>-907.83199025894532</v>
      </c>
      <c r="AP83" s="297" t="s">
        <v>149</v>
      </c>
      <c r="AQ83" s="297"/>
      <c r="AR83" s="297"/>
      <c r="AS83" s="297"/>
      <c r="AT83" s="107">
        <f>SUM(AT68:AT82)</f>
        <v>-2913.6449832252579</v>
      </c>
      <c r="AW83" s="18">
        <v>32</v>
      </c>
      <c r="AX83" s="18" t="s">
        <v>92</v>
      </c>
      <c r="AY83" s="97">
        <f>AZ25*Inputs!J130</f>
        <v>1120</v>
      </c>
      <c r="AZ83" s="97">
        <v>60</v>
      </c>
      <c r="BA83" s="97">
        <f t="shared" si="55"/>
        <v>259.16990585144413</v>
      </c>
      <c r="BL83" s="18">
        <v>50</v>
      </c>
      <c r="BM83" s="18" t="s">
        <v>92</v>
      </c>
      <c r="BN83" s="97">
        <f>BO30*Inputs!H132</f>
        <v>799.2</v>
      </c>
      <c r="BO83" s="97">
        <v>60</v>
      </c>
      <c r="BP83" s="97">
        <f t="shared" si="54"/>
        <v>81.836573254610073</v>
      </c>
      <c r="BR83" s="207"/>
      <c r="BS83" s="207"/>
      <c r="BT83" s="207"/>
      <c r="BU83" s="207"/>
      <c r="BV83" s="207"/>
    </row>
    <row r="84" spans="8:74" x14ac:dyDescent="0.25">
      <c r="H84" s="56">
        <v>125</v>
      </c>
      <c r="I84" s="97" t="s">
        <v>130</v>
      </c>
      <c r="J84" s="97">
        <f>N24*Inputs!C137</f>
        <v>5640</v>
      </c>
      <c r="K84" s="97">
        <f>150</f>
        <v>150</v>
      </c>
      <c r="L84" s="97">
        <f t="shared" si="50"/>
        <v>22.389069195313905</v>
      </c>
      <c r="AH84" s="18" t="s">
        <v>93</v>
      </c>
      <c r="AI84" s="18" t="s">
        <v>1</v>
      </c>
      <c r="AJ84" s="18" t="s">
        <v>3</v>
      </c>
      <c r="AK84" s="18" t="s">
        <v>4</v>
      </c>
      <c r="AL84" s="18" t="s">
        <v>5</v>
      </c>
      <c r="AW84" s="18">
        <v>36</v>
      </c>
      <c r="AX84" s="18" t="s">
        <v>92</v>
      </c>
      <c r="AY84" s="97">
        <f>AZ26*Inputs!J131</f>
        <v>1872</v>
      </c>
      <c r="AZ84" s="97">
        <v>60</v>
      </c>
      <c r="BA84" s="97">
        <f t="shared" si="55"/>
        <v>371.51105133879412</v>
      </c>
      <c r="BL84" s="18">
        <v>58</v>
      </c>
      <c r="BM84" s="18" t="s">
        <v>92</v>
      </c>
      <c r="BN84" s="97">
        <f>BO31*Inputs!H133</f>
        <v>1036.8000000000002</v>
      </c>
      <c r="BO84" s="97">
        <v>60</v>
      </c>
      <c r="BP84" s="97">
        <f t="shared" si="54"/>
        <v>76.043273668762552</v>
      </c>
      <c r="BR84" s="207"/>
      <c r="BS84" s="207"/>
      <c r="BT84" s="207"/>
      <c r="BU84" s="207"/>
      <c r="BV84" s="207"/>
    </row>
    <row r="85" spans="8:74" x14ac:dyDescent="0.25">
      <c r="H85" s="56">
        <v>135</v>
      </c>
      <c r="I85" s="97" t="s">
        <v>131</v>
      </c>
      <c r="J85" s="97">
        <f>N25*Inputs!C138</f>
        <v>8000</v>
      </c>
      <c r="K85" s="97">
        <f>150</f>
        <v>150</v>
      </c>
      <c r="L85" s="97">
        <f t="shared" si="50"/>
        <v>20.614388018857476</v>
      </c>
      <c r="Q85" s="18" t="s">
        <v>147</v>
      </c>
      <c r="R85" s="18" t="s">
        <v>1</v>
      </c>
      <c r="S85" s="18" t="s">
        <v>136</v>
      </c>
      <c r="T85" s="18" t="s">
        <v>137</v>
      </c>
      <c r="U85" s="18" t="s">
        <v>5</v>
      </c>
      <c r="Z85" s="18" t="s">
        <v>147</v>
      </c>
      <c r="AA85" s="18" t="s">
        <v>1</v>
      </c>
      <c r="AB85" s="18" t="s">
        <v>3</v>
      </c>
      <c r="AC85" s="18" t="s">
        <v>4</v>
      </c>
      <c r="AD85" s="18" t="s">
        <v>5</v>
      </c>
      <c r="AH85" s="18">
        <v>1</v>
      </c>
      <c r="AI85" s="18" t="s">
        <v>2</v>
      </c>
      <c r="AJ85" s="97">
        <v>0</v>
      </c>
      <c r="AK85" s="97">
        <v>3000</v>
      </c>
      <c r="AL85" s="97">
        <f>(AJ85-AK85)/((1+0.045)^AH85)</f>
        <v>-2870.8133971291868</v>
      </c>
      <c r="AP85" s="18" t="s">
        <v>147</v>
      </c>
      <c r="AQ85" s="18" t="s">
        <v>1</v>
      </c>
      <c r="AR85" s="18" t="s">
        <v>136</v>
      </c>
      <c r="AS85" s="18" t="s">
        <v>137</v>
      </c>
      <c r="AT85" s="18" t="s">
        <v>5</v>
      </c>
      <c r="AW85" s="18">
        <v>42</v>
      </c>
      <c r="AX85" s="18" t="s">
        <v>144</v>
      </c>
      <c r="AY85" s="97">
        <f>(AZ27+AY27)*Inputs!J132</f>
        <v>24512</v>
      </c>
      <c r="AZ85" s="97">
        <v>60</v>
      </c>
      <c r="BA85" s="97">
        <f>(AY85-AZ85)/((1+0.045)^AW85)</f>
        <v>3849.7292635144363</v>
      </c>
      <c r="BL85" s="18">
        <v>66</v>
      </c>
      <c r="BM85" s="18" t="s">
        <v>92</v>
      </c>
      <c r="BN85" s="97">
        <f>BO32*Inputs!H134</f>
        <v>1200</v>
      </c>
      <c r="BO85" s="97">
        <v>60</v>
      </c>
      <c r="BP85" s="97">
        <f t="shared" si="54"/>
        <v>62.406479235137077</v>
      </c>
      <c r="BR85" s="207"/>
      <c r="BS85" s="207"/>
      <c r="BT85" s="207"/>
      <c r="BU85" s="207"/>
      <c r="BV85" s="207"/>
    </row>
    <row r="86" spans="8:74" x14ac:dyDescent="0.25">
      <c r="H86" s="56">
        <v>145</v>
      </c>
      <c r="I86" s="97" t="s">
        <v>132</v>
      </c>
      <c r="J86" s="97">
        <f>N26*Inputs!C139</f>
        <v>7040</v>
      </c>
      <c r="K86" s="97">
        <f>150</f>
        <v>150</v>
      </c>
      <c r="L86" s="97">
        <f t="shared" si="50"/>
        <v>11.650836483296301</v>
      </c>
      <c r="Q86" s="18">
        <v>1</v>
      </c>
      <c r="R86" s="18" t="s">
        <v>2</v>
      </c>
      <c r="S86" s="108">
        <v>0</v>
      </c>
      <c r="T86" s="108">
        <v>3000</v>
      </c>
      <c r="U86" s="108">
        <f>(S86-T86)/((1+0.045)^Q86)</f>
        <v>-2870.8133971291868</v>
      </c>
      <c r="Z86" s="18">
        <v>1</v>
      </c>
      <c r="AA86" s="18" t="s">
        <v>2</v>
      </c>
      <c r="AB86" s="108">
        <v>0</v>
      </c>
      <c r="AC86" s="108">
        <v>3000</v>
      </c>
      <c r="AD86" s="108">
        <f>(AB86-AC86)/((1+0.045)^Z86)</f>
        <v>-2870.8133971291868</v>
      </c>
      <c r="AH86" s="18">
        <v>2</v>
      </c>
      <c r="AI86" s="18" t="s">
        <v>0</v>
      </c>
      <c r="AJ86" s="97">
        <v>0</v>
      </c>
      <c r="AK86" s="97">
        <v>500</v>
      </c>
      <c r="AL86" s="97">
        <f t="shared" ref="AL86:AL99" si="56">(AJ86-AK86)/((1+0.045)^AH86)</f>
        <v>-457.86497561869015</v>
      </c>
      <c r="AP86" s="18">
        <v>1</v>
      </c>
      <c r="AQ86" s="18" t="s">
        <v>2</v>
      </c>
      <c r="AR86" s="97">
        <v>0</v>
      </c>
      <c r="AS86" s="97">
        <v>3000</v>
      </c>
      <c r="AT86" s="97">
        <f>(AR86-AS86)/((1+0.045)^AP86)</f>
        <v>-2870.8133971291868</v>
      </c>
      <c r="AW86" s="297" t="s">
        <v>149</v>
      </c>
      <c r="AX86" s="297"/>
      <c r="AY86" s="297"/>
      <c r="AZ86" s="297"/>
      <c r="BA86" s="107">
        <f>SUM(BA75:BA85)</f>
        <v>996.66079789146306</v>
      </c>
      <c r="BL86" s="18">
        <v>74</v>
      </c>
      <c r="BM86" s="18" t="s">
        <v>92</v>
      </c>
      <c r="BN86" s="97">
        <f>BO33*Inputs!H135</f>
        <v>560</v>
      </c>
      <c r="BO86" s="97">
        <v>60</v>
      </c>
      <c r="BP86" s="97">
        <f t="shared" si="54"/>
        <v>19.247064923087393</v>
      </c>
      <c r="BR86" s="207"/>
      <c r="BS86" s="207"/>
      <c r="BT86" s="207"/>
      <c r="BU86" s="207"/>
      <c r="BV86" s="207"/>
    </row>
    <row r="87" spans="8:74" x14ac:dyDescent="0.25">
      <c r="H87" s="56">
        <v>155</v>
      </c>
      <c r="I87" s="97" t="s">
        <v>133</v>
      </c>
      <c r="J87" s="97">
        <f>N27*Inputs!C140</f>
        <v>8160</v>
      </c>
      <c r="K87" s="97">
        <f>150</f>
        <v>150</v>
      </c>
      <c r="L87" s="97">
        <f t="shared" si="50"/>
        <v>8.721827576851144</v>
      </c>
      <c r="Q87" s="18">
        <v>2</v>
      </c>
      <c r="R87" s="18" t="s">
        <v>0</v>
      </c>
      <c r="S87" s="108">
        <v>0</v>
      </c>
      <c r="T87" s="108">
        <v>500</v>
      </c>
      <c r="U87" s="108">
        <f t="shared" ref="U87:U100" si="57">(S87-T87)/((1+0.045)^Q87)</f>
        <v>-457.86497561869015</v>
      </c>
      <c r="Z87" s="18">
        <v>2</v>
      </c>
      <c r="AA87" s="18" t="s">
        <v>0</v>
      </c>
      <c r="AB87" s="108">
        <v>0</v>
      </c>
      <c r="AC87" s="108">
        <v>500</v>
      </c>
      <c r="AD87" s="108">
        <f>(AB87-AC87)/((1+0.045)^Z87)</f>
        <v>-457.86497561869015</v>
      </c>
      <c r="AH87" s="18">
        <v>3</v>
      </c>
      <c r="AI87" s="18" t="s">
        <v>0</v>
      </c>
      <c r="AJ87" s="97">
        <v>0</v>
      </c>
      <c r="AK87" s="97">
        <v>500</v>
      </c>
      <c r="AL87" s="97">
        <f t="shared" si="56"/>
        <v>-438.14830202745469</v>
      </c>
      <c r="AP87" s="18">
        <v>2</v>
      </c>
      <c r="AQ87" s="18" t="s">
        <v>0</v>
      </c>
      <c r="AR87" s="97">
        <v>0</v>
      </c>
      <c r="AS87" s="97">
        <v>500</v>
      </c>
      <c r="AT87" s="97">
        <f t="shared" ref="AT87:AT97" si="58">(AR87-AS87)/((1+0.045)^AP87)</f>
        <v>-457.86497561869015</v>
      </c>
      <c r="BL87" s="24">
        <v>82</v>
      </c>
      <c r="BM87" s="18" t="s">
        <v>92</v>
      </c>
      <c r="BN87" s="97">
        <f>(BO34+BN34)*Inputs!H136</f>
        <v>13497.6</v>
      </c>
      <c r="BO87" s="97">
        <v>60</v>
      </c>
      <c r="BP87" s="97">
        <f t="shared" si="54"/>
        <v>363.73567000240803</v>
      </c>
      <c r="BR87" s="207"/>
      <c r="BS87" s="207"/>
      <c r="BT87" s="207"/>
      <c r="BU87" s="207"/>
      <c r="BV87" s="207"/>
    </row>
    <row r="88" spans="8:74" x14ac:dyDescent="0.25">
      <c r="H88" s="56">
        <v>165</v>
      </c>
      <c r="I88" s="97" t="s">
        <v>134</v>
      </c>
      <c r="J88" s="97">
        <f>N28*Inputs!C141</f>
        <v>7200</v>
      </c>
      <c r="K88" s="97">
        <f>150</f>
        <v>150</v>
      </c>
      <c r="L88" s="97">
        <f t="shared" si="50"/>
        <v>4.9431204510766094</v>
      </c>
      <c r="Q88" s="18">
        <v>3</v>
      </c>
      <c r="R88" s="18" t="s">
        <v>0</v>
      </c>
      <c r="S88" s="108">
        <v>0</v>
      </c>
      <c r="T88" s="108">
        <v>500</v>
      </c>
      <c r="U88" s="108">
        <f t="shared" si="57"/>
        <v>-438.14830202745469</v>
      </c>
      <c r="Z88" s="18">
        <v>3</v>
      </c>
      <c r="AA88" s="18" t="s">
        <v>0</v>
      </c>
      <c r="AB88" s="108">
        <v>0</v>
      </c>
      <c r="AC88" s="108">
        <v>500</v>
      </c>
      <c r="AD88" s="108">
        <f>(AB88-AC88)/((1+0.045)^Z88)</f>
        <v>-438.14830202745469</v>
      </c>
      <c r="AH88" s="18">
        <v>4</v>
      </c>
      <c r="AI88" s="18" t="s">
        <v>0</v>
      </c>
      <c r="AJ88" s="97">
        <v>0</v>
      </c>
      <c r="AK88" s="97">
        <v>500</v>
      </c>
      <c r="AL88" s="97">
        <f t="shared" si="56"/>
        <v>-419.28067179660746</v>
      </c>
      <c r="AP88" s="18">
        <v>3</v>
      </c>
      <c r="AQ88" s="18" t="s">
        <v>0</v>
      </c>
      <c r="AR88" s="97">
        <v>0</v>
      </c>
      <c r="AS88" s="97">
        <v>500</v>
      </c>
      <c r="AT88" s="97">
        <f t="shared" si="58"/>
        <v>-438.14830202745469</v>
      </c>
      <c r="AW88" s="18" t="s">
        <v>147</v>
      </c>
      <c r="AX88" s="18" t="s">
        <v>1</v>
      </c>
      <c r="AY88" s="18" t="s">
        <v>136</v>
      </c>
      <c r="AZ88" s="18" t="s">
        <v>137</v>
      </c>
      <c r="BA88" t="s">
        <v>5</v>
      </c>
      <c r="BL88" s="297" t="s">
        <v>153</v>
      </c>
      <c r="BM88" s="297"/>
      <c r="BN88" s="297"/>
      <c r="BO88" s="297"/>
      <c r="BP88" s="107">
        <f>SUM(BP73:BP87)</f>
        <v>-3112.4688560926561</v>
      </c>
      <c r="BR88" s="207"/>
      <c r="BS88" s="207"/>
      <c r="BT88" s="207"/>
      <c r="BU88" s="207"/>
      <c r="BV88" s="207"/>
    </row>
    <row r="89" spans="8:74" x14ac:dyDescent="0.25">
      <c r="H89" s="56">
        <v>170</v>
      </c>
      <c r="I89" s="175" t="s">
        <v>144</v>
      </c>
      <c r="J89" s="97">
        <f>(N29+M29)*Inputs!C142</f>
        <v>71680</v>
      </c>
      <c r="K89" s="97">
        <f>150</f>
        <v>150</v>
      </c>
      <c r="L89" s="97">
        <f>(J89-K89)/((1+0.045)^H89)</f>
        <v>40.245641015597386</v>
      </c>
      <c r="Q89" s="18">
        <v>4</v>
      </c>
      <c r="R89" s="18" t="s">
        <v>0</v>
      </c>
      <c r="S89" s="108">
        <v>0</v>
      </c>
      <c r="T89" s="108">
        <v>500</v>
      </c>
      <c r="U89" s="108">
        <f t="shared" si="57"/>
        <v>-419.28067179660746</v>
      </c>
      <c r="Z89" s="18">
        <v>4</v>
      </c>
      <c r="AA89" s="18" t="s">
        <v>0</v>
      </c>
      <c r="AB89" s="108">
        <v>0</v>
      </c>
      <c r="AC89" s="108">
        <v>500</v>
      </c>
      <c r="AD89" s="108">
        <f>(AB89-AC89)/((1+0.045)^Z89)</f>
        <v>-419.28067179660746</v>
      </c>
      <c r="AH89" s="18">
        <v>15</v>
      </c>
      <c r="AI89" s="18" t="s">
        <v>92</v>
      </c>
      <c r="AJ89" s="97">
        <f>AK13*Inputs!$F$126</f>
        <v>80</v>
      </c>
      <c r="AK89" s="97">
        <v>60</v>
      </c>
      <c r="AL89" s="97">
        <f t="shared" si="56"/>
        <v>10.334408846315359</v>
      </c>
      <c r="AP89" s="18">
        <v>4</v>
      </c>
      <c r="AQ89" s="18" t="s">
        <v>0</v>
      </c>
      <c r="AR89" s="97">
        <v>0</v>
      </c>
      <c r="AS89" s="97">
        <v>500</v>
      </c>
      <c r="AT89" s="97">
        <f t="shared" si="58"/>
        <v>-419.28067179660746</v>
      </c>
      <c r="AW89" s="18">
        <v>1</v>
      </c>
      <c r="AX89" s="18" t="s">
        <v>2</v>
      </c>
      <c r="AY89" s="97">
        <v>0</v>
      </c>
      <c r="AZ89" s="97">
        <v>3000</v>
      </c>
      <c r="BA89" s="97">
        <f>(AY89-AZ89)/((1+0.045)^AW89)</f>
        <v>-2870.8133971291868</v>
      </c>
      <c r="BR89" s="207"/>
      <c r="BS89" s="207"/>
      <c r="BT89" s="207"/>
      <c r="BU89" s="207"/>
      <c r="BV89" s="207"/>
    </row>
    <row r="90" spans="8:74" x14ac:dyDescent="0.25">
      <c r="H90" s="118" t="s">
        <v>145</v>
      </c>
      <c r="I90" s="118"/>
      <c r="J90" s="118"/>
      <c r="K90" s="118"/>
      <c r="L90" s="118">
        <f>SUM(L69:L89)</f>
        <v>-3291.2855230928999</v>
      </c>
      <c r="Q90" s="18">
        <v>15</v>
      </c>
      <c r="R90" s="18" t="s">
        <v>92</v>
      </c>
      <c r="S90" s="108">
        <f>U35*Inputs!D126</f>
        <v>0</v>
      </c>
      <c r="T90" s="108">
        <v>60</v>
      </c>
      <c r="U90" s="108">
        <f t="shared" si="57"/>
        <v>-31.003226538946077</v>
      </c>
      <c r="Z90" s="18">
        <v>15</v>
      </c>
      <c r="AA90" s="18" t="s">
        <v>92</v>
      </c>
      <c r="AB90" s="108">
        <f>AD34*Inputs!E126</f>
        <v>0</v>
      </c>
      <c r="AC90" s="108">
        <v>60</v>
      </c>
      <c r="AD90" s="108">
        <f>(AB90-AC90)/((1+0.045)^Z90)</f>
        <v>-31.003226538946077</v>
      </c>
      <c r="AH90" s="18">
        <v>20</v>
      </c>
      <c r="AI90" s="18" t="s">
        <v>92</v>
      </c>
      <c r="AJ90" s="97">
        <f>AK14*Inputs!$F$126</f>
        <v>120.76016666666668</v>
      </c>
      <c r="AK90" s="97">
        <v>60</v>
      </c>
      <c r="AL90" s="97">
        <f t="shared" si="56"/>
        <v>25.193769261578641</v>
      </c>
      <c r="AP90" s="18">
        <v>27</v>
      </c>
      <c r="AQ90" s="18" t="s">
        <v>92</v>
      </c>
      <c r="AR90" s="97">
        <f>AS37*Inputs!G126</f>
        <v>120</v>
      </c>
      <c r="AS90" s="97">
        <v>60</v>
      </c>
      <c r="AT90" s="97">
        <f t="shared" si="58"/>
        <v>18.281482384263985</v>
      </c>
      <c r="AW90" s="18">
        <v>2</v>
      </c>
      <c r="AX90" s="18" t="s">
        <v>0</v>
      </c>
      <c r="AY90" s="97">
        <v>0</v>
      </c>
      <c r="AZ90" s="97">
        <v>500</v>
      </c>
      <c r="BA90" s="97">
        <f t="shared" ref="BA90:BA98" si="59">(AY90-AZ90)/((1+0.045)^AW90)</f>
        <v>-457.86497561869015</v>
      </c>
      <c r="BL90" s="18" t="s">
        <v>147</v>
      </c>
      <c r="BM90" s="18" t="s">
        <v>1</v>
      </c>
      <c r="BN90" s="18" t="s">
        <v>3</v>
      </c>
      <c r="BO90" s="18" t="s">
        <v>4</v>
      </c>
      <c r="BP90" s="18" t="s">
        <v>5</v>
      </c>
      <c r="BR90" s="207"/>
      <c r="BS90" s="207"/>
      <c r="BT90" s="207"/>
      <c r="BU90" s="207"/>
      <c r="BV90" s="207"/>
    </row>
    <row r="91" spans="8:74" x14ac:dyDescent="0.25">
      <c r="Q91" s="18">
        <v>20</v>
      </c>
      <c r="R91" s="18" t="s">
        <v>92</v>
      </c>
      <c r="S91" s="108">
        <f>U36*Inputs!D127</f>
        <v>0</v>
      </c>
      <c r="T91" s="108">
        <v>60</v>
      </c>
      <c r="U91" s="108">
        <f t="shared" si="57"/>
        <v>-24.878571581075072</v>
      </c>
      <c r="Z91" s="18">
        <v>20</v>
      </c>
      <c r="AA91" s="18" t="s">
        <v>92</v>
      </c>
      <c r="AB91" s="108">
        <f>AD35*Inputs!E127</f>
        <v>64</v>
      </c>
      <c r="AC91" s="108">
        <v>60</v>
      </c>
      <c r="AD91" s="108">
        <f t="shared" ref="AD91:AD99" si="60">(AB91-AC91)/((1+0.045)^Z91)</f>
        <v>1.6585714387383381</v>
      </c>
      <c r="AH91" s="18">
        <v>25</v>
      </c>
      <c r="AI91" s="18" t="s">
        <v>92</v>
      </c>
      <c r="AJ91" s="97">
        <f>AK15*Inputs!$F$126</f>
        <v>149.42447222222222</v>
      </c>
      <c r="AK91" s="97">
        <v>60</v>
      </c>
      <c r="AL91" s="97">
        <f t="shared" si="56"/>
        <v>29.754258000109083</v>
      </c>
      <c r="AP91" s="18">
        <v>30</v>
      </c>
      <c r="AQ91" s="18" t="s">
        <v>92</v>
      </c>
      <c r="AR91" s="97">
        <f>AS38*Inputs!G127</f>
        <v>104</v>
      </c>
      <c r="AS91" s="97">
        <v>60</v>
      </c>
      <c r="AT91" s="97">
        <f t="shared" si="58"/>
        <v>11.748000682308133</v>
      </c>
      <c r="AW91" s="18">
        <v>3</v>
      </c>
      <c r="AX91" s="18" t="s">
        <v>0</v>
      </c>
      <c r="AY91" s="97">
        <v>0</v>
      </c>
      <c r="AZ91" s="97">
        <v>500</v>
      </c>
      <c r="BA91" s="97">
        <f t="shared" si="59"/>
        <v>-438.14830202745469</v>
      </c>
      <c r="BL91" s="18">
        <v>1</v>
      </c>
      <c r="BM91" s="18" t="s">
        <v>2</v>
      </c>
      <c r="BN91" s="97">
        <v>0</v>
      </c>
      <c r="BO91" s="97">
        <v>3000</v>
      </c>
      <c r="BP91" s="97">
        <f>(BN91-BO91)/((1+0.045)^BL91)</f>
        <v>-2870.8133971291868</v>
      </c>
      <c r="BR91" s="207"/>
      <c r="BS91" s="207"/>
      <c r="BT91" s="207"/>
      <c r="BU91" s="207"/>
      <c r="BV91" s="207"/>
    </row>
    <row r="92" spans="8:74" x14ac:dyDescent="0.25">
      <c r="H92" s="18" t="s">
        <v>146</v>
      </c>
      <c r="I92" s="18" t="s">
        <v>1</v>
      </c>
      <c r="J92" s="18" t="s">
        <v>3</v>
      </c>
      <c r="K92" s="18" t="s">
        <v>4</v>
      </c>
      <c r="L92" s="18" t="s">
        <v>5</v>
      </c>
      <c r="Q92" s="18">
        <v>25</v>
      </c>
      <c r="R92" s="18" t="s">
        <v>92</v>
      </c>
      <c r="S92" s="108">
        <f>U37*Inputs!D128</f>
        <v>0</v>
      </c>
      <c r="T92" s="108">
        <v>60</v>
      </c>
      <c r="U92" s="108">
        <f t="shared" si="57"/>
        <v>-19.96383580067587</v>
      </c>
      <c r="Z92" s="18">
        <v>25</v>
      </c>
      <c r="AA92" s="18" t="s">
        <v>92</v>
      </c>
      <c r="AB92" s="108">
        <f>AD36*Inputs!E128</f>
        <v>104</v>
      </c>
      <c r="AC92" s="108">
        <v>60</v>
      </c>
      <c r="AD92" s="108">
        <f t="shared" si="60"/>
        <v>14.640146253828973</v>
      </c>
      <c r="AH92" s="18">
        <v>30</v>
      </c>
      <c r="AI92" s="18" t="s">
        <v>92</v>
      </c>
      <c r="AJ92" s="97">
        <f>AK16*Inputs!$F$126</f>
        <v>179.19472685185184</v>
      </c>
      <c r="AK92" s="97">
        <v>60</v>
      </c>
      <c r="AL92" s="97">
        <f t="shared" si="56"/>
        <v>31.824993917797428</v>
      </c>
      <c r="AP92" s="18">
        <v>35</v>
      </c>
      <c r="AQ92" s="18" t="s">
        <v>92</v>
      </c>
      <c r="AR92" s="97">
        <f>AS39*Inputs!G128</f>
        <v>184</v>
      </c>
      <c r="AS92" s="97">
        <v>60</v>
      </c>
      <c r="AT92" s="97">
        <f t="shared" si="58"/>
        <v>26.567550790552392</v>
      </c>
      <c r="AW92" s="18">
        <v>4</v>
      </c>
      <c r="AX92" s="18" t="s">
        <v>0</v>
      </c>
      <c r="AY92" s="97">
        <v>0</v>
      </c>
      <c r="AZ92" s="97">
        <v>500</v>
      </c>
      <c r="BA92" s="97">
        <f t="shared" si="59"/>
        <v>-419.28067179660746</v>
      </c>
      <c r="BL92" s="18">
        <v>2</v>
      </c>
      <c r="BM92" s="18" t="s">
        <v>0</v>
      </c>
      <c r="BN92" s="97">
        <v>0</v>
      </c>
      <c r="BO92" s="97">
        <v>500</v>
      </c>
      <c r="BP92" s="97">
        <f t="shared" ref="BP92:BP102" si="61">(BN92-BO92)/((1+0.045)^BL92)</f>
        <v>-457.86497561869015</v>
      </c>
      <c r="BR92" s="207"/>
      <c r="BS92" s="207"/>
      <c r="BT92" s="207"/>
      <c r="BU92" s="207"/>
      <c r="BV92" s="207"/>
    </row>
    <row r="93" spans="8:74" x14ac:dyDescent="0.25">
      <c r="H93" s="18">
        <v>1</v>
      </c>
      <c r="I93" s="18" t="s">
        <v>2</v>
      </c>
      <c r="J93" s="97">
        <v>0</v>
      </c>
      <c r="K93" s="97">
        <v>3000</v>
      </c>
      <c r="L93" s="97">
        <f>(J93-K93)/((1+0.045)^H93)</f>
        <v>-2870.8133971291868</v>
      </c>
      <c r="Q93" s="18">
        <v>30</v>
      </c>
      <c r="R93" s="18" t="s">
        <v>92</v>
      </c>
      <c r="S93" s="108">
        <f>U38*Inputs!D129</f>
        <v>360</v>
      </c>
      <c r="T93" s="108">
        <v>60</v>
      </c>
      <c r="U93" s="108">
        <f t="shared" si="57"/>
        <v>80.100004652100907</v>
      </c>
      <c r="Z93" s="18">
        <v>30</v>
      </c>
      <c r="AA93" s="18" t="s">
        <v>92</v>
      </c>
      <c r="AB93" s="108">
        <f>AD37*Inputs!E129</f>
        <v>288</v>
      </c>
      <c r="AC93" s="108">
        <v>60</v>
      </c>
      <c r="AD93" s="108">
        <f t="shared" si="60"/>
        <v>60.876003535596688</v>
      </c>
      <c r="AH93" s="18">
        <v>35</v>
      </c>
      <c r="AI93" s="18" t="s">
        <v>92</v>
      </c>
      <c r="AJ93" s="97">
        <f>AK17*Inputs!$F$126</f>
        <v>209.88660570987651</v>
      </c>
      <c r="AK93" s="97">
        <v>60</v>
      </c>
      <c r="AL93" s="97">
        <f t="shared" si="56"/>
        <v>32.113871048553584</v>
      </c>
      <c r="AP93" s="18">
        <v>40</v>
      </c>
      <c r="AQ93" s="18" t="s">
        <v>92</v>
      </c>
      <c r="AR93" s="97">
        <f>AS40*Inputs!G129</f>
        <v>408</v>
      </c>
      <c r="AS93" s="97">
        <v>60</v>
      </c>
      <c r="AT93" s="97">
        <f t="shared" si="58"/>
        <v>59.831187978418704</v>
      </c>
      <c r="AW93" s="18">
        <v>20</v>
      </c>
      <c r="AX93" s="18" t="s">
        <v>92</v>
      </c>
      <c r="AY93" s="97">
        <f>AZ29*Inputs!J126</f>
        <v>384</v>
      </c>
      <c r="AZ93" s="97">
        <v>60</v>
      </c>
      <c r="BA93" s="97">
        <f t="shared" si="59"/>
        <v>134.3442865378054</v>
      </c>
      <c r="BL93" s="18">
        <v>3</v>
      </c>
      <c r="BM93" s="18" t="s">
        <v>0</v>
      </c>
      <c r="BN93" s="97">
        <v>0</v>
      </c>
      <c r="BO93" s="97">
        <v>500</v>
      </c>
      <c r="BP93" s="97">
        <f t="shared" si="61"/>
        <v>-438.14830202745469</v>
      </c>
      <c r="BR93" s="207"/>
      <c r="BS93" s="207"/>
      <c r="BT93" s="207"/>
      <c r="BU93" s="207"/>
      <c r="BV93" s="207"/>
    </row>
    <row r="94" spans="8:74" x14ac:dyDescent="0.25">
      <c r="H94" s="18">
        <v>2</v>
      </c>
      <c r="I94" s="18" t="s">
        <v>0</v>
      </c>
      <c r="J94" s="97">
        <v>0</v>
      </c>
      <c r="K94" s="97">
        <v>500</v>
      </c>
      <c r="L94" s="97">
        <f t="shared" ref="L94:L112" si="62">(J94-K94)/((1+0.045)^H94)</f>
        <v>-457.86497561869015</v>
      </c>
      <c r="Q94" s="18">
        <v>35</v>
      </c>
      <c r="R94" s="18" t="s">
        <v>92</v>
      </c>
      <c r="S94" s="108">
        <f>U39*Inputs!D130</f>
        <v>940</v>
      </c>
      <c r="T94" s="108">
        <v>60</v>
      </c>
      <c r="U94" s="108">
        <f t="shared" si="57"/>
        <v>188.54390883617828</v>
      </c>
      <c r="Z94" s="18">
        <v>35</v>
      </c>
      <c r="AA94" s="18" t="s">
        <v>92</v>
      </c>
      <c r="AB94" s="108">
        <f>AD38*Inputs!E130</f>
        <v>480</v>
      </c>
      <c r="AC94" s="108">
        <v>60</v>
      </c>
      <c r="AD94" s="108">
        <f t="shared" si="60"/>
        <v>89.986865580903256</v>
      </c>
      <c r="AH94" s="18">
        <v>40</v>
      </c>
      <c r="AI94" s="18" t="s">
        <v>92</v>
      </c>
      <c r="AJ94" s="97">
        <f>AK18*Inputs!$F$126</f>
        <v>241.34650475823048</v>
      </c>
      <c r="AK94" s="97">
        <v>60</v>
      </c>
      <c r="AL94" s="97">
        <f t="shared" si="56"/>
        <v>31.178669009824397</v>
      </c>
      <c r="AP94" s="18">
        <v>50</v>
      </c>
      <c r="AQ94" s="18" t="s">
        <v>92</v>
      </c>
      <c r="AR94" s="97">
        <f>AS41*Inputs!G130</f>
        <v>1580</v>
      </c>
      <c r="AS94" s="97">
        <v>60</v>
      </c>
      <c r="AT94" s="97">
        <f t="shared" si="58"/>
        <v>168.27866794779126</v>
      </c>
      <c r="AW94" s="18">
        <v>24</v>
      </c>
      <c r="AX94" s="18" t="s">
        <v>92</v>
      </c>
      <c r="AY94" s="97">
        <f>AZ30*Inputs!J127</f>
        <v>464</v>
      </c>
      <c r="AZ94" s="97">
        <v>60</v>
      </c>
      <c r="BA94" s="97">
        <f t="shared" si="59"/>
        <v>140.47220330548899</v>
      </c>
      <c r="BL94" s="18">
        <v>4</v>
      </c>
      <c r="BM94" s="18" t="s">
        <v>0</v>
      </c>
      <c r="BN94" s="97">
        <v>0</v>
      </c>
      <c r="BO94" s="97">
        <v>500</v>
      </c>
      <c r="BP94" s="97">
        <f t="shared" si="61"/>
        <v>-419.28067179660746</v>
      </c>
      <c r="BR94" s="207"/>
      <c r="BS94" s="207"/>
      <c r="BT94" s="207"/>
      <c r="BU94" s="207"/>
      <c r="BV94" s="207"/>
    </row>
    <row r="95" spans="8:74" x14ac:dyDescent="0.25">
      <c r="H95" s="18">
        <v>3</v>
      </c>
      <c r="I95" s="18" t="s">
        <v>0</v>
      </c>
      <c r="J95" s="97">
        <v>0</v>
      </c>
      <c r="K95" s="97">
        <v>500</v>
      </c>
      <c r="L95" s="97">
        <f t="shared" si="62"/>
        <v>-438.14830202745469</v>
      </c>
      <c r="Q95" s="18">
        <v>40</v>
      </c>
      <c r="R95" s="18" t="s">
        <v>92</v>
      </c>
      <c r="S95" s="108">
        <f>U40*Inputs!D131</f>
        <v>1080</v>
      </c>
      <c r="T95" s="108">
        <v>60</v>
      </c>
      <c r="U95" s="108">
        <f t="shared" si="57"/>
        <v>175.36727510915827</v>
      </c>
      <c r="Z95" s="18">
        <v>40</v>
      </c>
      <c r="AA95" s="18" t="s">
        <v>92</v>
      </c>
      <c r="AB95" s="108">
        <f>AD39*Inputs!E131</f>
        <v>760</v>
      </c>
      <c r="AC95" s="108">
        <v>60</v>
      </c>
      <c r="AD95" s="108">
        <f t="shared" si="60"/>
        <v>120.35009076118705</v>
      </c>
      <c r="AH95" s="18">
        <v>45</v>
      </c>
      <c r="AI95" s="18" t="s">
        <v>92</v>
      </c>
      <c r="AJ95" s="97">
        <f>AK19*Inputs!$F$126</f>
        <v>273.44642063185876</v>
      </c>
      <c r="AK95" s="97">
        <v>60</v>
      </c>
      <c r="AL95" s="97">
        <f t="shared" si="56"/>
        <v>29.448000121156653</v>
      </c>
      <c r="AP95" s="18">
        <v>60</v>
      </c>
      <c r="AQ95" s="18" t="s">
        <v>92</v>
      </c>
      <c r="AR95" s="97">
        <f>AS42*Inputs!G131</f>
        <v>1760</v>
      </c>
      <c r="AS95" s="97">
        <v>60</v>
      </c>
      <c r="AT95" s="97">
        <f t="shared" si="58"/>
        <v>121.19131407725774</v>
      </c>
      <c r="AW95" s="18">
        <v>28</v>
      </c>
      <c r="AX95" s="18" t="s">
        <v>92</v>
      </c>
      <c r="AY95" s="97">
        <f>AZ31*Inputs!J128</f>
        <v>528</v>
      </c>
      <c r="AZ95" s="97">
        <v>60</v>
      </c>
      <c r="BA95" s="97">
        <f t="shared" si="59"/>
        <v>136.45508382512833</v>
      </c>
      <c r="BL95" s="18">
        <v>25</v>
      </c>
      <c r="BM95" s="18" t="s">
        <v>92</v>
      </c>
      <c r="BN95" s="97">
        <f>BO36*Inputs!H126</f>
        <v>96</v>
      </c>
      <c r="BO95" s="97">
        <v>60</v>
      </c>
      <c r="BP95" s="97">
        <f t="shared" si="61"/>
        <v>11.978301480405523</v>
      </c>
      <c r="BR95" s="207"/>
      <c r="BS95" s="207"/>
      <c r="BT95" s="207"/>
      <c r="BU95" s="207"/>
      <c r="BV95" s="207"/>
    </row>
    <row r="96" spans="8:74" x14ac:dyDescent="0.25">
      <c r="H96" s="18">
        <v>4</v>
      </c>
      <c r="I96" s="18" t="s">
        <v>0</v>
      </c>
      <c r="J96" s="97">
        <v>0</v>
      </c>
      <c r="K96" s="97">
        <v>500</v>
      </c>
      <c r="L96" s="97">
        <f t="shared" si="62"/>
        <v>-419.28067179660746</v>
      </c>
      <c r="Q96" s="18">
        <v>45</v>
      </c>
      <c r="R96" s="18" t="s">
        <v>92</v>
      </c>
      <c r="S96" s="108">
        <f>U41*Inputs!D132</f>
        <v>1568</v>
      </c>
      <c r="T96" s="108">
        <v>60</v>
      </c>
      <c r="U96" s="108">
        <f t="shared" si="57"/>
        <v>208.05026409553204</v>
      </c>
      <c r="Z96" s="18">
        <v>45</v>
      </c>
      <c r="AA96" s="18" t="s">
        <v>92</v>
      </c>
      <c r="AB96" s="108">
        <f>AD40*Inputs!E132</f>
        <v>868</v>
      </c>
      <c r="AC96" s="108">
        <v>60</v>
      </c>
      <c r="AD96" s="108">
        <f t="shared" si="60"/>
        <v>111.47520781776518</v>
      </c>
      <c r="AH96" s="18">
        <v>50</v>
      </c>
      <c r="AI96" s="18" t="s">
        <v>92</v>
      </c>
      <c r="AJ96" s="97">
        <f>AK20*Inputs!$F$126</f>
        <v>306.07968385988232</v>
      </c>
      <c r="AK96" s="97">
        <v>60</v>
      </c>
      <c r="AL96" s="97">
        <f t="shared" si="56"/>
        <v>27.243395663785915</v>
      </c>
      <c r="AP96" s="18">
        <v>70</v>
      </c>
      <c r="AQ96" s="18" t="s">
        <v>92</v>
      </c>
      <c r="AR96" s="97">
        <f>AS43*Inputs!G132</f>
        <v>1560</v>
      </c>
      <c r="AS96" s="97">
        <v>60</v>
      </c>
      <c r="AT96" s="97">
        <f t="shared" si="58"/>
        <v>68.857448784656071</v>
      </c>
      <c r="AW96" s="18">
        <v>32</v>
      </c>
      <c r="AX96" s="18" t="s">
        <v>92</v>
      </c>
      <c r="AY96" s="97">
        <f>AZ32*Inputs!J129</f>
        <v>1036.8</v>
      </c>
      <c r="AZ96" s="97">
        <v>60</v>
      </c>
      <c r="BA96" s="97">
        <f t="shared" si="59"/>
        <v>238.82751324121756</v>
      </c>
      <c r="BL96" s="18">
        <v>30</v>
      </c>
      <c r="BM96" s="18" t="s">
        <v>92</v>
      </c>
      <c r="BN96" s="97">
        <f>BO37*Inputs!H127</f>
        <v>184</v>
      </c>
      <c r="BO96" s="97">
        <v>60</v>
      </c>
      <c r="BP96" s="97">
        <f t="shared" si="61"/>
        <v>33.108001922868375</v>
      </c>
      <c r="BR96" s="207"/>
      <c r="BS96" s="207"/>
      <c r="BT96" s="207"/>
      <c r="BU96" s="207"/>
      <c r="BV96" s="207"/>
    </row>
    <row r="97" spans="8:74" x14ac:dyDescent="0.25">
      <c r="H97" s="18">
        <v>36</v>
      </c>
      <c r="I97" s="97" t="s">
        <v>258</v>
      </c>
      <c r="J97" s="97">
        <f>N32*Inputs!C126</f>
        <v>0</v>
      </c>
      <c r="K97" s="97">
        <f>150</f>
        <v>150</v>
      </c>
      <c r="L97" s="97">
        <f t="shared" si="62"/>
        <v>-30.754226104204811</v>
      </c>
      <c r="Q97" s="18">
        <v>50</v>
      </c>
      <c r="R97" s="18" t="s">
        <v>92</v>
      </c>
      <c r="S97" s="108">
        <f>U42*Inputs!D133</f>
        <v>1984</v>
      </c>
      <c r="T97" s="108">
        <v>60</v>
      </c>
      <c r="U97" s="108">
        <f t="shared" si="57"/>
        <v>213.00536653391475</v>
      </c>
      <c r="Z97" s="18">
        <v>50</v>
      </c>
      <c r="AA97" s="18" t="s">
        <v>92</v>
      </c>
      <c r="AB97" s="108">
        <f>AD41*Inputs!E133</f>
        <v>644</v>
      </c>
      <c r="AC97" s="108">
        <v>60</v>
      </c>
      <c r="AD97" s="108">
        <f t="shared" si="60"/>
        <v>64.654435579940852</v>
      </c>
      <c r="AH97" s="18">
        <v>55</v>
      </c>
      <c r="AI97" s="18" t="s">
        <v>92</v>
      </c>
      <c r="AJ97" s="97">
        <f>AK21*Inputs!$F$126</f>
        <v>339.15740321656858</v>
      </c>
      <c r="AK97" s="97">
        <v>60</v>
      </c>
      <c r="AL97" s="97">
        <f t="shared" si="56"/>
        <v>24.800085333951667</v>
      </c>
      <c r="AP97" s="18">
        <v>80</v>
      </c>
      <c r="AQ97" s="18" t="s">
        <v>92</v>
      </c>
      <c r="AR97" s="97">
        <f>(AS44+AR44)*Inputs!G133</f>
        <v>9200</v>
      </c>
      <c r="AS97" s="97">
        <v>60</v>
      </c>
      <c r="AT97" s="97">
        <f t="shared" si="58"/>
        <v>270.17363127450056</v>
      </c>
      <c r="AW97" s="18">
        <v>36</v>
      </c>
      <c r="AX97" s="18" t="s">
        <v>92</v>
      </c>
      <c r="AY97" s="97">
        <f>AZ33*Inputs!J130</f>
        <v>1180</v>
      </c>
      <c r="AZ97" s="97">
        <v>60</v>
      </c>
      <c r="BA97" s="97">
        <f t="shared" si="59"/>
        <v>229.63155491139594</v>
      </c>
      <c r="BL97" s="18">
        <v>35</v>
      </c>
      <c r="BM97" s="18" t="s">
        <v>92</v>
      </c>
      <c r="BN97" s="97">
        <f>BO38*Inputs!H128</f>
        <v>224</v>
      </c>
      <c r="BO97" s="97">
        <v>60</v>
      </c>
      <c r="BP97" s="97">
        <f t="shared" si="61"/>
        <v>35.13772846492413</v>
      </c>
      <c r="BR97" s="207"/>
      <c r="BS97" s="207"/>
      <c r="BT97" s="207"/>
      <c r="BU97" s="207"/>
      <c r="BV97" s="207"/>
    </row>
    <row r="98" spans="8:74" x14ac:dyDescent="0.25">
      <c r="H98" s="18">
        <v>44</v>
      </c>
      <c r="I98" s="97" t="s">
        <v>20</v>
      </c>
      <c r="J98" s="97">
        <f>N33*Inputs!C127</f>
        <v>0</v>
      </c>
      <c r="K98" s="97">
        <f>150</f>
        <v>150</v>
      </c>
      <c r="L98" s="97">
        <f t="shared" si="62"/>
        <v>-21.625914387914221</v>
      </c>
      <c r="Q98" s="18">
        <v>55</v>
      </c>
      <c r="R98" s="18" t="s">
        <v>92</v>
      </c>
      <c r="S98" s="108">
        <f>U43*Inputs!D134</f>
        <v>2232</v>
      </c>
      <c r="T98" s="108">
        <v>60</v>
      </c>
      <c r="U98" s="108">
        <f t="shared" si="57"/>
        <v>192.95846975462186</v>
      </c>
      <c r="Z98" s="18">
        <v>55</v>
      </c>
      <c r="AA98" s="18" t="s">
        <v>92</v>
      </c>
      <c r="AB98" s="108">
        <f>AD42*Inputs!E134</f>
        <v>616</v>
      </c>
      <c r="AC98" s="108">
        <v>60</v>
      </c>
      <c r="AD98" s="108">
        <f t="shared" si="60"/>
        <v>49.394525406800071</v>
      </c>
      <c r="AH98" s="18">
        <v>60</v>
      </c>
      <c r="AI98" s="18" t="s">
        <v>92</v>
      </c>
      <c r="AJ98" s="97">
        <f>AK22*Inputs!$F$126</f>
        <v>372.60550268047382</v>
      </c>
      <c r="AK98" s="97">
        <v>60</v>
      </c>
      <c r="AL98" s="97">
        <f t="shared" si="56"/>
        <v>22.285336269193142</v>
      </c>
      <c r="AP98" s="297" t="s">
        <v>149</v>
      </c>
      <c r="AQ98" s="297"/>
      <c r="AR98" s="297"/>
      <c r="AS98" s="297"/>
      <c r="AT98" s="107">
        <f>SUM(AT86:AT97)</f>
        <v>-3441.1780626521904</v>
      </c>
      <c r="AW98" s="18">
        <v>40</v>
      </c>
      <c r="AX98" s="18" t="s">
        <v>92</v>
      </c>
      <c r="AY98" s="97">
        <f>AZ34*Inputs!J131</f>
        <v>1320</v>
      </c>
      <c r="AZ98" s="97">
        <v>60</v>
      </c>
      <c r="BA98" s="97">
        <f t="shared" si="59"/>
        <v>216.6301633701367</v>
      </c>
      <c r="BL98" s="18">
        <v>40</v>
      </c>
      <c r="BM98" s="18" t="s">
        <v>92</v>
      </c>
      <c r="BN98" s="97">
        <f>BO39*Inputs!H129</f>
        <v>532.80000000000007</v>
      </c>
      <c r="BO98" s="97">
        <v>60</v>
      </c>
      <c r="BP98" s="97">
        <f t="shared" si="61"/>
        <v>81.287889874127501</v>
      </c>
      <c r="BR98" s="207"/>
      <c r="BS98" s="207"/>
      <c r="BT98" s="207"/>
      <c r="BU98" s="207"/>
      <c r="BV98" s="207"/>
    </row>
    <row r="99" spans="8:74" x14ac:dyDescent="0.25">
      <c r="H99" s="18">
        <v>52</v>
      </c>
      <c r="I99" s="97" t="s">
        <v>21</v>
      </c>
      <c r="J99" s="97">
        <f>N34*Inputs!C128</f>
        <v>580</v>
      </c>
      <c r="K99" s="97">
        <f>150</f>
        <v>150</v>
      </c>
      <c r="L99" s="97">
        <f t="shared" si="62"/>
        <v>43.593461216758257</v>
      </c>
      <c r="Q99" s="18">
        <v>60</v>
      </c>
      <c r="R99" s="18" t="s">
        <v>92</v>
      </c>
      <c r="S99" s="108">
        <f>U44*Inputs!D135</f>
        <v>2640</v>
      </c>
      <c r="T99" s="108">
        <v>60</v>
      </c>
      <c r="U99" s="108">
        <f t="shared" si="57"/>
        <v>183.92564136430883</v>
      </c>
      <c r="Z99" s="18">
        <v>60</v>
      </c>
      <c r="AA99" s="18" t="s">
        <v>92</v>
      </c>
      <c r="AB99" s="108">
        <f>(AD43+AB43)*Inputs!E135</f>
        <v>6776</v>
      </c>
      <c r="AC99" s="108">
        <v>60</v>
      </c>
      <c r="AD99" s="108">
        <f t="shared" si="60"/>
        <v>478.77697961344882</v>
      </c>
      <c r="AH99" s="18">
        <v>65</v>
      </c>
      <c r="AI99" s="18" t="s">
        <v>92</v>
      </c>
      <c r="AJ99" s="97">
        <f>AK23*Inputs!$F$126</f>
        <v>406.36225223372804</v>
      </c>
      <c r="AK99" s="97">
        <v>60</v>
      </c>
      <c r="AL99" s="97">
        <f t="shared" si="56"/>
        <v>19.8139779767045</v>
      </c>
      <c r="AW99" s="18">
        <v>45</v>
      </c>
      <c r="AX99" s="18" t="s">
        <v>144</v>
      </c>
      <c r="AY99" s="97">
        <f>(AZ35+AY35)*Inputs!J132</f>
        <v>22752</v>
      </c>
      <c r="AZ99" s="97">
        <v>60</v>
      </c>
      <c r="BA99" s="97">
        <f>(AY99-AZ99)/((1+0.045)^AW99)</f>
        <v>3130.6873957929793</v>
      </c>
      <c r="BL99" s="18">
        <v>50</v>
      </c>
      <c r="BM99" s="18" t="s">
        <v>92</v>
      </c>
      <c r="BN99" s="97">
        <f>BO40*Inputs!H130</f>
        <v>1300</v>
      </c>
      <c r="BO99" s="97">
        <v>60</v>
      </c>
      <c r="BP99" s="97">
        <f t="shared" si="61"/>
        <v>137.27996595740868</v>
      </c>
      <c r="BR99" s="207"/>
      <c r="BS99" s="207"/>
      <c r="BT99" s="207"/>
      <c r="BU99" s="207"/>
      <c r="BV99" s="207"/>
    </row>
    <row r="100" spans="8:74" x14ac:dyDescent="0.25">
      <c r="H100" s="18">
        <v>60</v>
      </c>
      <c r="I100" s="97" t="s">
        <v>122</v>
      </c>
      <c r="J100" s="97">
        <f>N35*Inputs!C129</f>
        <v>1200</v>
      </c>
      <c r="K100" s="97">
        <f>150</f>
        <v>150</v>
      </c>
      <c r="L100" s="97">
        <f t="shared" si="62"/>
        <v>74.853458694776847</v>
      </c>
      <c r="Q100" s="18">
        <v>65</v>
      </c>
      <c r="R100" s="18" t="s">
        <v>144</v>
      </c>
      <c r="S100" s="108">
        <f>(U45+S45)*Inputs!D136</f>
        <v>29304</v>
      </c>
      <c r="T100" s="108">
        <v>60</v>
      </c>
      <c r="U100" s="108">
        <f t="shared" si="57"/>
        <v>1672.9304888563192</v>
      </c>
      <c r="Z100" s="291" t="s">
        <v>145</v>
      </c>
      <c r="AA100" s="292"/>
      <c r="AB100" s="292"/>
      <c r="AC100" s="293"/>
      <c r="AD100" s="107">
        <f>SUM(AD86:AD99)</f>
        <v>-3225.2977471226768</v>
      </c>
      <c r="AH100" s="130">
        <v>70</v>
      </c>
      <c r="AI100" s="18" t="s">
        <v>144</v>
      </c>
      <c r="AJ100" s="97">
        <f>(AK24+AM24)*Inputs!$F$126</f>
        <v>2642.2572611686396</v>
      </c>
      <c r="AK100" s="97">
        <v>60</v>
      </c>
      <c r="AL100" s="97">
        <f>(AJ100-AK100)/((1+0.045)^AH100)</f>
        <v>118.53843140648391</v>
      </c>
      <c r="AW100" s="297" t="s">
        <v>149</v>
      </c>
      <c r="AX100" s="297"/>
      <c r="AY100" s="297"/>
      <c r="AZ100" s="297"/>
      <c r="BA100" s="107">
        <f>SUM(BA89:BA99)</f>
        <v>40.940854412213866</v>
      </c>
      <c r="BL100" s="18">
        <v>60</v>
      </c>
      <c r="BM100" s="18" t="s">
        <v>92</v>
      </c>
      <c r="BN100" s="97">
        <f>BO41*Inputs!H131</f>
        <v>1200</v>
      </c>
      <c r="BO100" s="97">
        <v>60</v>
      </c>
      <c r="BP100" s="97">
        <f t="shared" si="61"/>
        <v>81.269469440043437</v>
      </c>
      <c r="BR100" s="207"/>
      <c r="BS100" s="207"/>
      <c r="BT100" s="207"/>
      <c r="BU100" s="207"/>
      <c r="BV100" s="207"/>
    </row>
    <row r="101" spans="8:74" x14ac:dyDescent="0.25">
      <c r="H101" s="18">
        <v>68</v>
      </c>
      <c r="I101" s="97" t="s">
        <v>123</v>
      </c>
      <c r="J101" s="97">
        <f>N36*Inputs!C130</f>
        <v>1240</v>
      </c>
      <c r="K101" s="97">
        <f>150</f>
        <v>150</v>
      </c>
      <c r="L101" s="97">
        <f t="shared" si="62"/>
        <v>54.641013669919857</v>
      </c>
      <c r="Q101" s="96"/>
      <c r="R101" s="297" t="s">
        <v>145</v>
      </c>
      <c r="S101" s="297"/>
      <c r="T101" s="297"/>
      <c r="U101" s="107">
        <f>SUM(U86:U100)</f>
        <v>-1347.0715612905028</v>
      </c>
      <c r="AH101" s="291" t="s">
        <v>149</v>
      </c>
      <c r="AI101" s="292"/>
      <c r="AJ101" s="292"/>
      <c r="AK101" s="293"/>
      <c r="AL101" s="107">
        <f>SUM(AL85:AL100)</f>
        <v>-3783.5781497164849</v>
      </c>
      <c r="BL101" s="18">
        <v>70</v>
      </c>
      <c r="BM101" s="18" t="s">
        <v>92</v>
      </c>
      <c r="BN101" s="97">
        <f>BO42*Inputs!H132</f>
        <v>1123.2</v>
      </c>
      <c r="BO101" s="97">
        <v>60</v>
      </c>
      <c r="BP101" s="97">
        <f t="shared" si="61"/>
        <v>48.806159698564223</v>
      </c>
      <c r="BR101" s="207"/>
      <c r="BS101" s="207"/>
      <c r="BT101" s="207"/>
      <c r="BU101" s="207"/>
      <c r="BV101" s="207"/>
    </row>
    <row r="102" spans="8:74" x14ac:dyDescent="0.25">
      <c r="H102" s="18">
        <v>78</v>
      </c>
      <c r="I102" s="97" t="s">
        <v>124</v>
      </c>
      <c r="J102" s="97">
        <f>N37*Inputs!C131</f>
        <v>1920</v>
      </c>
      <c r="K102" s="97">
        <f>150</f>
        <v>150</v>
      </c>
      <c r="L102" s="97">
        <f t="shared" si="62"/>
        <v>57.135049962340204</v>
      </c>
      <c r="AW102" s="18" t="s">
        <v>150</v>
      </c>
      <c r="AX102" s="18" t="s">
        <v>1</v>
      </c>
      <c r="AY102" s="18" t="s">
        <v>136</v>
      </c>
      <c r="AZ102" s="18" t="s">
        <v>137</v>
      </c>
      <c r="BA102" t="s">
        <v>5</v>
      </c>
      <c r="BL102" s="18">
        <v>80</v>
      </c>
      <c r="BM102" s="18" t="s">
        <v>92</v>
      </c>
      <c r="BN102" s="97">
        <f>(BO43+BN43)*Inputs!H133</f>
        <v>8532</v>
      </c>
      <c r="BO102" s="97">
        <v>60</v>
      </c>
      <c r="BP102" s="97">
        <f t="shared" si="61"/>
        <v>250.42789979842112</v>
      </c>
      <c r="BR102" s="207"/>
      <c r="BS102" s="207"/>
      <c r="BT102" s="207"/>
      <c r="BU102" s="207"/>
      <c r="BV102" s="207"/>
    </row>
    <row r="103" spans="8:74" ht="16.5" x14ac:dyDescent="0.3">
      <c r="H103" s="18">
        <v>88</v>
      </c>
      <c r="I103" s="97" t="s">
        <v>125</v>
      </c>
      <c r="J103" s="97">
        <f>N38*Inputs!C132</f>
        <v>4200</v>
      </c>
      <c r="K103" s="97">
        <f>150</f>
        <v>150</v>
      </c>
      <c r="L103" s="97">
        <f t="shared" si="62"/>
        <v>84.18243116041117</v>
      </c>
      <c r="Q103" s="119"/>
      <c r="R103" s="40"/>
      <c r="S103" s="40"/>
      <c r="T103" s="40"/>
      <c r="U103" s="40"/>
      <c r="AH103" s="18" t="s">
        <v>146</v>
      </c>
      <c r="AI103" s="18" t="s">
        <v>1</v>
      </c>
      <c r="AJ103" s="18" t="s">
        <v>3</v>
      </c>
      <c r="AK103" s="18" t="s">
        <v>4</v>
      </c>
      <c r="AL103" s="18" t="s">
        <v>5</v>
      </c>
      <c r="AW103" s="18">
        <v>1</v>
      </c>
      <c r="AX103" s="18" t="s">
        <v>2</v>
      </c>
      <c r="AY103" s="97">
        <v>0</v>
      </c>
      <c r="AZ103" s="97">
        <v>3000</v>
      </c>
      <c r="BA103" s="97">
        <f>(AY103-AZ103)/((1+0.045)^AW103)</f>
        <v>-2870.8133971291868</v>
      </c>
      <c r="BL103" s="297" t="s">
        <v>153</v>
      </c>
      <c r="BM103" s="297"/>
      <c r="BN103" s="297"/>
      <c r="BO103" s="297"/>
      <c r="BP103" s="107">
        <f>SUM(BP91:BP102)</f>
        <v>-3506.8119299351761</v>
      </c>
      <c r="BR103" s="207"/>
      <c r="BS103" s="207"/>
      <c r="BT103" s="207"/>
      <c r="BU103" s="207"/>
      <c r="BV103" s="207"/>
    </row>
    <row r="104" spans="8:74" x14ac:dyDescent="0.25">
      <c r="H104" s="18">
        <v>98</v>
      </c>
      <c r="I104" s="97" t="s">
        <v>126</v>
      </c>
      <c r="J104" s="97">
        <f>N39*Inputs!C133</f>
        <v>4080</v>
      </c>
      <c r="K104" s="97">
        <f>150</f>
        <v>150</v>
      </c>
      <c r="L104" s="97">
        <f t="shared" si="62"/>
        <v>52.601252645820907</v>
      </c>
      <c r="Q104" s="40"/>
      <c r="R104" s="40"/>
      <c r="S104" s="40"/>
      <c r="T104" s="40"/>
      <c r="U104" s="40"/>
      <c r="AH104" s="18">
        <v>1</v>
      </c>
      <c r="AI104" s="18" t="s">
        <v>2</v>
      </c>
      <c r="AJ104" s="97">
        <v>0</v>
      </c>
      <c r="AK104" s="97">
        <v>3000</v>
      </c>
      <c r="AL104" s="97">
        <f>(AJ104-AK104)/((1+0.045)^AH104)</f>
        <v>-2870.8133971291868</v>
      </c>
      <c r="AW104" s="18">
        <v>2</v>
      </c>
      <c r="AX104" s="18" t="s">
        <v>0</v>
      </c>
      <c r="AY104" s="97">
        <v>0</v>
      </c>
      <c r="AZ104" s="97">
        <v>500</v>
      </c>
      <c r="BA104" s="97">
        <f t="shared" ref="BA104:BA112" si="63">(AY104-AZ104)/((1+0.045)^AW104)</f>
        <v>-457.86497561869015</v>
      </c>
      <c r="BR104" s="207"/>
      <c r="BS104" s="207"/>
      <c r="BT104" s="207"/>
      <c r="BU104" s="207"/>
      <c r="BV104" s="207"/>
    </row>
    <row r="105" spans="8:74" x14ac:dyDescent="0.25">
      <c r="H105" s="18">
        <v>108</v>
      </c>
      <c r="I105" s="97" t="s">
        <v>127</v>
      </c>
      <c r="J105" s="97">
        <f>N40*Inputs!C134</f>
        <v>4680</v>
      </c>
      <c r="K105" s="97">
        <f>150</f>
        <v>150</v>
      </c>
      <c r="L105" s="97">
        <f t="shared" si="62"/>
        <v>39.042609205367327</v>
      </c>
      <c r="Q105" s="40"/>
      <c r="R105" s="40"/>
      <c r="S105" s="40"/>
      <c r="T105" s="40"/>
      <c r="U105" s="40"/>
      <c r="AH105" s="18">
        <v>2</v>
      </c>
      <c r="AI105" s="18" t="s">
        <v>0</v>
      </c>
      <c r="AJ105" s="97">
        <v>0</v>
      </c>
      <c r="AK105" s="97">
        <v>500</v>
      </c>
      <c r="AL105" s="97">
        <f t="shared" ref="AL105:AL118" si="64">(AJ105-AK105)/((1+0.045)^AH105)</f>
        <v>-457.86497561869015</v>
      </c>
      <c r="AW105" s="18">
        <v>3</v>
      </c>
      <c r="AX105" s="18" t="s">
        <v>0</v>
      </c>
      <c r="AY105" s="97">
        <v>0</v>
      </c>
      <c r="AZ105" s="97">
        <v>500</v>
      </c>
      <c r="BA105" s="97">
        <f t="shared" si="63"/>
        <v>-438.14830202745469</v>
      </c>
      <c r="BL105" s="18" t="s">
        <v>150</v>
      </c>
      <c r="BM105" s="18" t="s">
        <v>1</v>
      </c>
      <c r="BN105" s="18" t="s">
        <v>3</v>
      </c>
      <c r="BO105" s="18" t="s">
        <v>4</v>
      </c>
      <c r="BP105" s="18" t="s">
        <v>5</v>
      </c>
      <c r="BR105" s="207"/>
      <c r="BS105" s="207"/>
      <c r="BT105" s="207"/>
      <c r="BU105" s="207"/>
      <c r="BV105" s="207"/>
    </row>
    <row r="106" spans="8:74" x14ac:dyDescent="0.25">
      <c r="H106" s="56">
        <v>118</v>
      </c>
      <c r="I106" s="97" t="s">
        <v>128</v>
      </c>
      <c r="J106" s="97">
        <f>N41*Inputs!C135</f>
        <v>4800</v>
      </c>
      <c r="K106" s="97">
        <f>150</f>
        <v>150</v>
      </c>
      <c r="L106" s="97">
        <f t="shared" si="62"/>
        <v>25.806593451209523</v>
      </c>
      <c r="Q106" s="40"/>
      <c r="R106" s="110"/>
      <c r="S106" s="40"/>
      <c r="T106" s="40"/>
      <c r="U106" s="40"/>
      <c r="AH106" s="18">
        <v>3</v>
      </c>
      <c r="AI106" s="18" t="s">
        <v>0</v>
      </c>
      <c r="AJ106" s="97">
        <v>0</v>
      </c>
      <c r="AK106" s="97">
        <v>500</v>
      </c>
      <c r="AL106" s="97">
        <f t="shared" si="64"/>
        <v>-438.14830202745469</v>
      </c>
      <c r="AW106" s="18">
        <v>4</v>
      </c>
      <c r="AX106" s="18" t="s">
        <v>0</v>
      </c>
      <c r="AY106" s="97">
        <v>0</v>
      </c>
      <c r="AZ106" s="97">
        <v>500</v>
      </c>
      <c r="BA106" s="97">
        <f t="shared" si="63"/>
        <v>-419.28067179660746</v>
      </c>
      <c r="BL106" s="18">
        <v>1</v>
      </c>
      <c r="BM106" s="18" t="s">
        <v>2</v>
      </c>
      <c r="BN106" s="97">
        <v>0</v>
      </c>
      <c r="BO106" s="97">
        <v>3000</v>
      </c>
      <c r="BP106" s="97">
        <f>(BN106-BO106)/((1+0.045)^BL106)</f>
        <v>-2870.8133971291868</v>
      </c>
      <c r="BR106" s="207"/>
      <c r="BS106" s="207"/>
      <c r="BT106" s="207"/>
      <c r="BU106" s="207"/>
      <c r="BV106" s="207"/>
    </row>
    <row r="107" spans="8:74" x14ac:dyDescent="0.25">
      <c r="H107" s="56">
        <v>128</v>
      </c>
      <c r="I107" s="97" t="s">
        <v>129</v>
      </c>
      <c r="J107" s="97">
        <f>N42*Inputs!C136</f>
        <v>4680</v>
      </c>
      <c r="K107" s="97">
        <f>150</f>
        <v>150</v>
      </c>
      <c r="L107" s="97">
        <f t="shared" si="62"/>
        <v>16.188739130461197</v>
      </c>
      <c r="Q107" s="40"/>
      <c r="R107" s="110"/>
      <c r="S107" s="40"/>
      <c r="T107" s="40"/>
      <c r="U107" s="110"/>
      <c r="AH107" s="18">
        <v>4</v>
      </c>
      <c r="AI107" s="18" t="s">
        <v>0</v>
      </c>
      <c r="AJ107" s="97">
        <v>0</v>
      </c>
      <c r="AK107" s="97">
        <v>500</v>
      </c>
      <c r="AL107" s="97">
        <f t="shared" si="64"/>
        <v>-419.28067179660746</v>
      </c>
      <c r="AW107" s="18">
        <v>23</v>
      </c>
      <c r="AX107" s="18" t="s">
        <v>92</v>
      </c>
      <c r="AY107" s="97">
        <f>AZ37*Inputs!J126</f>
        <v>264</v>
      </c>
      <c r="AZ107" s="97">
        <v>60</v>
      </c>
      <c r="BA107" s="97">
        <f t="shared" si="63"/>
        <v>74.123426486792411</v>
      </c>
      <c r="BL107" s="18">
        <v>2</v>
      </c>
      <c r="BM107" s="18" t="s">
        <v>0</v>
      </c>
      <c r="BN107" s="97">
        <v>0</v>
      </c>
      <c r="BO107" s="97">
        <v>500</v>
      </c>
      <c r="BP107" s="97">
        <f t="shared" ref="BP107:BP116" si="65">(BN107-BO107)/((1+0.045)^BL107)</f>
        <v>-457.86497561869015</v>
      </c>
      <c r="BR107" s="207"/>
      <c r="BS107" s="207"/>
      <c r="BT107" s="207"/>
      <c r="BU107" s="207"/>
      <c r="BV107" s="207"/>
    </row>
    <row r="108" spans="8:74" x14ac:dyDescent="0.25">
      <c r="H108" s="56">
        <v>138</v>
      </c>
      <c r="I108" s="97" t="s">
        <v>130</v>
      </c>
      <c r="J108" s="97">
        <f>N43*Inputs!C137</f>
        <v>4680</v>
      </c>
      <c r="K108" s="97">
        <f>150</f>
        <v>150</v>
      </c>
      <c r="L108" s="97">
        <f t="shared" si="62"/>
        <v>10.424377263266937</v>
      </c>
      <c r="Q108" s="40"/>
      <c r="R108" s="110"/>
      <c r="S108" s="40"/>
      <c r="T108" s="40"/>
      <c r="U108" s="110"/>
      <c r="AH108" s="18">
        <v>15</v>
      </c>
      <c r="AI108" s="18" t="s">
        <v>92</v>
      </c>
      <c r="AJ108" s="97">
        <f>AK27*Inputs!$F$126</f>
        <v>80</v>
      </c>
      <c r="AK108" s="97">
        <v>60</v>
      </c>
      <c r="AL108" s="97">
        <f t="shared" si="64"/>
        <v>10.334408846315359</v>
      </c>
      <c r="AW108" s="18">
        <v>27</v>
      </c>
      <c r="AX108" s="18" t="s">
        <v>92</v>
      </c>
      <c r="AY108" s="97">
        <f>AZ38*Inputs!J127</f>
        <v>328</v>
      </c>
      <c r="AZ108" s="97">
        <v>60</v>
      </c>
      <c r="BA108" s="97">
        <f t="shared" si="63"/>
        <v>81.657287983045791</v>
      </c>
      <c r="BL108" s="18">
        <v>3</v>
      </c>
      <c r="BM108" s="18" t="s">
        <v>0</v>
      </c>
      <c r="BN108" s="97">
        <v>0</v>
      </c>
      <c r="BO108" s="97">
        <v>500</v>
      </c>
      <c r="BP108" s="97">
        <f t="shared" si="65"/>
        <v>-438.14830202745469</v>
      </c>
      <c r="BR108" s="207"/>
      <c r="BS108" s="207"/>
      <c r="BT108" s="207"/>
      <c r="BU108" s="207"/>
      <c r="BV108" s="207"/>
    </row>
    <row r="109" spans="8:74" x14ac:dyDescent="0.25">
      <c r="H109" s="56">
        <v>148</v>
      </c>
      <c r="I109" s="97" t="s">
        <v>131</v>
      </c>
      <c r="J109" s="97">
        <f>N44*Inputs!C138</f>
        <v>6560</v>
      </c>
      <c r="K109" s="97">
        <f>150</f>
        <v>150</v>
      </c>
      <c r="L109" s="97">
        <f t="shared" si="62"/>
        <v>9.4983253890567934</v>
      </c>
      <c r="Q109" s="40"/>
      <c r="R109" s="110"/>
      <c r="S109" s="40"/>
      <c r="T109" s="40"/>
      <c r="U109" s="40"/>
      <c r="AH109" s="18">
        <v>20</v>
      </c>
      <c r="AI109" s="18" t="s">
        <v>92</v>
      </c>
      <c r="AJ109" s="97">
        <f>AK28*Inputs!$F$126</f>
        <v>103.23549999999999</v>
      </c>
      <c r="AK109" s="97">
        <v>60</v>
      </c>
      <c r="AL109" s="97">
        <f t="shared" si="64"/>
        <v>17.927291359892848</v>
      </c>
      <c r="AW109" s="18">
        <v>31</v>
      </c>
      <c r="AX109" s="18" t="s">
        <v>92</v>
      </c>
      <c r="AY109" s="97">
        <f>AZ39*Inputs!J128</f>
        <v>328</v>
      </c>
      <c r="AZ109" s="97">
        <v>60</v>
      </c>
      <c r="BA109" s="97">
        <f t="shared" si="63"/>
        <v>68.474645125240954</v>
      </c>
      <c r="BL109" s="18">
        <v>4</v>
      </c>
      <c r="BM109" s="18" t="s">
        <v>0</v>
      </c>
      <c r="BN109" s="97">
        <v>0</v>
      </c>
      <c r="BO109" s="97">
        <v>500</v>
      </c>
      <c r="BP109" s="97">
        <f t="shared" si="65"/>
        <v>-419.28067179660746</v>
      </c>
      <c r="BR109" s="207"/>
      <c r="BS109" s="207"/>
      <c r="BT109" s="207"/>
      <c r="BU109" s="207"/>
      <c r="BV109" s="207"/>
    </row>
    <row r="110" spans="8:74" x14ac:dyDescent="0.25">
      <c r="H110" s="56">
        <v>158</v>
      </c>
      <c r="I110" s="97" t="s">
        <v>132</v>
      </c>
      <c r="J110" s="97">
        <f>N45*Inputs!C139</f>
        <v>6560</v>
      </c>
      <c r="K110" s="97">
        <f>150</f>
        <v>150</v>
      </c>
      <c r="L110" s="97">
        <f t="shared" si="62"/>
        <v>6.1162346509424506</v>
      </c>
      <c r="Q110" s="40"/>
      <c r="R110" s="40"/>
      <c r="S110" s="40"/>
      <c r="T110" s="40"/>
      <c r="U110" s="40"/>
      <c r="AH110" s="18">
        <v>25</v>
      </c>
      <c r="AI110" s="18" t="s">
        <v>92</v>
      </c>
      <c r="AJ110" s="97">
        <f>AK29*Inputs!$F$126</f>
        <v>128.03258333333335</v>
      </c>
      <c r="AK110" s="97">
        <v>60</v>
      </c>
      <c r="AL110" s="97">
        <f t="shared" si="64"/>
        <v>22.636522046041083</v>
      </c>
      <c r="AW110" s="18">
        <v>35</v>
      </c>
      <c r="AX110" s="18" t="s">
        <v>92</v>
      </c>
      <c r="AY110" s="97">
        <f>AZ40*Inputs!J129</f>
        <v>590.4</v>
      </c>
      <c r="AZ110" s="97">
        <v>60</v>
      </c>
      <c r="BA110" s="97">
        <f t="shared" si="63"/>
        <v>113.64055596216926</v>
      </c>
      <c r="BL110" s="18">
        <v>30</v>
      </c>
      <c r="BM110" s="18" t="s">
        <v>92</v>
      </c>
      <c r="BN110" s="97">
        <f>BO45*Inputs!H126</f>
        <v>96</v>
      </c>
      <c r="BO110" s="97">
        <v>60</v>
      </c>
      <c r="BP110" s="97">
        <f t="shared" si="65"/>
        <v>9.6120005582521078</v>
      </c>
      <c r="BR110" s="207"/>
      <c r="BS110" s="207"/>
      <c r="BT110" s="207"/>
      <c r="BU110" s="207"/>
      <c r="BV110" s="207"/>
    </row>
    <row r="111" spans="8:74" x14ac:dyDescent="0.25">
      <c r="H111" s="56">
        <v>168</v>
      </c>
      <c r="I111" s="97" t="s">
        <v>133</v>
      </c>
      <c r="J111" s="97">
        <f>N46*Inputs!C140</f>
        <v>6560</v>
      </c>
      <c r="K111" s="97">
        <f>150</f>
        <v>150</v>
      </c>
      <c r="L111" s="97">
        <f t="shared" si="62"/>
        <v>3.9384128015332034</v>
      </c>
      <c r="Q111" s="40"/>
      <c r="R111" s="40"/>
      <c r="S111" s="40"/>
      <c r="T111" s="40"/>
      <c r="U111" s="40"/>
      <c r="AH111" s="18">
        <v>30</v>
      </c>
      <c r="AI111" s="18" t="s">
        <v>92</v>
      </c>
      <c r="AJ111" s="97">
        <f>AK30*Inputs!$F$126</f>
        <v>153.84681944444446</v>
      </c>
      <c r="AK111" s="97">
        <v>60</v>
      </c>
      <c r="AL111" s="97">
        <f t="shared" si="64"/>
        <v>25.057102246949583</v>
      </c>
      <c r="AW111" s="18">
        <v>39</v>
      </c>
      <c r="AX111" s="18" t="s">
        <v>92</v>
      </c>
      <c r="AY111" s="97">
        <f>AZ41*Inputs!J130</f>
        <v>800</v>
      </c>
      <c r="AZ111" s="97">
        <v>60</v>
      </c>
      <c r="BA111" s="97">
        <f t="shared" si="63"/>
        <v>132.95246455089418</v>
      </c>
      <c r="BL111" s="18">
        <v>35</v>
      </c>
      <c r="BM111" s="18" t="s">
        <v>92</v>
      </c>
      <c r="BN111" s="97">
        <f>BO46*Inputs!H127</f>
        <v>144</v>
      </c>
      <c r="BO111" s="97">
        <v>60</v>
      </c>
      <c r="BP111" s="97">
        <f t="shared" si="65"/>
        <v>17.997373116180654</v>
      </c>
      <c r="BR111" s="207"/>
      <c r="BS111" s="207"/>
      <c r="BT111" s="207"/>
      <c r="BU111" s="207"/>
      <c r="BV111" s="207"/>
    </row>
    <row r="112" spans="8:74" x14ac:dyDescent="0.25">
      <c r="H112" s="56">
        <v>180</v>
      </c>
      <c r="I112" s="97" t="s">
        <v>144</v>
      </c>
      <c r="J112" s="97">
        <f>(N47+M47)*Inputs!C141</f>
        <v>58880</v>
      </c>
      <c r="K112" s="97">
        <f>150</f>
        <v>150</v>
      </c>
      <c r="L112" s="97">
        <f t="shared" si="62"/>
        <v>21.277848892756303</v>
      </c>
      <c r="Q112" s="40"/>
      <c r="R112" s="40"/>
      <c r="S112" s="40"/>
      <c r="T112" s="40"/>
      <c r="U112" s="40"/>
      <c r="AH112" s="18">
        <v>35</v>
      </c>
      <c r="AI112" s="18" t="s">
        <v>92</v>
      </c>
      <c r="AJ112" s="97">
        <f>AK31*Inputs!$F$126</f>
        <v>180.50868287037039</v>
      </c>
      <c r="AK112" s="97">
        <v>60</v>
      </c>
      <c r="AL112" s="97">
        <f t="shared" si="64"/>
        <v>25.81952058758981</v>
      </c>
      <c r="AW112" s="18">
        <v>44</v>
      </c>
      <c r="AX112" s="18" t="s">
        <v>92</v>
      </c>
      <c r="AY112" s="97">
        <f>AZ42*Inputs!J131</f>
        <v>936</v>
      </c>
      <c r="AZ112" s="97">
        <v>60</v>
      </c>
      <c r="BA112" s="97">
        <f t="shared" si="63"/>
        <v>126.29534002541905</v>
      </c>
      <c r="BL112" s="18">
        <v>40</v>
      </c>
      <c r="BM112" s="18" t="s">
        <v>92</v>
      </c>
      <c r="BN112" s="97">
        <f>BO47*Inputs!H128</f>
        <v>160</v>
      </c>
      <c r="BO112" s="97">
        <v>60</v>
      </c>
      <c r="BP112" s="97">
        <f t="shared" si="65"/>
        <v>17.192870108741008</v>
      </c>
      <c r="BR112" s="207"/>
      <c r="BS112" s="207"/>
      <c r="BT112" s="207"/>
      <c r="BU112" s="207"/>
      <c r="BV112" s="207"/>
    </row>
    <row r="113" spans="8:74" x14ac:dyDescent="0.25">
      <c r="H113" s="118" t="s">
        <v>145</v>
      </c>
      <c r="I113" s="118"/>
      <c r="J113" s="118"/>
      <c r="K113" s="118"/>
      <c r="L113" s="118">
        <f>SUM(L93:L112)</f>
        <v>-3739.1876789294365</v>
      </c>
      <c r="Q113" s="40"/>
      <c r="R113" s="110"/>
      <c r="S113" s="40"/>
      <c r="T113" s="40"/>
      <c r="U113" s="40"/>
      <c r="AH113" s="18">
        <v>40</v>
      </c>
      <c r="AI113" s="18" t="s">
        <v>92</v>
      </c>
      <c r="AJ113" s="97">
        <f>AK32*Inputs!$F$126</f>
        <v>207.87690239197528</v>
      </c>
      <c r="AK113" s="97">
        <v>60</v>
      </c>
      <c r="AL113" s="97">
        <f t="shared" si="64"/>
        <v>25.424283749082033</v>
      </c>
      <c r="AW113" s="18">
        <v>50</v>
      </c>
      <c r="AX113" s="18" t="s">
        <v>144</v>
      </c>
      <c r="AY113" s="97">
        <f>(AZ43+AY43)*Inputs!J132</f>
        <v>21472</v>
      </c>
      <c r="AZ113" s="97">
        <v>60</v>
      </c>
      <c r="BA113" s="97">
        <f>(AY113-AZ113)/((1+0.045)^AW113)</f>
        <v>2370.5150250645438</v>
      </c>
      <c r="BL113" s="18">
        <v>50</v>
      </c>
      <c r="BM113" s="18" t="s">
        <v>92</v>
      </c>
      <c r="BN113" s="97">
        <f>BO48*Inputs!H129</f>
        <v>763.2</v>
      </c>
      <c r="BO113" s="97">
        <v>60</v>
      </c>
      <c r="BP113" s="97">
        <f t="shared" si="65"/>
        <v>77.851025855846601</v>
      </c>
      <c r="BR113" s="207"/>
      <c r="BS113" s="207"/>
      <c r="BT113" s="207"/>
      <c r="BU113" s="207"/>
      <c r="BV113" s="207"/>
    </row>
    <row r="114" spans="8:74" x14ac:dyDescent="0.25">
      <c r="Q114" s="40"/>
      <c r="R114" s="110"/>
      <c r="S114" s="40"/>
      <c r="T114" s="40"/>
      <c r="U114" s="40"/>
      <c r="AH114" s="18">
        <v>45</v>
      </c>
      <c r="AI114" s="18" t="s">
        <v>92</v>
      </c>
      <c r="AJ114" s="97">
        <f>AK33*Inputs!$F$126</f>
        <v>235.83375199331283</v>
      </c>
      <c r="AK114" s="97">
        <v>60</v>
      </c>
      <c r="AL114" s="97">
        <f t="shared" si="64"/>
        <v>24.258792134692982</v>
      </c>
      <c r="AW114" s="297" t="s">
        <v>149</v>
      </c>
      <c r="AX114" s="297"/>
      <c r="AY114" s="297"/>
      <c r="AZ114" s="297"/>
      <c r="BA114" s="107">
        <f>SUM(BA103:BA113)</f>
        <v>-1218.4486013738333</v>
      </c>
      <c r="BL114" s="18">
        <v>60</v>
      </c>
      <c r="BM114" s="18" t="s">
        <v>92</v>
      </c>
      <c r="BN114" s="97">
        <f>BO49*Inputs!H130</f>
        <v>1080</v>
      </c>
      <c r="BO114" s="97">
        <v>60</v>
      </c>
      <c r="BP114" s="97">
        <f t="shared" si="65"/>
        <v>72.714788446354646</v>
      </c>
      <c r="BR114" s="207"/>
      <c r="BS114" s="207"/>
      <c r="BT114" s="207"/>
      <c r="BU114" s="207"/>
      <c r="BV114" s="207"/>
    </row>
    <row r="115" spans="8:74" x14ac:dyDescent="0.25">
      <c r="H115" s="18" t="s">
        <v>147</v>
      </c>
      <c r="I115" s="18" t="s">
        <v>1</v>
      </c>
      <c r="J115" s="18" t="s">
        <v>3</v>
      </c>
      <c r="K115" s="18" t="s">
        <v>4</v>
      </c>
      <c r="L115" s="18" t="s">
        <v>5</v>
      </c>
      <c r="Q115" s="40"/>
      <c r="R115" s="110"/>
      <c r="S115" s="40"/>
      <c r="T115" s="40"/>
      <c r="U115" s="40"/>
      <c r="AH115" s="18">
        <v>50</v>
      </c>
      <c r="AI115" s="18" t="s">
        <v>92</v>
      </c>
      <c r="AJ115" s="97">
        <f>AK34*Inputs!$F$126</f>
        <v>264.28112666109399</v>
      </c>
      <c r="AK115" s="97">
        <v>60</v>
      </c>
      <c r="AL115" s="97">
        <f t="shared" si="64"/>
        <v>22.615892027238768</v>
      </c>
      <c r="BL115" s="18">
        <v>70</v>
      </c>
      <c r="BM115" s="18" t="s">
        <v>92</v>
      </c>
      <c r="BN115" s="97">
        <f>BO50*Inputs!H131</f>
        <v>1040</v>
      </c>
      <c r="BO115" s="97">
        <v>60</v>
      </c>
      <c r="BP115" s="97">
        <f t="shared" si="65"/>
        <v>44.986866539308636</v>
      </c>
      <c r="BR115" s="207"/>
      <c r="BS115" s="207"/>
      <c r="BT115" s="207"/>
      <c r="BU115" s="207"/>
      <c r="BV115" s="207"/>
    </row>
    <row r="116" spans="8:74" x14ac:dyDescent="0.25">
      <c r="H116" s="18">
        <v>1</v>
      </c>
      <c r="I116" s="18" t="s">
        <v>2</v>
      </c>
      <c r="J116" s="97">
        <v>0</v>
      </c>
      <c r="K116" s="97">
        <v>3000</v>
      </c>
      <c r="L116" s="97">
        <f>(J116-K116)/((1+0.045)^H116)</f>
        <v>-2870.8133971291868</v>
      </c>
      <c r="Q116" s="40"/>
      <c r="R116" s="110"/>
      <c r="S116" s="40"/>
      <c r="T116" s="40"/>
      <c r="U116" s="40"/>
      <c r="AH116" s="18">
        <v>55</v>
      </c>
      <c r="AI116" s="18" t="s">
        <v>92</v>
      </c>
      <c r="AJ116" s="97">
        <f>AK35*Inputs!$F$126</f>
        <v>293.1372722175783</v>
      </c>
      <c r="AK116" s="97">
        <v>60</v>
      </c>
      <c r="AL116" s="97">
        <f t="shared" si="64"/>
        <v>20.711699488890709</v>
      </c>
      <c r="AW116" s="18" t="s">
        <v>151</v>
      </c>
      <c r="AX116" s="18" t="s">
        <v>1</v>
      </c>
      <c r="AY116" s="18" t="s">
        <v>136</v>
      </c>
      <c r="AZ116" s="18" t="s">
        <v>137</v>
      </c>
      <c r="BA116" t="s">
        <v>5</v>
      </c>
      <c r="BL116" s="18">
        <v>80</v>
      </c>
      <c r="BM116" s="18" t="s">
        <v>92</v>
      </c>
      <c r="BN116" s="97">
        <f>(BO51+BN51)*Inputs!H132</f>
        <v>7214.4000000000005</v>
      </c>
      <c r="BO116" s="97">
        <v>60</v>
      </c>
      <c r="BP116" s="97">
        <f t="shared" si="65"/>
        <v>211.4803312462021</v>
      </c>
      <c r="BR116" s="207"/>
      <c r="BS116" s="207"/>
      <c r="BT116" s="207"/>
      <c r="BU116" s="207"/>
      <c r="BV116" s="207"/>
    </row>
    <row r="117" spans="8:74" x14ac:dyDescent="0.25">
      <c r="H117" s="18">
        <v>2</v>
      </c>
      <c r="I117" s="18" t="s">
        <v>0</v>
      </c>
      <c r="J117" s="97">
        <v>0</v>
      </c>
      <c r="K117" s="97">
        <v>500</v>
      </c>
      <c r="L117" s="97">
        <f t="shared" ref="L117:L118" si="66">(J117-K117)/((1+0.045)^H117)</f>
        <v>-457.86497561869015</v>
      </c>
      <c r="Q117" s="40"/>
      <c r="R117" s="40"/>
      <c r="S117" s="40"/>
      <c r="T117" s="40"/>
      <c r="U117" s="40"/>
      <c r="AH117" s="18">
        <v>60</v>
      </c>
      <c r="AI117" s="18" t="s">
        <v>92</v>
      </c>
      <c r="AJ117" s="97">
        <f>AK36*Inputs!$F$126</f>
        <v>322.33406018131529</v>
      </c>
      <c r="AK117" s="97">
        <v>60</v>
      </c>
      <c r="AL117" s="97">
        <f t="shared" si="64"/>
        <v>18.701534988585891</v>
      </c>
      <c r="AW117" s="18">
        <v>1</v>
      </c>
      <c r="AX117" s="18" t="s">
        <v>2</v>
      </c>
      <c r="AY117" s="97">
        <v>0</v>
      </c>
      <c r="AZ117" s="97">
        <v>3000</v>
      </c>
      <c r="BA117" s="97">
        <f>(AY117-AZ117)/((1+0.045)^AW117)</f>
        <v>-2870.8133971291868</v>
      </c>
      <c r="BL117" s="297" t="s">
        <v>153</v>
      </c>
      <c r="BM117" s="297"/>
      <c r="BN117" s="297"/>
      <c r="BO117" s="297"/>
      <c r="BP117" s="107">
        <f>SUM(BP106:BP116)</f>
        <v>-3734.2720907010525</v>
      </c>
      <c r="BR117" s="207"/>
      <c r="BS117" s="207"/>
      <c r="BT117" s="207"/>
      <c r="BU117" s="207"/>
      <c r="BV117" s="207"/>
    </row>
    <row r="118" spans="8:74" x14ac:dyDescent="0.25">
      <c r="H118" s="18">
        <v>3</v>
      </c>
      <c r="I118" s="18" t="s">
        <v>0</v>
      </c>
      <c r="J118" s="97">
        <v>0</v>
      </c>
      <c r="K118" s="97">
        <v>500</v>
      </c>
      <c r="L118" s="97">
        <f t="shared" si="66"/>
        <v>-438.14830202745469</v>
      </c>
      <c r="Q118" s="40"/>
      <c r="R118" s="40"/>
      <c r="S118" s="40"/>
      <c r="T118" s="40"/>
      <c r="U118" s="40"/>
      <c r="AH118" s="18">
        <v>65</v>
      </c>
      <c r="AI118" s="18" t="s">
        <v>92</v>
      </c>
      <c r="AJ118" s="97">
        <f>AK37*Inputs!$F$126</f>
        <v>351.8147168177627</v>
      </c>
      <c r="AK118" s="97">
        <v>60</v>
      </c>
      <c r="AL118" s="97">
        <f t="shared" si="64"/>
        <v>16.693534976795519</v>
      </c>
      <c r="AW118" s="18">
        <v>2</v>
      </c>
      <c r="AX118" s="18" t="s">
        <v>0</v>
      </c>
      <c r="AY118" s="97">
        <v>0</v>
      </c>
      <c r="AZ118" s="97">
        <v>500</v>
      </c>
      <c r="BA118" s="97">
        <f t="shared" ref="BA118:BA126" si="67">(AY118-AZ118)/((1+0.045)^AW118)</f>
        <v>-457.86497561869015</v>
      </c>
      <c r="BR118" s="207"/>
      <c r="BS118" s="207"/>
      <c r="BT118" s="207"/>
      <c r="BU118" s="207"/>
      <c r="BV118" s="207"/>
    </row>
    <row r="119" spans="8:74" x14ac:dyDescent="0.25">
      <c r="H119" s="18">
        <v>4</v>
      </c>
      <c r="I119" s="18" t="s">
        <v>0</v>
      </c>
      <c r="J119" s="97">
        <v>0</v>
      </c>
      <c r="K119" s="97">
        <v>500</v>
      </c>
      <c r="L119" s="97">
        <f>(J119-K119)/((1+0.045)^H119)</f>
        <v>-419.28067179660746</v>
      </c>
      <c r="Q119" s="40"/>
      <c r="R119" s="40"/>
      <c r="S119" s="40"/>
      <c r="T119" s="40"/>
      <c r="U119" s="40"/>
      <c r="AH119" s="130">
        <v>70</v>
      </c>
      <c r="AI119" s="18" t="s">
        <v>144</v>
      </c>
      <c r="AJ119">
        <f>(AK38+AM38)*Inputs!$F$126</f>
        <v>2289.1915840888123</v>
      </c>
      <c r="AK119" s="97">
        <v>60</v>
      </c>
      <c r="AL119" s="97">
        <f>(AJ119-AK119)/((1+0.045)^AH119)</f>
        <v>102.33096355505448</v>
      </c>
      <c r="AW119" s="18">
        <v>3</v>
      </c>
      <c r="AX119" s="18" t="s">
        <v>0</v>
      </c>
      <c r="AY119" s="97">
        <v>0</v>
      </c>
      <c r="AZ119" s="97">
        <v>500</v>
      </c>
      <c r="BA119" s="97">
        <f t="shared" si="67"/>
        <v>-438.14830202745469</v>
      </c>
      <c r="BR119" s="207"/>
      <c r="BS119" s="207"/>
      <c r="BT119" s="207"/>
      <c r="BU119" s="207"/>
      <c r="BV119" s="207"/>
    </row>
    <row r="120" spans="8:74" x14ac:dyDescent="0.25">
      <c r="H120" s="171">
        <v>47</v>
      </c>
      <c r="I120" s="56" t="s">
        <v>19</v>
      </c>
      <c r="J120" s="56">
        <f>N50*Inputs!C126</f>
        <v>0</v>
      </c>
      <c r="K120" s="97">
        <v>150</v>
      </c>
      <c r="L120" s="97">
        <f t="shared" ref="L120:L133" si="68">(J120-K120)/((1+0.045)^H120)</f>
        <v>-18.950715337711436</v>
      </c>
      <c r="Q120" s="40"/>
      <c r="R120" s="110"/>
      <c r="S120" s="40"/>
      <c r="T120" s="40"/>
      <c r="U120" s="40"/>
      <c r="AH120" s="291" t="s">
        <v>149</v>
      </c>
      <c r="AI120" s="292"/>
      <c r="AJ120" s="292"/>
      <c r="AK120" s="293"/>
      <c r="AL120" s="107">
        <f>SUM(AL104:AL119)</f>
        <v>-3853.5958005648104</v>
      </c>
      <c r="AW120" s="18">
        <v>4</v>
      </c>
      <c r="AX120" s="18" t="s">
        <v>0</v>
      </c>
      <c r="AY120" s="97">
        <v>0</v>
      </c>
      <c r="AZ120" s="97">
        <v>500</v>
      </c>
      <c r="BA120" s="97">
        <f t="shared" si="67"/>
        <v>-419.28067179660746</v>
      </c>
      <c r="BR120" s="207"/>
      <c r="BS120" s="207"/>
      <c r="BT120" s="207"/>
      <c r="BU120" s="207"/>
      <c r="BV120" s="207"/>
    </row>
    <row r="121" spans="8:74" x14ac:dyDescent="0.25">
      <c r="H121" s="171">
        <v>55</v>
      </c>
      <c r="I121" s="56" t="s">
        <v>20</v>
      </c>
      <c r="J121" s="56">
        <f>N51*Inputs!C127</f>
        <v>0</v>
      </c>
      <c r="K121" s="97">
        <v>150</v>
      </c>
      <c r="L121" s="97">
        <f t="shared" si="68"/>
        <v>-13.3258611708993</v>
      </c>
      <c r="Q121" s="40"/>
      <c r="R121" s="110"/>
      <c r="S121" s="40"/>
      <c r="T121" s="40"/>
      <c r="U121" s="40"/>
      <c r="AW121" s="18">
        <v>25</v>
      </c>
      <c r="AX121" s="18" t="s">
        <v>92</v>
      </c>
      <c r="AY121" s="97">
        <f>AZ45*Inputs!J126</f>
        <v>264</v>
      </c>
      <c r="AZ121" s="97">
        <v>60</v>
      </c>
      <c r="BA121" s="97">
        <f t="shared" si="67"/>
        <v>67.87704172229796</v>
      </c>
      <c r="BR121" s="207"/>
      <c r="BS121" s="207"/>
      <c r="BT121" s="207"/>
      <c r="BU121" s="207"/>
      <c r="BV121" s="207"/>
    </row>
    <row r="122" spans="8:74" x14ac:dyDescent="0.25">
      <c r="H122" s="171">
        <v>63</v>
      </c>
      <c r="I122" s="56" t="s">
        <v>21</v>
      </c>
      <c r="J122" s="56">
        <f>N52*Inputs!C128</f>
        <v>480</v>
      </c>
      <c r="K122" s="97">
        <v>150</v>
      </c>
      <c r="L122" s="97">
        <f t="shared" si="68"/>
        <v>20.615204234742031</v>
      </c>
      <c r="Q122" s="40"/>
      <c r="R122" s="110"/>
      <c r="S122" s="40"/>
      <c r="T122" s="40"/>
      <c r="U122" s="40"/>
      <c r="AH122" s="18" t="s">
        <v>147</v>
      </c>
      <c r="AI122" s="18" t="s">
        <v>1</v>
      </c>
      <c r="AJ122" s="18" t="s">
        <v>3</v>
      </c>
      <c r="AK122" s="18" t="s">
        <v>4</v>
      </c>
      <c r="AL122" s="18" t="s">
        <v>5</v>
      </c>
      <c r="AW122" s="18">
        <v>29</v>
      </c>
      <c r="AX122" s="18" t="s">
        <v>92</v>
      </c>
      <c r="AY122" s="97">
        <f>AZ46*Inputs!J127</f>
        <v>312</v>
      </c>
      <c r="AZ122" s="97">
        <v>60</v>
      </c>
      <c r="BA122" s="97">
        <f t="shared" si="67"/>
        <v>70.311784083614143</v>
      </c>
      <c r="BR122" s="207"/>
      <c r="BS122" s="207"/>
      <c r="BT122" s="207"/>
      <c r="BU122" s="207"/>
      <c r="BV122" s="207"/>
    </row>
    <row r="123" spans="8:74" x14ac:dyDescent="0.25">
      <c r="H123" s="171">
        <v>73</v>
      </c>
      <c r="I123" s="56" t="s">
        <v>122</v>
      </c>
      <c r="J123" s="56">
        <f>N53*Inputs!C129</f>
        <v>1000</v>
      </c>
      <c r="K123" s="97">
        <v>150</v>
      </c>
      <c r="L123" s="97">
        <f t="shared" si="68"/>
        <v>34.192410835864749</v>
      </c>
      <c r="Q123" s="40"/>
      <c r="R123" s="110"/>
      <c r="S123" s="40"/>
      <c r="T123" s="40"/>
      <c r="U123" s="40"/>
      <c r="AH123" s="18">
        <v>1</v>
      </c>
      <c r="AI123" s="18" t="s">
        <v>2</v>
      </c>
      <c r="AJ123" s="97">
        <v>0</v>
      </c>
      <c r="AK123" s="97">
        <v>3000</v>
      </c>
      <c r="AL123" s="97">
        <f>(AJ123-AK123)/((1+0.045)^AH123)</f>
        <v>-2870.8133971291868</v>
      </c>
      <c r="AW123" s="18">
        <v>34</v>
      </c>
      <c r="AX123" s="18" t="s">
        <v>92</v>
      </c>
      <c r="AY123" s="97">
        <f>AZ47*Inputs!J128</f>
        <v>320</v>
      </c>
      <c r="AZ123" s="97">
        <v>60</v>
      </c>
      <c r="BA123" s="97">
        <f t="shared" si="67"/>
        <v>58.212931853170041</v>
      </c>
      <c r="BR123" s="207"/>
      <c r="BS123" s="207"/>
      <c r="BT123" s="207"/>
      <c r="BU123" s="207"/>
      <c r="BV123" s="207"/>
    </row>
    <row r="124" spans="8:74" x14ac:dyDescent="0.25">
      <c r="H124" s="171">
        <v>83</v>
      </c>
      <c r="I124" s="56" t="s">
        <v>123</v>
      </c>
      <c r="J124" s="56">
        <f>N54*Inputs!C130</f>
        <v>1080</v>
      </c>
      <c r="K124" s="97">
        <v>150</v>
      </c>
      <c r="L124" s="97">
        <f t="shared" si="68"/>
        <v>24.08966948573919</v>
      </c>
      <c r="Q124" s="40"/>
      <c r="R124" s="40"/>
      <c r="S124" s="40"/>
      <c r="T124" s="40"/>
      <c r="U124" s="40"/>
      <c r="AH124" s="18">
        <v>2</v>
      </c>
      <c r="AI124" s="18" t="s">
        <v>0</v>
      </c>
      <c r="AJ124" s="97">
        <v>0</v>
      </c>
      <c r="AK124" s="97">
        <v>500</v>
      </c>
      <c r="AL124" s="97">
        <f t="shared" ref="AL124:AL137" si="69">(AJ124-AK124)/((1+0.045)^AH124)</f>
        <v>-457.86497561869015</v>
      </c>
      <c r="AW124" s="18">
        <v>39</v>
      </c>
      <c r="AX124" s="18" t="s">
        <v>92</v>
      </c>
      <c r="AY124" s="97">
        <f>AZ48*Inputs!J129</f>
        <v>590.4</v>
      </c>
      <c r="AZ124" s="97">
        <v>60</v>
      </c>
      <c r="BA124" s="97">
        <f t="shared" si="67"/>
        <v>95.294577294316582</v>
      </c>
      <c r="BR124" s="207"/>
      <c r="BS124" s="207"/>
      <c r="BT124" s="207"/>
      <c r="BU124" s="207"/>
      <c r="BV124" s="207"/>
    </row>
    <row r="125" spans="8:74" x14ac:dyDescent="0.25">
      <c r="H125" s="171">
        <v>93</v>
      </c>
      <c r="I125" s="56" t="s">
        <v>124</v>
      </c>
      <c r="J125" s="56">
        <f>N55*Inputs!C131</f>
        <v>1680</v>
      </c>
      <c r="K125" s="97">
        <v>150</v>
      </c>
      <c r="L125" s="97">
        <f t="shared" si="68"/>
        <v>25.519750215287637</v>
      </c>
      <c r="Q125" s="40"/>
      <c r="R125" s="110"/>
      <c r="S125" s="40"/>
      <c r="T125" s="40"/>
      <c r="U125" s="40"/>
      <c r="AH125" s="18">
        <v>3</v>
      </c>
      <c r="AI125" s="18" t="s">
        <v>0</v>
      </c>
      <c r="AJ125" s="97">
        <v>0</v>
      </c>
      <c r="AK125" s="97">
        <v>500</v>
      </c>
      <c r="AL125" s="97">
        <f t="shared" si="69"/>
        <v>-438.14830202745469</v>
      </c>
      <c r="AW125" s="18">
        <v>44</v>
      </c>
      <c r="AX125" s="18" t="s">
        <v>92</v>
      </c>
      <c r="AY125" s="97">
        <f>AZ49*Inputs!J130</f>
        <v>800</v>
      </c>
      <c r="AZ125" s="97">
        <v>60</v>
      </c>
      <c r="BA125" s="97">
        <f t="shared" si="67"/>
        <v>106.68784431371016</v>
      </c>
      <c r="BR125" s="207"/>
      <c r="BS125" s="207"/>
      <c r="BT125" s="207"/>
      <c r="BU125" s="207"/>
      <c r="BV125" s="207"/>
    </row>
    <row r="126" spans="8:74" x14ac:dyDescent="0.25">
      <c r="H126" s="171">
        <v>103</v>
      </c>
      <c r="I126" s="56" t="s">
        <v>125</v>
      </c>
      <c r="J126" s="56">
        <f>N56*Inputs!C132</f>
        <v>3840</v>
      </c>
      <c r="K126" s="97">
        <v>150</v>
      </c>
      <c r="L126" s="97">
        <f t="shared" si="68"/>
        <v>39.632224569808862</v>
      </c>
      <c r="Q126" s="40"/>
      <c r="R126" s="40"/>
      <c r="S126" s="40"/>
      <c r="T126" s="40"/>
      <c r="U126" s="40"/>
      <c r="AH126" s="18">
        <v>4</v>
      </c>
      <c r="AI126" s="18" t="s">
        <v>0</v>
      </c>
      <c r="AJ126" s="97">
        <v>0</v>
      </c>
      <c r="AK126" s="97">
        <v>500</v>
      </c>
      <c r="AL126" s="97">
        <f t="shared" si="69"/>
        <v>-419.28067179660746</v>
      </c>
      <c r="AW126" s="18">
        <v>50</v>
      </c>
      <c r="AX126" s="18" t="s">
        <v>92</v>
      </c>
      <c r="AY126" s="97">
        <f>(AZ50+AY50)*Inputs!J131</f>
        <v>13920</v>
      </c>
      <c r="AZ126" s="97">
        <v>60</v>
      </c>
      <c r="BA126" s="97">
        <f t="shared" si="67"/>
        <v>1534.4357485239389</v>
      </c>
      <c r="BR126" s="207"/>
      <c r="BS126" s="207"/>
      <c r="BT126" s="207"/>
      <c r="BU126" s="207"/>
      <c r="BV126" s="207"/>
    </row>
    <row r="127" spans="8:74" x14ac:dyDescent="0.25">
      <c r="H127" s="172">
        <v>113</v>
      </c>
      <c r="I127" s="56" t="s">
        <v>126</v>
      </c>
      <c r="J127" s="56">
        <f>N57*Inputs!C133</f>
        <v>3840</v>
      </c>
      <c r="K127" s="97">
        <v>150</v>
      </c>
      <c r="L127" s="97">
        <f t="shared" si="68"/>
        <v>25.520286500931153</v>
      </c>
      <c r="Q127" s="40"/>
      <c r="R127" s="40"/>
      <c r="S127" s="40"/>
      <c r="T127" s="40"/>
      <c r="U127" s="40"/>
      <c r="AH127" s="18">
        <v>15</v>
      </c>
      <c r="AI127" s="18" t="s">
        <v>92</v>
      </c>
      <c r="AJ127" s="97">
        <f>AK41*Inputs!$F$126</f>
        <v>80</v>
      </c>
      <c r="AK127" s="97">
        <v>60</v>
      </c>
      <c r="AL127" s="97">
        <f t="shared" si="69"/>
        <v>10.334408846315359</v>
      </c>
      <c r="AW127" s="297" t="s">
        <v>149</v>
      </c>
      <c r="AX127" s="297"/>
      <c r="AY127" s="297"/>
      <c r="AZ127" s="297"/>
      <c r="BA127" s="107">
        <f>SUM(BA117:BA126)</f>
        <v>-2253.2874187808916</v>
      </c>
      <c r="BR127" s="207"/>
      <c r="BS127" s="207"/>
      <c r="BT127" s="207"/>
      <c r="BU127" s="207"/>
      <c r="BV127" s="207"/>
    </row>
    <row r="128" spans="8:74" x14ac:dyDescent="0.25">
      <c r="H128" s="173">
        <v>125</v>
      </c>
      <c r="I128" s="56" t="s">
        <v>127</v>
      </c>
      <c r="J128" s="56">
        <f>N58*Inputs!C134</f>
        <v>4560</v>
      </c>
      <c r="K128" s="97">
        <v>150</v>
      </c>
      <c r="L128" s="97">
        <f t="shared" si="68"/>
        <v>17.984662140498052</v>
      </c>
      <c r="AH128" s="18">
        <v>20</v>
      </c>
      <c r="AI128" s="18" t="s">
        <v>92</v>
      </c>
      <c r="AJ128" s="97">
        <f>AK42*Inputs!$F$126</f>
        <v>87.366833333333346</v>
      </c>
      <c r="AK128" s="97">
        <v>60</v>
      </c>
      <c r="AL128" s="97">
        <f t="shared" si="69"/>
        <v>11.347462033844749</v>
      </c>
      <c r="BR128" s="207"/>
      <c r="BS128" s="207"/>
      <c r="BT128" s="207"/>
      <c r="BU128" s="207"/>
      <c r="BV128" s="207"/>
    </row>
    <row r="129" spans="8:74" x14ac:dyDescent="0.25">
      <c r="H129" s="172">
        <v>137</v>
      </c>
      <c r="I129" s="56" t="s">
        <v>128</v>
      </c>
      <c r="J129" s="56">
        <f>N59*Inputs!C135</f>
        <v>4800</v>
      </c>
      <c r="K129" s="97">
        <v>150</v>
      </c>
      <c r="L129" s="97">
        <f t="shared" si="68"/>
        <v>11.1820430941567</v>
      </c>
      <c r="AH129" s="18">
        <v>25</v>
      </c>
      <c r="AI129" s="18" t="s">
        <v>92</v>
      </c>
      <c r="AJ129" s="97">
        <f>AK43*Inputs!$F$126</f>
        <v>108.0000277777778</v>
      </c>
      <c r="AK129" s="97">
        <v>60</v>
      </c>
      <c r="AL129" s="97">
        <f t="shared" si="69"/>
        <v>15.97107788305728</v>
      </c>
      <c r="AW129" s="18" t="s">
        <v>152</v>
      </c>
      <c r="AX129" s="18" t="s">
        <v>1</v>
      </c>
      <c r="AY129" s="18" t="s">
        <v>136</v>
      </c>
      <c r="AZ129" s="18" t="s">
        <v>137</v>
      </c>
      <c r="BA129" t="s">
        <v>5</v>
      </c>
      <c r="BR129" s="207"/>
      <c r="BS129" s="207"/>
      <c r="BT129" s="207"/>
      <c r="BU129" s="207"/>
      <c r="BV129" s="207"/>
    </row>
    <row r="130" spans="8:74" x14ac:dyDescent="0.25">
      <c r="H130" s="172">
        <v>149</v>
      </c>
      <c r="I130" s="56" t="s">
        <v>129</v>
      </c>
      <c r="J130" s="56">
        <f>N60*Inputs!C136</f>
        <v>4800</v>
      </c>
      <c r="K130" s="97">
        <v>150</v>
      </c>
      <c r="L130" s="97">
        <f t="shared" si="68"/>
        <v>6.5936467479960417</v>
      </c>
      <c r="AH130" s="18">
        <v>30</v>
      </c>
      <c r="AI130" s="18" t="s">
        <v>92</v>
      </c>
      <c r="AJ130" s="97">
        <f>AK44*Inputs!$F$126</f>
        <v>129.40768981481483</v>
      </c>
      <c r="AK130" s="97">
        <v>60</v>
      </c>
      <c r="AL130" s="97">
        <f t="shared" si="69"/>
        <v>18.531854256860814</v>
      </c>
      <c r="AW130" s="18">
        <v>1</v>
      </c>
      <c r="AX130" s="18" t="s">
        <v>2</v>
      </c>
      <c r="AY130" s="97">
        <v>0</v>
      </c>
      <c r="AZ130" s="97">
        <v>3000</v>
      </c>
      <c r="BA130" s="97">
        <f>(AY130-AZ130)/((1+0.045)^AW130)</f>
        <v>-2870.8133971291868</v>
      </c>
      <c r="BR130" s="207"/>
      <c r="BS130" s="207"/>
      <c r="BT130" s="207"/>
      <c r="BU130" s="207"/>
      <c r="BV130" s="207"/>
    </row>
    <row r="131" spans="8:74" x14ac:dyDescent="0.25">
      <c r="H131" s="173">
        <v>164</v>
      </c>
      <c r="I131" s="56" t="s">
        <v>130</v>
      </c>
      <c r="J131" s="56">
        <f>N61*Inputs!C137</f>
        <v>6240</v>
      </c>
      <c r="K131" s="97">
        <v>150</v>
      </c>
      <c r="L131" s="97">
        <f t="shared" si="68"/>
        <v>4.4621653484644108</v>
      </c>
      <c r="AH131" s="18">
        <v>35</v>
      </c>
      <c r="AI131" s="18" t="s">
        <v>92</v>
      </c>
      <c r="AJ131" s="97">
        <f>AK45*Inputs!$F$126</f>
        <v>151.46074151234572</v>
      </c>
      <c r="AK131" s="97">
        <v>60</v>
      </c>
      <c r="AL131" s="97">
        <f t="shared" si="69"/>
        <v>19.595870124764748</v>
      </c>
      <c r="AW131" s="18">
        <v>2</v>
      </c>
      <c r="AX131" s="18" t="s">
        <v>0</v>
      </c>
      <c r="AY131" s="97">
        <v>0</v>
      </c>
      <c r="AZ131" s="97">
        <v>500</v>
      </c>
      <c r="BA131" s="97">
        <f t="shared" ref="BA131:BA138" si="70">(AY131-AZ131)/((1+0.045)^AW131)</f>
        <v>-457.86497561869015</v>
      </c>
      <c r="BR131" s="207"/>
      <c r="BS131" s="207"/>
      <c r="BT131" s="207"/>
      <c r="BU131" s="207"/>
      <c r="BV131" s="207"/>
    </row>
    <row r="132" spans="8:74" x14ac:dyDescent="0.25">
      <c r="H132" s="173">
        <v>179</v>
      </c>
      <c r="I132" s="56" t="s">
        <v>131</v>
      </c>
      <c r="J132" s="56">
        <f>N62*Inputs!C138</f>
        <v>8960</v>
      </c>
      <c r="K132" s="97">
        <v>150</v>
      </c>
      <c r="L132" s="97">
        <f t="shared" si="68"/>
        <v>3.3354921154216965</v>
      </c>
      <c r="AH132" s="18">
        <v>40</v>
      </c>
      <c r="AI132" s="18" t="s">
        <v>92</v>
      </c>
      <c r="AJ132" s="97">
        <f>AK46*Inputs!$F$126</f>
        <v>174.05161792695478</v>
      </c>
      <c r="AK132" s="97">
        <v>60</v>
      </c>
      <c r="AL132" s="97">
        <f t="shared" si="69"/>
        <v>19.608746527098909</v>
      </c>
      <c r="AW132" s="18">
        <v>3</v>
      </c>
      <c r="AX132" s="18" t="s">
        <v>0</v>
      </c>
      <c r="AY132" s="97">
        <v>0</v>
      </c>
      <c r="AZ132" s="97">
        <v>500</v>
      </c>
      <c r="BA132" s="97">
        <f t="shared" si="70"/>
        <v>-438.14830202745469</v>
      </c>
      <c r="BR132" s="207"/>
      <c r="BS132" s="207"/>
      <c r="BT132" s="207"/>
      <c r="BU132" s="207"/>
      <c r="BV132" s="207"/>
    </row>
    <row r="133" spans="8:74" x14ac:dyDescent="0.25">
      <c r="H133" s="173">
        <v>190</v>
      </c>
      <c r="I133" s="56" t="s">
        <v>144</v>
      </c>
      <c r="J133" s="56">
        <f>M63*Inputs!C139</f>
        <v>51680</v>
      </c>
      <c r="K133" s="97">
        <v>150</v>
      </c>
      <c r="L133" s="97">
        <f t="shared" si="68"/>
        <v>12.021674298595856</v>
      </c>
      <c r="AH133" s="18">
        <v>45</v>
      </c>
      <c r="AI133" s="18" t="s">
        <v>92</v>
      </c>
      <c r="AJ133" s="97">
        <f>AK47*Inputs!$F$126</f>
        <v>197.09068160579562</v>
      </c>
      <c r="AK133" s="97">
        <v>60</v>
      </c>
      <c r="AL133" s="97">
        <f t="shared" si="69"/>
        <v>18.913628987481616</v>
      </c>
      <c r="AW133" s="18">
        <v>4</v>
      </c>
      <c r="AX133" s="18" t="s">
        <v>0</v>
      </c>
      <c r="AY133" s="97">
        <v>0</v>
      </c>
      <c r="AZ133" s="97">
        <v>500</v>
      </c>
      <c r="BA133" s="97">
        <f t="shared" si="70"/>
        <v>-419.28067179660746</v>
      </c>
      <c r="BR133" s="207"/>
      <c r="BS133" s="207"/>
      <c r="BT133" s="207"/>
      <c r="BU133" s="207"/>
      <c r="BV133" s="207"/>
    </row>
    <row r="134" spans="8:74" x14ac:dyDescent="0.25">
      <c r="H134" s="118" t="s">
        <v>145</v>
      </c>
      <c r="I134" s="118"/>
      <c r="J134" s="118"/>
      <c r="K134" s="118"/>
      <c r="L134" s="118">
        <f>SUM(L114:L133)</f>
        <v>-3993.2346934930433</v>
      </c>
      <c r="AH134" s="18">
        <v>50</v>
      </c>
      <c r="AI134" s="18" t="s">
        <v>92</v>
      </c>
      <c r="AJ134" s="97">
        <f>AK48*Inputs!$F$126</f>
        <v>220.50323467149639</v>
      </c>
      <c r="AK134" s="97">
        <v>60</v>
      </c>
      <c r="AL134" s="97">
        <f t="shared" si="69"/>
        <v>17.769256928836288</v>
      </c>
      <c r="AW134" s="18">
        <v>28</v>
      </c>
      <c r="AX134" s="18" t="s">
        <v>92</v>
      </c>
      <c r="AY134" s="97">
        <f>AZ52*Inputs!J126</f>
        <v>424</v>
      </c>
      <c r="AZ134" s="97">
        <v>60</v>
      </c>
      <c r="BA134" s="97">
        <f t="shared" si="70"/>
        <v>106.1317318639887</v>
      </c>
      <c r="BR134" s="207"/>
      <c r="BS134" s="207"/>
      <c r="BT134" s="207"/>
      <c r="BU134" s="207"/>
      <c r="BV134" s="207"/>
    </row>
    <row r="135" spans="8:74" x14ac:dyDescent="0.25">
      <c r="AH135" s="18">
        <v>55</v>
      </c>
      <c r="AI135" s="18" t="s">
        <v>92</v>
      </c>
      <c r="AJ135" s="97">
        <f>AK49*Inputs!$F$126</f>
        <v>244.22702889291361</v>
      </c>
      <c r="AK135" s="97">
        <v>60</v>
      </c>
      <c r="AL135" s="97">
        <f t="shared" si="69"/>
        <v>16.366558739694806</v>
      </c>
      <c r="AW135" s="18">
        <v>33</v>
      </c>
      <c r="AX135" s="18" t="s">
        <v>92</v>
      </c>
      <c r="AY135" s="97">
        <f>AZ53*Inputs!J127</f>
        <v>488</v>
      </c>
      <c r="AZ135" s="97">
        <v>60</v>
      </c>
      <c r="BA135" s="97">
        <f t="shared" si="70"/>
        <v>100.13967654095704</v>
      </c>
      <c r="BR135" s="207"/>
      <c r="BS135" s="207"/>
      <c r="BT135" s="207"/>
      <c r="BU135" s="207"/>
      <c r="BV135" s="207"/>
    </row>
    <row r="136" spans="8:74" x14ac:dyDescent="0.25">
      <c r="AH136" s="18">
        <v>60</v>
      </c>
      <c r="AI136" s="18" t="s">
        <v>92</v>
      </c>
      <c r="AJ136" s="97">
        <f>AK50*Inputs!$F$126</f>
        <v>268.21019074409469</v>
      </c>
      <c r="AK136" s="97">
        <v>60</v>
      </c>
      <c r="AL136" s="97">
        <f t="shared" si="69"/>
        <v>14.84309801209019</v>
      </c>
      <c r="AW136" s="18">
        <v>39</v>
      </c>
      <c r="AX136" s="18" t="s">
        <v>92</v>
      </c>
      <c r="AY136" s="97">
        <f>AZ54*Inputs!J128</f>
        <v>560</v>
      </c>
      <c r="AZ136" s="97">
        <v>60</v>
      </c>
      <c r="BA136" s="97">
        <f t="shared" si="70"/>
        <v>89.832746318171743</v>
      </c>
      <c r="BR136" s="207"/>
      <c r="BS136" s="207"/>
      <c r="BT136" s="207"/>
      <c r="BU136" s="207"/>
      <c r="BV136" s="207"/>
    </row>
    <row r="137" spans="8:74" x14ac:dyDescent="0.25">
      <c r="AH137" s="18">
        <v>65</v>
      </c>
      <c r="AI137" s="18" t="s">
        <v>92</v>
      </c>
      <c r="AJ137" s="97">
        <f>AK51*Inputs!$F$126</f>
        <v>292.40949228674566</v>
      </c>
      <c r="AK137" s="97">
        <v>60</v>
      </c>
      <c r="AL137" s="97">
        <f t="shared" si="69"/>
        <v>13.295203308238078</v>
      </c>
      <c r="AW137" s="18">
        <v>45</v>
      </c>
      <c r="AX137" s="18" t="s">
        <v>92</v>
      </c>
      <c r="AY137" s="97">
        <f>AZ55*Inputs!J129</f>
        <v>964.80000000000007</v>
      </c>
      <c r="AZ137" s="97">
        <v>60</v>
      </c>
      <c r="BA137" s="97">
        <f t="shared" si="70"/>
        <v>124.83015845731923</v>
      </c>
      <c r="BR137" s="207"/>
      <c r="BS137" s="207"/>
      <c r="BT137" s="207"/>
      <c r="BU137" s="207"/>
      <c r="BV137" s="207"/>
    </row>
    <row r="138" spans="8:74" x14ac:dyDescent="0.25">
      <c r="AH138" s="130">
        <v>70</v>
      </c>
      <c r="AI138" s="18" t="s">
        <v>144</v>
      </c>
      <c r="AJ138" s="97">
        <f>(AK52+AM52)*Inputs!$F$126</f>
        <v>1900.7334614337281</v>
      </c>
      <c r="AK138" s="97">
        <v>60</v>
      </c>
      <c r="AL138" s="97">
        <f>(AJ138-AK138)/((1+0.045)^AH138)</f>
        <v>84.498806697917075</v>
      </c>
      <c r="AW138" s="18">
        <v>52</v>
      </c>
      <c r="AX138" s="18" t="s">
        <v>92</v>
      </c>
      <c r="AY138" s="97">
        <f>(AZ56+AY56)*Inputs!J130</f>
        <v>10260</v>
      </c>
      <c r="AZ138" s="97">
        <v>60</v>
      </c>
      <c r="BA138" s="97">
        <f t="shared" si="70"/>
        <v>1034.0774521184517</v>
      </c>
      <c r="BR138" s="207"/>
      <c r="BS138" s="207"/>
      <c r="BT138" s="207"/>
      <c r="BU138" s="207"/>
      <c r="BV138" s="207"/>
    </row>
    <row r="139" spans="8:74" x14ac:dyDescent="0.25">
      <c r="AH139" s="291" t="s">
        <v>149</v>
      </c>
      <c r="AI139" s="292"/>
      <c r="AJ139" s="292"/>
      <c r="AK139" s="293"/>
      <c r="AL139" s="107">
        <f>SUM(AL123:AL138)</f>
        <v>-3925.0313742257381</v>
      </c>
      <c r="AW139" s="297" t="s">
        <v>149</v>
      </c>
      <c r="AX139" s="297"/>
      <c r="AY139" s="297"/>
      <c r="AZ139" s="297"/>
      <c r="BA139" s="107">
        <f>SUM(BA130:BA138)</f>
        <v>-2731.0955812730508</v>
      </c>
      <c r="BR139" s="207"/>
      <c r="BS139" s="207"/>
      <c r="BT139" s="207"/>
      <c r="BU139" s="207"/>
      <c r="BV139" s="207"/>
    </row>
  </sheetData>
  <mergeCells count="79">
    <mergeCell ref="AH139:AK139"/>
    <mergeCell ref="AH27:AH38"/>
    <mergeCell ref="AH69:AH80"/>
    <mergeCell ref="AH55:AH66"/>
    <mergeCell ref="AH41:AH52"/>
    <mergeCell ref="H50:H63"/>
    <mergeCell ref="AP10:AU10"/>
    <mergeCell ref="AH1:AN1"/>
    <mergeCell ref="AH10:AN10"/>
    <mergeCell ref="AP13:AP23"/>
    <mergeCell ref="AH13:AH24"/>
    <mergeCell ref="AP25:AP35"/>
    <mergeCell ref="AP37:AP44"/>
    <mergeCell ref="Z1:AE1"/>
    <mergeCell ref="Z9:AE9"/>
    <mergeCell ref="Z12:Z21"/>
    <mergeCell ref="Z23:Z32"/>
    <mergeCell ref="Z34:Z43"/>
    <mergeCell ref="A1:E1"/>
    <mergeCell ref="Q47:X47"/>
    <mergeCell ref="Q11:Q21"/>
    <mergeCell ref="Q23:Q33"/>
    <mergeCell ref="Q35:Q45"/>
    <mergeCell ref="Q1:X1"/>
    <mergeCell ref="Q8:X8"/>
    <mergeCell ref="H13:H29"/>
    <mergeCell ref="H32:H47"/>
    <mergeCell ref="R101:T101"/>
    <mergeCell ref="AW139:AZ139"/>
    <mergeCell ref="BD13:BD21"/>
    <mergeCell ref="BD23:BD31"/>
    <mergeCell ref="BD33:BI33"/>
    <mergeCell ref="BD49:BG49"/>
    <mergeCell ref="BD65:BG65"/>
    <mergeCell ref="AW37:AW43"/>
    <mergeCell ref="AW45:AW50"/>
    <mergeCell ref="AW52:AW56"/>
    <mergeCell ref="AW72:AZ72"/>
    <mergeCell ref="AW86:AZ86"/>
    <mergeCell ref="AW13:AW19"/>
    <mergeCell ref="AW21:AW27"/>
    <mergeCell ref="AW29:AW35"/>
    <mergeCell ref="Z100:AC100"/>
    <mergeCell ref="AW127:AZ127"/>
    <mergeCell ref="AP83:AS83"/>
    <mergeCell ref="AP98:AS98"/>
    <mergeCell ref="BL117:BO117"/>
    <mergeCell ref="AW100:AZ100"/>
    <mergeCell ref="AW114:AZ114"/>
    <mergeCell ref="BL45:BL51"/>
    <mergeCell ref="AH101:AK101"/>
    <mergeCell ref="AH120:AK120"/>
    <mergeCell ref="Z47:AG47"/>
    <mergeCell ref="Z64:AC64"/>
    <mergeCell ref="Z82:AC82"/>
    <mergeCell ref="BL103:BO103"/>
    <mergeCell ref="A66:D66"/>
    <mergeCell ref="BL70:BO70"/>
    <mergeCell ref="BL88:BO88"/>
    <mergeCell ref="AH82:AM82"/>
    <mergeCell ref="Q65:T65"/>
    <mergeCell ref="Q83:T83"/>
    <mergeCell ref="H66:O66"/>
    <mergeCell ref="BS1:BX1"/>
    <mergeCell ref="BT2:BU2"/>
    <mergeCell ref="BT3:BU3"/>
    <mergeCell ref="BL53:BQ53"/>
    <mergeCell ref="AP65:AS65"/>
    <mergeCell ref="BL1:BQ1"/>
    <mergeCell ref="BL10:BQ10"/>
    <mergeCell ref="AP47:AU47"/>
    <mergeCell ref="AW1:BB1"/>
    <mergeCell ref="AW10:BB10"/>
    <mergeCell ref="BD1:BI1"/>
    <mergeCell ref="BD10:BI10"/>
    <mergeCell ref="BL13:BL22"/>
    <mergeCell ref="BL24:BL34"/>
    <mergeCell ref="BL36:BL43"/>
    <mergeCell ref="AP1:AU1"/>
  </mergeCells>
  <pageMargins left="0.7" right="0.7" top="0.75" bottom="0.75" header="0.3" footer="0.3"/>
  <pageSetup paperSize="9" scale="1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38"/>
  <sheetViews>
    <sheetView topLeftCell="M1" workbookViewId="0">
      <selection activeCell="Q26" sqref="Q26"/>
    </sheetView>
  </sheetViews>
  <sheetFormatPr baseColWidth="10" defaultRowHeight="15" x14ac:dyDescent="0.25"/>
  <cols>
    <col min="1" max="1" width="30" style="20" bestFit="1" customWidth="1"/>
    <col min="2" max="3" width="11.5703125" style="20"/>
    <col min="9" max="9" width="14.28515625" bestFit="1" customWidth="1"/>
    <col min="41" max="41" width="12.5703125" bestFit="1" customWidth="1"/>
    <col min="43" max="43" width="8.5703125" bestFit="1" customWidth="1"/>
    <col min="44" max="44" width="16.85546875" bestFit="1" customWidth="1"/>
    <col min="46" max="46" width="14.42578125" bestFit="1" customWidth="1"/>
  </cols>
  <sheetData>
    <row r="1" spans="1:48" x14ac:dyDescent="0.25">
      <c r="A1" s="176" t="s">
        <v>263</v>
      </c>
      <c r="B1" s="176"/>
      <c r="C1" s="176"/>
      <c r="E1" s="303" t="s">
        <v>39</v>
      </c>
      <c r="F1" s="303"/>
      <c r="G1" s="303"/>
      <c r="H1" s="303"/>
      <c r="I1" s="303"/>
      <c r="J1" s="303"/>
      <c r="K1" s="303"/>
      <c r="L1" s="303"/>
      <c r="N1" s="303" t="s">
        <v>187</v>
      </c>
      <c r="O1" s="303"/>
      <c r="P1" s="303"/>
      <c r="Q1" s="303"/>
      <c r="R1" s="303"/>
      <c r="S1" s="303"/>
      <c r="T1" s="303"/>
      <c r="U1" s="303"/>
      <c r="W1" s="303" t="s">
        <v>23</v>
      </c>
      <c r="X1" s="303"/>
      <c r="Y1" s="303"/>
      <c r="Z1" s="303"/>
      <c r="AA1" s="303"/>
      <c r="AB1" s="303"/>
      <c r="AC1" s="303"/>
      <c r="AD1" s="303"/>
      <c r="AF1" s="303" t="s">
        <v>40</v>
      </c>
      <c r="AG1" s="303"/>
      <c r="AH1" s="303"/>
      <c r="AI1" s="303"/>
      <c r="AJ1" s="303"/>
      <c r="AK1" s="303"/>
      <c r="AL1" s="303"/>
      <c r="AM1" s="303"/>
      <c r="AO1" s="303" t="s">
        <v>295</v>
      </c>
      <c r="AP1" s="303"/>
      <c r="AQ1" s="303"/>
      <c r="AR1" s="303"/>
      <c r="AS1" s="303"/>
      <c r="AT1" s="303"/>
      <c r="AU1" s="303"/>
      <c r="AV1" s="303"/>
    </row>
    <row r="2" spans="1:48" x14ac:dyDescent="0.25">
      <c r="A2"/>
      <c r="B2"/>
      <c r="C2"/>
    </row>
    <row r="3" spans="1:48" x14ac:dyDescent="0.25">
      <c r="A3" s="177" t="s">
        <v>264</v>
      </c>
      <c r="B3" s="177">
        <v>0.54</v>
      </c>
      <c r="C3" s="40"/>
      <c r="E3" s="184" t="s">
        <v>264</v>
      </c>
      <c r="F3" s="184">
        <f>VLOOKUP(E1,Inputs!$A$31:$B$42,2,FALSE)</f>
        <v>0.46</v>
      </c>
      <c r="N3" s="184" t="s">
        <v>264</v>
      </c>
      <c r="O3" s="184">
        <f>VLOOKUP(N1,Inputs!$A$31:$B$42,2,FALSE)</f>
        <v>0.57999999999999996</v>
      </c>
      <c r="W3" s="184" t="s">
        <v>264</v>
      </c>
      <c r="X3" s="184">
        <f>VLOOKUP(W1,Inputs!$A$31:$B$42,2,FALSE)</f>
        <v>0.47</v>
      </c>
      <c r="AF3" s="184" t="s">
        <v>264</v>
      </c>
      <c r="AG3" s="184">
        <f>VLOOKUP(AF1,Inputs!$A$31:$B$42,2,FALSE)</f>
        <v>0.46</v>
      </c>
      <c r="AO3" s="184" t="s">
        <v>264</v>
      </c>
      <c r="AP3" s="184">
        <v>0.35</v>
      </c>
    </row>
    <row r="4" spans="1:48" x14ac:dyDescent="0.25">
      <c r="A4" s="177" t="s">
        <v>192</v>
      </c>
      <c r="B4" s="177">
        <v>1.3</v>
      </c>
      <c r="C4" s="178"/>
      <c r="E4" s="184" t="s">
        <v>192</v>
      </c>
      <c r="F4" s="184">
        <f>VLOOKUP(E1,FEB[],3,0)</f>
        <v>1.3</v>
      </c>
      <c r="N4" s="184" t="s">
        <v>192</v>
      </c>
      <c r="O4" s="184">
        <f>VLOOKUP(N1,FEB[],3,0)</f>
        <v>1</v>
      </c>
      <c r="W4" s="184" t="s">
        <v>192</v>
      </c>
      <c r="X4" s="184">
        <f>VLOOKUP(W1,FEB[],3,0)</f>
        <v>1.56</v>
      </c>
      <c r="AF4" s="184" t="s">
        <v>192</v>
      </c>
      <c r="AG4" s="184">
        <f>VLOOKUP(AF1,FEB[],3,0)</f>
        <v>1.3</v>
      </c>
      <c r="AO4" s="184" t="s">
        <v>192</v>
      </c>
      <c r="AP4" s="184">
        <v>1.56</v>
      </c>
    </row>
    <row r="5" spans="1:48" x14ac:dyDescent="0.25">
      <c r="A5" s="124"/>
      <c r="B5" s="179"/>
      <c r="C5" s="178"/>
    </row>
    <row r="6" spans="1:48" x14ac:dyDescent="0.25">
      <c r="A6" s="124"/>
      <c r="B6" s="179"/>
      <c r="C6" s="178"/>
      <c r="F6" s="18" t="s">
        <v>270</v>
      </c>
      <c r="G6" s="18" t="s">
        <v>271</v>
      </c>
      <c r="H6" s="18" t="s">
        <v>272</v>
      </c>
      <c r="O6" s="18" t="s">
        <v>270</v>
      </c>
      <c r="P6" s="18" t="s">
        <v>271</v>
      </c>
      <c r="Q6" s="18" t="s">
        <v>272</v>
      </c>
      <c r="X6" s="18" t="s">
        <v>270</v>
      </c>
      <c r="Y6" s="18" t="s">
        <v>271</v>
      </c>
      <c r="Z6" s="18" t="s">
        <v>272</v>
      </c>
      <c r="AG6" s="18" t="s">
        <v>270</v>
      </c>
      <c r="AH6" s="18" t="s">
        <v>271</v>
      </c>
      <c r="AI6" s="18" t="s">
        <v>272</v>
      </c>
      <c r="AP6" t="s">
        <v>295</v>
      </c>
      <c r="AQ6" t="s">
        <v>304</v>
      </c>
      <c r="AR6" t="s">
        <v>305</v>
      </c>
    </row>
    <row r="7" spans="1:48" x14ac:dyDescent="0.25">
      <c r="A7" s="18" t="s">
        <v>265</v>
      </c>
      <c r="B7" s="180">
        <f>AVERAGE(C12:C111)</f>
        <v>318.77506685718674</v>
      </c>
      <c r="C7" s="181"/>
      <c r="E7" s="18" t="s">
        <v>273</v>
      </c>
      <c r="F7" s="185">
        <f>AVERAGE(G49:G113)</f>
        <v>574.78612731402711</v>
      </c>
      <c r="G7" s="185">
        <f>AVERAGE(I49:I148)</f>
        <v>627.45539838801722</v>
      </c>
      <c r="H7" s="185">
        <f>AVERAGE(K49:K148)</f>
        <v>555.96585519147334</v>
      </c>
      <c r="N7" s="18" t="s">
        <v>273</v>
      </c>
      <c r="O7" s="185">
        <f>AVERAGE(P49:P218)</f>
        <v>573.4939182364742</v>
      </c>
      <c r="P7" s="185">
        <f>AVERAGE(R49:R228)</f>
        <v>528.51275754119433</v>
      </c>
      <c r="Q7" s="185">
        <f>AVERAGE(T49:T238)</f>
        <v>489.12473180733315</v>
      </c>
      <c r="W7" s="18" t="s">
        <v>273</v>
      </c>
      <c r="X7" s="185">
        <f>AVERAGE(Y49:Y218)</f>
        <v>719.14786462270206</v>
      </c>
      <c r="Y7" s="185">
        <f>AVERAGE(AA49:AA228)</f>
        <v>660.72875469361122</v>
      </c>
      <c r="Z7" s="185">
        <f>AVERAGE(AC49:AC238)</f>
        <v>601.62715294774478</v>
      </c>
      <c r="AF7" s="18" t="s">
        <v>273</v>
      </c>
      <c r="AG7" s="185">
        <f>AVERAGE(AH49:AH218)</f>
        <v>547.06083207662743</v>
      </c>
      <c r="AH7" s="185">
        <f>AVERAGE(AJ49:AJ228)</f>
        <v>479.1408815843439</v>
      </c>
      <c r="AI7" s="185">
        <f>AVERAGE(AL49:AL238)</f>
        <v>423.29323314001726</v>
      </c>
      <c r="AO7" t="s">
        <v>303</v>
      </c>
      <c r="AP7" s="11">
        <f>AU35</f>
        <v>9854.9707541153366</v>
      </c>
      <c r="AQ7" s="11">
        <f>SUM(C12:C34)</f>
        <v>7203.247039355213</v>
      </c>
      <c r="AR7" s="208">
        <f>(AP7-AQ7)/23</f>
        <v>115.2923354243532</v>
      </c>
    </row>
    <row r="8" spans="1:48" x14ac:dyDescent="0.25">
      <c r="A8" s="40"/>
      <c r="B8" s="40"/>
      <c r="C8" s="40"/>
    </row>
    <row r="9" spans="1:48" x14ac:dyDescent="0.25">
      <c r="A9" s="9" t="s">
        <v>266</v>
      </c>
      <c r="B9"/>
      <c r="C9"/>
      <c r="E9" s="9" t="s">
        <v>274</v>
      </c>
      <c r="N9" s="9" t="s">
        <v>274</v>
      </c>
      <c r="W9" s="9" t="s">
        <v>274</v>
      </c>
      <c r="AF9" s="9" t="s">
        <v>274</v>
      </c>
      <c r="AO9" s="9" t="s">
        <v>296</v>
      </c>
    </row>
    <row r="10" spans="1:48" x14ac:dyDescent="0.25">
      <c r="A10"/>
      <c r="B10"/>
      <c r="C10"/>
    </row>
    <row r="11" spans="1:48" x14ac:dyDescent="0.25">
      <c r="A11" s="18" t="s">
        <v>267</v>
      </c>
      <c r="B11" s="18" t="s">
        <v>268</v>
      </c>
      <c r="C11" s="18" t="s">
        <v>269</v>
      </c>
      <c r="E11" s="186" t="s">
        <v>275</v>
      </c>
      <c r="F11" s="18" t="s">
        <v>276</v>
      </c>
      <c r="H11" s="186" t="s">
        <v>275</v>
      </c>
      <c r="I11" s="18" t="s">
        <v>277</v>
      </c>
      <c r="K11" s="186" t="s">
        <v>275</v>
      </c>
      <c r="L11" s="18" t="s">
        <v>278</v>
      </c>
      <c r="N11" s="186" t="s">
        <v>275</v>
      </c>
      <c r="O11" s="18" t="s">
        <v>276</v>
      </c>
      <c r="Q11" s="186" t="s">
        <v>275</v>
      </c>
      <c r="R11" s="18" t="s">
        <v>277</v>
      </c>
      <c r="T11" s="186" t="s">
        <v>275</v>
      </c>
      <c r="U11" s="18" t="s">
        <v>278</v>
      </c>
      <c r="W11" s="186" t="s">
        <v>275</v>
      </c>
      <c r="X11" s="18" t="s">
        <v>276</v>
      </c>
      <c r="Z11" s="186" t="s">
        <v>275</v>
      </c>
      <c r="AA11" s="18" t="s">
        <v>277</v>
      </c>
      <c r="AC11" s="186" t="s">
        <v>275</v>
      </c>
      <c r="AD11" s="18" t="s">
        <v>278</v>
      </c>
      <c r="AF11" s="186" t="s">
        <v>275</v>
      </c>
      <c r="AG11" s="18" t="s">
        <v>276</v>
      </c>
      <c r="AI11" s="186" t="s">
        <v>275</v>
      </c>
      <c r="AJ11" s="18" t="s">
        <v>277</v>
      </c>
      <c r="AL11" s="186" t="s">
        <v>275</v>
      </c>
      <c r="AM11" s="18" t="s">
        <v>278</v>
      </c>
      <c r="AO11" s="18" t="s">
        <v>25</v>
      </c>
      <c r="AP11" s="18" t="s">
        <v>297</v>
      </c>
      <c r="AQ11" s="18" t="s">
        <v>298</v>
      </c>
      <c r="AR11" s="18" t="s">
        <v>299</v>
      </c>
      <c r="AS11" s="18" t="s">
        <v>300</v>
      </c>
      <c r="AT11" s="18" t="s">
        <v>301</v>
      </c>
      <c r="AU11" s="18" t="s">
        <v>46</v>
      </c>
    </row>
    <row r="12" spans="1:48" x14ac:dyDescent="0.25">
      <c r="A12" s="18">
        <v>1</v>
      </c>
      <c r="B12" s="18">
        <f>1*A12</f>
        <v>1</v>
      </c>
      <c r="C12" s="182">
        <f>IF(B12&gt;0,(((B12*$B$3*$B$4) +EXP(-1.0587+(0.8836*LN(B12*$B$3*$B$4))+0.284))*0.475+70+10)*(44/12),0)</f>
        <v>295.14312185797593</v>
      </c>
      <c r="E12" s="18">
        <v>17</v>
      </c>
      <c r="F12" s="19">
        <f>'Inputs - Tables de production'!AR13</f>
        <v>103</v>
      </c>
      <c r="H12" s="19">
        <f>'Inputs - Tables de production'!AQ25</f>
        <v>22</v>
      </c>
      <c r="I12" s="19">
        <f>'Inputs - Tables de production'!AR25</f>
        <v>107</v>
      </c>
      <c r="K12" s="19">
        <f>'Inputs - Tables de production'!AQ37</f>
        <v>27</v>
      </c>
      <c r="L12" s="19">
        <f>'Inputs - Tables de production'!AR37</f>
        <v>103</v>
      </c>
      <c r="N12" s="18">
        <f>'Inputs - Tables de production'!I13</f>
        <v>29</v>
      </c>
      <c r="O12" s="19">
        <f>'Inputs - Tables de production'!M13</f>
        <v>76.537999999999997</v>
      </c>
      <c r="Q12" s="19">
        <f>'Inputs - Tables de production'!I32</f>
        <v>36</v>
      </c>
      <c r="R12" s="19">
        <f>'Inputs - Tables de production'!M32</f>
        <v>82.80019999999999</v>
      </c>
      <c r="T12" s="19">
        <f>'Inputs - Tables de production'!I50</f>
        <v>47</v>
      </c>
      <c r="U12" s="19">
        <f>'Inputs - Tables de production'!M50</f>
        <v>107.70199999999998</v>
      </c>
      <c r="W12" s="18">
        <f>'Inputs - Tables de production'!AI13</f>
        <v>15</v>
      </c>
      <c r="X12" s="19">
        <f>'Inputs - Tables de production'!AM13</f>
        <v>116.77875</v>
      </c>
      <c r="Z12" s="19">
        <f>'Inputs - Tables de production'!AI27</f>
        <v>15</v>
      </c>
      <c r="AA12" s="19">
        <f>'Inputs - Tables de production'!AM27</f>
        <v>99.573750000000004</v>
      </c>
      <c r="AC12" s="19">
        <f>'Inputs - Tables de production'!AI41</f>
        <v>15</v>
      </c>
      <c r="AD12" s="19">
        <f>'Inputs - Tables de production'!AM41</f>
        <v>84.578749999999999</v>
      </c>
      <c r="AF12" s="18">
        <f>'Inputs - Tables de production'!AA12</f>
        <v>12</v>
      </c>
      <c r="AG12" s="19">
        <f>'Inputs - Tables de production'!AB12</f>
        <v>46</v>
      </c>
      <c r="AI12" s="19">
        <f>'Inputs - Tables de production'!AA23</f>
        <v>12</v>
      </c>
      <c r="AJ12" s="19">
        <f>'Inputs - Tables de production'!AB23</f>
        <v>36</v>
      </c>
      <c r="AL12" s="19">
        <f>'Inputs - Tables de production'!AA34</f>
        <v>12</v>
      </c>
      <c r="AM12" s="19">
        <f>'Inputs - Tables de production'!AB34</f>
        <v>25</v>
      </c>
      <c r="AO12" s="18">
        <v>1</v>
      </c>
      <c r="AP12" s="18">
        <v>8</v>
      </c>
      <c r="AQ12" s="19">
        <f>AP12/PI()</f>
        <v>2.5464790894703255</v>
      </c>
      <c r="AR12" s="18">
        <v>3.5</v>
      </c>
      <c r="AS12" s="209">
        <f>0.496*(AR12*(AP12/100)^2)/(4*PI())</f>
        <v>8.8413753986409701E-4</v>
      </c>
      <c r="AT12" s="210">
        <f>AS12*200</f>
        <v>0.1768275079728194</v>
      </c>
      <c r="AU12" s="182">
        <f>IF(AT12&gt;0,(((AT12*AP$3*AP$4) +EXP(-1.0587+(0.8836*LN(AT12*AP$3*AP$4))+0.284))*0.475+70+10)*(44/12),0)</f>
        <v>293.6032142912735</v>
      </c>
    </row>
    <row r="13" spans="1:48" x14ac:dyDescent="0.25">
      <c r="A13" s="18">
        <v>2</v>
      </c>
      <c r="B13" s="18">
        <f t="shared" ref="B13:B41" si="0">1*A13</f>
        <v>2</v>
      </c>
      <c r="C13" s="182">
        <f t="shared" ref="C13:C41" si="1">IF(B13&gt;0,(((B13*$B$3*$B$4) +EXP(-1.0587+(0.8836*LN(B13*$B$3*$B$4))+0.284))*0.475+70+10)*(44/12),0)</f>
        <v>296.86188828117156</v>
      </c>
      <c r="E13" s="18">
        <v>20</v>
      </c>
      <c r="F13" s="19">
        <f>'Inputs - Tables de production'!AR14</f>
        <v>122</v>
      </c>
      <c r="H13" s="19">
        <f>'Inputs - Tables de production'!AQ26</f>
        <v>25</v>
      </c>
      <c r="I13" s="19">
        <f>'Inputs - Tables de production'!AR26</f>
        <v>127</v>
      </c>
      <c r="K13" s="19">
        <f>'Inputs - Tables de production'!AQ38</f>
        <v>30</v>
      </c>
      <c r="L13" s="19">
        <f>'Inputs - Tables de production'!AR38</f>
        <v>119</v>
      </c>
      <c r="N13" s="18">
        <f>'Inputs - Tables de production'!I14</f>
        <v>37</v>
      </c>
      <c r="O13" s="19">
        <f>'Inputs - Tables de production'!M14</f>
        <v>116.80619999999998</v>
      </c>
      <c r="Q13" s="19">
        <f>'Inputs - Tables de production'!I33</f>
        <v>44</v>
      </c>
      <c r="R13" s="19">
        <f>'Inputs - Tables de production'!M33</f>
        <v>113.06260000000002</v>
      </c>
      <c r="T13" s="19">
        <f>'Inputs - Tables de production'!I51</f>
        <v>55</v>
      </c>
      <c r="U13" s="19">
        <f>'Inputs - Tables de production'!M51</f>
        <v>118.48199999999999</v>
      </c>
      <c r="W13" s="18">
        <f>'Inputs - Tables de production'!AI14</f>
        <v>20</v>
      </c>
      <c r="X13" s="19">
        <f>'Inputs - Tables de production'!AM14</f>
        <v>150.95020833333334</v>
      </c>
      <c r="Z13" s="19">
        <f>'Inputs - Tables de production'!AI28</f>
        <v>20</v>
      </c>
      <c r="AA13" s="19">
        <f>'Inputs - Tables de production'!AM28</f>
        <v>129.04437499999997</v>
      </c>
      <c r="AC13" s="19">
        <f>'Inputs - Tables de production'!AI42</f>
        <v>20</v>
      </c>
      <c r="AD13" s="19">
        <f>'Inputs - Tables de production'!AM42</f>
        <v>109.20854166666668</v>
      </c>
      <c r="AF13" s="18">
        <f>'Inputs - Tables de production'!AA13</f>
        <v>16</v>
      </c>
      <c r="AG13" s="19">
        <f>'Inputs - Tables de production'!AB13</f>
        <v>82</v>
      </c>
      <c r="AI13" s="19">
        <f>'Inputs - Tables de production'!AA24</f>
        <v>16</v>
      </c>
      <c r="AJ13" s="19">
        <f>'Inputs - Tables de production'!AB24</f>
        <v>66</v>
      </c>
      <c r="AL13" s="19">
        <f>'Inputs - Tables de production'!AA35</f>
        <v>16</v>
      </c>
      <c r="AM13" s="19">
        <f>'Inputs - Tables de production'!AB35</f>
        <v>51</v>
      </c>
      <c r="AO13" s="18">
        <v>2</v>
      </c>
      <c r="AP13" s="18">
        <v>10</v>
      </c>
      <c r="AQ13" s="19">
        <f t="shared" ref="AQ13:AQ34" si="2">AP13/PI()</f>
        <v>3.183098861837907</v>
      </c>
      <c r="AR13" s="18">
        <v>4</v>
      </c>
      <c r="AS13" s="209">
        <f t="shared" ref="AS13:AS34" si="3">0.496*(AR13*(AP13/100)^2)/(4*PI())</f>
        <v>1.5788170354716022E-3</v>
      </c>
      <c r="AT13" s="210">
        <f t="shared" ref="AT13:AT34" si="4">AS13*200</f>
        <v>0.31576340709432044</v>
      </c>
      <c r="AU13" s="182">
        <f t="shared" ref="AU13:AU34" si="5">IF(AT13&gt;0,(((AT13*AP$3*AP$4) +EXP(-1.0587+(0.8836*LN(AT13*AP$3*AP$4))+0.284))*0.475+70+10)*(44/12),0)</f>
        <v>293.80340812466449</v>
      </c>
    </row>
    <row r="14" spans="1:48" x14ac:dyDescent="0.25">
      <c r="A14" s="18">
        <v>3</v>
      </c>
      <c r="B14" s="18">
        <f t="shared" si="0"/>
        <v>3</v>
      </c>
      <c r="C14" s="182">
        <f t="shared" si="1"/>
        <v>298.55125913462359</v>
      </c>
      <c r="E14" s="18">
        <v>25</v>
      </c>
      <c r="F14" s="19">
        <f>'Inputs - Tables de production'!AR15</f>
        <v>168</v>
      </c>
      <c r="H14" s="19">
        <f>'Inputs - Tables de production'!AQ27</f>
        <v>30</v>
      </c>
      <c r="I14" s="19">
        <f>'Inputs - Tables de production'!AR27</f>
        <v>160</v>
      </c>
      <c r="K14" s="19">
        <f>'Inputs - Tables de production'!AQ39</f>
        <v>35</v>
      </c>
      <c r="L14" s="19">
        <f>'Inputs - Tables de production'!AR39</f>
        <v>146</v>
      </c>
      <c r="N14" s="18">
        <f>'Inputs - Tables de production'!I15</f>
        <v>45</v>
      </c>
      <c r="O14" s="19">
        <f>'Inputs - Tables de production'!M15</f>
        <v>104</v>
      </c>
      <c r="Q14" s="19">
        <f>'Inputs - Tables de production'!I34</f>
        <v>52</v>
      </c>
      <c r="R14" s="19">
        <f>'Inputs - Tables de production'!M34</f>
        <v>98</v>
      </c>
      <c r="T14" s="19">
        <f>'Inputs - Tables de production'!I52</f>
        <v>63</v>
      </c>
      <c r="U14" s="19">
        <f>'Inputs - Tables de production'!M52</f>
        <v>92</v>
      </c>
      <c r="W14" s="18">
        <f>'Inputs - Tables de production'!AI15</f>
        <v>25</v>
      </c>
      <c r="X14" s="19">
        <f>'Inputs - Tables de production'!AM15</f>
        <v>186.78059027777778</v>
      </c>
      <c r="Z14" s="19">
        <f>'Inputs - Tables de production'!AI29</f>
        <v>25</v>
      </c>
      <c r="AA14" s="19">
        <f>'Inputs - Tables de production'!AM29</f>
        <v>160.04072916666667</v>
      </c>
      <c r="AC14" s="19">
        <f>'Inputs - Tables de production'!AI43</f>
        <v>25</v>
      </c>
      <c r="AD14" s="19">
        <f>'Inputs - Tables de production'!AM43</f>
        <v>135.00003472222224</v>
      </c>
      <c r="AF14" s="18">
        <f>'Inputs - Tables de production'!AA14</f>
        <v>20</v>
      </c>
      <c r="AG14" s="19">
        <f>'Inputs - Tables de production'!AB14</f>
        <v>117</v>
      </c>
      <c r="AI14" s="19">
        <f>'Inputs - Tables de production'!AA25</f>
        <v>20</v>
      </c>
      <c r="AJ14" s="19">
        <f>'Inputs - Tables de production'!AB25</f>
        <v>97</v>
      </c>
      <c r="AL14" s="19">
        <f>'Inputs - Tables de production'!AA36</f>
        <v>20</v>
      </c>
      <c r="AM14" s="19">
        <f>'Inputs - Tables de production'!AB36</f>
        <v>77</v>
      </c>
      <c r="AO14" s="18">
        <v>3</v>
      </c>
      <c r="AP14" s="18">
        <v>20</v>
      </c>
      <c r="AQ14" s="19">
        <f t="shared" si="2"/>
        <v>6.366197723675814</v>
      </c>
      <c r="AR14" s="18">
        <v>4.5</v>
      </c>
      <c r="AS14" s="209">
        <f t="shared" si="3"/>
        <v>7.10467665962221E-3</v>
      </c>
      <c r="AT14" s="210">
        <f t="shared" si="4"/>
        <v>1.420935331924442</v>
      </c>
      <c r="AU14" s="182">
        <f t="shared" si="5"/>
        <v>295.32595145331476</v>
      </c>
    </row>
    <row r="15" spans="1:48" x14ac:dyDescent="0.25">
      <c r="A15" s="18">
        <v>4</v>
      </c>
      <c r="B15" s="18">
        <f t="shared" si="0"/>
        <v>4</v>
      </c>
      <c r="C15" s="182">
        <f t="shared" si="1"/>
        <v>300.22250987492617</v>
      </c>
      <c r="E15" s="18">
        <v>30</v>
      </c>
      <c r="F15" s="19">
        <f>'Inputs - Tables de production'!AR16</f>
        <v>202</v>
      </c>
      <c r="H15" s="19">
        <f>'Inputs - Tables de production'!AQ28</f>
        <v>35</v>
      </c>
      <c r="I15" s="19">
        <f>'Inputs - Tables de production'!AR28</f>
        <v>192</v>
      </c>
      <c r="K15" s="19">
        <f>'Inputs - Tables de production'!AQ40</f>
        <v>40</v>
      </c>
      <c r="L15" s="19">
        <f>'Inputs - Tables de production'!AR40</f>
        <v>174</v>
      </c>
      <c r="N15" s="18">
        <f>'Inputs - Tables de production'!I16</f>
        <v>53</v>
      </c>
      <c r="O15" s="19">
        <f>'Inputs - Tables de production'!M16</f>
        <v>131</v>
      </c>
      <c r="Q15" s="19">
        <f>'Inputs - Tables de production'!I35</f>
        <v>60</v>
      </c>
      <c r="R15" s="19">
        <f>'Inputs - Tables de production'!M35</f>
        <v>117</v>
      </c>
      <c r="T15" s="19">
        <f>'Inputs - Tables de production'!I53</f>
        <v>73</v>
      </c>
      <c r="U15" s="19">
        <f>'Inputs - Tables de production'!M53</f>
        <v>112</v>
      </c>
      <c r="W15" s="18">
        <f>'Inputs - Tables de production'!AI16</f>
        <v>30</v>
      </c>
      <c r="X15" s="19">
        <f>'Inputs - Tables de production'!AM16</f>
        <v>223.99340856481479</v>
      </c>
      <c r="Z15" s="19">
        <f>'Inputs - Tables de production'!AI30</f>
        <v>30</v>
      </c>
      <c r="AA15" s="19">
        <f>'Inputs - Tables de production'!AM30</f>
        <v>192.30852430555558</v>
      </c>
      <c r="AC15" s="19">
        <f>'Inputs - Tables de production'!AI44</f>
        <v>30</v>
      </c>
      <c r="AD15" s="19">
        <f>'Inputs - Tables de production'!AM44</f>
        <v>161.75961226851854</v>
      </c>
      <c r="AF15" s="18">
        <f>'Inputs - Tables de production'!AA15</f>
        <v>24</v>
      </c>
      <c r="AG15" s="19">
        <f>'Inputs - Tables de production'!AB15</f>
        <v>154</v>
      </c>
      <c r="AI15" s="19">
        <f>'Inputs - Tables de production'!AA26</f>
        <v>24</v>
      </c>
      <c r="AJ15" s="19">
        <f>'Inputs - Tables de production'!AB26</f>
        <v>126</v>
      </c>
      <c r="AL15" s="19">
        <f>'Inputs - Tables de production'!AA37</f>
        <v>24</v>
      </c>
      <c r="AM15" s="19">
        <f>'Inputs - Tables de production'!AB37</f>
        <v>101</v>
      </c>
      <c r="AO15" s="18">
        <v>4</v>
      </c>
      <c r="AP15" s="18">
        <v>25</v>
      </c>
      <c r="AQ15" s="19">
        <f t="shared" si="2"/>
        <v>7.9577471545947667</v>
      </c>
      <c r="AR15" s="18">
        <v>7</v>
      </c>
      <c r="AS15" s="209">
        <f t="shared" si="3"/>
        <v>1.7268311325470645E-2</v>
      </c>
      <c r="AT15" s="210">
        <f t="shared" si="4"/>
        <v>3.4536622650941289</v>
      </c>
      <c r="AU15" s="182">
        <f t="shared" si="5"/>
        <v>298.02339694146582</v>
      </c>
    </row>
    <row r="16" spans="1:48" x14ac:dyDescent="0.25">
      <c r="A16" s="18">
        <v>5</v>
      </c>
      <c r="B16" s="18">
        <f t="shared" si="0"/>
        <v>5</v>
      </c>
      <c r="C16" s="182">
        <f t="shared" si="1"/>
        <v>301.88075090864163</v>
      </c>
      <c r="E16" s="18">
        <v>35</v>
      </c>
      <c r="F16" s="19">
        <f>'Inputs - Tables de production'!AR17</f>
        <v>244</v>
      </c>
      <c r="H16" s="19">
        <f>'Inputs - Tables de production'!AQ29</f>
        <v>40</v>
      </c>
      <c r="I16" s="19">
        <f>'Inputs - Tables de production'!AR29</f>
        <v>223</v>
      </c>
      <c r="K16" s="19">
        <f>'Inputs - Tables de production'!AQ41</f>
        <v>50</v>
      </c>
      <c r="L16" s="19">
        <f>'Inputs - Tables de production'!AR41</f>
        <v>236</v>
      </c>
      <c r="N16" s="18">
        <f>'Inputs - Tables de production'!I17</f>
        <v>61</v>
      </c>
      <c r="O16" s="19">
        <f>'Inputs - Tables de production'!M17</f>
        <v>155</v>
      </c>
      <c r="Q16" s="19">
        <f>'Inputs - Tables de production'!I36</f>
        <v>68</v>
      </c>
      <c r="R16" s="19">
        <f>'Inputs - Tables de production'!M36</f>
        <v>135</v>
      </c>
      <c r="T16" s="19">
        <f>'Inputs - Tables de production'!I54</f>
        <v>83</v>
      </c>
      <c r="U16" s="19">
        <f>'Inputs - Tables de production'!M54</f>
        <v>129</v>
      </c>
      <c r="W16" s="18">
        <f>'Inputs - Tables de production'!AI17</f>
        <v>35</v>
      </c>
      <c r="X16" s="19">
        <f>'Inputs - Tables de production'!AM17</f>
        <v>262.35825713734562</v>
      </c>
      <c r="Z16" s="19">
        <f>'Inputs - Tables de production'!AI31</f>
        <v>35</v>
      </c>
      <c r="AA16" s="19">
        <f>'Inputs - Tables de production'!AM31</f>
        <v>225.63585358796297</v>
      </c>
      <c r="AC16" s="19">
        <f>'Inputs - Tables de production'!AI45</f>
        <v>35</v>
      </c>
      <c r="AD16" s="19">
        <f>'Inputs - Tables de production'!AM45</f>
        <v>189.32592689043213</v>
      </c>
      <c r="AF16" s="18">
        <f>'Inputs - Tables de production'!AA16</f>
        <v>28</v>
      </c>
      <c r="AG16" s="19">
        <f>'Inputs - Tables de production'!AB16</f>
        <v>192</v>
      </c>
      <c r="AI16" s="19">
        <f>'Inputs - Tables de production'!AA27</f>
        <v>28</v>
      </c>
      <c r="AJ16" s="19">
        <f>'Inputs - Tables de production'!AB27</f>
        <v>155</v>
      </c>
      <c r="AL16" s="19">
        <f>'Inputs - Tables de production'!AA38</f>
        <v>28</v>
      </c>
      <c r="AM16" s="19">
        <f>'Inputs - Tables de production'!AB38</f>
        <v>123</v>
      </c>
      <c r="AO16" s="18">
        <v>5</v>
      </c>
      <c r="AP16" s="18">
        <v>40</v>
      </c>
      <c r="AQ16" s="19">
        <f t="shared" si="2"/>
        <v>12.732395447351628</v>
      </c>
      <c r="AR16" s="18">
        <v>9</v>
      </c>
      <c r="AS16" s="209">
        <f t="shared" si="3"/>
        <v>5.683741327697768E-2</v>
      </c>
      <c r="AT16" s="210">
        <f t="shared" si="4"/>
        <v>11.367482655395536</v>
      </c>
      <c r="AU16" s="182">
        <f t="shared" si="5"/>
        <v>308.17120421622906</v>
      </c>
    </row>
    <row r="17" spans="1:47" x14ac:dyDescent="0.25">
      <c r="A17" s="18">
        <v>6</v>
      </c>
      <c r="B17" s="18">
        <f t="shared" si="0"/>
        <v>6</v>
      </c>
      <c r="C17" s="182">
        <f t="shared" si="1"/>
        <v>303.52889742503874</v>
      </c>
      <c r="E17" s="18">
        <v>40</v>
      </c>
      <c r="F17" s="19">
        <f>'Inputs - Tables de production'!AR18</f>
        <v>284</v>
      </c>
      <c r="H17" s="19">
        <f>'Inputs - Tables de production'!AQ30</f>
        <v>45</v>
      </c>
      <c r="I17" s="19">
        <f>'Inputs - Tables de production'!AR30</f>
        <v>265</v>
      </c>
      <c r="K17" s="19">
        <f>'Inputs - Tables de production'!AQ42</f>
        <v>60</v>
      </c>
      <c r="L17" s="19">
        <f>'Inputs - Tables de production'!AR42</f>
        <v>305</v>
      </c>
      <c r="N17" s="18">
        <f>'Inputs - Tables de production'!I18</f>
        <v>69</v>
      </c>
      <c r="O17" s="19">
        <f>'Inputs - Tables de production'!M18</f>
        <v>177</v>
      </c>
      <c r="Q17" s="19">
        <f>'Inputs - Tables de production'!I37</f>
        <v>78</v>
      </c>
      <c r="R17" s="19">
        <f>'Inputs - Tables de production'!M37</f>
        <v>162</v>
      </c>
      <c r="T17" s="19">
        <f>'Inputs - Tables de production'!I55</f>
        <v>93</v>
      </c>
      <c r="U17" s="19">
        <f>'Inputs - Tables de production'!M55</f>
        <v>145</v>
      </c>
      <c r="W17" s="18">
        <f>'Inputs - Tables de production'!AI18</f>
        <v>40</v>
      </c>
      <c r="X17" s="19">
        <f>'Inputs - Tables de production'!AM18</f>
        <v>301.68313094778807</v>
      </c>
      <c r="Z17" s="19">
        <f>'Inputs - Tables de production'!AI32</f>
        <v>40</v>
      </c>
      <c r="AA17" s="19">
        <f>'Inputs - Tables de production'!AM32</f>
        <v>259.84612798996909</v>
      </c>
      <c r="AC17" s="19">
        <f>'Inputs - Tables de production'!AI46</f>
        <v>40</v>
      </c>
      <c r="AD17" s="19">
        <f>'Inputs - Tables de production'!AM46</f>
        <v>217.56452240869345</v>
      </c>
      <c r="AF17" s="18">
        <f>'Inputs - Tables de production'!AA17</f>
        <v>34</v>
      </c>
      <c r="AG17" s="19">
        <f>'Inputs - Tables de production'!AB17</f>
        <v>244</v>
      </c>
      <c r="AI17" s="19">
        <f>'Inputs - Tables de production'!AA28</f>
        <v>34</v>
      </c>
      <c r="AJ17" s="19">
        <f>'Inputs - Tables de production'!AB28</f>
        <v>198</v>
      </c>
      <c r="AL17" s="19">
        <f>'Inputs - Tables de production'!AA39</f>
        <v>34</v>
      </c>
      <c r="AM17" s="19">
        <f>'Inputs - Tables de production'!AB39</f>
        <v>155</v>
      </c>
      <c r="AO17" s="18">
        <v>6</v>
      </c>
      <c r="AP17" s="18">
        <v>50</v>
      </c>
      <c r="AQ17" s="19">
        <f t="shared" si="2"/>
        <v>15.915494309189533</v>
      </c>
      <c r="AR17" s="211">
        <v>10</v>
      </c>
      <c r="AS17" s="209">
        <f t="shared" si="3"/>
        <v>9.8676064716975112E-2</v>
      </c>
      <c r="AT17" s="210">
        <f t="shared" si="4"/>
        <v>19.735212943395023</v>
      </c>
      <c r="AU17" s="182">
        <f t="shared" si="5"/>
        <v>318.6586062773672</v>
      </c>
    </row>
    <row r="18" spans="1:47" x14ac:dyDescent="0.25">
      <c r="A18" s="18">
        <v>7</v>
      </c>
      <c r="B18" s="18">
        <f t="shared" si="0"/>
        <v>7</v>
      </c>
      <c r="C18" s="182">
        <f t="shared" si="1"/>
        <v>305.16882873392143</v>
      </c>
      <c r="E18" s="18">
        <v>45</v>
      </c>
      <c r="F18" s="19">
        <f>'Inputs - Tables de production'!AR19</f>
        <v>327</v>
      </c>
      <c r="H18" s="19">
        <f>'Inputs - Tables de production'!AQ31</f>
        <v>50</v>
      </c>
      <c r="I18" s="19">
        <f>'Inputs - Tables de production'!AR31</f>
        <v>299</v>
      </c>
      <c r="K18" s="19">
        <f>'Inputs - Tables de production'!AQ43</f>
        <v>70</v>
      </c>
      <c r="L18" s="19">
        <f>'Inputs - Tables de production'!AR43</f>
        <v>370</v>
      </c>
      <c r="N18" s="18">
        <f>'Inputs - Tables de production'!I19</f>
        <v>77</v>
      </c>
      <c r="O18" s="19">
        <f>'Inputs - Tables de production'!M19</f>
        <v>194</v>
      </c>
      <c r="Q18" s="19">
        <f>'Inputs - Tables de production'!I38</f>
        <v>88</v>
      </c>
      <c r="R18" s="19">
        <f>'Inputs - Tables de production'!M38</f>
        <v>184</v>
      </c>
      <c r="T18" s="19">
        <f>'Inputs - Tables de production'!I56</f>
        <v>103</v>
      </c>
      <c r="U18" s="19">
        <f>'Inputs - Tables de production'!M56</f>
        <v>157</v>
      </c>
      <c r="W18" s="18">
        <f>'Inputs - Tables de production'!AI19</f>
        <v>45</v>
      </c>
      <c r="X18" s="19">
        <f>'Inputs - Tables de production'!AM19</f>
        <v>341.80802578982343</v>
      </c>
      <c r="Z18" s="19">
        <f>'Inputs - Tables de production'!AI33</f>
        <v>45</v>
      </c>
      <c r="AA18" s="19">
        <f>'Inputs - Tables de production'!AM33</f>
        <v>294.79218999164101</v>
      </c>
      <c r="AC18" s="19">
        <f>'Inputs - Tables de production'!AI47</f>
        <v>45</v>
      </c>
      <c r="AD18" s="19">
        <f>'Inputs - Tables de production'!AM47</f>
        <v>246.36335200724452</v>
      </c>
      <c r="AF18" s="18">
        <f>'Inputs - Tables de production'!AA18</f>
        <v>40</v>
      </c>
      <c r="AG18" s="19">
        <f>'Inputs - Tables de production'!AB18</f>
        <v>299</v>
      </c>
      <c r="AI18" s="19">
        <f>'Inputs - Tables de production'!AA29</f>
        <v>40</v>
      </c>
      <c r="AJ18" s="19">
        <f>'Inputs - Tables de production'!AB29</f>
        <v>234</v>
      </c>
      <c r="AL18" s="19">
        <f>'Inputs - Tables de production'!AA40</f>
        <v>40</v>
      </c>
      <c r="AM18" s="19">
        <f>'Inputs - Tables de production'!AB40</f>
        <v>184</v>
      </c>
      <c r="AO18" s="18">
        <v>7</v>
      </c>
      <c r="AP18" s="18">
        <v>60</v>
      </c>
      <c r="AQ18" s="19">
        <f t="shared" si="2"/>
        <v>19.098593171027442</v>
      </c>
      <c r="AR18" s="211">
        <v>10</v>
      </c>
      <c r="AS18" s="209">
        <f t="shared" si="3"/>
        <v>0.14209353319244414</v>
      </c>
      <c r="AT18" s="210">
        <f t="shared" si="4"/>
        <v>28.418706638488828</v>
      </c>
      <c r="AU18" s="182">
        <f t="shared" si="5"/>
        <v>329.40928427887366</v>
      </c>
    </row>
    <row r="19" spans="1:47" x14ac:dyDescent="0.25">
      <c r="A19" s="18">
        <v>8</v>
      </c>
      <c r="B19" s="18">
        <f t="shared" si="0"/>
        <v>8</v>
      </c>
      <c r="C19" s="182">
        <f t="shared" si="1"/>
        <v>306.80185384876341</v>
      </c>
      <c r="E19" s="18">
        <v>50</v>
      </c>
      <c r="F19" s="19">
        <f>'Inputs - Tables de production'!AR20</f>
        <v>367</v>
      </c>
      <c r="H19" s="19">
        <f>'Inputs - Tables de production'!AQ32</f>
        <v>58</v>
      </c>
      <c r="I19" s="19">
        <f>'Inputs - Tables de production'!AR32</f>
        <v>362</v>
      </c>
      <c r="K19" s="19">
        <f>'Inputs - Tables de production'!AQ44</f>
        <v>80</v>
      </c>
      <c r="L19" s="19">
        <f>'Inputs - Tables de production'!AR44</f>
        <v>415</v>
      </c>
      <c r="N19" s="18">
        <f>'Inputs - Tables de production'!I20</f>
        <v>85</v>
      </c>
      <c r="O19" s="19">
        <f>'Inputs - Tables de production'!M20</f>
        <v>217</v>
      </c>
      <c r="Q19" s="19">
        <f>'Inputs - Tables de production'!I39</f>
        <v>98</v>
      </c>
      <c r="R19" s="19">
        <f>'Inputs - Tables de production'!M39</f>
        <v>207</v>
      </c>
      <c r="T19" s="19">
        <f>'Inputs - Tables de production'!I57</f>
        <v>113</v>
      </c>
      <c r="U19" s="19">
        <f>'Inputs - Tables de production'!M57</f>
        <v>170</v>
      </c>
      <c r="W19" s="18">
        <f>'Inputs - Tables de production'!AI20</f>
        <v>50</v>
      </c>
      <c r="X19" s="19">
        <f>'Inputs - Tables de production'!AM20</f>
        <v>382.59960482485286</v>
      </c>
      <c r="Z19" s="19">
        <f>'Inputs - Tables de production'!AI34</f>
        <v>50</v>
      </c>
      <c r="AA19" s="19">
        <f>'Inputs - Tables de production'!AM34</f>
        <v>330.3514083263675</v>
      </c>
      <c r="AC19" s="19">
        <f>'Inputs - Tables de production'!AI48</f>
        <v>50</v>
      </c>
      <c r="AD19" s="19">
        <f>'Inputs - Tables de production'!AM48</f>
        <v>275.62904333937047</v>
      </c>
      <c r="AF19" s="18">
        <f>'Inputs - Tables de production'!AA19</f>
        <v>46</v>
      </c>
      <c r="AG19" s="19">
        <f>'Inputs - Tables de production'!AB19</f>
        <v>344</v>
      </c>
      <c r="AI19" s="19">
        <f>'Inputs - Tables de production'!AA30</f>
        <v>46</v>
      </c>
      <c r="AJ19" s="19">
        <f>'Inputs - Tables de production'!AB30</f>
        <v>264</v>
      </c>
      <c r="AL19" s="19">
        <f>'Inputs - Tables de production'!AA41</f>
        <v>46</v>
      </c>
      <c r="AM19" s="19">
        <f>'Inputs - Tables de production'!AB41</f>
        <v>205</v>
      </c>
      <c r="AO19" s="18">
        <v>8</v>
      </c>
      <c r="AP19" s="18">
        <v>70</v>
      </c>
      <c r="AQ19" s="19">
        <f t="shared" si="2"/>
        <v>22.281692032865347</v>
      </c>
      <c r="AR19" s="211">
        <v>10</v>
      </c>
      <c r="AS19" s="209">
        <f t="shared" si="3"/>
        <v>0.19340508684527119</v>
      </c>
      <c r="AT19" s="210">
        <f t="shared" si="4"/>
        <v>38.681017369054238</v>
      </c>
      <c r="AU19" s="182">
        <f t="shared" si="5"/>
        <v>342.00244284942147</v>
      </c>
    </row>
    <row r="20" spans="1:47" x14ac:dyDescent="0.25">
      <c r="A20" s="18">
        <v>9</v>
      </c>
      <c r="B20" s="18">
        <f t="shared" si="0"/>
        <v>9</v>
      </c>
      <c r="C20" s="182">
        <f t="shared" si="1"/>
        <v>308.42893491111971</v>
      </c>
      <c r="E20" s="18">
        <v>55</v>
      </c>
      <c r="F20" s="19">
        <f>'Inputs - Tables de production'!AR21</f>
        <v>415</v>
      </c>
      <c r="H20" s="19">
        <f>'Inputs - Tables de production'!AQ33</f>
        <v>66</v>
      </c>
      <c r="I20" s="19">
        <f>'Inputs - Tables de production'!AR33</f>
        <v>430</v>
      </c>
      <c r="K20" s="11"/>
      <c r="N20" s="18">
        <f>'Inputs - Tables de production'!I21</f>
        <v>95</v>
      </c>
      <c r="O20" s="19">
        <f>'Inputs - Tables de production'!M21</f>
        <v>255</v>
      </c>
      <c r="Q20" s="19">
        <f>'Inputs - Tables de production'!I40</f>
        <v>108</v>
      </c>
      <c r="R20" s="19">
        <f>'Inputs - Tables de production'!M40</f>
        <v>225</v>
      </c>
      <c r="T20" s="19">
        <f>'Inputs - Tables de production'!I58</f>
        <v>125</v>
      </c>
      <c r="U20" s="19">
        <f>'Inputs - Tables de production'!M58</f>
        <v>187</v>
      </c>
      <c r="W20" s="18">
        <f>'Inputs - Tables de production'!AI21</f>
        <v>55</v>
      </c>
      <c r="X20" s="19">
        <f>'Inputs - Tables de production'!AM21</f>
        <v>423.94675402071067</v>
      </c>
      <c r="Z20" s="19">
        <f>'Inputs - Tables de production'!AI35</f>
        <v>55</v>
      </c>
      <c r="AA20" s="19">
        <f>'Inputs - Tables de production'!AM35</f>
        <v>366.42159027197283</v>
      </c>
      <c r="AC20" s="19">
        <f>'Inputs - Tables de production'!AI49</f>
        <v>55</v>
      </c>
      <c r="AD20" s="19">
        <f>'Inputs - Tables de production'!AM49</f>
        <v>305.28378611614198</v>
      </c>
      <c r="AF20" s="18">
        <f>'Inputs - Tables de production'!AA20</f>
        <v>54</v>
      </c>
      <c r="AG20" s="19">
        <f>'Inputs - Tables de production'!AB20</f>
        <v>385</v>
      </c>
      <c r="AI20" s="19">
        <f>'Inputs - Tables de production'!AA31</f>
        <v>54</v>
      </c>
      <c r="AJ20" s="19">
        <f>'Inputs - Tables de production'!AB31</f>
        <v>295</v>
      </c>
      <c r="AL20" s="19">
        <f>'Inputs - Tables de production'!AA42</f>
        <v>54</v>
      </c>
      <c r="AM20" s="19">
        <f>'Inputs - Tables de production'!AB42</f>
        <v>224</v>
      </c>
      <c r="AO20" s="18">
        <v>9</v>
      </c>
      <c r="AP20" s="18">
        <v>90</v>
      </c>
      <c r="AQ20" s="19">
        <f t="shared" si="2"/>
        <v>28.647889756541161</v>
      </c>
      <c r="AR20" s="211">
        <v>10</v>
      </c>
      <c r="AS20" s="209">
        <f t="shared" si="3"/>
        <v>0.31971044968299944</v>
      </c>
      <c r="AT20" s="210">
        <f t="shared" si="4"/>
        <v>63.942089936599885</v>
      </c>
      <c r="AU20" s="182">
        <f t="shared" si="5"/>
        <v>372.66984650172049</v>
      </c>
    </row>
    <row r="21" spans="1:47" x14ac:dyDescent="0.25">
      <c r="A21" s="18">
        <v>10</v>
      </c>
      <c r="B21" s="18">
        <f t="shared" si="0"/>
        <v>10</v>
      </c>
      <c r="C21" s="182">
        <f t="shared" si="1"/>
        <v>310.05080771016441</v>
      </c>
      <c r="E21" s="18">
        <v>60</v>
      </c>
      <c r="F21" s="19">
        <f>'Inputs - Tables de production'!AR22</f>
        <v>468</v>
      </c>
      <c r="H21" s="19">
        <f>'Inputs - Tables de production'!AQ34</f>
        <v>74</v>
      </c>
      <c r="I21" s="19">
        <f>'Inputs - Tables de production'!AR34</f>
        <v>496</v>
      </c>
      <c r="N21" s="18">
        <f>'Inputs - Tables de production'!I22</f>
        <v>105</v>
      </c>
      <c r="O21" s="19">
        <f>'Inputs - Tables de production'!M22</f>
        <v>280</v>
      </c>
      <c r="Q21" s="19">
        <f>'Inputs - Tables de production'!I41</f>
        <v>118</v>
      </c>
      <c r="R21" s="19">
        <f>'Inputs - Tables de production'!M41</f>
        <v>241</v>
      </c>
      <c r="T21" s="19">
        <f>'Inputs - Tables de production'!I59</f>
        <v>137</v>
      </c>
      <c r="U21" s="19">
        <f>'Inputs - Tables de production'!M59</f>
        <v>203</v>
      </c>
      <c r="W21" s="18">
        <f>'Inputs - Tables de production'!AI22</f>
        <v>60</v>
      </c>
      <c r="X21" s="19">
        <f>'Inputs - Tables de production'!AM22</f>
        <v>465.75687835059222</v>
      </c>
      <c r="Z21" s="19">
        <f>'Inputs - Tables de production'!AI36</f>
        <v>60</v>
      </c>
      <c r="AA21" s="19">
        <f>'Inputs - Tables de production'!AM36</f>
        <v>402.91757522664409</v>
      </c>
      <c r="AC21" s="19">
        <f>'Inputs - Tables de production'!AI50</f>
        <v>60</v>
      </c>
      <c r="AD21" s="19">
        <f>'Inputs - Tables de production'!AM50</f>
        <v>335.26273843011836</v>
      </c>
      <c r="AF21" s="18">
        <f>'Inputs - Tables de production'!AA21</f>
        <v>62</v>
      </c>
      <c r="AG21" s="19">
        <f>'Inputs - Tables de production'!AB21</f>
        <v>402</v>
      </c>
      <c r="AI21" s="18">
        <f>'Inputs - Tables de production'!AA32</f>
        <v>62</v>
      </c>
      <c r="AJ21" s="19">
        <f>'Inputs - Tables de production'!AB32</f>
        <v>309</v>
      </c>
      <c r="AL21" s="18">
        <f>'Inputs - Tables de production'!AA43</f>
        <v>62</v>
      </c>
      <c r="AM21" s="19">
        <f>'Inputs - Tables de production'!AB43</f>
        <v>232</v>
      </c>
      <c r="AO21" s="18">
        <v>10</v>
      </c>
      <c r="AP21" s="18">
        <v>100</v>
      </c>
      <c r="AQ21" s="19">
        <f t="shared" si="2"/>
        <v>31.830988618379067</v>
      </c>
      <c r="AR21" s="211">
        <v>10</v>
      </c>
      <c r="AS21" s="209">
        <f t="shared" si="3"/>
        <v>0.39470425886790045</v>
      </c>
      <c r="AT21" s="210">
        <f t="shared" si="4"/>
        <v>78.940851773580093</v>
      </c>
      <c r="AU21" s="182">
        <f t="shared" si="5"/>
        <v>390.72533383179359</v>
      </c>
    </row>
    <row r="22" spans="1:47" x14ac:dyDescent="0.25">
      <c r="A22" s="18">
        <v>11</v>
      </c>
      <c r="B22" s="18">
        <f t="shared" si="0"/>
        <v>11</v>
      </c>
      <c r="C22" s="182">
        <f t="shared" si="1"/>
        <v>311.6680523616061</v>
      </c>
      <c r="E22" s="18">
        <v>65</v>
      </c>
      <c r="F22" s="19">
        <f>'Inputs - Tables de production'!AR23</f>
        <v>527</v>
      </c>
      <c r="H22" s="19">
        <f>'Inputs - Tables de production'!AQ35</f>
        <v>82</v>
      </c>
      <c r="I22" s="19">
        <f>'Inputs - Tables de production'!AR35</f>
        <v>541</v>
      </c>
      <c r="K22" s="11"/>
      <c r="N22" s="18">
        <f>'Inputs - Tables de production'!I23</f>
        <v>115</v>
      </c>
      <c r="O22" s="19">
        <f>'Inputs - Tables de production'!M23</f>
        <v>305</v>
      </c>
      <c r="Q22" s="19">
        <f>'Inputs - Tables de production'!I42</f>
        <v>128</v>
      </c>
      <c r="R22" s="19">
        <f>'Inputs - Tables de production'!M42</f>
        <v>258</v>
      </c>
      <c r="T22" s="19">
        <f>'Inputs - Tables de production'!I60</f>
        <v>149</v>
      </c>
      <c r="U22" s="19">
        <f>'Inputs - Tables de production'!M60</f>
        <v>220</v>
      </c>
      <c r="W22" s="18">
        <f>'Inputs - Tables de production'!AI23</f>
        <v>65</v>
      </c>
      <c r="X22" s="19">
        <f>'Inputs - Tables de production'!AM23</f>
        <v>507.95281529216004</v>
      </c>
      <c r="Z22" s="19">
        <f>'Inputs - Tables de production'!AI37</f>
        <v>65</v>
      </c>
      <c r="AA22" s="19">
        <f>'Inputs - Tables de production'!AM37</f>
        <v>439.76839602220338</v>
      </c>
      <c r="AC22" s="19">
        <f>'Inputs - Tables de production'!AI51</f>
        <v>65</v>
      </c>
      <c r="AD22" s="19">
        <f>'Inputs - Tables de production'!AM51</f>
        <v>365.51186535843203</v>
      </c>
      <c r="AF22" s="20"/>
      <c r="AG22" s="21"/>
      <c r="AH22" s="20"/>
      <c r="AI22" s="21"/>
      <c r="AJ22" s="21"/>
      <c r="AK22" s="20"/>
      <c r="AL22" s="21"/>
      <c r="AM22" s="21"/>
      <c r="AO22" s="18">
        <v>11</v>
      </c>
      <c r="AP22" s="18">
        <v>110</v>
      </c>
      <c r="AQ22" s="19">
        <f t="shared" si="2"/>
        <v>35.014087480216972</v>
      </c>
      <c r="AR22" s="211">
        <v>10</v>
      </c>
      <c r="AS22" s="209">
        <f t="shared" si="3"/>
        <v>0.47759215323015958</v>
      </c>
      <c r="AT22" s="210">
        <f t="shared" si="4"/>
        <v>95.518430646031916</v>
      </c>
      <c r="AU22" s="182">
        <f t="shared" si="5"/>
        <v>410.58492676413437</v>
      </c>
    </row>
    <row r="23" spans="1:47" x14ac:dyDescent="0.25">
      <c r="A23" s="18">
        <v>12</v>
      </c>
      <c r="B23" s="18">
        <f t="shared" si="0"/>
        <v>12</v>
      </c>
      <c r="C23" s="182">
        <f t="shared" si="1"/>
        <v>313.28113745583761</v>
      </c>
      <c r="E23" s="21"/>
      <c r="F23" s="21"/>
      <c r="H23" s="21"/>
      <c r="I23" s="21"/>
      <c r="K23" s="11"/>
      <c r="N23" s="18">
        <f>'Inputs - Tables de production'!I24</f>
        <v>125</v>
      </c>
      <c r="O23" s="19">
        <f>'Inputs - Tables de production'!M24</f>
        <v>326</v>
      </c>
      <c r="Q23" s="19">
        <f>'Inputs - Tables de production'!I43</f>
        <v>138</v>
      </c>
      <c r="R23" s="19">
        <f>'Inputs - Tables de production'!M43</f>
        <v>276</v>
      </c>
      <c r="T23" s="19">
        <f>'Inputs - Tables de production'!I61</f>
        <v>164</v>
      </c>
      <c r="U23" s="19">
        <f>'Inputs - Tables de production'!M61</f>
        <v>244</v>
      </c>
      <c r="W23" s="18">
        <f>'Inputs - Tables de production'!AI24</f>
        <v>70</v>
      </c>
      <c r="X23" s="19">
        <f>'Inputs - Tables de production'!AM24</f>
        <v>550.47026274346661</v>
      </c>
      <c r="Z23" s="19">
        <f>'Inputs - Tables de production'!AI38</f>
        <v>70</v>
      </c>
      <c r="AA23" s="19">
        <f>'Inputs - Tables de production'!AM38</f>
        <v>476.91491335183593</v>
      </c>
      <c r="AC23" s="19">
        <f>'Inputs - Tables de production'!AI52</f>
        <v>70</v>
      </c>
      <c r="AD23" s="19">
        <f>'Inputs - Tables de production'!AM52</f>
        <v>395.98613779869333</v>
      </c>
      <c r="AF23" s="20"/>
      <c r="AG23" s="21"/>
      <c r="AH23" s="20"/>
      <c r="AI23" s="21"/>
      <c r="AJ23" s="21"/>
      <c r="AK23" s="20"/>
      <c r="AL23" s="21"/>
      <c r="AM23" s="21"/>
      <c r="AO23" s="18">
        <v>12</v>
      </c>
      <c r="AP23" s="18">
        <v>120</v>
      </c>
      <c r="AQ23" s="19">
        <f t="shared" si="2"/>
        <v>38.197186342054884</v>
      </c>
      <c r="AR23" s="211">
        <v>10</v>
      </c>
      <c r="AS23" s="209">
        <f t="shared" si="3"/>
        <v>0.56837413276977655</v>
      </c>
      <c r="AT23" s="210">
        <f t="shared" si="4"/>
        <v>113.67482655395531</v>
      </c>
      <c r="AU23" s="182">
        <f t="shared" si="5"/>
        <v>432.24196990221378</v>
      </c>
    </row>
    <row r="24" spans="1:47" x14ac:dyDescent="0.25">
      <c r="A24" s="18">
        <v>13</v>
      </c>
      <c r="B24" s="18">
        <f t="shared" si="0"/>
        <v>13</v>
      </c>
      <c r="C24" s="182">
        <f t="shared" si="1"/>
        <v>314.89044903135255</v>
      </c>
      <c r="E24" s="21"/>
      <c r="F24" s="21"/>
      <c r="N24" s="18">
        <f>'Inputs - Tables de production'!I25</f>
        <v>135</v>
      </c>
      <c r="O24" s="19">
        <f>'Inputs - Tables de production'!M25</f>
        <v>343</v>
      </c>
      <c r="Q24" s="19">
        <f>'Inputs - Tables de production'!I44</f>
        <v>148</v>
      </c>
      <c r="R24" s="19">
        <f>'Inputs - Tables de production'!M44</f>
        <v>293</v>
      </c>
      <c r="T24" s="19">
        <f>'Inputs - Tables de production'!I62</f>
        <v>179</v>
      </c>
      <c r="U24" s="19">
        <f>'Inputs - Tables de production'!M62</f>
        <v>266</v>
      </c>
      <c r="W24" s="20"/>
      <c r="X24" s="21"/>
      <c r="Z24" s="21"/>
      <c r="AA24" s="21"/>
      <c r="AF24" s="20"/>
      <c r="AG24" s="21"/>
      <c r="AH24" s="20"/>
      <c r="AI24" s="21"/>
      <c r="AJ24" s="21"/>
      <c r="AK24" s="20"/>
      <c r="AL24" s="20"/>
      <c r="AM24" s="20"/>
      <c r="AO24" s="18">
        <v>13</v>
      </c>
      <c r="AP24" s="18">
        <v>125</v>
      </c>
      <c r="AQ24" s="19">
        <f t="shared" si="2"/>
        <v>39.788735772973837</v>
      </c>
      <c r="AR24" s="211">
        <v>11</v>
      </c>
      <c r="AS24" s="209">
        <f t="shared" si="3"/>
        <v>0.67839794492920391</v>
      </c>
      <c r="AT24" s="210">
        <f t="shared" si="4"/>
        <v>135.67958898584078</v>
      </c>
      <c r="AU24" s="182">
        <f t="shared" si="5"/>
        <v>458.38170736582413</v>
      </c>
    </row>
    <row r="25" spans="1:47" x14ac:dyDescent="0.25">
      <c r="A25" s="18">
        <v>14</v>
      </c>
      <c r="B25" s="18">
        <f t="shared" si="0"/>
        <v>14</v>
      </c>
      <c r="C25" s="182">
        <f t="shared" si="1"/>
        <v>316.49631036234257</v>
      </c>
      <c r="E25" s="21"/>
      <c r="F25" s="21"/>
      <c r="N25" s="18">
        <f>'Inputs - Tables de production'!I26</f>
        <v>145</v>
      </c>
      <c r="O25" s="19">
        <f>'Inputs - Tables de production'!M26</f>
        <v>367</v>
      </c>
      <c r="Q25" s="19">
        <v>158</v>
      </c>
      <c r="R25" s="19">
        <f>'Inputs - Tables de production'!M45</f>
        <v>310</v>
      </c>
      <c r="T25" s="19">
        <f>'Inputs - Tables de production'!I63</f>
        <v>190</v>
      </c>
      <c r="U25" s="19">
        <f>'Inputs - Tables de production'!M63</f>
        <v>323</v>
      </c>
      <c r="W25" s="20"/>
      <c r="X25" s="21"/>
      <c r="Z25" s="21"/>
      <c r="AA25" s="21"/>
      <c r="AF25" s="20"/>
      <c r="AG25" s="21"/>
      <c r="AI25" s="21"/>
      <c r="AJ25" s="21"/>
      <c r="AO25" s="18">
        <v>14</v>
      </c>
      <c r="AP25" s="18">
        <v>137</v>
      </c>
      <c r="AQ25" s="19">
        <f t="shared" si="2"/>
        <v>43.608454407179323</v>
      </c>
      <c r="AR25" s="211">
        <v>11</v>
      </c>
      <c r="AS25" s="209">
        <f t="shared" si="3"/>
        <v>0.81490246581607861</v>
      </c>
      <c r="AT25" s="210">
        <f t="shared" si="4"/>
        <v>162.98049316321573</v>
      </c>
      <c r="AU25" s="182">
        <f t="shared" si="5"/>
        <v>490.67842514086124</v>
      </c>
    </row>
    <row r="26" spans="1:47" x14ac:dyDescent="0.25">
      <c r="A26" s="18">
        <v>15</v>
      </c>
      <c r="B26" s="18">
        <f t="shared" si="0"/>
        <v>15</v>
      </c>
      <c r="C26" s="182">
        <f t="shared" si="1"/>
        <v>318.09899592408033</v>
      </c>
      <c r="E26" s="21"/>
      <c r="F26" s="21"/>
      <c r="N26" s="18">
        <f>'Inputs - Tables de production'!I27</f>
        <v>155</v>
      </c>
      <c r="O26" s="19">
        <f>'Inputs - Tables de production'!M27</f>
        <v>384</v>
      </c>
      <c r="Q26" s="19">
        <f>'Inputs - Tables de production'!I46</f>
        <v>168</v>
      </c>
      <c r="R26" s="19">
        <f>'Inputs - Tables de production'!M46</f>
        <v>328</v>
      </c>
      <c r="W26" s="20"/>
      <c r="X26" s="21"/>
      <c r="Z26" s="21"/>
      <c r="AA26" s="21"/>
      <c r="AF26" s="20"/>
      <c r="AG26" s="21"/>
      <c r="AI26" s="21"/>
      <c r="AJ26" s="21"/>
      <c r="AO26" s="18">
        <v>15</v>
      </c>
      <c r="AP26" s="18">
        <v>130</v>
      </c>
      <c r="AQ26" s="19">
        <f t="shared" si="2"/>
        <v>41.38028520389279</v>
      </c>
      <c r="AR26" s="211">
        <v>11</v>
      </c>
      <c r="AS26" s="209">
        <f t="shared" si="3"/>
        <v>0.73375521723542703</v>
      </c>
      <c r="AT26" s="210">
        <f t="shared" si="4"/>
        <v>146.75104344708541</v>
      </c>
      <c r="AU26" s="182">
        <f t="shared" si="5"/>
        <v>471.49551522586779</v>
      </c>
    </row>
    <row r="27" spans="1:47" x14ac:dyDescent="0.25">
      <c r="A27" s="18">
        <v>16</v>
      </c>
      <c r="B27" s="18">
        <f t="shared" si="0"/>
        <v>16</v>
      </c>
      <c r="C27" s="182">
        <f t="shared" si="1"/>
        <v>319.69874152469112</v>
      </c>
      <c r="N27" s="18">
        <f>'Inputs - Tables de production'!I28</f>
        <v>165</v>
      </c>
      <c r="O27" s="19">
        <f>'Inputs - Tables de production'!M28</f>
        <v>407</v>
      </c>
      <c r="Q27" s="19">
        <f>'Inputs - Tables de production'!I47</f>
        <v>180</v>
      </c>
      <c r="R27" s="19">
        <f>'Inputs - Tables de production'!M47</f>
        <v>368</v>
      </c>
      <c r="W27" s="20"/>
      <c r="X27" s="21"/>
      <c r="Z27" s="21"/>
      <c r="AA27" s="21"/>
      <c r="AF27" s="20"/>
      <c r="AG27" s="21"/>
      <c r="AI27" s="21"/>
      <c r="AJ27" s="21"/>
      <c r="AO27" s="18">
        <v>16</v>
      </c>
      <c r="AP27" s="18">
        <v>135</v>
      </c>
      <c r="AQ27" s="19">
        <f t="shared" si="2"/>
        <v>42.971834634811742</v>
      </c>
      <c r="AR27" s="211">
        <v>11</v>
      </c>
      <c r="AS27" s="209">
        <f t="shared" si="3"/>
        <v>0.79128336296542356</v>
      </c>
      <c r="AT27" s="210">
        <f t="shared" si="4"/>
        <v>158.25667259308472</v>
      </c>
      <c r="AU27" s="182">
        <f t="shared" si="5"/>
        <v>485.09963959400875</v>
      </c>
    </row>
    <row r="28" spans="1:47" x14ac:dyDescent="0.25">
      <c r="A28" s="18">
        <v>17</v>
      </c>
      <c r="B28" s="18">
        <f t="shared" si="0"/>
        <v>17</v>
      </c>
      <c r="C28" s="182">
        <f t="shared" si="1"/>
        <v>321.29575183029471</v>
      </c>
      <c r="N28" s="18">
        <f>'Inputs - Tables de production'!I29</f>
        <v>170</v>
      </c>
      <c r="O28" s="19">
        <f>'Inputs - Tables de production'!M29</f>
        <v>448</v>
      </c>
      <c r="W28" s="20"/>
      <c r="X28" s="21"/>
      <c r="AF28" s="20"/>
      <c r="AG28" s="21"/>
      <c r="AO28" s="18">
        <v>17</v>
      </c>
      <c r="AP28" s="18">
        <v>137</v>
      </c>
      <c r="AQ28" s="19">
        <f t="shared" si="2"/>
        <v>43.608454407179323</v>
      </c>
      <c r="AR28" s="211">
        <v>12</v>
      </c>
      <c r="AS28" s="209">
        <f t="shared" si="3"/>
        <v>0.88898450816299501</v>
      </c>
      <c r="AT28" s="210">
        <f t="shared" si="4"/>
        <v>177.796901632599</v>
      </c>
      <c r="AU28" s="182">
        <f t="shared" si="5"/>
        <v>508.15323363420578</v>
      </c>
    </row>
    <row r="29" spans="1:47" x14ac:dyDescent="0.25">
      <c r="A29" s="18">
        <v>18</v>
      </c>
      <c r="B29" s="18">
        <f t="shared" si="0"/>
        <v>18</v>
      </c>
      <c r="C29" s="182">
        <f t="shared" si="1"/>
        <v>322.8902060684394</v>
      </c>
      <c r="N29" s="20"/>
      <c r="W29" s="20"/>
      <c r="AF29" s="20"/>
      <c r="AO29" s="18">
        <v>18</v>
      </c>
      <c r="AP29" s="18">
        <v>140</v>
      </c>
      <c r="AQ29" s="19">
        <f t="shared" si="2"/>
        <v>44.563384065730695</v>
      </c>
      <c r="AR29" s="211">
        <v>12</v>
      </c>
      <c r="AS29" s="209">
        <f t="shared" si="3"/>
        <v>0.92834441685730174</v>
      </c>
      <c r="AT29" s="210">
        <f t="shared" si="4"/>
        <v>185.66888337146034</v>
      </c>
      <c r="AU29" s="182">
        <f t="shared" si="5"/>
        <v>517.42412934854087</v>
      </c>
    </row>
    <row r="30" spans="1:47" x14ac:dyDescent="0.25">
      <c r="A30" s="18">
        <v>19</v>
      </c>
      <c r="B30" s="18">
        <f t="shared" si="0"/>
        <v>19</v>
      </c>
      <c r="C30" s="182">
        <f t="shared" si="1"/>
        <v>324.48226242776997</v>
      </c>
      <c r="AO30" s="18">
        <v>19</v>
      </c>
      <c r="AP30" s="18">
        <v>146</v>
      </c>
      <c r="AQ30" s="19">
        <f t="shared" si="2"/>
        <v>46.473243382833438</v>
      </c>
      <c r="AR30" s="211">
        <v>12</v>
      </c>
      <c r="AS30" s="209">
        <f t="shared" si="3"/>
        <v>1.0096219178433798</v>
      </c>
      <c r="AT30" s="210">
        <f t="shared" si="4"/>
        <v>201.92438356867598</v>
      </c>
      <c r="AU30" s="182">
        <f t="shared" si="5"/>
        <v>536.54099070132702</v>
      </c>
    </row>
    <row r="31" spans="1:47" x14ac:dyDescent="0.25">
      <c r="A31" s="18">
        <v>20</v>
      </c>
      <c r="B31" s="18">
        <f t="shared" si="0"/>
        <v>20</v>
      </c>
      <c r="C31" s="182">
        <f t="shared" si="1"/>
        <v>326.07206150502617</v>
      </c>
      <c r="AO31" s="18">
        <v>20</v>
      </c>
      <c r="AP31" s="18">
        <v>147</v>
      </c>
      <c r="AQ31" s="19">
        <f t="shared" si="2"/>
        <v>46.791553269017228</v>
      </c>
      <c r="AR31" s="211">
        <v>13</v>
      </c>
      <c r="AS31" s="209">
        <f t="shared" si="3"/>
        <v>1.1087913628839396</v>
      </c>
      <c r="AT31" s="210">
        <f t="shared" si="4"/>
        <v>221.75827257678793</v>
      </c>
      <c r="AU31" s="182">
        <f t="shared" si="5"/>
        <v>559.82014323465364</v>
      </c>
    </row>
    <row r="32" spans="1:47" x14ac:dyDescent="0.25">
      <c r="A32" s="18">
        <v>21</v>
      </c>
      <c r="B32" s="18">
        <f t="shared" si="0"/>
        <v>21</v>
      </c>
      <c r="C32" s="182">
        <f t="shared" si="1"/>
        <v>327.65972904304988</v>
      </c>
      <c r="AO32" s="18">
        <v>21</v>
      </c>
      <c r="AP32" s="18">
        <v>148</v>
      </c>
      <c r="AQ32" s="19">
        <f t="shared" si="2"/>
        <v>47.109863155201019</v>
      </c>
      <c r="AR32" s="211">
        <v>13</v>
      </c>
      <c r="AS32" s="209">
        <f t="shared" si="3"/>
        <v>1.1239282712115237</v>
      </c>
      <c r="AT32" s="210">
        <f t="shared" si="4"/>
        <v>224.78565424230476</v>
      </c>
      <c r="AU32" s="182">
        <f t="shared" si="5"/>
        <v>563.36925515768689</v>
      </c>
    </row>
    <row r="33" spans="1:47" x14ac:dyDescent="0.25">
      <c r="A33" s="18">
        <v>22</v>
      </c>
      <c r="B33" s="18">
        <f t="shared" si="0"/>
        <v>22</v>
      </c>
      <c r="C33" s="182">
        <f t="shared" si="1"/>
        <v>329.2453781324906</v>
      </c>
      <c r="AO33" s="18">
        <v>22</v>
      </c>
      <c r="AP33" s="18">
        <v>149</v>
      </c>
      <c r="AQ33" s="19">
        <f t="shared" si="2"/>
        <v>47.428173041384809</v>
      </c>
      <c r="AR33" s="211">
        <v>14</v>
      </c>
      <c r="AS33" s="209">
        <f t="shared" si="3"/>
        <v>1.226796095157676</v>
      </c>
      <c r="AT33" s="210">
        <f t="shared" si="4"/>
        <v>245.35921903153519</v>
      </c>
      <c r="AU33" s="182">
        <f t="shared" si="5"/>
        <v>587.46136866832296</v>
      </c>
    </row>
    <row r="34" spans="1:47" x14ac:dyDescent="0.25">
      <c r="A34" s="18">
        <v>23</v>
      </c>
      <c r="B34" s="18">
        <f t="shared" si="0"/>
        <v>23</v>
      </c>
      <c r="C34" s="182">
        <f t="shared" si="1"/>
        <v>330.82911100188483</v>
      </c>
      <c r="AO34" s="18">
        <v>23</v>
      </c>
      <c r="AP34" s="18">
        <v>150</v>
      </c>
      <c r="AQ34" s="19">
        <f t="shared" si="2"/>
        <v>47.7464829275686</v>
      </c>
      <c r="AR34" s="211">
        <v>14</v>
      </c>
      <c r="AS34" s="209">
        <f t="shared" si="3"/>
        <v>1.2433184154338865</v>
      </c>
      <c r="AT34" s="210">
        <f t="shared" si="4"/>
        <v>248.6636830867773</v>
      </c>
      <c r="AU34" s="182">
        <f t="shared" si="5"/>
        <v>591.32676061156303</v>
      </c>
    </row>
    <row r="35" spans="1:47" x14ac:dyDescent="0.25">
      <c r="A35" s="18">
        <v>24</v>
      </c>
      <c r="B35" s="18">
        <f t="shared" si="0"/>
        <v>24</v>
      </c>
      <c r="C35" s="182">
        <f t="shared" si="1"/>
        <v>332.4110204876331</v>
      </c>
      <c r="AO35" s="302" t="s">
        <v>302</v>
      </c>
      <c r="AP35" s="302"/>
      <c r="AQ35" s="302"/>
      <c r="AR35" s="302"/>
      <c r="AS35" s="302"/>
      <c r="AT35" s="302"/>
      <c r="AU35" s="212">
        <f>SUM(AU12:AU34)</f>
        <v>9854.9707541153366</v>
      </c>
    </row>
    <row r="36" spans="1:47" x14ac:dyDescent="0.25">
      <c r="A36" s="18">
        <v>25</v>
      </c>
      <c r="B36" s="18">
        <f t="shared" si="0"/>
        <v>25</v>
      </c>
      <c r="C36" s="182">
        <f t="shared" si="1"/>
        <v>333.99119125207693</v>
      </c>
    </row>
    <row r="37" spans="1:47" x14ac:dyDescent="0.25">
      <c r="A37" s="18">
        <v>26</v>
      </c>
      <c r="B37" s="18">
        <f t="shared" si="0"/>
        <v>26</v>
      </c>
      <c r="C37" s="182">
        <f t="shared" si="1"/>
        <v>335.56970080119794</v>
      </c>
    </row>
    <row r="38" spans="1:47" x14ac:dyDescent="0.25">
      <c r="A38" s="18">
        <v>27</v>
      </c>
      <c r="B38" s="18">
        <f t="shared" si="0"/>
        <v>27</v>
      </c>
      <c r="C38" s="182">
        <f t="shared" si="1"/>
        <v>337.14662034134358</v>
      </c>
    </row>
    <row r="39" spans="1:47" x14ac:dyDescent="0.25">
      <c r="A39" s="18">
        <v>28</v>
      </c>
      <c r="B39" s="18">
        <f t="shared" si="0"/>
        <v>28</v>
      </c>
      <c r="C39" s="182">
        <f t="shared" si="1"/>
        <v>338.72201550546265</v>
      </c>
    </row>
    <row r="40" spans="1:47" x14ac:dyDescent="0.25">
      <c r="A40" s="18">
        <v>29</v>
      </c>
      <c r="B40" s="18">
        <f t="shared" si="0"/>
        <v>29</v>
      </c>
      <c r="C40" s="182">
        <f t="shared" si="1"/>
        <v>340.29594697267794</v>
      </c>
    </row>
    <row r="41" spans="1:47" x14ac:dyDescent="0.25">
      <c r="A41" s="18">
        <v>30</v>
      </c>
      <c r="B41" s="18">
        <f t="shared" si="0"/>
        <v>30</v>
      </c>
      <c r="C41" s="182">
        <f t="shared" si="1"/>
        <v>341.86847099999875</v>
      </c>
    </row>
    <row r="42" spans="1:47" x14ac:dyDescent="0.25">
      <c r="C42" s="183"/>
    </row>
    <row r="43" spans="1:47" x14ac:dyDescent="0.25">
      <c r="C43" s="183"/>
    </row>
    <row r="44" spans="1:47" x14ac:dyDescent="0.25">
      <c r="C44" s="183"/>
    </row>
    <row r="45" spans="1:47" x14ac:dyDescent="0.25">
      <c r="C45" s="183"/>
    </row>
    <row r="46" spans="1:47" ht="15.75" thickBot="1" x14ac:dyDescent="0.3">
      <c r="C46" s="183"/>
    </row>
    <row r="47" spans="1:47" ht="15.75" thickBot="1" x14ac:dyDescent="0.3">
      <c r="C47" s="183"/>
      <c r="F47" s="300" t="s">
        <v>279</v>
      </c>
      <c r="G47" s="301"/>
      <c r="H47" s="300" t="s">
        <v>280</v>
      </c>
      <c r="I47" s="301"/>
      <c r="J47" s="300" t="s">
        <v>281</v>
      </c>
      <c r="K47" s="301"/>
      <c r="O47" s="300" t="s">
        <v>279</v>
      </c>
      <c r="P47" s="301"/>
      <c r="Q47" s="300" t="s">
        <v>280</v>
      </c>
      <c r="R47" s="301"/>
      <c r="S47" s="300" t="s">
        <v>281</v>
      </c>
      <c r="T47" s="301"/>
      <c r="X47" s="300" t="s">
        <v>279</v>
      </c>
      <c r="Y47" s="301"/>
      <c r="Z47" s="300" t="s">
        <v>280</v>
      </c>
      <c r="AA47" s="301"/>
      <c r="AB47" s="300" t="s">
        <v>281</v>
      </c>
      <c r="AC47" s="301"/>
      <c r="AG47" s="300" t="s">
        <v>279</v>
      </c>
      <c r="AH47" s="301"/>
      <c r="AI47" s="300" t="s">
        <v>280</v>
      </c>
      <c r="AJ47" s="301"/>
      <c r="AK47" s="300" t="s">
        <v>281</v>
      </c>
      <c r="AL47" s="301"/>
    </row>
    <row r="48" spans="1:47" ht="15.75" thickBot="1" x14ac:dyDescent="0.3">
      <c r="C48" s="183"/>
      <c r="E48" s="187" t="s">
        <v>25</v>
      </c>
      <c r="F48" s="188" t="s">
        <v>282</v>
      </c>
      <c r="G48" s="189" t="s">
        <v>283</v>
      </c>
      <c r="H48" s="188" t="s">
        <v>284</v>
      </c>
      <c r="I48" s="189" t="s">
        <v>285</v>
      </c>
      <c r="J48" s="188" t="s">
        <v>286</v>
      </c>
      <c r="K48" s="189" t="s">
        <v>287</v>
      </c>
      <c r="N48" s="187" t="s">
        <v>25</v>
      </c>
      <c r="O48" s="188" t="s">
        <v>282</v>
      </c>
      <c r="P48" s="189" t="s">
        <v>283</v>
      </c>
      <c r="Q48" s="188" t="s">
        <v>284</v>
      </c>
      <c r="R48" s="189" t="s">
        <v>285</v>
      </c>
      <c r="S48" s="188" t="s">
        <v>286</v>
      </c>
      <c r="T48" s="189" t="s">
        <v>287</v>
      </c>
      <c r="W48" s="187" t="s">
        <v>25</v>
      </c>
      <c r="X48" s="188" t="s">
        <v>282</v>
      </c>
      <c r="Y48" s="189" t="s">
        <v>283</v>
      </c>
      <c r="Z48" s="188" t="s">
        <v>284</v>
      </c>
      <c r="AA48" s="189" t="s">
        <v>285</v>
      </c>
      <c r="AB48" s="188" t="s">
        <v>286</v>
      </c>
      <c r="AC48" s="189" t="s">
        <v>287</v>
      </c>
      <c r="AF48" s="187" t="s">
        <v>25</v>
      </c>
      <c r="AG48" s="188" t="s">
        <v>282</v>
      </c>
      <c r="AH48" s="189" t="s">
        <v>283</v>
      </c>
      <c r="AI48" s="188" t="s">
        <v>284</v>
      </c>
      <c r="AJ48" s="189" t="s">
        <v>285</v>
      </c>
      <c r="AK48" s="188" t="s">
        <v>286</v>
      </c>
      <c r="AL48" s="189" t="s">
        <v>287</v>
      </c>
    </row>
    <row r="49" spans="3:38" x14ac:dyDescent="0.25">
      <c r="C49" s="183"/>
      <c r="E49" s="187">
        <v>1</v>
      </c>
      <c r="F49" s="190">
        <f xml:space="preserve"> 0.0013*(E49^3) - 0.1153*(E49^2) + (11.287*E49) - 63.98</f>
        <v>-52.806999999999995</v>
      </c>
      <c r="G49" s="191">
        <f>IF(F49&gt;0,(((F49*F$3*F$4) +EXP(-1.0587+(0.8836*LN(F49*F$3*F$4))+0.284))*0.475+70+10)*(44/12),0)</f>
        <v>0</v>
      </c>
      <c r="H49" s="190">
        <f>-0.0008*(E49^3)+0.1351*(E49^2)+(0.4022*E49)+44.356</f>
        <v>44.892499999999998</v>
      </c>
      <c r="I49" s="191">
        <f>IF(H49&gt;0,(((H49*F$3*F$4) +EXP(-1.0587+(0.8836*LN(H49*F$3*F$4))+0.284))*0.475+70+10)*(44/12),0)</f>
        <v>354.78128583744012</v>
      </c>
      <c r="J49" s="190">
        <f xml:space="preserve"> -0.0013*(E49^3) +0.2041*(E49^2) + (-4.0023*E49) +89.291</f>
        <v>85.491500000000002</v>
      </c>
      <c r="K49" s="191">
        <f>IF(J49&gt;0,(((J49*F$3*F$4) +EXP(-1.0587+(0.8836*LN(J49*F$3*F$4))+0.284))*0.475+70+10)*(44/12),0)</f>
        <v>408.33132764751565</v>
      </c>
      <c r="N49" s="187">
        <v>1</v>
      </c>
      <c r="O49" s="190">
        <f>2.5201*N49+5.1649</f>
        <v>7.6850000000000005</v>
      </c>
      <c r="P49" s="191">
        <f>IF(O49&gt;0,(((O49*O$3*O$4) +EXP(-1.0587+(0.8836*LN(O49*O$3*O$4))+0.284))*0.475+70+10)*(44/12),0)</f>
        <v>304.1027966208157</v>
      </c>
      <c r="Q49" s="190">
        <f>1.8061*N49+20.805</f>
        <v>22.6111</v>
      </c>
      <c r="R49" s="191">
        <f>IF(Q49&gt;0,(((Q49*O$3*O$4) +EXP(-1.0587+(0.8836*LN(Q49*O$3*O$4))+0.284))*0.475+70+10)*(44/12),0)</f>
        <v>323.9755005250862</v>
      </c>
      <c r="S49" s="190">
        <f>1.4198*N49+17.104</f>
        <v>18.523799999999998</v>
      </c>
      <c r="T49" s="191">
        <f>IF(S49&gt;0,(((S49*O$3*O$4) +EXP(-1.0587+(0.8836*LN(S49*O$3*O$4))+0.284))*0.475+70+10)*(44/12),0)</f>
        <v>318.58652238052338</v>
      </c>
      <c r="W49" s="187">
        <v>1</v>
      </c>
      <c r="X49" s="190">
        <f>7.928*W49-10.685</f>
        <v>-2.7570000000000006</v>
      </c>
      <c r="Y49" s="191">
        <f>IF(X49&gt;0,(((X49*X$3*X$4) +EXP(-1.0587+(0.8836*LN(X49*X$3*X$4))+0.284))*0.475+70+10)*(44/12),0)</f>
        <v>0</v>
      </c>
      <c r="Z49" s="190">
        <f>6.9*W49-11.784</f>
        <v>-4.8840000000000003</v>
      </c>
      <c r="AA49" s="191">
        <f>IF(Z49&gt;0,(((Z49*X$3*X$4) +EXP(-1.0587+(0.8836*LN(Z49*X$3*X$4))+0.284))*0.475+70+10)*(44/12),0)</f>
        <v>0</v>
      </c>
      <c r="AB49" s="190">
        <f>5.6919*W49-6.7818</f>
        <v>-1.0898999999999992</v>
      </c>
      <c r="AC49" s="191">
        <f>IF(AB49&gt;0,(((AB49*X$3*X$4) +EXP(-1.0587+(0.8836*LN(AB49*X$3*X$4))+0.284))*0.475+70+10)*(44/12),0)</f>
        <v>0</v>
      </c>
      <c r="AF49" s="187">
        <v>1</v>
      </c>
      <c r="AG49" s="190">
        <f>-0.0024*AF49^3+0.1872*AF49^2+4.5508*AF49-30.274</f>
        <v>-25.538400000000003</v>
      </c>
      <c r="AH49" s="191">
        <f>IF(AG49&gt;0,(((AG49*AG$3*AG$4) +EXP(-1.0587+(0.8836*LN(AG49*AG$3*AG$4))+0.284))*0.475+70+10)*(44/12),0)</f>
        <v>0</v>
      </c>
      <c r="AI49" s="190">
        <f>-0.0011*AF49^3+0.0531*AF49^2+6.7637*AF49-51.067</f>
        <v>-44.251300000000001</v>
      </c>
      <c r="AJ49" s="191">
        <f>IF(AI49&gt;0,(((AI49*AG$3*AG$4) +EXP(-1.0587+(0.8836*LN(AI49*AG$3*AG$4))+0.284))*0.475+70+10)*(44/12),0)</f>
        <v>0</v>
      </c>
      <c r="AK49" s="190">
        <f>-0.0007*AF49^3+0.0088*AF49^2+6.6784*AF49-55.214</f>
        <v>-48.527499999999996</v>
      </c>
      <c r="AL49" s="191">
        <f>IF(AK49&gt;0,(((AK49*AG$3*AG$4) +EXP(-1.0587+(0.8836*LN(AK49*AG$3*AG$4))+0.284))*0.475+70+10)*(44/12),0)</f>
        <v>0</v>
      </c>
    </row>
    <row r="50" spans="3:38" x14ac:dyDescent="0.25">
      <c r="C50" s="183"/>
      <c r="E50" s="187">
        <v>2</v>
      </c>
      <c r="F50" s="190">
        <f t="shared" ref="F50:F113" si="6" xml:space="preserve"> 0.0013*(E50^3) - 0.1153*(E50^2) + (11.287*E50) - 63.98</f>
        <v>-41.856799999999993</v>
      </c>
      <c r="G50" s="191">
        <f t="shared" ref="G50:G113" si="7">IF(F50&gt;0,(((F50*F$3*F$4) +EXP(-1.0587+(0.8836*LN(F50*F$3*F$4))+0.284))*0.475+70+10)*(44/12),0)</f>
        <v>0</v>
      </c>
      <c r="H50" s="190">
        <f t="shared" ref="H50:H113" si="8">-0.0008*(E50^3)+0.1351*(E50^2)+(0.4022*E50)+44.356</f>
        <v>45.694400000000002</v>
      </c>
      <c r="I50" s="191">
        <f t="shared" ref="I50:I113" si="9">IF(H50&gt;0,(((H50*F$3*F$4) +EXP(-1.0587+(0.8836*LN(H50*F$3*F$4))+0.284))*0.475+70+10)*(44/12),0)</f>
        <v>355.84812384055169</v>
      </c>
      <c r="J50" s="190">
        <f t="shared" ref="J50:J113" si="10" xml:space="preserve"> -0.0013*(E50^3) +0.2041*(E50^2) + (-4.0023*E50) +89.291</f>
        <v>82.092399999999998</v>
      </c>
      <c r="K50" s="191">
        <f t="shared" ref="K50:K113" si="11">IF(J50&gt;0,(((J50*F$3*F$4) +EXP(-1.0587+(0.8836*LN(J50*F$3*F$4))+0.284))*0.475+70+10)*(44/12),0)</f>
        <v>403.87705184330957</v>
      </c>
      <c r="N50" s="187">
        <v>2</v>
      </c>
      <c r="O50" s="190">
        <f t="shared" ref="O50:O114" si="12">2.5201*N50+5.1649</f>
        <v>10.2051</v>
      </c>
      <c r="P50" s="191">
        <f t="shared" ref="P50:P114" si="13">IF(O50&gt;0,(((O50*O$3*O$4) +EXP(-1.0587+(0.8836*LN(O50*O$3*O$4))+0.284))*0.475+70+10)*(44/12),0)</f>
        <v>307.5047254075169</v>
      </c>
      <c r="Q50" s="190">
        <f t="shared" ref="Q50:Q113" si="14">1.8061*N50+20.805</f>
        <v>24.417200000000001</v>
      </c>
      <c r="R50" s="191">
        <f t="shared" ref="R50:R113" si="15">IF(Q50&gt;0,(((Q50*O$3*O$4) +EXP(-1.0587+(0.8836*LN(Q50*O$3*O$4))+0.284))*0.475+70+10)*(44/12),0)</f>
        <v>326.34807633439885</v>
      </c>
      <c r="S50" s="190">
        <f t="shared" ref="S50:S113" si="16">1.4198*N50+17.104</f>
        <v>19.9436</v>
      </c>
      <c r="T50" s="191">
        <f t="shared" ref="T50:T113" si="17">IF(S50&gt;0,(((S50*O$3*O$4) +EXP(-1.0587+(0.8836*LN(S50*O$3*O$4))+0.284))*0.475+70+10)*(44/12),0)</f>
        <v>320.46183244167366</v>
      </c>
      <c r="W50" s="187">
        <v>2</v>
      </c>
      <c r="X50" s="190">
        <f t="shared" ref="X50:X113" si="18">7.928*W50-10.685</f>
        <v>5.1709999999999994</v>
      </c>
      <c r="Y50" s="191">
        <f t="shared" ref="Y50:Y113" si="19">IF(X50&gt;0,(((X50*X$3*X$4) +EXP(-1.0587+(0.8836*LN(X50*X$3*X$4))+0.284))*0.475+70+10)*(44/12),0)</f>
        <v>302.54245491826396</v>
      </c>
      <c r="Z50" s="190">
        <f t="shared" ref="Z50:Z59" si="20">6.9*W50-11.784</f>
        <v>2.016</v>
      </c>
      <c r="AA50" s="191">
        <f t="shared" ref="AA50:AA59" si="21">IF(Z50&gt;0,(((Z50*X$3*X$4) +EXP(-1.0587+(0.8836*LN(Z50*X$3*X$4))+0.284))*0.475+70+10)*(44/12),0)</f>
        <v>297.0413860510422</v>
      </c>
      <c r="AB50" s="190">
        <f t="shared" ref="AB50:AB113" si="22">5.6919*W50-6.7818</f>
        <v>4.6020000000000012</v>
      </c>
      <c r="AC50" s="191">
        <f t="shared" ref="AC50:AC113" si="23">IF(AB50&gt;0,(((AB50*X$3*X$4) +EXP(-1.0587+(0.8836*LN(AB50*X$3*X$4))+0.284))*0.475+70+10)*(44/12),0)</f>
        <v>301.5607959193872</v>
      </c>
      <c r="AF50" s="187">
        <v>2</v>
      </c>
      <c r="AG50" s="190">
        <f t="shared" ref="AG50:AG110" si="24">-0.0024*AF50^3+0.1872*AF50^2+4.5508*AF50-30.274</f>
        <v>-20.442800000000002</v>
      </c>
      <c r="AH50" s="191">
        <f t="shared" ref="AH50:AH110" si="25">IF(AG50&gt;0,(((AG50*AG$3*AG$4) +EXP(-1.0587+(0.8836*LN(AG50*AG$3*AG$4))+0.284))*0.475+70+10)*(44/12),0)</f>
        <v>0</v>
      </c>
      <c r="AI50" s="190">
        <f t="shared" ref="AI50:AI110" si="26">-0.0011*AF50^3+0.0531*AF50^2+6.7637*AF50-51.067</f>
        <v>-37.335999999999999</v>
      </c>
      <c r="AJ50" s="191">
        <f t="shared" ref="AJ50:AJ110" si="27">IF(AI50&gt;0,(((AI50*AG$3*AG$4) +EXP(-1.0587+(0.8836*LN(AI50*AG$3*AG$4))+0.284))*0.475+70+10)*(44/12),0)</f>
        <v>0</v>
      </c>
      <c r="AK50" s="190">
        <f t="shared" ref="AK50:AK110" si="28">-0.0007*AF50^3+0.0088*AF50^2+6.6784*AF50-55.214</f>
        <v>-41.827599999999997</v>
      </c>
      <c r="AL50" s="191">
        <f t="shared" ref="AL50:AL110" si="29">IF(AK50&gt;0,(((AK50*AG$3*AG$4) +EXP(-1.0587+(0.8836*LN(AK50*AG$3*AG$4))+0.284))*0.475+70+10)*(44/12),0)</f>
        <v>0</v>
      </c>
    </row>
    <row r="51" spans="3:38" x14ac:dyDescent="0.25">
      <c r="C51" s="183"/>
      <c r="E51" s="187">
        <v>3</v>
      </c>
      <c r="F51" s="190">
        <f t="shared" si="6"/>
        <v>-31.121599999999994</v>
      </c>
      <c r="G51" s="191">
        <f t="shared" si="7"/>
        <v>0</v>
      </c>
      <c r="H51" s="190">
        <f t="shared" si="8"/>
        <v>46.756900000000002</v>
      </c>
      <c r="I51" s="191">
        <f t="shared" si="9"/>
        <v>357.26093430387743</v>
      </c>
      <c r="J51" s="190">
        <f t="shared" si="10"/>
        <v>79.085899999999995</v>
      </c>
      <c r="K51" s="191">
        <f t="shared" si="11"/>
        <v>399.93357521983017</v>
      </c>
      <c r="N51" s="187">
        <v>3</v>
      </c>
      <c r="O51" s="190">
        <f t="shared" si="12"/>
        <v>12.725200000000001</v>
      </c>
      <c r="P51" s="191">
        <f t="shared" si="13"/>
        <v>310.88212939945009</v>
      </c>
      <c r="Q51" s="190">
        <f t="shared" si="14"/>
        <v>26.223300000000002</v>
      </c>
      <c r="R51" s="191">
        <f t="shared" si="15"/>
        <v>328.71594866269601</v>
      </c>
      <c r="S51" s="190">
        <f t="shared" si="16"/>
        <v>21.363399999999999</v>
      </c>
      <c r="T51" s="191">
        <f t="shared" si="17"/>
        <v>322.33349934046515</v>
      </c>
      <c r="W51" s="187">
        <v>3</v>
      </c>
      <c r="X51" s="190">
        <f t="shared" si="18"/>
        <v>13.098999999999998</v>
      </c>
      <c r="Y51" s="191">
        <f t="shared" si="19"/>
        <v>315.98468317743868</v>
      </c>
      <c r="Z51" s="190">
        <f t="shared" si="20"/>
        <v>8.9160000000000021</v>
      </c>
      <c r="AA51" s="191">
        <f t="shared" si="21"/>
        <v>308.93592112908004</v>
      </c>
      <c r="AB51" s="190">
        <f t="shared" si="22"/>
        <v>10.293900000000001</v>
      </c>
      <c r="AC51" s="191">
        <f t="shared" si="23"/>
        <v>311.26642124197576</v>
      </c>
      <c r="AF51" s="187">
        <v>3</v>
      </c>
      <c r="AG51" s="190">
        <f t="shared" si="24"/>
        <v>-15.0016</v>
      </c>
      <c r="AH51" s="191">
        <f t="shared" si="25"/>
        <v>0</v>
      </c>
      <c r="AI51" s="190">
        <f t="shared" si="26"/>
        <v>-30.3277</v>
      </c>
      <c r="AJ51" s="191">
        <f t="shared" si="27"/>
        <v>0</v>
      </c>
      <c r="AK51" s="190">
        <f t="shared" si="28"/>
        <v>-35.118499999999997</v>
      </c>
      <c r="AL51" s="191">
        <f t="shared" si="29"/>
        <v>0</v>
      </c>
    </row>
    <row r="52" spans="3:38" x14ac:dyDescent="0.25">
      <c r="C52" s="183"/>
      <c r="E52" s="187">
        <v>4</v>
      </c>
      <c r="F52" s="190">
        <f t="shared" si="6"/>
        <v>-20.593599999999995</v>
      </c>
      <c r="G52" s="191">
        <f t="shared" si="7"/>
        <v>0</v>
      </c>
      <c r="H52" s="190">
        <f t="shared" si="8"/>
        <v>48.075200000000002</v>
      </c>
      <c r="I52" s="191">
        <f t="shared" si="9"/>
        <v>359.01276081022479</v>
      </c>
      <c r="J52" s="190">
        <f t="shared" si="10"/>
        <v>76.464199999999991</v>
      </c>
      <c r="K52" s="191">
        <f t="shared" si="11"/>
        <v>396.49188651047535</v>
      </c>
      <c r="N52" s="187">
        <v>4</v>
      </c>
      <c r="O52" s="190">
        <f t="shared" si="12"/>
        <v>15.2453</v>
      </c>
      <c r="P52" s="191">
        <f t="shared" si="13"/>
        <v>314.24044907351754</v>
      </c>
      <c r="Q52" s="190">
        <f t="shared" si="14"/>
        <v>28.029399999999999</v>
      </c>
      <c r="R52" s="191">
        <f t="shared" si="15"/>
        <v>331.07947830860888</v>
      </c>
      <c r="S52" s="190">
        <f t="shared" si="16"/>
        <v>22.783200000000001</v>
      </c>
      <c r="T52" s="191">
        <f t="shared" si="17"/>
        <v>324.20179274987851</v>
      </c>
      <c r="W52" s="187">
        <v>4</v>
      </c>
      <c r="X52" s="190">
        <f t="shared" si="18"/>
        <v>21.027000000000001</v>
      </c>
      <c r="Y52" s="191">
        <f t="shared" si="19"/>
        <v>329.18441955835351</v>
      </c>
      <c r="Z52" s="190">
        <f t="shared" si="20"/>
        <v>15.816000000000001</v>
      </c>
      <c r="AA52" s="191">
        <f t="shared" si="21"/>
        <v>320.52781296266744</v>
      </c>
      <c r="AB52" s="190">
        <f t="shared" si="22"/>
        <v>15.985800000000001</v>
      </c>
      <c r="AC52" s="191">
        <f t="shared" si="23"/>
        <v>320.81098592191495</v>
      </c>
      <c r="AF52" s="187">
        <v>4</v>
      </c>
      <c r="AG52" s="190">
        <f t="shared" si="24"/>
        <v>-9.2292000000000023</v>
      </c>
      <c r="AH52" s="191">
        <f t="shared" si="25"/>
        <v>0</v>
      </c>
      <c r="AI52" s="190">
        <f t="shared" si="26"/>
        <v>-23.233000000000001</v>
      </c>
      <c r="AJ52" s="191">
        <f t="shared" si="27"/>
        <v>0</v>
      </c>
      <c r="AK52" s="190">
        <f t="shared" si="28"/>
        <v>-28.404399999999999</v>
      </c>
      <c r="AL52" s="191">
        <f t="shared" si="29"/>
        <v>0</v>
      </c>
    </row>
    <row r="53" spans="3:38" x14ac:dyDescent="0.25">
      <c r="C53" s="183"/>
      <c r="E53" s="187">
        <v>5</v>
      </c>
      <c r="F53" s="190">
        <f t="shared" si="6"/>
        <v>-10.264999999999993</v>
      </c>
      <c r="G53" s="191">
        <f t="shared" si="7"/>
        <v>0</v>
      </c>
      <c r="H53" s="190">
        <f t="shared" si="8"/>
        <v>49.644500000000001</v>
      </c>
      <c r="I53" s="191">
        <f t="shared" si="9"/>
        <v>361.09655836805348</v>
      </c>
      <c r="J53" s="190">
        <f t="shared" si="10"/>
        <v>74.219499999999996</v>
      </c>
      <c r="K53" s="191">
        <f t="shared" si="11"/>
        <v>393.54285596330999</v>
      </c>
      <c r="N53" s="187">
        <v>5</v>
      </c>
      <c r="O53" s="190">
        <f t="shared" si="12"/>
        <v>17.7654</v>
      </c>
      <c r="P53" s="191">
        <f t="shared" si="13"/>
        <v>317.58320797243834</v>
      </c>
      <c r="Q53" s="190">
        <f t="shared" si="14"/>
        <v>29.8355</v>
      </c>
      <c r="R53" s="191">
        <f t="shared" si="15"/>
        <v>333.43897694493745</v>
      </c>
      <c r="S53" s="190">
        <f t="shared" si="16"/>
        <v>24.202999999999999</v>
      </c>
      <c r="T53" s="191">
        <f t="shared" si="17"/>
        <v>326.0669468323843</v>
      </c>
      <c r="W53" s="187">
        <v>5</v>
      </c>
      <c r="X53" s="190">
        <f t="shared" si="18"/>
        <v>28.954999999999998</v>
      </c>
      <c r="Y53" s="191">
        <f t="shared" si="19"/>
        <v>342.24864164110005</v>
      </c>
      <c r="Z53" s="190">
        <f t="shared" si="20"/>
        <v>22.716000000000001</v>
      </c>
      <c r="AA53" s="191">
        <f t="shared" si="21"/>
        <v>331.97712106050204</v>
      </c>
      <c r="AB53" s="190">
        <f t="shared" si="22"/>
        <v>21.677700000000002</v>
      </c>
      <c r="AC53" s="191">
        <f t="shared" si="23"/>
        <v>330.26100815028957</v>
      </c>
      <c r="AF53" s="187">
        <v>5</v>
      </c>
      <c r="AG53" s="190">
        <f t="shared" si="24"/>
        <v>-3.1400000000000041</v>
      </c>
      <c r="AH53" s="191">
        <f t="shared" si="25"/>
        <v>0</v>
      </c>
      <c r="AI53" s="190">
        <f t="shared" si="26"/>
        <v>-16.058500000000002</v>
      </c>
      <c r="AJ53" s="191">
        <f t="shared" si="27"/>
        <v>0</v>
      </c>
      <c r="AK53" s="190">
        <f t="shared" si="28"/>
        <v>-21.689500000000002</v>
      </c>
      <c r="AL53" s="191">
        <f t="shared" si="29"/>
        <v>0</v>
      </c>
    </row>
    <row r="54" spans="3:38" x14ac:dyDescent="0.25">
      <c r="C54" s="183"/>
      <c r="E54" s="187">
        <v>6</v>
      </c>
      <c r="F54" s="190">
        <f t="shared" si="6"/>
        <v>-0.1279999999999859</v>
      </c>
      <c r="G54" s="191">
        <f t="shared" si="7"/>
        <v>0</v>
      </c>
      <c r="H54" s="190">
        <f t="shared" si="8"/>
        <v>51.46</v>
      </c>
      <c r="I54" s="191">
        <f t="shared" si="9"/>
        <v>363.50521736132936</v>
      </c>
      <c r="J54" s="190">
        <f t="shared" si="10"/>
        <v>72.343999999999994</v>
      </c>
      <c r="K54" s="191">
        <f t="shared" si="11"/>
        <v>391.07722127900661</v>
      </c>
      <c r="N54" s="187">
        <v>6</v>
      </c>
      <c r="O54" s="190">
        <f t="shared" si="12"/>
        <v>20.285499999999999</v>
      </c>
      <c r="P54" s="191">
        <f t="shared" si="13"/>
        <v>320.9128680259455</v>
      </c>
      <c r="Q54" s="190">
        <f t="shared" si="14"/>
        <v>31.6416</v>
      </c>
      <c r="R54" s="191">
        <f t="shared" si="15"/>
        <v>335.7947163780089</v>
      </c>
      <c r="S54" s="190">
        <f t="shared" si="16"/>
        <v>25.622799999999998</v>
      </c>
      <c r="T54" s="191">
        <f t="shared" si="17"/>
        <v>327.92916672556333</v>
      </c>
      <c r="W54" s="187">
        <v>6</v>
      </c>
      <c r="X54" s="190">
        <f t="shared" si="18"/>
        <v>36.882999999999996</v>
      </c>
      <c r="Y54" s="191">
        <f t="shared" si="19"/>
        <v>355.21939407606652</v>
      </c>
      <c r="Z54" s="190">
        <f t="shared" si="20"/>
        <v>29.616000000000007</v>
      </c>
      <c r="AA54" s="191">
        <f t="shared" si="21"/>
        <v>343.33326115218551</v>
      </c>
      <c r="AB54" s="190">
        <f t="shared" si="22"/>
        <v>27.369600000000002</v>
      </c>
      <c r="AC54" s="191">
        <f t="shared" si="23"/>
        <v>339.64455516054829</v>
      </c>
      <c r="AF54" s="187">
        <v>6</v>
      </c>
      <c r="AG54" s="190">
        <f t="shared" si="24"/>
        <v>3.2515999999999963</v>
      </c>
      <c r="AH54" s="191">
        <f t="shared" si="25"/>
        <v>298.16436817912472</v>
      </c>
      <c r="AI54" s="190">
        <f t="shared" si="26"/>
        <v>-8.8108000000000004</v>
      </c>
      <c r="AJ54" s="191">
        <f t="shared" si="27"/>
        <v>0</v>
      </c>
      <c r="AK54" s="190">
        <f t="shared" si="28"/>
        <v>-14.978000000000002</v>
      </c>
      <c r="AL54" s="191">
        <f t="shared" si="29"/>
        <v>0</v>
      </c>
    </row>
    <row r="55" spans="3:38" x14ac:dyDescent="0.25">
      <c r="C55" s="183"/>
      <c r="E55" s="187">
        <v>7</v>
      </c>
      <c r="F55" s="190">
        <f t="shared" si="6"/>
        <v>9.8252000000000024</v>
      </c>
      <c r="G55" s="191">
        <f t="shared" si="7"/>
        <v>307.4038964375776</v>
      </c>
      <c r="H55" s="190">
        <f t="shared" si="8"/>
        <v>53.5169</v>
      </c>
      <c r="I55" s="191">
        <f t="shared" si="9"/>
        <v>366.23158628518212</v>
      </c>
      <c r="J55" s="190">
        <f t="shared" si="10"/>
        <v>70.829899999999995</v>
      </c>
      <c r="K55" s="191">
        <f t="shared" si="11"/>
        <v>389.08557531904341</v>
      </c>
      <c r="N55" s="187">
        <v>7</v>
      </c>
      <c r="O55" s="190">
        <f t="shared" si="12"/>
        <v>22.805599999999998</v>
      </c>
      <c r="P55" s="191">
        <f t="shared" si="13"/>
        <v>324.23124284285137</v>
      </c>
      <c r="Q55" s="190">
        <f t="shared" si="14"/>
        <v>33.447699999999998</v>
      </c>
      <c r="R55" s="191">
        <f t="shared" si="15"/>
        <v>338.146935632159</v>
      </c>
      <c r="S55" s="190">
        <f t="shared" si="16"/>
        <v>27.0426</v>
      </c>
      <c r="T55" s="191">
        <f t="shared" si="17"/>
        <v>329.78863354901125</v>
      </c>
      <c r="W55" s="187">
        <v>7</v>
      </c>
      <c r="X55" s="190">
        <f t="shared" si="18"/>
        <v>44.811</v>
      </c>
      <c r="Y55" s="191">
        <f t="shared" si="19"/>
        <v>368.11922609694705</v>
      </c>
      <c r="Z55" s="190">
        <f t="shared" si="20"/>
        <v>36.516000000000005</v>
      </c>
      <c r="AA55" s="191">
        <f t="shared" si="21"/>
        <v>354.62065494075119</v>
      </c>
      <c r="AB55" s="190">
        <f t="shared" si="22"/>
        <v>33.061500000000002</v>
      </c>
      <c r="AC55" s="191">
        <f t="shared" si="23"/>
        <v>348.97712960593867</v>
      </c>
      <c r="AF55" s="187">
        <v>7</v>
      </c>
      <c r="AG55" s="190">
        <f t="shared" si="24"/>
        <v>9.9311999999999969</v>
      </c>
      <c r="AH55" s="191">
        <f t="shared" si="25"/>
        <v>307.5508559776942</v>
      </c>
      <c r="AI55" s="190">
        <f t="shared" si="26"/>
        <v>-1.4964999999999975</v>
      </c>
      <c r="AJ55" s="191">
        <f t="shared" si="27"/>
        <v>0</v>
      </c>
      <c r="AK55" s="190">
        <f t="shared" si="28"/>
        <v>-8.2740999999999971</v>
      </c>
      <c r="AL55" s="191">
        <f t="shared" si="29"/>
        <v>0</v>
      </c>
    </row>
    <row r="56" spans="3:38" x14ac:dyDescent="0.25">
      <c r="C56" s="183"/>
      <c r="E56" s="187">
        <v>8</v>
      </c>
      <c r="F56" s="190">
        <f t="shared" si="6"/>
        <v>19.60240000000001</v>
      </c>
      <c r="G56" s="191">
        <f t="shared" si="7"/>
        <v>320.81427586407557</v>
      </c>
      <c r="H56" s="190">
        <f t="shared" si="8"/>
        <v>55.810400000000001</v>
      </c>
      <c r="I56" s="191">
        <f t="shared" si="9"/>
        <v>369.26849239606713</v>
      </c>
      <c r="J56" s="190">
        <f t="shared" si="10"/>
        <v>69.669399999999996</v>
      </c>
      <c r="K56" s="191">
        <f t="shared" si="11"/>
        <v>387.55835639481461</v>
      </c>
      <c r="N56" s="187">
        <v>8</v>
      </c>
      <c r="O56" s="190">
        <f t="shared" si="12"/>
        <v>25.325699999999998</v>
      </c>
      <c r="P56" s="191">
        <f t="shared" si="13"/>
        <v>327.53972171685876</v>
      </c>
      <c r="Q56" s="190">
        <f t="shared" si="14"/>
        <v>35.253799999999998</v>
      </c>
      <c r="R56" s="191">
        <f t="shared" si="15"/>
        <v>340.49584646028006</v>
      </c>
      <c r="S56" s="190">
        <f t="shared" si="16"/>
        <v>28.462399999999999</v>
      </c>
      <c r="T56" s="191">
        <f t="shared" si="17"/>
        <v>331.64550832975578</v>
      </c>
      <c r="W56" s="187">
        <v>8</v>
      </c>
      <c r="X56" s="190">
        <f t="shared" si="18"/>
        <v>52.738999999999997</v>
      </c>
      <c r="Y56" s="191">
        <f t="shared" si="19"/>
        <v>380.96216464736216</v>
      </c>
      <c r="Z56" s="190">
        <f t="shared" si="20"/>
        <v>43.416000000000004</v>
      </c>
      <c r="AA56" s="191">
        <f t="shared" si="21"/>
        <v>365.85384015010311</v>
      </c>
      <c r="AB56" s="190">
        <f t="shared" si="22"/>
        <v>38.753400000000006</v>
      </c>
      <c r="AC56" s="191">
        <f t="shared" si="23"/>
        <v>358.26853804152967</v>
      </c>
      <c r="AF56" s="187">
        <v>8</v>
      </c>
      <c r="AG56" s="190">
        <f t="shared" si="24"/>
        <v>16.884399999999999</v>
      </c>
      <c r="AH56" s="191">
        <f t="shared" si="25"/>
        <v>317.11051243443211</v>
      </c>
      <c r="AI56" s="190">
        <f t="shared" si="26"/>
        <v>5.8778000000000006</v>
      </c>
      <c r="AJ56" s="191">
        <f t="shared" si="27"/>
        <v>301.89234486120279</v>
      </c>
      <c r="AK56" s="190">
        <f t="shared" si="28"/>
        <v>-1.5820000000000007</v>
      </c>
      <c r="AL56" s="191">
        <f t="shared" si="29"/>
        <v>0</v>
      </c>
    </row>
    <row r="57" spans="3:38" x14ac:dyDescent="0.25">
      <c r="C57" s="183"/>
      <c r="E57" s="187">
        <v>9</v>
      </c>
      <c r="F57" s="190">
        <f t="shared" si="6"/>
        <v>29.211400000000019</v>
      </c>
      <c r="G57" s="191">
        <f t="shared" si="7"/>
        <v>333.80763873139512</v>
      </c>
      <c r="H57" s="190">
        <f t="shared" si="8"/>
        <v>58.335700000000003</v>
      </c>
      <c r="I57" s="191">
        <f t="shared" si="9"/>
        <v>372.60875973077754</v>
      </c>
      <c r="J57" s="190">
        <f t="shared" si="10"/>
        <v>68.854700000000008</v>
      </c>
      <c r="K57" s="191">
        <f t="shared" si="11"/>
        <v>386.48584187295347</v>
      </c>
      <c r="N57" s="187">
        <v>9</v>
      </c>
      <c r="O57" s="190">
        <f t="shared" si="12"/>
        <v>27.845799999999997</v>
      </c>
      <c r="P57" s="191">
        <f t="shared" si="13"/>
        <v>330.83940145982655</v>
      </c>
      <c r="Q57" s="190">
        <f t="shared" si="14"/>
        <v>37.059899999999999</v>
      </c>
      <c r="R57" s="191">
        <f t="shared" si="15"/>
        <v>342.84163769297055</v>
      </c>
      <c r="S57" s="190">
        <f t="shared" si="16"/>
        <v>29.882199999999997</v>
      </c>
      <c r="T57" s="191">
        <f t="shared" si="17"/>
        <v>333.49993512216611</v>
      </c>
      <c r="W57" s="187">
        <v>9</v>
      </c>
      <c r="X57" s="190">
        <f t="shared" si="18"/>
        <v>60.667000000000002</v>
      </c>
      <c r="Y57" s="191">
        <f t="shared" si="19"/>
        <v>393.75775292569904</v>
      </c>
      <c r="Z57" s="190">
        <f t="shared" si="20"/>
        <v>50.316000000000003</v>
      </c>
      <c r="AA57" s="191">
        <f t="shared" si="21"/>
        <v>377.04243506813077</v>
      </c>
      <c r="AB57" s="190">
        <f t="shared" si="22"/>
        <v>44.44530000000001</v>
      </c>
      <c r="AC57" s="191">
        <f t="shared" si="23"/>
        <v>367.52552577651744</v>
      </c>
      <c r="AF57" s="187">
        <v>9</v>
      </c>
      <c r="AG57" s="190">
        <f t="shared" si="24"/>
        <v>24.096800000000002</v>
      </c>
      <c r="AH57" s="191">
        <f t="shared" si="25"/>
        <v>326.908867635246</v>
      </c>
      <c r="AI57" s="190">
        <f t="shared" si="26"/>
        <v>13.305500000000002</v>
      </c>
      <c r="AJ57" s="191">
        <f t="shared" si="27"/>
        <v>312.2077728717087</v>
      </c>
      <c r="AK57" s="190">
        <f t="shared" si="28"/>
        <v>5.0940999999999974</v>
      </c>
      <c r="AL57" s="191">
        <f t="shared" si="29"/>
        <v>300.78663064000659</v>
      </c>
    </row>
    <row r="58" spans="3:38" x14ac:dyDescent="0.25">
      <c r="C58" s="183"/>
      <c r="E58" s="187">
        <v>10</v>
      </c>
      <c r="F58" s="190">
        <f t="shared" si="6"/>
        <v>38.660000000000004</v>
      </c>
      <c r="G58" s="191">
        <f t="shared" si="7"/>
        <v>346.47240729118317</v>
      </c>
      <c r="H58" s="190">
        <f t="shared" si="8"/>
        <v>61.088000000000001</v>
      </c>
      <c r="I58" s="191">
        <f t="shared" si="9"/>
        <v>376.24522424470882</v>
      </c>
      <c r="J58" s="190">
        <f t="shared" si="10"/>
        <v>68.378</v>
      </c>
      <c r="K58" s="191">
        <f t="shared" si="11"/>
        <v>385.85814567128801</v>
      </c>
      <c r="N58" s="187">
        <v>10</v>
      </c>
      <c r="O58" s="190">
        <f t="shared" si="12"/>
        <v>30.365899999999996</v>
      </c>
      <c r="P58" s="191">
        <f t="shared" si="13"/>
        <v>334.1311689734215</v>
      </c>
      <c r="Q58" s="190">
        <f t="shared" si="14"/>
        <v>38.866</v>
      </c>
      <c r="R58" s="191">
        <f t="shared" si="15"/>
        <v>345.18447871581469</v>
      </c>
      <c r="S58" s="190">
        <f t="shared" si="16"/>
        <v>31.302</v>
      </c>
      <c r="T58" s="191">
        <f t="shared" si="17"/>
        <v>335.35204351811694</v>
      </c>
      <c r="W58" s="187">
        <v>10</v>
      </c>
      <c r="X58" s="190">
        <f t="shared" si="18"/>
        <v>68.594999999999999</v>
      </c>
      <c r="Y58" s="191">
        <f t="shared" si="19"/>
        <v>406.51288882865572</v>
      </c>
      <c r="Z58" s="190">
        <f t="shared" si="20"/>
        <v>57.216000000000001</v>
      </c>
      <c r="AA58" s="191">
        <f t="shared" si="21"/>
        <v>388.19325816161819</v>
      </c>
      <c r="AB58" s="190">
        <f t="shared" si="22"/>
        <v>50.137200000000007</v>
      </c>
      <c r="AC58" s="191">
        <f t="shared" si="23"/>
        <v>376.75300629929188</v>
      </c>
      <c r="AF58" s="187">
        <v>10</v>
      </c>
      <c r="AG58" s="190">
        <f t="shared" si="24"/>
        <v>31.553999999999995</v>
      </c>
      <c r="AH58" s="191">
        <f t="shared" si="25"/>
        <v>336.9564208420631</v>
      </c>
      <c r="AI58" s="190">
        <f t="shared" si="26"/>
        <v>20.780000000000008</v>
      </c>
      <c r="AJ58" s="191">
        <f t="shared" si="27"/>
        <v>322.41448981814034</v>
      </c>
      <c r="AK58" s="190">
        <f t="shared" si="28"/>
        <v>11.75</v>
      </c>
      <c r="AL58" s="191">
        <f t="shared" si="29"/>
        <v>310.06580262793273</v>
      </c>
    </row>
    <row r="59" spans="3:38" x14ac:dyDescent="0.25">
      <c r="C59" s="183"/>
      <c r="E59" s="187">
        <v>11</v>
      </c>
      <c r="F59" s="190">
        <f t="shared" si="6"/>
        <v>47.95600000000001</v>
      </c>
      <c r="G59" s="191">
        <f t="shared" si="7"/>
        <v>358.85441176877276</v>
      </c>
      <c r="H59" s="190">
        <f t="shared" si="8"/>
        <v>64.0625</v>
      </c>
      <c r="I59" s="191">
        <f t="shared" si="9"/>
        <v>380.17074605946834</v>
      </c>
      <c r="J59" s="190">
        <f t="shared" si="10"/>
        <v>68.231499999999997</v>
      </c>
      <c r="K59" s="191">
        <f t="shared" si="11"/>
        <v>385.66521998374463</v>
      </c>
      <c r="N59" s="187">
        <v>11</v>
      </c>
      <c r="O59" s="190">
        <f t="shared" si="12"/>
        <v>32.885999999999996</v>
      </c>
      <c r="P59" s="191">
        <f t="shared" si="13"/>
        <v>337.41575555678253</v>
      </c>
      <c r="Q59" s="190">
        <f t="shared" si="14"/>
        <v>40.6721</v>
      </c>
      <c r="R59" s="191">
        <f t="shared" si="15"/>
        <v>347.52452228201594</v>
      </c>
      <c r="S59" s="190">
        <f t="shared" si="16"/>
        <v>32.721800000000002</v>
      </c>
      <c r="T59" s="191">
        <f t="shared" si="17"/>
        <v>337.20195068885386</v>
      </c>
      <c r="W59" s="187">
        <v>11</v>
      </c>
      <c r="X59" s="190">
        <f t="shared" si="18"/>
        <v>76.522999999999996</v>
      </c>
      <c r="Y59" s="191">
        <f t="shared" si="19"/>
        <v>419.23278163611224</v>
      </c>
      <c r="Z59" s="190">
        <f t="shared" si="20"/>
        <v>64.116</v>
      </c>
      <c r="AA59" s="191">
        <f t="shared" si="21"/>
        <v>399.31138548175608</v>
      </c>
      <c r="AB59" s="190">
        <f t="shared" si="22"/>
        <v>55.829100000000004</v>
      </c>
      <c r="AC59" s="191">
        <f t="shared" si="23"/>
        <v>385.95471180511225</v>
      </c>
      <c r="AF59" s="187">
        <v>11</v>
      </c>
      <c r="AG59" s="190">
        <f t="shared" si="24"/>
        <v>39.241600000000005</v>
      </c>
      <c r="AH59" s="191">
        <f t="shared" si="25"/>
        <v>347.24913711712531</v>
      </c>
      <c r="AI59" s="190">
        <f t="shared" si="26"/>
        <v>28.294699999999999</v>
      </c>
      <c r="AJ59" s="191">
        <f t="shared" si="27"/>
        <v>332.57368723176432</v>
      </c>
      <c r="AK59" s="190">
        <f t="shared" si="28"/>
        <v>18.381500000000003</v>
      </c>
      <c r="AL59" s="191">
        <f t="shared" si="29"/>
        <v>319.15244950147684</v>
      </c>
    </row>
    <row r="60" spans="3:38" x14ac:dyDescent="0.25">
      <c r="C60" s="183"/>
      <c r="E60" s="187">
        <v>12</v>
      </c>
      <c r="F60" s="190">
        <f t="shared" si="6"/>
        <v>57.107200000000013</v>
      </c>
      <c r="G60" s="191">
        <f t="shared" si="7"/>
        <v>370.98425376080814</v>
      </c>
      <c r="H60" s="190">
        <f t="shared" si="8"/>
        <v>67.254400000000004</v>
      </c>
      <c r="I60" s="191">
        <f t="shared" si="9"/>
        <v>384.37821898332857</v>
      </c>
      <c r="J60" s="190">
        <f t="shared" si="10"/>
        <v>68.407399999999996</v>
      </c>
      <c r="K60" s="191">
        <f t="shared" si="11"/>
        <v>385.89686128591575</v>
      </c>
      <c r="N60" s="187">
        <v>12</v>
      </c>
      <c r="O60" s="190">
        <f t="shared" si="12"/>
        <v>35.406100000000002</v>
      </c>
      <c r="P60" s="191">
        <f t="shared" si="13"/>
        <v>340.69377406214494</v>
      </c>
      <c r="Q60" s="190">
        <f t="shared" si="14"/>
        <v>42.478200000000001</v>
      </c>
      <c r="R60" s="191">
        <f t="shared" si="15"/>
        <v>349.86190681132672</v>
      </c>
      <c r="S60" s="190">
        <f t="shared" si="16"/>
        <v>34.141599999999997</v>
      </c>
      <c r="T60" s="191">
        <f t="shared" si="17"/>
        <v>339.04976306247409</v>
      </c>
      <c r="W60" s="187">
        <v>12</v>
      </c>
      <c r="X60" s="190">
        <f t="shared" si="18"/>
        <v>84.450999999999993</v>
      </c>
      <c r="Y60" s="191">
        <f t="shared" si="19"/>
        <v>431.92149851792823</v>
      </c>
      <c r="Z60" s="190">
        <f t="shared" ref="Z60:Z118" si="30">6.9*W60-11.784</f>
        <v>71.016000000000005</v>
      </c>
      <c r="AA60" s="191">
        <f t="shared" ref="AA60:AA118" si="31">IF(Z60&gt;0,(((Z60*X$3*X$4) +EXP(-1.0587+(0.8836*LN(Z60*X$3*X$4))+0.284))*0.475+70+10)*(44/12),0)</f>
        <v>410.40073673950559</v>
      </c>
      <c r="AB60" s="190">
        <f t="shared" si="22"/>
        <v>61.521000000000008</v>
      </c>
      <c r="AC60" s="191">
        <f t="shared" si="23"/>
        <v>395.13356934453662</v>
      </c>
      <c r="AF60" s="187">
        <v>12</v>
      </c>
      <c r="AG60" s="190">
        <f t="shared" si="24"/>
        <v>47.145200000000003</v>
      </c>
      <c r="AH60" s="191">
        <f t="shared" si="25"/>
        <v>357.77705544225722</v>
      </c>
      <c r="AI60" s="190">
        <f t="shared" si="26"/>
        <v>35.842999999999996</v>
      </c>
      <c r="AJ60" s="191">
        <f t="shared" si="27"/>
        <v>342.70595311176049</v>
      </c>
      <c r="AK60" s="190">
        <f t="shared" si="28"/>
        <v>24.984399999999994</v>
      </c>
      <c r="AL60" s="191">
        <f t="shared" si="29"/>
        <v>328.10867964244744</v>
      </c>
    </row>
    <row r="61" spans="3:38" x14ac:dyDescent="0.25">
      <c r="C61" s="183"/>
      <c r="E61" s="187">
        <v>13</v>
      </c>
      <c r="F61" s="190">
        <f t="shared" si="6"/>
        <v>66.121400000000023</v>
      </c>
      <c r="G61" s="191">
        <f t="shared" si="7"/>
        <v>382.88530082452752</v>
      </c>
      <c r="H61" s="190">
        <f t="shared" si="8"/>
        <v>70.658900000000003</v>
      </c>
      <c r="I61" s="191">
        <f t="shared" si="9"/>
        <v>388.86057757775552</v>
      </c>
      <c r="J61" s="190">
        <f t="shared" si="10"/>
        <v>68.897899999999993</v>
      </c>
      <c r="K61" s="191">
        <f t="shared" si="11"/>
        <v>386.54272037144943</v>
      </c>
      <c r="N61" s="187">
        <v>13</v>
      </c>
      <c r="O61" s="190">
        <f t="shared" si="12"/>
        <v>37.926200000000001</v>
      </c>
      <c r="P61" s="191">
        <f t="shared" si="13"/>
        <v>343.96574515671574</v>
      </c>
      <c r="Q61" s="190">
        <f t="shared" si="14"/>
        <v>44.284300000000002</v>
      </c>
      <c r="R61" s="191">
        <f t="shared" si="15"/>
        <v>352.19675828696842</v>
      </c>
      <c r="S61" s="190">
        <f t="shared" si="16"/>
        <v>35.561399999999999</v>
      </c>
      <c r="T61" s="191">
        <f t="shared" si="17"/>
        <v>340.89557771450797</v>
      </c>
      <c r="W61" s="187">
        <v>13</v>
      </c>
      <c r="X61" s="190">
        <f t="shared" si="18"/>
        <v>92.378999999999991</v>
      </c>
      <c r="Y61" s="191">
        <f t="shared" si="19"/>
        <v>444.58229910117706</v>
      </c>
      <c r="Z61" s="190">
        <f t="shared" si="30"/>
        <v>77.915999999999997</v>
      </c>
      <c r="AA61" s="191">
        <f t="shared" si="31"/>
        <v>421.46442601298247</v>
      </c>
      <c r="AB61" s="190">
        <f t="shared" si="22"/>
        <v>67.212900000000005</v>
      </c>
      <c r="AC61" s="191">
        <f t="shared" si="23"/>
        <v>404.2919332392583</v>
      </c>
      <c r="AF61" s="187">
        <v>13</v>
      </c>
      <c r="AG61" s="190">
        <f t="shared" si="24"/>
        <v>55.250399999999999</v>
      </c>
      <c r="AH61" s="191">
        <f t="shared" si="25"/>
        <v>368.52726715514029</v>
      </c>
      <c r="AI61" s="190">
        <f t="shared" si="26"/>
        <v>43.418299999999995</v>
      </c>
      <c r="AJ61" s="191">
        <f t="shared" si="27"/>
        <v>352.81876296895837</v>
      </c>
      <c r="AK61" s="190">
        <f t="shared" si="28"/>
        <v>31.55449999999999</v>
      </c>
      <c r="AL61" s="191">
        <f t="shared" si="29"/>
        <v>336.95709224224885</v>
      </c>
    </row>
    <row r="62" spans="3:38" x14ac:dyDescent="0.25">
      <c r="C62" s="183"/>
      <c r="E62" s="187">
        <v>14</v>
      </c>
      <c r="F62" s="190">
        <f t="shared" si="6"/>
        <v>75.006400000000014</v>
      </c>
      <c r="G62" s="191">
        <f t="shared" si="7"/>
        <v>394.5769071123791</v>
      </c>
      <c r="H62" s="190">
        <f t="shared" si="8"/>
        <v>74.271199999999993</v>
      </c>
      <c r="I62" s="191">
        <f t="shared" si="9"/>
        <v>393.61080209927906</v>
      </c>
      <c r="J62" s="190">
        <f t="shared" si="10"/>
        <v>69.6952</v>
      </c>
      <c r="K62" s="191">
        <f t="shared" si="11"/>
        <v>387.59231589235691</v>
      </c>
      <c r="N62" s="187">
        <v>14</v>
      </c>
      <c r="O62" s="190">
        <f t="shared" si="12"/>
        <v>40.446300000000001</v>
      </c>
      <c r="P62" s="191">
        <f t="shared" si="13"/>
        <v>347.23211639927695</v>
      </c>
      <c r="Q62" s="190">
        <f t="shared" si="14"/>
        <v>46.090400000000002</v>
      </c>
      <c r="R62" s="191">
        <f t="shared" si="15"/>
        <v>354.52919183437848</v>
      </c>
      <c r="S62" s="190">
        <f t="shared" si="16"/>
        <v>36.981200000000001</v>
      </c>
      <c r="T62" s="191">
        <f t="shared" si="17"/>
        <v>342.73948353017198</v>
      </c>
      <c r="W62" s="187">
        <v>14</v>
      </c>
      <c r="X62" s="190">
        <f t="shared" si="18"/>
        <v>100.307</v>
      </c>
      <c r="Y62" s="191">
        <f t="shared" si="19"/>
        <v>457.21785156796506</v>
      </c>
      <c r="Z62" s="190">
        <f t="shared" si="30"/>
        <v>84.816000000000003</v>
      </c>
      <c r="AA62" s="191">
        <f t="shared" si="31"/>
        <v>432.50498426100347</v>
      </c>
      <c r="AB62" s="190">
        <f t="shared" si="22"/>
        <v>72.904799999999994</v>
      </c>
      <c r="AC62" s="191">
        <f t="shared" si="23"/>
        <v>413.43173630158276</v>
      </c>
      <c r="AF62" s="187">
        <v>14</v>
      </c>
      <c r="AG62" s="190">
        <f t="shared" si="24"/>
        <v>63.5428</v>
      </c>
      <c r="AH62" s="191">
        <f t="shared" si="25"/>
        <v>379.48521327024861</v>
      </c>
      <c r="AI62" s="190">
        <f t="shared" si="26"/>
        <v>51.014000000000003</v>
      </c>
      <c r="AJ62" s="191">
        <f t="shared" si="27"/>
        <v>362.9137004155603</v>
      </c>
      <c r="AK62" s="190">
        <f t="shared" si="28"/>
        <v>38.087600000000009</v>
      </c>
      <c r="AL62" s="191">
        <f t="shared" si="29"/>
        <v>345.70767152554811</v>
      </c>
    </row>
    <row r="63" spans="3:38" x14ac:dyDescent="0.25">
      <c r="C63" s="183"/>
      <c r="E63" s="187">
        <v>15</v>
      </c>
      <c r="F63" s="190">
        <f t="shared" si="6"/>
        <v>83.77000000000001</v>
      </c>
      <c r="G63" s="191">
        <f t="shared" si="7"/>
        <v>406.0759653601234</v>
      </c>
      <c r="H63" s="190">
        <f t="shared" si="8"/>
        <v>78.086500000000001</v>
      </c>
      <c r="I63" s="191">
        <f t="shared" si="9"/>
        <v>398.62192166124555</v>
      </c>
      <c r="J63" s="190">
        <f t="shared" si="10"/>
        <v>70.791499999999985</v>
      </c>
      <c r="K63" s="191">
        <f t="shared" si="11"/>
        <v>389.03505065905028</v>
      </c>
      <c r="N63" s="187">
        <v>15</v>
      </c>
      <c r="O63" s="190">
        <f t="shared" si="12"/>
        <v>42.9664</v>
      </c>
      <c r="P63" s="191">
        <f t="shared" si="13"/>
        <v>350.49327642409219</v>
      </c>
      <c r="Q63" s="190">
        <f t="shared" si="14"/>
        <v>47.896500000000003</v>
      </c>
      <c r="R63" s="191">
        <f t="shared" si="15"/>
        <v>356.85931304553594</v>
      </c>
      <c r="S63" s="190">
        <f t="shared" si="16"/>
        <v>38.400999999999996</v>
      </c>
      <c r="T63" s="191">
        <f t="shared" si="17"/>
        <v>344.5815621831145</v>
      </c>
      <c r="W63" s="187">
        <v>15</v>
      </c>
      <c r="X63" s="190">
        <f t="shared" si="18"/>
        <v>108.235</v>
      </c>
      <c r="Y63" s="191">
        <f t="shared" si="19"/>
        <v>469.83037834128163</v>
      </c>
      <c r="Z63" s="190">
        <f t="shared" si="30"/>
        <v>91.715999999999994</v>
      </c>
      <c r="AA63" s="191">
        <f t="shared" si="31"/>
        <v>443.52450719000973</v>
      </c>
      <c r="AB63" s="190">
        <f t="shared" si="22"/>
        <v>78.596699999999998</v>
      </c>
      <c r="AC63" s="191">
        <f t="shared" si="23"/>
        <v>422.55459238794907</v>
      </c>
      <c r="AF63" s="187">
        <v>15</v>
      </c>
      <c r="AG63" s="190">
        <f t="shared" si="24"/>
        <v>72.00800000000001</v>
      </c>
      <c r="AH63" s="191">
        <f t="shared" si="25"/>
        <v>390.63533509065593</v>
      </c>
      <c r="AI63" s="190">
        <f t="shared" si="26"/>
        <v>58.6235</v>
      </c>
      <c r="AJ63" s="191">
        <f t="shared" si="27"/>
        <v>372.98920896677259</v>
      </c>
      <c r="AK63" s="190">
        <f t="shared" si="28"/>
        <v>44.57950000000001</v>
      </c>
      <c r="AL63" s="191">
        <f t="shared" si="29"/>
        <v>354.36474414727792</v>
      </c>
    </row>
    <row r="64" spans="3:38" x14ac:dyDescent="0.25">
      <c r="C64" s="183"/>
      <c r="E64" s="187">
        <v>16</v>
      </c>
      <c r="F64" s="190">
        <f t="shared" si="6"/>
        <v>92.420000000000016</v>
      </c>
      <c r="G64" s="191">
        <f t="shared" si="7"/>
        <v>417.39774803585919</v>
      </c>
      <c r="H64" s="190">
        <f t="shared" si="8"/>
        <v>82.1</v>
      </c>
      <c r="I64" s="191">
        <f t="shared" si="9"/>
        <v>403.88701594732765</v>
      </c>
      <c r="J64" s="190">
        <f t="shared" si="10"/>
        <v>72.179000000000002</v>
      </c>
      <c r="K64" s="191">
        <f t="shared" si="11"/>
        <v>390.86022982242326</v>
      </c>
      <c r="N64" s="187">
        <v>16</v>
      </c>
      <c r="O64" s="190">
        <f t="shared" si="12"/>
        <v>45.486499999999999</v>
      </c>
      <c r="P64" s="191">
        <f t="shared" si="13"/>
        <v>353.74956570113204</v>
      </c>
      <c r="Q64" s="190">
        <f t="shared" si="14"/>
        <v>49.702600000000004</v>
      </c>
      <c r="R64" s="191">
        <f t="shared" si="15"/>
        <v>359.1872190979168</v>
      </c>
      <c r="S64" s="190">
        <f t="shared" si="16"/>
        <v>39.820799999999998</v>
      </c>
      <c r="T64" s="191">
        <f t="shared" si="17"/>
        <v>346.42188896534412</v>
      </c>
      <c r="W64" s="187">
        <v>16</v>
      </c>
      <c r="X64" s="190">
        <f t="shared" si="18"/>
        <v>116.163</v>
      </c>
      <c r="Y64" s="191">
        <f t="shared" si="19"/>
        <v>482.42175780543795</v>
      </c>
      <c r="Z64" s="190">
        <f t="shared" si="30"/>
        <v>98.616</v>
      </c>
      <c r="AA64" s="191">
        <f t="shared" si="31"/>
        <v>454.52475727945927</v>
      </c>
      <c r="AB64" s="190">
        <f t="shared" si="22"/>
        <v>84.288600000000002</v>
      </c>
      <c r="AC64" s="191">
        <f t="shared" si="23"/>
        <v>431.66186835629884</v>
      </c>
      <c r="AF64" s="187">
        <v>16</v>
      </c>
      <c r="AG64" s="190">
        <f t="shared" si="24"/>
        <v>80.631599999999992</v>
      </c>
      <c r="AH64" s="191">
        <f t="shared" si="25"/>
        <v>401.96143352233935</v>
      </c>
      <c r="AI64" s="190">
        <f t="shared" si="26"/>
        <v>66.240199999999987</v>
      </c>
      <c r="AJ64" s="191">
        <f t="shared" si="27"/>
        <v>383.04186892689825</v>
      </c>
      <c r="AK64" s="190">
        <f t="shared" si="28"/>
        <v>51.025999999999996</v>
      </c>
      <c r="AL64" s="191">
        <f t="shared" si="29"/>
        <v>362.92961735683758</v>
      </c>
    </row>
    <row r="65" spans="3:38" x14ac:dyDescent="0.25">
      <c r="C65" s="183"/>
      <c r="E65" s="187">
        <v>17</v>
      </c>
      <c r="F65" s="190">
        <f t="shared" si="6"/>
        <v>100.96420000000003</v>
      </c>
      <c r="G65" s="191">
        <f t="shared" si="7"/>
        <v>428.5564031469155</v>
      </c>
      <c r="H65" s="190">
        <f t="shared" si="8"/>
        <v>86.306900000000013</v>
      </c>
      <c r="I65" s="191">
        <f t="shared" si="9"/>
        <v>409.39921577901811</v>
      </c>
      <c r="J65" s="190">
        <f t="shared" si="10"/>
        <v>73.849899999999991</v>
      </c>
      <c r="K65" s="191">
        <f t="shared" si="11"/>
        <v>393.05708001935648</v>
      </c>
      <c r="N65" s="187">
        <v>17</v>
      </c>
      <c r="O65" s="190">
        <f t="shared" si="12"/>
        <v>48.006599999999999</v>
      </c>
      <c r="P65" s="191">
        <f t="shared" si="13"/>
        <v>357.00128484334766</v>
      </c>
      <c r="Q65" s="190">
        <f t="shared" si="14"/>
        <v>51.508700000000005</v>
      </c>
      <c r="R65" s="191">
        <f t="shared" si="15"/>
        <v>361.51299970623575</v>
      </c>
      <c r="S65" s="190">
        <f t="shared" si="16"/>
        <v>41.240600000000001</v>
      </c>
      <c r="T65" s="191">
        <f t="shared" si="17"/>
        <v>348.26053349546794</v>
      </c>
      <c r="W65" s="187">
        <v>17</v>
      </c>
      <c r="X65" s="190">
        <f t="shared" si="18"/>
        <v>124.09100000000001</v>
      </c>
      <c r="Y65" s="191">
        <f t="shared" si="19"/>
        <v>494.99359743702564</v>
      </c>
      <c r="Z65" s="190">
        <f t="shared" si="30"/>
        <v>105.51600000000001</v>
      </c>
      <c r="AA65" s="191">
        <f t="shared" si="31"/>
        <v>465.50723640527406</v>
      </c>
      <c r="AB65" s="190">
        <f t="shared" si="22"/>
        <v>89.980500000000006</v>
      </c>
      <c r="AC65" s="191">
        <f t="shared" si="23"/>
        <v>440.754736013762</v>
      </c>
      <c r="AF65" s="187">
        <v>17</v>
      </c>
      <c r="AG65" s="190">
        <f t="shared" si="24"/>
        <v>89.399199999999993</v>
      </c>
      <c r="AH65" s="191">
        <f t="shared" si="25"/>
        <v>413.44688197425631</v>
      </c>
      <c r="AI65" s="190">
        <f t="shared" si="26"/>
        <v>73.857499999999987</v>
      </c>
      <c r="AJ65" s="191">
        <f t="shared" si="27"/>
        <v>393.06706950919312</v>
      </c>
      <c r="AK65" s="190">
        <f t="shared" si="28"/>
        <v>57.422899999999998</v>
      </c>
      <c r="AL65" s="191">
        <f t="shared" si="29"/>
        <v>371.40180115537163</v>
      </c>
    </row>
    <row r="66" spans="3:38" x14ac:dyDescent="0.25">
      <c r="C66" s="183"/>
      <c r="E66" s="187">
        <v>18</v>
      </c>
      <c r="F66" s="190">
        <f t="shared" si="6"/>
        <v>109.41040000000004</v>
      </c>
      <c r="G66" s="191">
        <f t="shared" si="7"/>
        <v>439.56526558169116</v>
      </c>
      <c r="H66" s="190">
        <f t="shared" si="8"/>
        <v>90.702400000000011</v>
      </c>
      <c r="I66" s="191">
        <f t="shared" si="9"/>
        <v>415.15170280117883</v>
      </c>
      <c r="J66" s="190">
        <f t="shared" si="10"/>
        <v>75.796400000000006</v>
      </c>
      <c r="K66" s="191">
        <f t="shared" si="11"/>
        <v>395.6147686082515</v>
      </c>
      <c r="N66" s="187">
        <v>18</v>
      </c>
      <c r="O66" s="190">
        <f t="shared" si="12"/>
        <v>50.526699999999998</v>
      </c>
      <c r="P66" s="191">
        <f t="shared" si="13"/>
        <v>360.24870111983586</v>
      </c>
      <c r="Q66" s="190">
        <f t="shared" si="14"/>
        <v>53.314799999999998</v>
      </c>
      <c r="R66" s="191">
        <f t="shared" si="15"/>
        <v>363.83673793694987</v>
      </c>
      <c r="S66" s="190">
        <f t="shared" si="16"/>
        <v>42.660399999999996</v>
      </c>
      <c r="T66" s="191">
        <f t="shared" si="17"/>
        <v>350.09756032665933</v>
      </c>
      <c r="W66" s="187">
        <v>18</v>
      </c>
      <c r="X66" s="190">
        <f t="shared" si="18"/>
        <v>132.01900000000001</v>
      </c>
      <c r="Y66" s="191">
        <f t="shared" si="19"/>
        <v>507.54728770139275</v>
      </c>
      <c r="Z66" s="190">
        <f t="shared" si="30"/>
        <v>112.416</v>
      </c>
      <c r="AA66" s="191">
        <f t="shared" si="31"/>
        <v>476.47323891037342</v>
      </c>
      <c r="AB66" s="190">
        <f t="shared" si="22"/>
        <v>95.67240000000001</v>
      </c>
      <c r="AC66" s="191">
        <f t="shared" si="23"/>
        <v>449.83421053702955</v>
      </c>
      <c r="AF66" s="187">
        <v>18</v>
      </c>
      <c r="AG66" s="190">
        <f t="shared" si="24"/>
        <v>98.296400000000006</v>
      </c>
      <c r="AH66" s="191">
        <f t="shared" si="25"/>
        <v>425.07475943846543</v>
      </c>
      <c r="AI66" s="190">
        <f t="shared" si="26"/>
        <v>81.468799999999987</v>
      </c>
      <c r="AJ66" s="191">
        <f t="shared" si="27"/>
        <v>403.05939545624301</v>
      </c>
      <c r="AK66" s="190">
        <f t="shared" si="28"/>
        <v>63.765999999999991</v>
      </c>
      <c r="AL66" s="191">
        <f t="shared" si="29"/>
        <v>379.77965165556611</v>
      </c>
    </row>
    <row r="67" spans="3:38" x14ac:dyDescent="0.25">
      <c r="C67" s="183"/>
      <c r="E67" s="187">
        <v>19</v>
      </c>
      <c r="F67" s="190">
        <f t="shared" si="6"/>
        <v>117.7664</v>
      </c>
      <c r="G67" s="191">
        <f t="shared" si="7"/>
        <v>450.43706254939758</v>
      </c>
      <c r="H67" s="190">
        <f t="shared" si="8"/>
        <v>95.281700000000001</v>
      </c>
      <c r="I67" s="191">
        <f t="shared" si="9"/>
        <v>421.13770850903029</v>
      </c>
      <c r="J67" s="190">
        <f t="shared" si="10"/>
        <v>78.010699999999986</v>
      </c>
      <c r="K67" s="191">
        <f t="shared" si="11"/>
        <v>398.52242223436934</v>
      </c>
      <c r="N67" s="187">
        <v>19</v>
      </c>
      <c r="O67" s="190">
        <f t="shared" si="12"/>
        <v>53.046799999999998</v>
      </c>
      <c r="P67" s="191">
        <f t="shared" si="13"/>
        <v>363.49205363266452</v>
      </c>
      <c r="Q67" s="190">
        <f t="shared" si="14"/>
        <v>55.120899999999999</v>
      </c>
      <c r="R67" s="191">
        <f t="shared" si="15"/>
        <v>366.15851090929232</v>
      </c>
      <c r="S67" s="190">
        <f t="shared" si="16"/>
        <v>44.080199999999998</v>
      </c>
      <c r="T67" s="191">
        <f t="shared" si="17"/>
        <v>351.93302947141581</v>
      </c>
      <c r="W67" s="187">
        <v>19</v>
      </c>
      <c r="X67" s="190">
        <f t="shared" si="18"/>
        <v>139.947</v>
      </c>
      <c r="Y67" s="191">
        <f t="shared" si="19"/>
        <v>520.08404262824763</v>
      </c>
      <c r="Z67" s="190">
        <f t="shared" si="30"/>
        <v>119.31599999999999</v>
      </c>
      <c r="AA67" s="191">
        <f t="shared" si="31"/>
        <v>487.42389126745491</v>
      </c>
      <c r="AB67" s="190">
        <f t="shared" si="22"/>
        <v>101.3643</v>
      </c>
      <c r="AC67" s="191">
        <f t="shared" si="23"/>
        <v>458.90117948547942</v>
      </c>
      <c r="AF67" s="187">
        <v>19</v>
      </c>
      <c r="AG67" s="190">
        <f t="shared" si="24"/>
        <v>107.30879999999999</v>
      </c>
      <c r="AH67" s="191">
        <f t="shared" si="25"/>
        <v>436.8279372338169</v>
      </c>
      <c r="AI67" s="190">
        <f t="shared" si="26"/>
        <v>89.067499999999995</v>
      </c>
      <c r="AJ67" s="191">
        <f t="shared" si="27"/>
        <v>413.01286465748353</v>
      </c>
      <c r="AK67" s="190">
        <f t="shared" si="28"/>
        <v>70.051100000000005</v>
      </c>
      <c r="AL67" s="191">
        <f t="shared" si="29"/>
        <v>388.06074157042428</v>
      </c>
    </row>
    <row r="68" spans="3:38" x14ac:dyDescent="0.25">
      <c r="C68" s="183"/>
      <c r="E68" s="187">
        <v>20</v>
      </c>
      <c r="F68" s="190">
        <f t="shared" si="6"/>
        <v>126.04000000000002</v>
      </c>
      <c r="G68" s="191">
        <f t="shared" si="7"/>
        <v>461.18405465986012</v>
      </c>
      <c r="H68" s="190">
        <f t="shared" si="8"/>
        <v>100.03999999999999</v>
      </c>
      <c r="I68" s="191">
        <f t="shared" si="9"/>
        <v>427.35051280058565</v>
      </c>
      <c r="J68" s="190">
        <f t="shared" si="10"/>
        <v>80.484999999999999</v>
      </c>
      <c r="K68" s="191">
        <f t="shared" si="11"/>
        <v>401.76914412132572</v>
      </c>
      <c r="N68" s="187">
        <v>20</v>
      </c>
      <c r="O68" s="190">
        <f t="shared" si="12"/>
        <v>55.566899999999997</v>
      </c>
      <c r="P68" s="191">
        <f t="shared" si="13"/>
        <v>366.73155748208507</v>
      </c>
      <c r="Q68" s="190">
        <f t="shared" si="14"/>
        <v>56.927</v>
      </c>
      <c r="R68" s="191">
        <f t="shared" si="15"/>
        <v>368.47839040184476</v>
      </c>
      <c r="S68" s="190">
        <f t="shared" si="16"/>
        <v>45.5</v>
      </c>
      <c r="T68" s="191">
        <f t="shared" si="17"/>
        <v>353.76699685680904</v>
      </c>
      <c r="W68" s="187">
        <v>20</v>
      </c>
      <c r="X68" s="190">
        <f t="shared" si="18"/>
        <v>147.875</v>
      </c>
      <c r="Y68" s="191">
        <f t="shared" si="19"/>
        <v>532.60493092869729</v>
      </c>
      <c r="Z68" s="190">
        <f t="shared" si="30"/>
        <v>126.21599999999999</v>
      </c>
      <c r="AA68" s="191">
        <f t="shared" si="31"/>
        <v>498.36018230286521</v>
      </c>
      <c r="AB68" s="190">
        <f t="shared" si="22"/>
        <v>107.0562</v>
      </c>
      <c r="AC68" s="191">
        <f t="shared" si="23"/>
        <v>467.956425110586</v>
      </c>
      <c r="AF68" s="187">
        <v>20</v>
      </c>
      <c r="AG68" s="190">
        <f t="shared" si="24"/>
        <v>116.42199999999997</v>
      </c>
      <c r="AH68" s="191">
        <f t="shared" si="25"/>
        <v>448.68913746874262</v>
      </c>
      <c r="AI68" s="190">
        <f t="shared" si="26"/>
        <v>96.646999999999991</v>
      </c>
      <c r="AJ68" s="191">
        <f t="shared" si="27"/>
        <v>422.9210818947696</v>
      </c>
      <c r="AK68" s="190">
        <f t="shared" si="28"/>
        <v>76.273999999999972</v>
      </c>
      <c r="AL68" s="191">
        <f t="shared" si="29"/>
        <v>396.24208833272849</v>
      </c>
    </row>
    <row r="69" spans="3:38" x14ac:dyDescent="0.25">
      <c r="C69" s="183"/>
      <c r="E69" s="187">
        <v>21</v>
      </c>
      <c r="F69" s="190">
        <f t="shared" si="6"/>
        <v>134.23900000000003</v>
      </c>
      <c r="G69" s="191">
        <f t="shared" si="7"/>
        <v>471.81813604148135</v>
      </c>
      <c r="H69" s="190">
        <f t="shared" si="8"/>
        <v>104.9725</v>
      </c>
      <c r="I69" s="191">
        <f t="shared" si="9"/>
        <v>433.78344220267928</v>
      </c>
      <c r="J69" s="190">
        <f t="shared" si="10"/>
        <v>83.211500000000001</v>
      </c>
      <c r="K69" s="191">
        <f t="shared" si="11"/>
        <v>405.3440296597152</v>
      </c>
      <c r="N69" s="187">
        <v>21</v>
      </c>
      <c r="O69" s="190">
        <f t="shared" si="12"/>
        <v>58.086999999999996</v>
      </c>
      <c r="P69" s="191">
        <f t="shared" si="13"/>
        <v>369.96740715477597</v>
      </c>
      <c r="Q69" s="190">
        <f t="shared" si="14"/>
        <v>58.7331</v>
      </c>
      <c r="R69" s="191">
        <f t="shared" si="15"/>
        <v>370.79644337996911</v>
      </c>
      <c r="S69" s="190">
        <f t="shared" si="16"/>
        <v>46.919799999999995</v>
      </c>
      <c r="T69" s="191">
        <f t="shared" si="17"/>
        <v>355.5995147213153</v>
      </c>
      <c r="W69" s="187">
        <v>21</v>
      </c>
      <c r="X69" s="190">
        <f t="shared" si="18"/>
        <v>155.803</v>
      </c>
      <c r="Y69" s="191">
        <f t="shared" si="19"/>
        <v>545.11090024852115</v>
      </c>
      <c r="Z69" s="190">
        <f t="shared" si="30"/>
        <v>133.11600000000001</v>
      </c>
      <c r="AA69" s="191">
        <f t="shared" si="31"/>
        <v>509.28298662215377</v>
      </c>
      <c r="AB69" s="190">
        <f t="shared" si="22"/>
        <v>112.74810000000001</v>
      </c>
      <c r="AC69" s="191">
        <f t="shared" si="23"/>
        <v>477.00064178532887</v>
      </c>
      <c r="AF69" s="187">
        <v>21</v>
      </c>
      <c r="AG69" s="190">
        <f t="shared" si="24"/>
        <v>125.6216</v>
      </c>
      <c r="AH69" s="191">
        <f t="shared" si="25"/>
        <v>460.64097352231596</v>
      </c>
      <c r="AI69" s="190">
        <f t="shared" si="26"/>
        <v>104.20069999999998</v>
      </c>
      <c r="AJ69" s="191">
        <f t="shared" si="27"/>
        <v>432.77734249601957</v>
      </c>
      <c r="AK69" s="190">
        <f t="shared" si="28"/>
        <v>82.430499999999995</v>
      </c>
      <c r="AL69" s="191">
        <f t="shared" si="29"/>
        <v>404.32030204494794</v>
      </c>
    </row>
    <row r="70" spans="3:38" x14ac:dyDescent="0.25">
      <c r="C70" s="183"/>
      <c r="E70" s="187">
        <v>22</v>
      </c>
      <c r="F70" s="190">
        <f t="shared" si="6"/>
        <v>142.37120000000002</v>
      </c>
      <c r="G70" s="191">
        <f t="shared" si="7"/>
        <v>482.35090737210146</v>
      </c>
      <c r="H70" s="190">
        <f t="shared" si="8"/>
        <v>110.0744</v>
      </c>
      <c r="I70" s="191">
        <f t="shared" si="9"/>
        <v>440.42986788743775</v>
      </c>
      <c r="J70" s="190">
        <f t="shared" si="10"/>
        <v>86.182400000000001</v>
      </c>
      <c r="K70" s="191">
        <f t="shared" si="11"/>
        <v>409.23618003473632</v>
      </c>
      <c r="N70" s="187">
        <v>22</v>
      </c>
      <c r="O70" s="190">
        <f t="shared" si="12"/>
        <v>60.607099999999996</v>
      </c>
      <c r="P70" s="191">
        <f t="shared" si="13"/>
        <v>373.19977930750105</v>
      </c>
      <c r="Q70" s="190">
        <f t="shared" si="14"/>
        <v>60.539200000000001</v>
      </c>
      <c r="R70" s="191">
        <f t="shared" si="15"/>
        <v>373.11273245654081</v>
      </c>
      <c r="S70" s="190">
        <f t="shared" si="16"/>
        <v>48.339599999999997</v>
      </c>
      <c r="T70" s="191">
        <f t="shared" si="17"/>
        <v>357.43063196226376</v>
      </c>
      <c r="W70" s="187">
        <v>22</v>
      </c>
      <c r="X70" s="190">
        <f t="shared" si="18"/>
        <v>163.73099999999999</v>
      </c>
      <c r="Y70" s="191">
        <f t="shared" si="19"/>
        <v>557.60279634449978</v>
      </c>
      <c r="Z70" s="190">
        <f t="shared" si="30"/>
        <v>140.01600000000002</v>
      </c>
      <c r="AA70" s="191">
        <f t="shared" si="31"/>
        <v>520.19308304023093</v>
      </c>
      <c r="AB70" s="190">
        <f t="shared" si="22"/>
        <v>118.44</v>
      </c>
      <c r="AC70" s="191">
        <f t="shared" si="23"/>
        <v>486.03444981393648</v>
      </c>
      <c r="AF70" s="187">
        <v>22</v>
      </c>
      <c r="AG70" s="190">
        <f t="shared" si="24"/>
        <v>134.89319999999998</v>
      </c>
      <c r="AH70" s="191">
        <f t="shared" si="25"/>
        <v>472.66597869624138</v>
      </c>
      <c r="AI70" s="190">
        <f t="shared" si="26"/>
        <v>111.72199999999998</v>
      </c>
      <c r="AJ70" s="191">
        <f t="shared" si="27"/>
        <v>442.57470460740984</v>
      </c>
      <c r="AK70" s="190">
        <f t="shared" si="28"/>
        <v>88.516400000000004</v>
      </c>
      <c r="AL70" s="191">
        <f t="shared" si="29"/>
        <v>412.29168550592414</v>
      </c>
    </row>
    <row r="71" spans="3:38" x14ac:dyDescent="0.25">
      <c r="C71" s="183"/>
      <c r="E71" s="187">
        <v>23</v>
      </c>
      <c r="F71" s="190">
        <f t="shared" si="6"/>
        <v>150.4444</v>
      </c>
      <c r="G71" s="191">
        <f t="shared" si="7"/>
        <v>492.79373041037269</v>
      </c>
      <c r="H71" s="190">
        <f t="shared" si="8"/>
        <v>115.3409</v>
      </c>
      <c r="I71" s="191">
        <f t="shared" si="9"/>
        <v>447.28320356956863</v>
      </c>
      <c r="J71" s="190">
        <f t="shared" si="10"/>
        <v>89.389900000000011</v>
      </c>
      <c r="K71" s="191">
        <f t="shared" si="11"/>
        <v>413.43471378613367</v>
      </c>
      <c r="N71" s="187">
        <v>23</v>
      </c>
      <c r="O71" s="190">
        <f t="shared" si="12"/>
        <v>63.127199999999995</v>
      </c>
      <c r="P71" s="191">
        <f t="shared" si="13"/>
        <v>376.42883507473391</v>
      </c>
      <c r="Q71" s="190">
        <f t="shared" si="14"/>
        <v>62.345300000000002</v>
      </c>
      <c r="R71" s="191">
        <f t="shared" si="15"/>
        <v>375.42731629615599</v>
      </c>
      <c r="S71" s="190">
        <f t="shared" si="16"/>
        <v>49.759399999999999</v>
      </c>
      <c r="T71" s="191">
        <f t="shared" si="17"/>
        <v>359.260394441318</v>
      </c>
      <c r="W71" s="187">
        <v>23</v>
      </c>
      <c r="X71" s="190">
        <f t="shared" si="18"/>
        <v>171.65899999999999</v>
      </c>
      <c r="Y71" s="191">
        <f t="shared" si="19"/>
        <v>570.08137844126713</v>
      </c>
      <c r="Z71" s="190">
        <f t="shared" si="30"/>
        <v>146.91600000000003</v>
      </c>
      <c r="AA71" s="191">
        <f t="shared" si="31"/>
        <v>531.09116927542152</v>
      </c>
      <c r="AB71" s="190">
        <f t="shared" si="22"/>
        <v>124.1319</v>
      </c>
      <c r="AC71" s="191">
        <f t="shared" si="23"/>
        <v>495.05840651174367</v>
      </c>
      <c r="AF71" s="187">
        <v>23</v>
      </c>
      <c r="AG71" s="190">
        <f t="shared" si="24"/>
        <v>144.22239999999999</v>
      </c>
      <c r="AH71" s="191">
        <f t="shared" si="25"/>
        <v>484.74662685825672</v>
      </c>
      <c r="AI71" s="190">
        <f t="shared" si="26"/>
        <v>119.20429999999999</v>
      </c>
      <c r="AJ71" s="191">
        <f t="shared" si="27"/>
        <v>452.30604101525307</v>
      </c>
      <c r="AK71" s="190">
        <f t="shared" si="28"/>
        <v>94.527499999999975</v>
      </c>
      <c r="AL71" s="191">
        <f t="shared" si="29"/>
        <v>420.15230417684728</v>
      </c>
    </row>
    <row r="72" spans="3:38" x14ac:dyDescent="0.25">
      <c r="C72" s="183"/>
      <c r="E72" s="187">
        <v>24</v>
      </c>
      <c r="F72" s="190">
        <f t="shared" si="6"/>
        <v>158.46640000000005</v>
      </c>
      <c r="G72" s="191">
        <f t="shared" si="7"/>
        <v>503.15776953910927</v>
      </c>
      <c r="H72" s="190">
        <f t="shared" si="8"/>
        <v>120.7672</v>
      </c>
      <c r="I72" s="191">
        <f t="shared" si="9"/>
        <v>454.33690335298655</v>
      </c>
      <c r="J72" s="190">
        <f t="shared" si="10"/>
        <v>92.8262</v>
      </c>
      <c r="K72" s="191">
        <f t="shared" si="11"/>
        <v>417.92877631669933</v>
      </c>
      <c r="N72" s="187">
        <v>24</v>
      </c>
      <c r="O72" s="190">
        <f t="shared" si="12"/>
        <v>65.647300000000001</v>
      </c>
      <c r="P72" s="191">
        <f t="shared" si="13"/>
        <v>379.65472199742021</v>
      </c>
      <c r="Q72" s="190">
        <f t="shared" si="14"/>
        <v>64.151399999999995</v>
      </c>
      <c r="R72" s="191">
        <f t="shared" si="15"/>
        <v>377.74024997118312</v>
      </c>
      <c r="S72" s="190">
        <f t="shared" si="16"/>
        <v>51.179199999999994</v>
      </c>
      <c r="T72" s="191">
        <f t="shared" si="17"/>
        <v>361.08884525411105</v>
      </c>
      <c r="W72" s="187">
        <v>24</v>
      </c>
      <c r="X72" s="190">
        <f t="shared" si="18"/>
        <v>179.58699999999999</v>
      </c>
      <c r="Y72" s="191">
        <f t="shared" si="19"/>
        <v>582.5473316709091</v>
      </c>
      <c r="Z72" s="190">
        <f t="shared" si="30"/>
        <v>153.81600000000003</v>
      </c>
      <c r="AA72" s="191">
        <f t="shared" si="31"/>
        <v>541.97787380490411</v>
      </c>
      <c r="AB72" s="190">
        <f t="shared" si="22"/>
        <v>129.82380000000001</v>
      </c>
      <c r="AC72" s="191">
        <f t="shared" si="23"/>
        <v>504.07301519537191</v>
      </c>
      <c r="AF72" s="187">
        <v>24</v>
      </c>
      <c r="AG72" s="190">
        <f t="shared" si="24"/>
        <v>153.59480000000002</v>
      </c>
      <c r="AH72" s="191">
        <f t="shared" si="25"/>
        <v>496.86534752845256</v>
      </c>
      <c r="AI72" s="190">
        <f t="shared" si="26"/>
        <v>126.64099999999999</v>
      </c>
      <c r="AJ72" s="191">
        <f t="shared" si="27"/>
        <v>461.96407719232076</v>
      </c>
      <c r="AK72" s="190">
        <f t="shared" si="28"/>
        <v>100.45959999999999</v>
      </c>
      <c r="AL72" s="191">
        <f t="shared" si="29"/>
        <v>427.89803652704319</v>
      </c>
    </row>
    <row r="73" spans="3:38" x14ac:dyDescent="0.25">
      <c r="C73" s="183"/>
      <c r="E73" s="187">
        <v>25</v>
      </c>
      <c r="F73" s="190">
        <f t="shared" si="6"/>
        <v>166.44500000000002</v>
      </c>
      <c r="G73" s="191">
        <f t="shared" si="7"/>
        <v>513.45402396960947</v>
      </c>
      <c r="H73" s="190">
        <f t="shared" si="8"/>
        <v>126.3485</v>
      </c>
      <c r="I73" s="191">
        <f t="shared" si="9"/>
        <v>461.58445957762638</v>
      </c>
      <c r="J73" s="190">
        <f t="shared" si="10"/>
        <v>96.483499999999992</v>
      </c>
      <c r="K73" s="191">
        <f t="shared" si="11"/>
        <v>422.70754745684189</v>
      </c>
      <c r="N73" s="187">
        <v>25</v>
      </c>
      <c r="O73" s="190">
        <f t="shared" si="12"/>
        <v>68.167400000000001</v>
      </c>
      <c r="P73" s="191">
        <f t="shared" si="13"/>
        <v>382.87757564724012</v>
      </c>
      <c r="Q73" s="190">
        <f t="shared" si="14"/>
        <v>65.95750000000001</v>
      </c>
      <c r="R73" s="191">
        <f t="shared" si="15"/>
        <v>380.05158527659216</v>
      </c>
      <c r="S73" s="190">
        <f t="shared" si="16"/>
        <v>52.598999999999997</v>
      </c>
      <c r="T73" s="191">
        <f t="shared" si="17"/>
        <v>362.91602496911963</v>
      </c>
      <c r="W73" s="187">
        <v>25</v>
      </c>
      <c r="X73" s="190">
        <f t="shared" si="18"/>
        <v>187.51499999999999</v>
      </c>
      <c r="Y73" s="191">
        <f t="shared" si="19"/>
        <v>595.00127725392463</v>
      </c>
      <c r="Z73" s="190">
        <f t="shared" si="30"/>
        <v>160.71600000000001</v>
      </c>
      <c r="AA73" s="191">
        <f t="shared" si="31"/>
        <v>552.85376553276649</v>
      </c>
      <c r="AB73" s="190">
        <f t="shared" si="22"/>
        <v>135.51570000000001</v>
      </c>
      <c r="AC73" s="191">
        <f t="shared" si="23"/>
        <v>513.07873255177344</v>
      </c>
      <c r="AF73" s="187">
        <v>25</v>
      </c>
      <c r="AG73" s="190">
        <f t="shared" si="24"/>
        <v>162.99599999999998</v>
      </c>
      <c r="AH73" s="191">
        <f t="shared" si="25"/>
        <v>509.00453702656404</v>
      </c>
      <c r="AI73" s="190">
        <f t="shared" si="26"/>
        <v>134.02549999999999</v>
      </c>
      <c r="AJ73" s="191">
        <f t="shared" si="27"/>
        <v>471.54141979906478</v>
      </c>
      <c r="AK73" s="190">
        <f t="shared" si="28"/>
        <v>106.30850000000001</v>
      </c>
      <c r="AL73" s="191">
        <f t="shared" si="29"/>
        <v>435.52461113950983</v>
      </c>
    </row>
    <row r="74" spans="3:38" x14ac:dyDescent="0.25">
      <c r="C74" s="183"/>
      <c r="E74" s="187">
        <v>26</v>
      </c>
      <c r="F74" s="190">
        <f t="shared" si="6"/>
        <v>174.38800000000006</v>
      </c>
      <c r="G74" s="191">
        <f t="shared" si="7"/>
        <v>523.69335308901555</v>
      </c>
      <c r="H74" s="190">
        <f t="shared" si="8"/>
        <v>132.08000000000001</v>
      </c>
      <c r="I74" s="191">
        <f t="shared" si="9"/>
        <v>469.01940070323286</v>
      </c>
      <c r="J74" s="190">
        <f t="shared" si="10"/>
        <v>100.354</v>
      </c>
      <c r="K74" s="191">
        <f t="shared" si="11"/>
        <v>427.76024725360617</v>
      </c>
      <c r="N74" s="187">
        <v>26</v>
      </c>
      <c r="O74" s="190">
        <f t="shared" si="12"/>
        <v>70.6875</v>
      </c>
      <c r="P74" s="191">
        <f t="shared" si="13"/>
        <v>386.09752100392785</v>
      </c>
      <c r="Q74" s="190">
        <f t="shared" si="14"/>
        <v>67.763599999999997</v>
      </c>
      <c r="R74" s="191">
        <f t="shared" si="15"/>
        <v>382.36137100932916</v>
      </c>
      <c r="S74" s="190">
        <f t="shared" si="16"/>
        <v>54.018799999999999</v>
      </c>
      <c r="T74" s="191">
        <f t="shared" si="17"/>
        <v>364.74197184002088</v>
      </c>
      <c r="W74" s="187">
        <v>26</v>
      </c>
      <c r="X74" s="190">
        <f t="shared" si="18"/>
        <v>195.44299999999998</v>
      </c>
      <c r="Y74" s="191">
        <f t="shared" si="19"/>
        <v>607.44378090987243</v>
      </c>
      <c r="Z74" s="190">
        <f t="shared" si="30"/>
        <v>167.61600000000001</v>
      </c>
      <c r="AA74" s="191">
        <f t="shared" si="31"/>
        <v>563.71936175092515</v>
      </c>
      <c r="AB74" s="190">
        <f t="shared" si="22"/>
        <v>141.20760000000001</v>
      </c>
      <c r="AC74" s="191">
        <f t="shared" si="23"/>
        <v>522.07597473432907</v>
      </c>
      <c r="AF74" s="187">
        <v>26</v>
      </c>
      <c r="AG74" s="190">
        <f t="shared" si="24"/>
        <v>172.41159999999999</v>
      </c>
      <c r="AH74" s="191">
        <f t="shared" si="25"/>
        <v>521.14656677462347</v>
      </c>
      <c r="AI74" s="190">
        <f t="shared" si="26"/>
        <v>141.35120000000001</v>
      </c>
      <c r="AJ74" s="191">
        <f t="shared" si="27"/>
        <v>481.03057840780042</v>
      </c>
      <c r="AK74" s="190">
        <f t="shared" si="28"/>
        <v>112.07</v>
      </c>
      <c r="AL74" s="191">
        <f t="shared" si="29"/>
        <v>443.02763462375145</v>
      </c>
    </row>
    <row r="75" spans="3:38" x14ac:dyDescent="0.25">
      <c r="C75" s="183"/>
      <c r="E75" s="187">
        <v>27</v>
      </c>
      <c r="F75" s="190">
        <f t="shared" si="6"/>
        <v>182.30320000000003</v>
      </c>
      <c r="G75" s="191">
        <f t="shared" si="7"/>
        <v>533.8864966794979</v>
      </c>
      <c r="H75" s="190">
        <f t="shared" si="8"/>
        <v>137.95689999999999</v>
      </c>
      <c r="I75" s="191">
        <f t="shared" si="9"/>
        <v>476.63528925590919</v>
      </c>
      <c r="J75" s="190">
        <f t="shared" si="10"/>
        <v>104.42990000000002</v>
      </c>
      <c r="K75" s="191">
        <f t="shared" si="11"/>
        <v>433.07614018705442</v>
      </c>
      <c r="N75" s="187">
        <v>27</v>
      </c>
      <c r="O75" s="190">
        <f t="shared" si="12"/>
        <v>73.207599999999999</v>
      </c>
      <c r="P75" s="191">
        <f t="shared" si="13"/>
        <v>389.31467363065889</v>
      </c>
      <c r="Q75" s="190">
        <f t="shared" si="14"/>
        <v>69.569699999999997</v>
      </c>
      <c r="R75" s="191">
        <f t="shared" si="15"/>
        <v>384.66965321706954</v>
      </c>
      <c r="S75" s="190">
        <f t="shared" si="16"/>
        <v>55.438600000000001</v>
      </c>
      <c r="T75" s="191">
        <f t="shared" si="17"/>
        <v>366.56672199509535</v>
      </c>
      <c r="W75" s="187">
        <v>27</v>
      </c>
      <c r="X75" s="190">
        <f t="shared" si="18"/>
        <v>203.37100000000001</v>
      </c>
      <c r="Y75" s="191">
        <f t="shared" si="19"/>
        <v>619.87535986490582</v>
      </c>
      <c r="Z75" s="190">
        <f t="shared" si="30"/>
        <v>174.51600000000002</v>
      </c>
      <c r="AA75" s="191">
        <f t="shared" si="31"/>
        <v>574.57513475225653</v>
      </c>
      <c r="AB75" s="190">
        <f t="shared" si="22"/>
        <v>146.89950000000002</v>
      </c>
      <c r="AC75" s="191">
        <f t="shared" si="23"/>
        <v>531.06512244836904</v>
      </c>
      <c r="AF75" s="187">
        <v>27</v>
      </c>
      <c r="AG75" s="190">
        <f t="shared" si="24"/>
        <v>181.8272</v>
      </c>
      <c r="AH75" s="191">
        <f t="shared" si="25"/>
        <v>533.27378951114952</v>
      </c>
      <c r="AI75" s="190">
        <f t="shared" si="26"/>
        <v>148.61149999999998</v>
      </c>
      <c r="AJ75" s="191">
        <f t="shared" si="27"/>
        <v>490.42398231167425</v>
      </c>
      <c r="AK75" s="190">
        <f t="shared" si="28"/>
        <v>117.73990000000001</v>
      </c>
      <c r="AL75" s="191">
        <f t="shared" si="29"/>
        <v>450.40261298738096</v>
      </c>
    </row>
    <row r="76" spans="3:38" x14ac:dyDescent="0.25">
      <c r="C76" s="183"/>
      <c r="E76" s="187">
        <v>28</v>
      </c>
      <c r="F76" s="190">
        <f t="shared" si="6"/>
        <v>190.19840000000002</v>
      </c>
      <c r="G76" s="191">
        <f t="shared" si="7"/>
        <v>544.04409123889616</v>
      </c>
      <c r="H76" s="190">
        <f t="shared" si="8"/>
        <v>143.9744</v>
      </c>
      <c r="I76" s="191">
        <f t="shared" si="9"/>
        <v>484.42571985470295</v>
      </c>
      <c r="J76" s="190">
        <f t="shared" si="10"/>
        <v>108.70339999999999</v>
      </c>
      <c r="K76" s="191">
        <f t="shared" si="11"/>
        <v>438.64453803042045</v>
      </c>
      <c r="N76" s="187">
        <v>28</v>
      </c>
      <c r="O76" s="190">
        <f t="shared" si="12"/>
        <v>75.727699999999999</v>
      </c>
      <c r="P76" s="191">
        <f t="shared" si="13"/>
        <v>392.52914068304392</v>
      </c>
      <c r="Q76" s="190">
        <f t="shared" si="14"/>
        <v>71.375799999999998</v>
      </c>
      <c r="R76" s="191">
        <f t="shared" si="15"/>
        <v>386.97647542041256</v>
      </c>
      <c r="S76" s="190">
        <f t="shared" si="16"/>
        <v>56.858399999999996</v>
      </c>
      <c r="T76" s="191">
        <f t="shared" si="17"/>
        <v>368.39030960668129</v>
      </c>
      <c r="W76" s="187">
        <v>28</v>
      </c>
      <c r="X76" s="190">
        <f t="shared" si="18"/>
        <v>211.29900000000001</v>
      </c>
      <c r="Y76" s="191">
        <f t="shared" si="19"/>
        <v>632.29648873586734</v>
      </c>
      <c r="Z76" s="190">
        <f t="shared" si="30"/>
        <v>181.41600000000003</v>
      </c>
      <c r="AA76" s="191">
        <f t="shared" si="31"/>
        <v>585.42151736841834</v>
      </c>
      <c r="AB76" s="190">
        <f t="shared" si="22"/>
        <v>152.59139999999999</v>
      </c>
      <c r="AC76" s="191">
        <f t="shared" si="23"/>
        <v>540.04652522632978</v>
      </c>
      <c r="AF76" s="187">
        <v>28</v>
      </c>
      <c r="AG76" s="190">
        <f t="shared" si="24"/>
        <v>191.22840000000002</v>
      </c>
      <c r="AH76" s="191">
        <f t="shared" si="25"/>
        <v>545.36854394925467</v>
      </c>
      <c r="AI76" s="190">
        <f t="shared" si="26"/>
        <v>155.7998</v>
      </c>
      <c r="AJ76" s="191">
        <f t="shared" si="27"/>
        <v>499.71399370123811</v>
      </c>
      <c r="AK76" s="190">
        <f t="shared" si="28"/>
        <v>123.31400000000002</v>
      </c>
      <c r="AL76" s="191">
        <f t="shared" si="29"/>
        <v>457.64496825225763</v>
      </c>
    </row>
    <row r="77" spans="3:38" x14ac:dyDescent="0.25">
      <c r="C77" s="183"/>
      <c r="E77" s="187">
        <v>29</v>
      </c>
      <c r="F77" s="190">
        <f t="shared" si="6"/>
        <v>198.08140000000006</v>
      </c>
      <c r="G77" s="191">
        <f t="shared" si="7"/>
        <v>554.17668329390597</v>
      </c>
      <c r="H77" s="190">
        <f t="shared" si="8"/>
        <v>150.1277</v>
      </c>
      <c r="I77" s="191">
        <f t="shared" si="9"/>
        <v>492.384317329032</v>
      </c>
      <c r="J77" s="190">
        <f t="shared" si="10"/>
        <v>113.16669999999999</v>
      </c>
      <c r="K77" s="191">
        <f t="shared" si="11"/>
        <v>444.45480156844485</v>
      </c>
      <c r="N77" s="187">
        <v>29</v>
      </c>
      <c r="O77" s="190">
        <f t="shared" si="12"/>
        <v>78.247799999999998</v>
      </c>
      <c r="P77" s="191">
        <f t="shared" si="13"/>
        <v>395.74102178003932</v>
      </c>
      <c r="Q77" s="190">
        <f t="shared" si="14"/>
        <v>73.181899999999999</v>
      </c>
      <c r="R77" s="191">
        <f t="shared" si="15"/>
        <v>389.28187881195299</v>
      </c>
      <c r="S77" s="190">
        <f t="shared" si="16"/>
        <v>58.278199999999998</v>
      </c>
      <c r="T77" s="191">
        <f t="shared" si="17"/>
        <v>370.21276704322696</v>
      </c>
      <c r="W77" s="187">
        <v>29</v>
      </c>
      <c r="X77" s="190">
        <f t="shared" si="18"/>
        <v>219.227</v>
      </c>
      <c r="Y77" s="191">
        <f t="shared" si="19"/>
        <v>644.70760450646299</v>
      </c>
      <c r="Z77" s="190">
        <f t="shared" si="30"/>
        <v>188.31600000000003</v>
      </c>
      <c r="AA77" s="191">
        <f t="shared" si="31"/>
        <v>596.25890764147266</v>
      </c>
      <c r="AB77" s="190">
        <f t="shared" si="22"/>
        <v>158.2833</v>
      </c>
      <c r="AC77" s="191">
        <f t="shared" si="23"/>
        <v>549.02050504709484</v>
      </c>
      <c r="AF77" s="187">
        <v>29</v>
      </c>
      <c r="AG77" s="190">
        <f t="shared" si="24"/>
        <v>200.60079999999999</v>
      </c>
      <c r="AH77" s="191">
        <f t="shared" si="25"/>
        <v>557.41315825972958</v>
      </c>
      <c r="AI77" s="190">
        <f t="shared" si="26"/>
        <v>162.90949999999998</v>
      </c>
      <c r="AJ77" s="191">
        <f t="shared" si="27"/>
        <v>508.89291811147223</v>
      </c>
      <c r="AK77" s="190">
        <f t="shared" si="28"/>
        <v>128.78809999999999</v>
      </c>
      <c r="AL77" s="191">
        <f t="shared" si="29"/>
        <v>464.75005154737914</v>
      </c>
    </row>
    <row r="78" spans="3:38" x14ac:dyDescent="0.25">
      <c r="C78" s="183"/>
      <c r="E78" s="187">
        <v>30</v>
      </c>
      <c r="F78" s="190">
        <f t="shared" si="6"/>
        <v>205.96000000000006</v>
      </c>
      <c r="G78" s="191">
        <f t="shared" si="7"/>
        <v>564.29474036249894</v>
      </c>
      <c r="H78" s="190">
        <f t="shared" si="8"/>
        <v>156.41200000000001</v>
      </c>
      <c r="I78" s="191">
        <f t="shared" si="9"/>
        <v>500.50473493289542</v>
      </c>
      <c r="J78" s="190">
        <f t="shared" si="10"/>
        <v>117.812</v>
      </c>
      <c r="K78" s="191">
        <f t="shared" si="11"/>
        <v>450.49634137580796</v>
      </c>
      <c r="N78" s="187">
        <v>30</v>
      </c>
      <c r="O78" s="190">
        <f t="shared" si="12"/>
        <v>80.767899999999997</v>
      </c>
      <c r="P78" s="191">
        <f t="shared" si="13"/>
        <v>398.95040975950883</v>
      </c>
      <c r="Q78" s="190">
        <f t="shared" si="14"/>
        <v>74.988</v>
      </c>
      <c r="R78" s="191">
        <f t="shared" si="15"/>
        <v>391.585902435148</v>
      </c>
      <c r="S78" s="190">
        <f t="shared" si="16"/>
        <v>59.698</v>
      </c>
      <c r="T78" s="191">
        <f t="shared" si="17"/>
        <v>372.03412500610807</v>
      </c>
      <c r="W78" s="187">
        <v>30</v>
      </c>
      <c r="X78" s="190">
        <f t="shared" si="18"/>
        <v>227.155</v>
      </c>
      <c r="Y78" s="191">
        <f t="shared" si="19"/>
        <v>657.109110763383</v>
      </c>
      <c r="Z78" s="190">
        <f t="shared" si="30"/>
        <v>195.21600000000001</v>
      </c>
      <c r="AA78" s="191">
        <f t="shared" si="31"/>
        <v>607.08767279158042</v>
      </c>
      <c r="AB78" s="190">
        <f t="shared" si="22"/>
        <v>163.9752</v>
      </c>
      <c r="AC78" s="191">
        <f t="shared" si="23"/>
        <v>557.98735942009876</v>
      </c>
      <c r="AF78" s="187">
        <v>30</v>
      </c>
      <c r="AG78" s="190">
        <f t="shared" si="24"/>
        <v>209.93</v>
      </c>
      <c r="AH78" s="191">
        <f t="shared" si="25"/>
        <v>569.38995265587675</v>
      </c>
      <c r="AI78" s="190">
        <f t="shared" si="26"/>
        <v>169.934</v>
      </c>
      <c r="AJ78" s="191">
        <f t="shared" si="27"/>
        <v>517.95301278676891</v>
      </c>
      <c r="AK78" s="190">
        <f t="shared" si="28"/>
        <v>134.15800000000002</v>
      </c>
      <c r="AL78" s="191">
        <f t="shared" si="29"/>
        <v>471.71315354713209</v>
      </c>
    </row>
    <row r="79" spans="3:38" x14ac:dyDescent="0.25">
      <c r="C79" s="183"/>
      <c r="E79" s="187">
        <v>31</v>
      </c>
      <c r="F79" s="190">
        <f t="shared" si="6"/>
        <v>213.84200000000007</v>
      </c>
      <c r="G79" s="191">
        <f t="shared" si="7"/>
        <v>574.40866005690441</v>
      </c>
      <c r="H79" s="190">
        <f t="shared" si="8"/>
        <v>162.82249999999999</v>
      </c>
      <c r="I79" s="191">
        <f t="shared" si="9"/>
        <v>508.78065265821976</v>
      </c>
      <c r="J79" s="190">
        <f t="shared" si="10"/>
        <v>122.6315</v>
      </c>
      <c r="K79" s="191">
        <f t="shared" si="11"/>
        <v>456.75861783877599</v>
      </c>
      <c r="N79" s="187">
        <v>31</v>
      </c>
      <c r="O79" s="190">
        <f t="shared" si="12"/>
        <v>83.287999999999997</v>
      </c>
      <c r="P79" s="191">
        <f t="shared" si="13"/>
        <v>402.15739133683684</v>
      </c>
      <c r="Q79" s="190">
        <f t="shared" si="14"/>
        <v>76.7941</v>
      </c>
      <c r="R79" s="191">
        <f t="shared" si="15"/>
        <v>393.88858334546609</v>
      </c>
      <c r="S79" s="190">
        <f t="shared" si="16"/>
        <v>61.117799999999995</v>
      </c>
      <c r="T79" s="191">
        <f t="shared" si="17"/>
        <v>373.85441265306309</v>
      </c>
      <c r="W79" s="187">
        <v>31</v>
      </c>
      <c r="X79" s="190">
        <f t="shared" si="18"/>
        <v>235.083</v>
      </c>
      <c r="Y79" s="191">
        <f t="shared" si="19"/>
        <v>669.50138132442407</v>
      </c>
      <c r="Z79" s="190">
        <f t="shared" si="30"/>
        <v>202.11600000000001</v>
      </c>
      <c r="AA79" s="191">
        <f t="shared" si="31"/>
        <v>617.90815260797388</v>
      </c>
      <c r="AB79" s="190">
        <f t="shared" si="22"/>
        <v>169.6671</v>
      </c>
      <c r="AC79" s="191">
        <f t="shared" si="23"/>
        <v>566.9473640291767</v>
      </c>
      <c r="AF79" s="187">
        <v>31</v>
      </c>
      <c r="AG79" s="190">
        <f t="shared" si="24"/>
        <v>219.20159999999998</v>
      </c>
      <c r="AH79" s="191">
        <f t="shared" si="25"/>
        <v>581.28124128370268</v>
      </c>
      <c r="AI79" s="190">
        <f t="shared" si="26"/>
        <v>176.86669999999998</v>
      </c>
      <c r="AJ79" s="191">
        <f t="shared" si="27"/>
        <v>526.88649343614179</v>
      </c>
      <c r="AK79" s="190">
        <f t="shared" si="28"/>
        <v>139.4195</v>
      </c>
      <c r="AL79" s="191">
        <f t="shared" si="29"/>
        <v>478.52951287890778</v>
      </c>
    </row>
    <row r="80" spans="3:38" x14ac:dyDescent="0.25">
      <c r="C80" s="183"/>
      <c r="E80" s="187">
        <v>32</v>
      </c>
      <c r="F80" s="190">
        <f t="shared" si="6"/>
        <v>221.73520000000005</v>
      </c>
      <c r="G80" s="191">
        <f t="shared" si="7"/>
        <v>584.52877769986333</v>
      </c>
      <c r="H80" s="190">
        <f t="shared" si="8"/>
        <v>169.3544</v>
      </c>
      <c r="I80" s="191">
        <f t="shared" si="9"/>
        <v>517.20577564709538</v>
      </c>
      <c r="J80" s="190">
        <f t="shared" si="10"/>
        <v>127.6174</v>
      </c>
      <c r="K80" s="191">
        <f t="shared" si="11"/>
        <v>463.23114058126367</v>
      </c>
      <c r="N80" s="187">
        <v>32</v>
      </c>
      <c r="O80" s="190">
        <f t="shared" si="12"/>
        <v>85.808099999999996</v>
      </c>
      <c r="P80" s="191">
        <f t="shared" si="13"/>
        <v>405.3620476815903</v>
      </c>
      <c r="Q80" s="190">
        <f t="shared" si="14"/>
        <v>78.600200000000001</v>
      </c>
      <c r="R80" s="191">
        <f t="shared" si="15"/>
        <v>396.1899567559492</v>
      </c>
      <c r="S80" s="190">
        <f t="shared" si="16"/>
        <v>62.537599999999998</v>
      </c>
      <c r="T80" s="191">
        <f t="shared" si="17"/>
        <v>375.67365770983525</v>
      </c>
      <c r="W80" s="187">
        <v>32</v>
      </c>
      <c r="X80" s="190">
        <f t="shared" si="18"/>
        <v>243.011</v>
      </c>
      <c r="Y80" s="191">
        <f t="shared" si="19"/>
        <v>681.88476336343922</v>
      </c>
      <c r="Z80" s="190">
        <f t="shared" si="30"/>
        <v>209.01600000000002</v>
      </c>
      <c r="AA80" s="191">
        <f t="shared" si="31"/>
        <v>628.72066236386536</v>
      </c>
      <c r="AB80" s="190">
        <f t="shared" si="22"/>
        <v>175.35900000000001</v>
      </c>
      <c r="AC80" s="191">
        <f t="shared" si="23"/>
        <v>575.90077501167104</v>
      </c>
      <c r="AF80" s="187">
        <v>32</v>
      </c>
      <c r="AG80" s="190">
        <f t="shared" si="24"/>
        <v>228.40120000000002</v>
      </c>
      <c r="AH80" s="191">
        <f t="shared" si="25"/>
        <v>593.06933356897366</v>
      </c>
      <c r="AI80" s="190">
        <f t="shared" si="26"/>
        <v>183.70099999999999</v>
      </c>
      <c r="AJ80" s="191">
        <f t="shared" si="27"/>
        <v>535.68553972835412</v>
      </c>
      <c r="AK80" s="190">
        <f t="shared" si="28"/>
        <v>144.5684</v>
      </c>
      <c r="AL80" s="191">
        <f t="shared" si="29"/>
        <v>485.19432295602451</v>
      </c>
    </row>
    <row r="81" spans="3:38" x14ac:dyDescent="0.25">
      <c r="C81" s="183"/>
      <c r="E81" s="187">
        <v>33</v>
      </c>
      <c r="F81" s="190">
        <f t="shared" si="6"/>
        <v>229.64739999999998</v>
      </c>
      <c r="G81" s="191">
        <f t="shared" si="7"/>
        <v>594.6653727404539</v>
      </c>
      <c r="H81" s="190">
        <f t="shared" si="8"/>
        <v>176.00289999999998</v>
      </c>
      <c r="I81" s="191">
        <f t="shared" si="9"/>
        <v>525.77383270081407</v>
      </c>
      <c r="J81" s="190">
        <f t="shared" si="10"/>
        <v>132.76190000000003</v>
      </c>
      <c r="K81" s="191">
        <f t="shared" si="11"/>
        <v>469.90346743382793</v>
      </c>
      <c r="N81" s="187">
        <v>33</v>
      </c>
      <c r="O81" s="190">
        <f t="shared" si="12"/>
        <v>88.328199999999995</v>
      </c>
      <c r="P81" s="191">
        <f t="shared" si="13"/>
        <v>408.56445492453207</v>
      </c>
      <c r="Q81" s="190">
        <f t="shared" si="14"/>
        <v>80.406300000000002</v>
      </c>
      <c r="R81" s="191">
        <f t="shared" si="15"/>
        <v>398.49005616901815</v>
      </c>
      <c r="S81" s="190">
        <f t="shared" si="16"/>
        <v>63.9574</v>
      </c>
      <c r="T81" s="191">
        <f t="shared" si="17"/>
        <v>377.49188657139024</v>
      </c>
      <c r="W81" s="187">
        <v>33</v>
      </c>
      <c r="X81" s="190">
        <f t="shared" si="18"/>
        <v>250.93900000000002</v>
      </c>
      <c r="Y81" s="191">
        <f t="shared" si="19"/>
        <v>694.25958011603791</v>
      </c>
      <c r="Z81" s="190">
        <f t="shared" si="30"/>
        <v>215.91600000000003</v>
      </c>
      <c r="AA81" s="191">
        <f t="shared" si="31"/>
        <v>639.52549533563774</v>
      </c>
      <c r="AB81" s="190">
        <f t="shared" si="22"/>
        <v>181.05090000000001</v>
      </c>
      <c r="AC81" s="191">
        <f t="shared" si="23"/>
        <v>584.84783093331907</v>
      </c>
      <c r="AF81" s="187">
        <v>33</v>
      </c>
      <c r="AG81" s="190">
        <f t="shared" si="24"/>
        <v>237.51440000000002</v>
      </c>
      <c r="AH81" s="191">
        <f t="shared" si="25"/>
        <v>604.73653513495037</v>
      </c>
      <c r="AI81" s="190">
        <f t="shared" si="26"/>
        <v>190.43029999999999</v>
      </c>
      <c r="AJ81" s="191">
        <f t="shared" si="27"/>
        <v>544.34229978943949</v>
      </c>
      <c r="AK81" s="190">
        <f t="shared" si="28"/>
        <v>149.60050000000001</v>
      </c>
      <c r="AL81" s="191">
        <f t="shared" si="29"/>
        <v>491.70273757418681</v>
      </c>
    </row>
    <row r="82" spans="3:38" x14ac:dyDescent="0.25">
      <c r="C82" s="183"/>
      <c r="E82" s="187">
        <v>34</v>
      </c>
      <c r="F82" s="190">
        <f t="shared" si="6"/>
        <v>237.58640000000005</v>
      </c>
      <c r="G82" s="191">
        <f t="shared" si="7"/>
        <v>604.82867419197612</v>
      </c>
      <c r="H82" s="190">
        <f t="shared" si="8"/>
        <v>182.76319999999998</v>
      </c>
      <c r="I82" s="191">
        <f t="shared" si="9"/>
        <v>534.47857488236377</v>
      </c>
      <c r="J82" s="190">
        <f t="shared" si="10"/>
        <v>138.05719999999999</v>
      </c>
      <c r="K82" s="191">
        <f t="shared" si="11"/>
        <v>476.76520306217446</v>
      </c>
      <c r="N82" s="187">
        <v>34</v>
      </c>
      <c r="O82" s="190">
        <f t="shared" si="12"/>
        <v>90.848299999999995</v>
      </c>
      <c r="P82" s="191">
        <f t="shared" si="13"/>
        <v>411.7646846051461</v>
      </c>
      <c r="Q82" s="190">
        <f t="shared" si="14"/>
        <v>82.212400000000002</v>
      </c>
      <c r="R82" s="191">
        <f t="shared" si="15"/>
        <v>400.78891349610268</v>
      </c>
      <c r="S82" s="190">
        <f t="shared" si="16"/>
        <v>65.377199999999988</v>
      </c>
      <c r="T82" s="191">
        <f t="shared" si="17"/>
        <v>379.30912439389306</v>
      </c>
      <c r="W82" s="187">
        <v>34</v>
      </c>
      <c r="X82" s="190">
        <f t="shared" si="18"/>
        <v>258.86700000000002</v>
      </c>
      <c r="Y82" s="191">
        <f t="shared" si="19"/>
        <v>706.62613323375331</v>
      </c>
      <c r="Z82" s="190">
        <f t="shared" si="30"/>
        <v>222.81600000000003</v>
      </c>
      <c r="AA82" s="191">
        <f t="shared" si="31"/>
        <v>650.32292499096627</v>
      </c>
      <c r="AB82" s="190">
        <f t="shared" si="22"/>
        <v>186.74280000000002</v>
      </c>
      <c r="AC82" s="191">
        <f t="shared" si="23"/>
        <v>593.78875450781766</v>
      </c>
      <c r="AF82" s="187">
        <v>34</v>
      </c>
      <c r="AG82" s="190">
        <f t="shared" si="24"/>
        <v>246.52679999999998</v>
      </c>
      <c r="AH82" s="191">
        <f t="shared" si="25"/>
        <v>616.26514837703473</v>
      </c>
      <c r="AI82" s="190">
        <f t="shared" si="26"/>
        <v>197.048</v>
      </c>
      <c r="AJ82" s="191">
        <f t="shared" si="27"/>
        <v>552.84889390206411</v>
      </c>
      <c r="AK82" s="190">
        <f t="shared" si="28"/>
        <v>154.51159999999999</v>
      </c>
      <c r="AL82" s="191">
        <f t="shared" si="29"/>
        <v>498.04987552585237</v>
      </c>
    </row>
    <row r="83" spans="3:38" x14ac:dyDescent="0.25">
      <c r="C83" s="183"/>
      <c r="E83" s="187">
        <v>35</v>
      </c>
      <c r="F83" s="190">
        <f t="shared" si="6"/>
        <v>245.56000000000003</v>
      </c>
      <c r="G83" s="191">
        <f t="shared" si="7"/>
        <v>615.02886526662269</v>
      </c>
      <c r="H83" s="190">
        <f t="shared" si="8"/>
        <v>189.63049999999998</v>
      </c>
      <c r="I83" s="191">
        <f t="shared" si="9"/>
        <v>543.31377420821673</v>
      </c>
      <c r="J83" s="190">
        <f t="shared" si="10"/>
        <v>143.49550000000002</v>
      </c>
      <c r="K83" s="191">
        <f t="shared" si="11"/>
        <v>483.80599735152663</v>
      </c>
      <c r="N83" s="187">
        <v>35</v>
      </c>
      <c r="O83" s="190">
        <f t="shared" si="12"/>
        <v>93.368399999999994</v>
      </c>
      <c r="P83" s="191">
        <f t="shared" si="13"/>
        <v>414.96280406810945</v>
      </c>
      <c r="Q83" s="190">
        <f t="shared" si="14"/>
        <v>84.018500000000003</v>
      </c>
      <c r="R83" s="191">
        <f t="shared" si="15"/>
        <v>403.08655916646109</v>
      </c>
      <c r="S83" s="190">
        <f t="shared" si="16"/>
        <v>66.796999999999997</v>
      </c>
      <c r="T83" s="191">
        <f t="shared" si="17"/>
        <v>381.1253951784692</v>
      </c>
      <c r="W83" s="187">
        <v>35</v>
      </c>
      <c r="X83" s="190">
        <f t="shared" si="18"/>
        <v>266.79500000000002</v>
      </c>
      <c r="Y83" s="191">
        <f t="shared" si="19"/>
        <v>718.98470484171378</v>
      </c>
      <c r="Z83" s="190">
        <f t="shared" si="30"/>
        <v>229.71600000000001</v>
      </c>
      <c r="AA83" s="191">
        <f t="shared" si="31"/>
        <v>661.11320689828722</v>
      </c>
      <c r="AB83" s="190">
        <f t="shared" si="22"/>
        <v>192.43470000000002</v>
      </c>
      <c r="AC83" s="191">
        <f t="shared" si="23"/>
        <v>602.72375410084908</v>
      </c>
      <c r="AF83" s="187">
        <v>35</v>
      </c>
      <c r="AG83" s="190">
        <f t="shared" si="24"/>
        <v>255.42399999999998</v>
      </c>
      <c r="AH83" s="191">
        <f t="shared" si="25"/>
        <v>627.63747276007996</v>
      </c>
      <c r="AI83" s="190">
        <f t="shared" si="26"/>
        <v>203.54749999999999</v>
      </c>
      <c r="AJ83" s="191">
        <f t="shared" si="27"/>
        <v>561.19741755997575</v>
      </c>
      <c r="AK83" s="190">
        <f t="shared" si="28"/>
        <v>159.29750000000001</v>
      </c>
      <c r="AL83" s="191">
        <f t="shared" si="29"/>
        <v>504.23082442618391</v>
      </c>
    </row>
    <row r="84" spans="3:38" x14ac:dyDescent="0.25">
      <c r="C84" s="183"/>
      <c r="E84" s="187">
        <v>36</v>
      </c>
      <c r="F84" s="190">
        <f t="shared" si="6"/>
        <v>253.57600000000005</v>
      </c>
      <c r="G84" s="191">
        <f t="shared" si="7"/>
        <v>625.27608734553701</v>
      </c>
      <c r="H84" s="190">
        <f t="shared" si="8"/>
        <v>196.59999999999997</v>
      </c>
      <c r="I84" s="191">
        <f t="shared" si="9"/>
        <v>552.273222424751</v>
      </c>
      <c r="J84" s="190">
        <f t="shared" si="10"/>
        <v>149.06899999999999</v>
      </c>
      <c r="K84" s="191">
        <f t="shared" si="11"/>
        <v>491.01554362517425</v>
      </c>
      <c r="N84" s="187">
        <v>36</v>
      </c>
      <c r="O84" s="190">
        <f t="shared" si="12"/>
        <v>95.888499999999993</v>
      </c>
      <c r="P84" s="191">
        <f t="shared" si="13"/>
        <v>418.15887681575555</v>
      </c>
      <c r="Q84" s="190">
        <f t="shared" si="14"/>
        <v>85.824600000000004</v>
      </c>
      <c r="R84" s="191">
        <f t="shared" si="15"/>
        <v>405.38302222638038</v>
      </c>
      <c r="S84" s="190">
        <f t="shared" si="16"/>
        <v>68.216800000000006</v>
      </c>
      <c r="T84" s="191">
        <f t="shared" si="17"/>
        <v>382.94072184764354</v>
      </c>
      <c r="W84" s="187">
        <v>36</v>
      </c>
      <c r="X84" s="190">
        <f t="shared" si="18"/>
        <v>274.72300000000001</v>
      </c>
      <c r="Y84" s="191">
        <f t="shared" si="19"/>
        <v>731.33555934486253</v>
      </c>
      <c r="Z84" s="190">
        <f t="shared" si="30"/>
        <v>236.61600000000001</v>
      </c>
      <c r="AA84" s="191">
        <f t="shared" si="31"/>
        <v>671.89658040039956</v>
      </c>
      <c r="AB84" s="190">
        <f t="shared" si="22"/>
        <v>198.12660000000002</v>
      </c>
      <c r="AC84" s="191">
        <f t="shared" si="23"/>
        <v>611.65302505116006</v>
      </c>
      <c r="AF84" s="187">
        <v>36</v>
      </c>
      <c r="AG84" s="190">
        <f t="shared" si="24"/>
        <v>264.19159999999999</v>
      </c>
      <c r="AH84" s="191">
        <f t="shared" si="25"/>
        <v>638.83580488875862</v>
      </c>
      <c r="AI84" s="190">
        <f t="shared" si="26"/>
        <v>209.92219999999998</v>
      </c>
      <c r="AJ84" s="191">
        <f t="shared" si="27"/>
        <v>569.3799439964755</v>
      </c>
      <c r="AK84" s="190">
        <f t="shared" si="28"/>
        <v>163.95399999999998</v>
      </c>
      <c r="AL84" s="191">
        <f t="shared" si="29"/>
        <v>510.24064389970215</v>
      </c>
    </row>
    <row r="85" spans="3:38" x14ac:dyDescent="0.25">
      <c r="C85" s="183"/>
      <c r="E85" s="187">
        <v>37</v>
      </c>
      <c r="F85" s="190">
        <f t="shared" si="6"/>
        <v>261.6422</v>
      </c>
      <c r="G85" s="191">
        <f t="shared" si="7"/>
        <v>635.58044339518574</v>
      </c>
      <c r="H85" s="190">
        <f t="shared" si="8"/>
        <v>203.6669</v>
      </c>
      <c r="I85" s="191">
        <f t="shared" si="9"/>
        <v>561.35072986440014</v>
      </c>
      <c r="J85" s="190">
        <f t="shared" si="10"/>
        <v>154.76989999999995</v>
      </c>
      <c r="K85" s="191">
        <f t="shared" si="11"/>
        <v>498.38357675984389</v>
      </c>
      <c r="N85" s="187">
        <v>37</v>
      </c>
      <c r="O85" s="190">
        <f t="shared" si="12"/>
        <v>98.408599999999993</v>
      </c>
      <c r="P85" s="191">
        <f t="shared" si="13"/>
        <v>421.35296282244298</v>
      </c>
      <c r="Q85" s="190">
        <f t="shared" si="14"/>
        <v>87.63069999999999</v>
      </c>
      <c r="R85" s="191">
        <f t="shared" si="15"/>
        <v>407.67833042978941</v>
      </c>
      <c r="S85" s="190">
        <f t="shared" si="16"/>
        <v>69.636599999999987</v>
      </c>
      <c r="T85" s="191">
        <f t="shared" si="17"/>
        <v>384.75512631523594</v>
      </c>
      <c r="W85" s="187">
        <v>37</v>
      </c>
      <c r="X85" s="190">
        <f t="shared" si="18"/>
        <v>282.65100000000001</v>
      </c>
      <c r="Y85" s="191">
        <f t="shared" si="19"/>
        <v>743.67894501981914</v>
      </c>
      <c r="Z85" s="190">
        <f t="shared" si="30"/>
        <v>243.51600000000002</v>
      </c>
      <c r="AA85" s="191">
        <f t="shared" si="31"/>
        <v>682.67327008736436</v>
      </c>
      <c r="AB85" s="190">
        <f t="shared" si="22"/>
        <v>203.8185</v>
      </c>
      <c r="AC85" s="191">
        <f t="shared" si="23"/>
        <v>620.57675083556308</v>
      </c>
      <c r="AF85" s="187">
        <v>37</v>
      </c>
      <c r="AG85" s="190">
        <f t="shared" si="24"/>
        <v>272.8152</v>
      </c>
      <c r="AH85" s="191">
        <f t="shared" si="25"/>
        <v>649.84243838972247</v>
      </c>
      <c r="AI85" s="190">
        <f t="shared" si="26"/>
        <v>216.16550000000001</v>
      </c>
      <c r="AJ85" s="191">
        <f t="shared" si="27"/>
        <v>577.38852628005418</v>
      </c>
      <c r="AK85" s="190">
        <f t="shared" si="28"/>
        <v>168.4769</v>
      </c>
      <c r="AL85" s="191">
        <f t="shared" si="29"/>
        <v>516.07436824361707</v>
      </c>
    </row>
    <row r="86" spans="3:38" x14ac:dyDescent="0.25">
      <c r="C86" s="183"/>
      <c r="E86" s="187">
        <v>38</v>
      </c>
      <c r="F86" s="190">
        <f t="shared" si="6"/>
        <v>269.76639999999998</v>
      </c>
      <c r="G86" s="191">
        <f t="shared" si="7"/>
        <v>645.95200091960658</v>
      </c>
      <c r="H86" s="190">
        <f t="shared" si="8"/>
        <v>210.82639999999998</v>
      </c>
      <c r="I86" s="191">
        <f t="shared" si="9"/>
        <v>570.54012437654137</v>
      </c>
      <c r="J86" s="190">
        <f t="shared" si="10"/>
        <v>160.59039999999999</v>
      </c>
      <c r="K86" s="191">
        <f t="shared" si="11"/>
        <v>505.89987124720898</v>
      </c>
      <c r="N86" s="187">
        <v>38</v>
      </c>
      <c r="O86" s="190">
        <f t="shared" si="12"/>
        <v>100.92869999999999</v>
      </c>
      <c r="P86" s="191">
        <f t="shared" si="13"/>
        <v>424.54511881581527</v>
      </c>
      <c r="Q86" s="190">
        <f t="shared" si="14"/>
        <v>89.436800000000005</v>
      </c>
      <c r="R86" s="191">
        <f t="shared" si="15"/>
        <v>409.97251032119141</v>
      </c>
      <c r="S86" s="190">
        <f t="shared" si="16"/>
        <v>71.056399999999996</v>
      </c>
      <c r="T86" s="191">
        <f t="shared" si="17"/>
        <v>386.56862955039531</v>
      </c>
      <c r="W86" s="187">
        <v>38</v>
      </c>
      <c r="X86" s="190">
        <f t="shared" si="18"/>
        <v>290.57900000000001</v>
      </c>
      <c r="Y86" s="191">
        <f t="shared" si="19"/>
        <v>756.01509542312351</v>
      </c>
      <c r="Z86" s="190">
        <f t="shared" si="30"/>
        <v>250.416</v>
      </c>
      <c r="AA86" s="191">
        <f t="shared" si="31"/>
        <v>693.4434870977733</v>
      </c>
      <c r="AB86" s="190">
        <f t="shared" si="22"/>
        <v>209.5104</v>
      </c>
      <c r="AC86" s="191">
        <f t="shared" si="23"/>
        <v>629.49510410014273</v>
      </c>
      <c r="AF86" s="187">
        <v>38</v>
      </c>
      <c r="AG86" s="190">
        <f t="shared" si="24"/>
        <v>281.28039999999999</v>
      </c>
      <c r="AH86" s="191">
        <f t="shared" si="25"/>
        <v>660.63966363533575</v>
      </c>
      <c r="AI86" s="190">
        <f t="shared" si="26"/>
        <v>222.27080000000001</v>
      </c>
      <c r="AJ86" s="191">
        <f t="shared" si="27"/>
        <v>585.21519905074183</v>
      </c>
      <c r="AK86" s="190">
        <f t="shared" si="28"/>
        <v>172.86199999999999</v>
      </c>
      <c r="AL86" s="191">
        <f t="shared" si="29"/>
        <v>521.72700865885133</v>
      </c>
    </row>
    <row r="87" spans="3:38" x14ac:dyDescent="0.25">
      <c r="C87" s="183"/>
      <c r="E87" s="187">
        <v>39</v>
      </c>
      <c r="F87" s="190">
        <f t="shared" si="6"/>
        <v>277.95640000000003</v>
      </c>
      <c r="G87" s="191">
        <f t="shared" si="7"/>
        <v>656.40079452140412</v>
      </c>
      <c r="H87" s="190">
        <f t="shared" si="8"/>
        <v>218.0737</v>
      </c>
      <c r="I87" s="191">
        <f t="shared" si="9"/>
        <v>579.83525032818852</v>
      </c>
      <c r="J87" s="190">
        <f t="shared" si="10"/>
        <v>166.52270000000001</v>
      </c>
      <c r="K87" s="191">
        <f t="shared" si="11"/>
        <v>513.55423923969977</v>
      </c>
      <c r="N87" s="187">
        <v>39</v>
      </c>
      <c r="O87" s="190">
        <f t="shared" si="12"/>
        <v>103.44879999999999</v>
      </c>
      <c r="P87" s="191">
        <f t="shared" si="13"/>
        <v>427.73539852917867</v>
      </c>
      <c r="Q87" s="190">
        <f t="shared" si="14"/>
        <v>91.242899999999992</v>
      </c>
      <c r="R87" s="191">
        <f t="shared" si="15"/>
        <v>412.26558731170809</v>
      </c>
      <c r="S87" s="190">
        <f t="shared" si="16"/>
        <v>72.476200000000006</v>
      </c>
      <c r="T87" s="191">
        <f t="shared" si="17"/>
        <v>388.38125163637164</v>
      </c>
      <c r="W87" s="187">
        <v>39</v>
      </c>
      <c r="X87" s="190">
        <f t="shared" si="18"/>
        <v>298.50700000000001</v>
      </c>
      <c r="Y87" s="191">
        <f t="shared" si="19"/>
        <v>768.34423064147018</v>
      </c>
      <c r="Z87" s="190">
        <f t="shared" si="30"/>
        <v>257.31600000000003</v>
      </c>
      <c r="AA87" s="191">
        <f t="shared" si="31"/>
        <v>704.20743027256526</v>
      </c>
      <c r="AB87" s="190">
        <f t="shared" si="22"/>
        <v>215.20230000000001</v>
      </c>
      <c r="AC87" s="191">
        <f t="shared" si="23"/>
        <v>638.40824757624875</v>
      </c>
      <c r="AF87" s="187">
        <v>39</v>
      </c>
      <c r="AG87" s="190">
        <f t="shared" si="24"/>
        <v>289.57280000000003</v>
      </c>
      <c r="AH87" s="191">
        <f t="shared" si="25"/>
        <v>671.20976733181021</v>
      </c>
      <c r="AI87" s="190">
        <f t="shared" si="26"/>
        <v>228.23150000000004</v>
      </c>
      <c r="AJ87" s="191">
        <f t="shared" si="27"/>
        <v>592.85197995564693</v>
      </c>
      <c r="AK87" s="190">
        <f t="shared" si="28"/>
        <v>177.10510000000002</v>
      </c>
      <c r="AL87" s="191">
        <f t="shared" si="29"/>
        <v>527.19355512077288</v>
      </c>
    </row>
    <row r="88" spans="3:38" x14ac:dyDescent="0.25">
      <c r="C88" s="183"/>
      <c r="E88" s="187">
        <v>40</v>
      </c>
      <c r="F88" s="190">
        <f t="shared" si="6"/>
        <v>286.22000000000003</v>
      </c>
      <c r="G88" s="191">
        <f t="shared" si="7"/>
        <v>666.93682813123758</v>
      </c>
      <c r="H88" s="190">
        <f t="shared" si="8"/>
        <v>225.40399999999997</v>
      </c>
      <c r="I88" s="191">
        <f t="shared" si="9"/>
        <v>589.22996766968254</v>
      </c>
      <c r="J88" s="190">
        <f t="shared" si="10"/>
        <v>172.55900000000003</v>
      </c>
      <c r="K88" s="191">
        <f t="shared" si="11"/>
        <v>521.33652860959546</v>
      </c>
      <c r="N88" s="187">
        <v>40</v>
      </c>
      <c r="O88" s="190">
        <f t="shared" si="12"/>
        <v>105.96889999999999</v>
      </c>
      <c r="P88" s="191">
        <f t="shared" si="13"/>
        <v>430.92385292859541</v>
      </c>
      <c r="Q88" s="190">
        <f t="shared" si="14"/>
        <v>93.049000000000007</v>
      </c>
      <c r="R88" s="191">
        <f t="shared" si="15"/>
        <v>414.55758574893264</v>
      </c>
      <c r="S88" s="190">
        <f t="shared" si="16"/>
        <v>73.896000000000001</v>
      </c>
      <c r="T88" s="191">
        <f t="shared" si="17"/>
        <v>390.19301182455177</v>
      </c>
      <c r="W88" s="187">
        <v>40</v>
      </c>
      <c r="X88" s="190">
        <f t="shared" si="18"/>
        <v>306.435</v>
      </c>
      <c r="Y88" s="191">
        <f t="shared" si="19"/>
        <v>780.66655840538715</v>
      </c>
      <c r="Z88" s="190">
        <f t="shared" si="30"/>
        <v>264.21600000000001</v>
      </c>
      <c r="AA88" s="191">
        <f t="shared" si="31"/>
        <v>714.96528718159959</v>
      </c>
      <c r="AB88" s="190">
        <f t="shared" si="22"/>
        <v>220.89420000000001</v>
      </c>
      <c r="AC88" s="191">
        <f t="shared" si="23"/>
        <v>647.31633489685487</v>
      </c>
      <c r="AF88" s="187">
        <v>40</v>
      </c>
      <c r="AG88" s="190">
        <f t="shared" si="24"/>
        <v>297.678</v>
      </c>
      <c r="AH88" s="191">
        <f t="shared" si="25"/>
        <v>681.53503198911358</v>
      </c>
      <c r="AI88" s="190">
        <f t="shared" si="26"/>
        <v>234.041</v>
      </c>
      <c r="AJ88" s="191">
        <f t="shared" si="27"/>
        <v>600.29087083048842</v>
      </c>
      <c r="AK88" s="190">
        <f t="shared" si="28"/>
        <v>181.20199999999997</v>
      </c>
      <c r="AL88" s="191">
        <f t="shared" si="29"/>
        <v>532.46897794701499</v>
      </c>
    </row>
    <row r="89" spans="3:38" x14ac:dyDescent="0.25">
      <c r="C89" s="183"/>
      <c r="E89" s="187">
        <v>41</v>
      </c>
      <c r="F89" s="190">
        <f t="shared" si="6"/>
        <v>294.56500000000005</v>
      </c>
      <c r="G89" s="191">
        <f t="shared" si="7"/>
        <v>677.57007695512289</v>
      </c>
      <c r="H89" s="190">
        <f t="shared" si="8"/>
        <v>232.8125</v>
      </c>
      <c r="I89" s="191">
        <f t="shared" si="9"/>
        <v>598.71815106076986</v>
      </c>
      <c r="J89" s="190">
        <f t="shared" si="10"/>
        <v>178.69150000000002</v>
      </c>
      <c r="K89" s="191">
        <f t="shared" si="11"/>
        <v>529.23662104289531</v>
      </c>
      <c r="N89" s="187">
        <v>41</v>
      </c>
      <c r="O89" s="190">
        <f t="shared" si="12"/>
        <v>108.48899999999999</v>
      </c>
      <c r="P89" s="191">
        <f t="shared" si="13"/>
        <v>434.11053041776574</v>
      </c>
      <c r="Q89" s="190">
        <f t="shared" si="14"/>
        <v>94.855099999999993</v>
      </c>
      <c r="R89" s="191">
        <f t="shared" si="15"/>
        <v>416.84852898120596</v>
      </c>
      <c r="S89" s="190">
        <f t="shared" si="16"/>
        <v>75.315799999999996</v>
      </c>
      <c r="T89" s="191">
        <f t="shared" si="17"/>
        <v>392.00392858422595</v>
      </c>
      <c r="W89" s="187">
        <v>41</v>
      </c>
      <c r="X89" s="190">
        <f t="shared" si="18"/>
        <v>314.363</v>
      </c>
      <c r="Y89" s="191">
        <f t="shared" si="19"/>
        <v>792.98227508442335</v>
      </c>
      <c r="Z89" s="190">
        <f t="shared" si="30"/>
        <v>271.11600000000004</v>
      </c>
      <c r="AA89" s="191">
        <f t="shared" si="31"/>
        <v>725.7172350399801</v>
      </c>
      <c r="AB89" s="190">
        <f t="shared" si="22"/>
        <v>226.58610000000002</v>
      </c>
      <c r="AC89" s="191">
        <f t="shared" si="23"/>
        <v>656.21951132640777</v>
      </c>
      <c r="AF89" s="187">
        <v>41</v>
      </c>
      <c r="AG89" s="190">
        <f t="shared" si="24"/>
        <v>305.58159999999998</v>
      </c>
      <c r="AH89" s="191">
        <f t="shared" si="25"/>
        <v>691.59773528567314</v>
      </c>
      <c r="AI89" s="190">
        <f t="shared" si="26"/>
        <v>239.69269999999995</v>
      </c>
      <c r="AJ89" s="191">
        <f t="shared" si="27"/>
        <v>607.52385866477039</v>
      </c>
      <c r="AK89" s="190">
        <f t="shared" si="28"/>
        <v>185.14849999999998</v>
      </c>
      <c r="AL89" s="191">
        <f t="shared" si="29"/>
        <v>537.54822910839698</v>
      </c>
    </row>
    <row r="90" spans="3:38" x14ac:dyDescent="0.25">
      <c r="C90" s="183"/>
      <c r="E90" s="187">
        <v>42</v>
      </c>
      <c r="F90" s="190">
        <f t="shared" si="6"/>
        <v>302.99920000000003</v>
      </c>
      <c r="G90" s="191">
        <f t="shared" si="7"/>
        <v>688.31048918053523</v>
      </c>
      <c r="H90" s="190">
        <f t="shared" si="8"/>
        <v>240.2944</v>
      </c>
      <c r="I90" s="191">
        <f t="shared" si="9"/>
        <v>608.29368905268007</v>
      </c>
      <c r="J90" s="190">
        <f t="shared" si="10"/>
        <v>184.91240000000002</v>
      </c>
      <c r="K90" s="191">
        <f t="shared" si="11"/>
        <v>537.24443018346471</v>
      </c>
      <c r="N90" s="187">
        <v>42</v>
      </c>
      <c r="O90" s="190">
        <f t="shared" si="12"/>
        <v>111.00909999999999</v>
      </c>
      <c r="P90" s="191">
        <f t="shared" si="13"/>
        <v>437.29547702333656</v>
      </c>
      <c r="Q90" s="190">
        <f t="shared" si="14"/>
        <v>96.661200000000008</v>
      </c>
      <c r="R90" s="191">
        <f t="shared" si="15"/>
        <v>419.1384394168594</v>
      </c>
      <c r="S90" s="190">
        <f t="shared" si="16"/>
        <v>76.735600000000005</v>
      </c>
      <c r="T90" s="191">
        <f t="shared" si="17"/>
        <v>393.81401964849448</v>
      </c>
      <c r="W90" s="187">
        <v>42</v>
      </c>
      <c r="X90" s="190">
        <f t="shared" si="18"/>
        <v>322.291</v>
      </c>
      <c r="Y90" s="191">
        <f t="shared" si="19"/>
        <v>805.29156657911585</v>
      </c>
      <c r="Z90" s="190">
        <f t="shared" si="30"/>
        <v>278.01600000000002</v>
      </c>
      <c r="AA90" s="191">
        <f t="shared" si="31"/>
        <v>736.4634415284678</v>
      </c>
      <c r="AB90" s="190">
        <f t="shared" si="22"/>
        <v>232.27800000000002</v>
      </c>
      <c r="AC90" s="191">
        <f t="shared" si="23"/>
        <v>665.11791441527566</v>
      </c>
      <c r="AF90" s="187">
        <v>42</v>
      </c>
      <c r="AG90" s="190">
        <f t="shared" si="24"/>
        <v>313.26920000000001</v>
      </c>
      <c r="AH90" s="191">
        <f t="shared" si="25"/>
        <v>701.38014933738668</v>
      </c>
      <c r="AI90" s="190">
        <f t="shared" si="26"/>
        <v>245.18</v>
      </c>
      <c r="AJ90" s="191">
        <f t="shared" si="27"/>
        <v>614.54291638101245</v>
      </c>
      <c r="AK90" s="190">
        <f t="shared" si="28"/>
        <v>188.94039999999998</v>
      </c>
      <c r="AL90" s="191">
        <f t="shared" si="29"/>
        <v>542.42624332001913</v>
      </c>
    </row>
    <row r="91" spans="3:38" x14ac:dyDescent="0.25">
      <c r="C91" s="183"/>
      <c r="E91" s="187">
        <v>43</v>
      </c>
      <c r="F91" s="190">
        <f t="shared" si="6"/>
        <v>311.53039999999999</v>
      </c>
      <c r="G91" s="191">
        <f t="shared" si="7"/>
        <v>699.16798747558221</v>
      </c>
      <c r="H91" s="190">
        <f t="shared" si="8"/>
        <v>247.8449</v>
      </c>
      <c r="I91" s="191">
        <f t="shared" si="9"/>
        <v>617.95048332206977</v>
      </c>
      <c r="J91" s="190">
        <f t="shared" si="10"/>
        <v>191.2139</v>
      </c>
      <c r="K91" s="191">
        <f t="shared" si="11"/>
        <v>545.34989983816968</v>
      </c>
      <c r="N91" s="187">
        <v>43</v>
      </c>
      <c r="O91" s="190">
        <f t="shared" si="12"/>
        <v>113.52919999999999</v>
      </c>
      <c r="P91" s="191">
        <f t="shared" si="13"/>
        <v>440.4787365629083</v>
      </c>
      <c r="Q91" s="190">
        <f t="shared" si="14"/>
        <v>98.467299999999994</v>
      </c>
      <c r="R91" s="191">
        <f t="shared" si="15"/>
        <v>421.42733857890391</v>
      </c>
      <c r="S91" s="190">
        <f t="shared" si="16"/>
        <v>78.1554</v>
      </c>
      <c r="T91" s="191">
        <f t="shared" si="17"/>
        <v>395.62330205668178</v>
      </c>
      <c r="W91" s="187">
        <v>43</v>
      </c>
      <c r="X91" s="190">
        <f t="shared" si="18"/>
        <v>330.21899999999999</v>
      </c>
      <c r="Y91" s="191">
        <f t="shared" si="19"/>
        <v>817.59460912272232</v>
      </c>
      <c r="Z91" s="190">
        <f t="shared" si="30"/>
        <v>284.916</v>
      </c>
      <c r="AA91" s="191">
        <f t="shared" si="31"/>
        <v>747.20406553015721</v>
      </c>
      <c r="AB91" s="190">
        <f t="shared" si="22"/>
        <v>237.96990000000002</v>
      </c>
      <c r="AC91" s="191">
        <f t="shared" si="23"/>
        <v>674.01167458824375</v>
      </c>
      <c r="AF91" s="187">
        <v>43</v>
      </c>
      <c r="AG91" s="190">
        <f t="shared" si="24"/>
        <v>320.72640000000001</v>
      </c>
      <c r="AH91" s="191">
        <f t="shared" si="25"/>
        <v>710.86453987757181</v>
      </c>
      <c r="AI91" s="190">
        <f t="shared" si="26"/>
        <v>250.49630000000002</v>
      </c>
      <c r="AJ91" s="191">
        <f t="shared" si="27"/>
        <v>621.34000345268305</v>
      </c>
      <c r="AK91" s="190">
        <f t="shared" si="28"/>
        <v>192.5735</v>
      </c>
      <c r="AL91" s="191">
        <f t="shared" si="29"/>
        <v>547.0979389425305</v>
      </c>
    </row>
    <row r="92" spans="3:38" x14ac:dyDescent="0.25">
      <c r="C92" s="183"/>
      <c r="E92" s="187">
        <v>44</v>
      </c>
      <c r="F92" s="190">
        <f t="shared" si="6"/>
        <v>320.16640000000001</v>
      </c>
      <c r="G92" s="191">
        <f t="shared" si="7"/>
        <v>710.15247031006697</v>
      </c>
      <c r="H92" s="190">
        <f t="shared" si="8"/>
        <v>255.45920000000001</v>
      </c>
      <c r="I92" s="191">
        <f t="shared" si="9"/>
        <v>627.68244795294618</v>
      </c>
      <c r="J92" s="190">
        <f t="shared" si="10"/>
        <v>197.58820000000003</v>
      </c>
      <c r="K92" s="191">
        <f t="shared" si="11"/>
        <v>553.54300224996155</v>
      </c>
      <c r="N92" s="187">
        <v>44</v>
      </c>
      <c r="O92" s="190">
        <f t="shared" si="12"/>
        <v>116.04929999999999</v>
      </c>
      <c r="P92" s="191">
        <f t="shared" si="13"/>
        <v>443.66035079770427</v>
      </c>
      <c r="Q92" s="190">
        <f t="shared" si="14"/>
        <v>100.27340000000001</v>
      </c>
      <c r="R92" s="191">
        <f t="shared" si="15"/>
        <v>423.71524715559389</v>
      </c>
      <c r="S92" s="190">
        <f t="shared" si="16"/>
        <v>79.575199999999995</v>
      </c>
      <c r="T92" s="191">
        <f t="shared" si="17"/>
        <v>397.43179219358046</v>
      </c>
      <c r="W92" s="187">
        <v>44</v>
      </c>
      <c r="X92" s="190">
        <f t="shared" si="18"/>
        <v>338.14699999999999</v>
      </c>
      <c r="Y92" s="191">
        <f t="shared" si="19"/>
        <v>829.89157000379339</v>
      </c>
      <c r="Z92" s="190">
        <f t="shared" si="30"/>
        <v>291.81600000000003</v>
      </c>
      <c r="AA92" s="191">
        <f t="shared" si="31"/>
        <v>757.93925779377787</v>
      </c>
      <c r="AB92" s="190">
        <f t="shared" si="22"/>
        <v>243.6618</v>
      </c>
      <c r="AC92" s="191">
        <f t="shared" si="23"/>
        <v>682.9009156751174</v>
      </c>
      <c r="AF92" s="187">
        <v>44</v>
      </c>
      <c r="AG92" s="190">
        <f t="shared" si="24"/>
        <v>327.93880000000001</v>
      </c>
      <c r="AH92" s="191">
        <f t="shared" si="25"/>
        <v>720.03316535207489</v>
      </c>
      <c r="AI92" s="190">
        <f t="shared" si="26"/>
        <v>255.63499999999999</v>
      </c>
      <c r="AJ92" s="191">
        <f t="shared" si="27"/>
        <v>627.90706638083509</v>
      </c>
      <c r="AK92" s="190">
        <f t="shared" si="28"/>
        <v>196.04360000000003</v>
      </c>
      <c r="AL92" s="191">
        <f t="shared" si="29"/>
        <v>551.55821871790135</v>
      </c>
    </row>
    <row r="93" spans="3:38" x14ac:dyDescent="0.25">
      <c r="C93" s="183"/>
      <c r="E93" s="187">
        <v>45</v>
      </c>
      <c r="F93" s="190">
        <f t="shared" si="6"/>
        <v>328.91500000000002</v>
      </c>
      <c r="G93" s="191">
        <f t="shared" si="7"/>
        <v>721.27381312280727</v>
      </c>
      <c r="H93" s="190">
        <f t="shared" si="8"/>
        <v>263.13249999999999</v>
      </c>
      <c r="I93" s="191">
        <f t="shared" si="9"/>
        <v>637.48350876295092</v>
      </c>
      <c r="J93" s="190">
        <f t="shared" si="10"/>
        <v>204.02750000000003</v>
      </c>
      <c r="K93" s="191">
        <f t="shared" si="11"/>
        <v>561.81373644295206</v>
      </c>
      <c r="N93" s="187">
        <v>45</v>
      </c>
      <c r="O93" s="190">
        <f t="shared" si="12"/>
        <v>118.56939999999999</v>
      </c>
      <c r="P93" s="191">
        <f t="shared" si="13"/>
        <v>446.84035957160381</v>
      </c>
      <c r="Q93" s="190">
        <f t="shared" si="14"/>
        <v>102.0795</v>
      </c>
      <c r="R93" s="191">
        <f t="shared" si="15"/>
        <v>426.00218504724415</v>
      </c>
      <c r="S93" s="190">
        <f t="shared" si="16"/>
        <v>80.995000000000005</v>
      </c>
      <c r="T93" s="191">
        <f t="shared" si="17"/>
        <v>399.23950582581551</v>
      </c>
      <c r="W93" s="187">
        <v>45</v>
      </c>
      <c r="X93" s="190">
        <f t="shared" si="18"/>
        <v>346.07499999999999</v>
      </c>
      <c r="Y93" s="191">
        <f t="shared" si="19"/>
        <v>842.18260821906767</v>
      </c>
      <c r="Z93" s="190">
        <f t="shared" si="30"/>
        <v>298.71600000000001</v>
      </c>
      <c r="AA93" s="191">
        <f t="shared" si="31"/>
        <v>768.6691615324961</v>
      </c>
      <c r="AB93" s="190">
        <f t="shared" si="22"/>
        <v>249.35370000000003</v>
      </c>
      <c r="AC93" s="191">
        <f t="shared" si="23"/>
        <v>691.78575539035239</v>
      </c>
      <c r="AF93" s="187">
        <v>45</v>
      </c>
      <c r="AG93" s="190">
        <f t="shared" si="24"/>
        <v>334.892</v>
      </c>
      <c r="AH93" s="191">
        <f t="shared" si="25"/>
        <v>728.86827593169392</v>
      </c>
      <c r="AI93" s="190">
        <f t="shared" si="26"/>
        <v>260.58949999999993</v>
      </c>
      <c r="AJ93" s="191">
        <f t="shared" si="27"/>
        <v>634.23603904567096</v>
      </c>
      <c r="AK93" s="190">
        <f t="shared" si="28"/>
        <v>199.34650000000002</v>
      </c>
      <c r="AL93" s="191">
        <f t="shared" si="29"/>
        <v>555.80197035944855</v>
      </c>
    </row>
    <row r="94" spans="3:38" x14ac:dyDescent="0.25">
      <c r="C94" s="183"/>
      <c r="E94" s="187">
        <v>46</v>
      </c>
      <c r="F94" s="190">
        <f t="shared" si="6"/>
        <v>337.78399999999999</v>
      </c>
      <c r="G94" s="191">
        <f t="shared" si="7"/>
        <v>732.5418693559244</v>
      </c>
      <c r="H94" s="190">
        <f t="shared" si="8"/>
        <v>270.86</v>
      </c>
      <c r="I94" s="191">
        <f t="shared" si="9"/>
        <v>647.34760267062882</v>
      </c>
      <c r="J94" s="190">
        <f t="shared" si="10"/>
        <v>210.524</v>
      </c>
      <c r="K94" s="191">
        <f t="shared" si="11"/>
        <v>570.15212664128273</v>
      </c>
      <c r="N94" s="187">
        <v>46</v>
      </c>
      <c r="O94" s="190">
        <f t="shared" si="12"/>
        <v>121.08949999999999</v>
      </c>
      <c r="P94" s="191">
        <f t="shared" si="13"/>
        <v>450.01880093802197</v>
      </c>
      <c r="Q94" s="190">
        <f t="shared" si="14"/>
        <v>103.88560000000001</v>
      </c>
      <c r="R94" s="191">
        <f t="shared" si="15"/>
        <v>428.28817140964082</v>
      </c>
      <c r="S94" s="190">
        <f t="shared" si="16"/>
        <v>82.4148</v>
      </c>
      <c r="T94" s="191">
        <f t="shared" si="17"/>
        <v>401.04645813558653</v>
      </c>
      <c r="W94" s="187">
        <v>46</v>
      </c>
      <c r="X94" s="190">
        <f t="shared" si="18"/>
        <v>354.00299999999999</v>
      </c>
      <c r="Y94" s="191">
        <f t="shared" si="19"/>
        <v>854.46787506485828</v>
      </c>
      <c r="Z94" s="190">
        <f t="shared" si="30"/>
        <v>305.61600000000004</v>
      </c>
      <c r="AA94" s="191">
        <f t="shared" si="31"/>
        <v>779.39391296582994</v>
      </c>
      <c r="AB94" s="190">
        <f t="shared" si="22"/>
        <v>255.04560000000001</v>
      </c>
      <c r="AC94" s="191">
        <f t="shared" si="23"/>
        <v>700.66630576765499</v>
      </c>
      <c r="AF94" s="187">
        <v>46</v>
      </c>
      <c r="AG94" s="190">
        <f t="shared" si="24"/>
        <v>341.57159999999999</v>
      </c>
      <c r="AH94" s="191">
        <f t="shared" si="25"/>
        <v>737.35211244226934</v>
      </c>
      <c r="AI94" s="190">
        <f t="shared" si="26"/>
        <v>265.35320000000002</v>
      </c>
      <c r="AJ94" s="191">
        <f t="shared" si="27"/>
        <v>640.31884294616498</v>
      </c>
      <c r="AK94" s="190">
        <f t="shared" si="28"/>
        <v>202.47800000000001</v>
      </c>
      <c r="AL94" s="191">
        <f t="shared" si="29"/>
        <v>559.82406701213529</v>
      </c>
    </row>
    <row r="95" spans="3:38" x14ac:dyDescent="0.25">
      <c r="C95" s="183"/>
      <c r="E95" s="187">
        <v>47</v>
      </c>
      <c r="F95" s="190">
        <f t="shared" si="6"/>
        <v>346.78120000000001</v>
      </c>
      <c r="G95" s="191">
        <f t="shared" si="7"/>
        <v>743.96647137377761</v>
      </c>
      <c r="H95" s="190">
        <f t="shared" si="8"/>
        <v>278.63690000000003</v>
      </c>
      <c r="I95" s="191">
        <f t="shared" si="9"/>
        <v>657.26867710055262</v>
      </c>
      <c r="J95" s="190">
        <f t="shared" si="10"/>
        <v>217.06989999999999</v>
      </c>
      <c r="K95" s="191">
        <f t="shared" si="11"/>
        <v>578.54822076189635</v>
      </c>
      <c r="N95" s="187">
        <v>47</v>
      </c>
      <c r="O95" s="190">
        <f t="shared" si="12"/>
        <v>123.60959999999999</v>
      </c>
      <c r="P95" s="191">
        <f t="shared" si="13"/>
        <v>453.195711275929</v>
      </c>
      <c r="Q95" s="190">
        <f t="shared" si="14"/>
        <v>105.6917</v>
      </c>
      <c r="R95" s="191">
        <f t="shared" si="15"/>
        <v>430.57322469434644</v>
      </c>
      <c r="S95" s="190">
        <f t="shared" si="16"/>
        <v>83.834599999999995</v>
      </c>
      <c r="T95" s="191">
        <f t="shared" si="17"/>
        <v>402.85266375201928</v>
      </c>
      <c r="W95" s="187">
        <v>47</v>
      </c>
      <c r="X95" s="190">
        <f t="shared" si="18"/>
        <v>361.93099999999998</v>
      </c>
      <c r="Y95" s="191">
        <f t="shared" si="19"/>
        <v>866.74751467396527</v>
      </c>
      <c r="Z95" s="190">
        <f t="shared" si="30"/>
        <v>312.51600000000002</v>
      </c>
      <c r="AA95" s="191">
        <f t="shared" si="31"/>
        <v>790.1136418112435</v>
      </c>
      <c r="AB95" s="190">
        <f t="shared" si="22"/>
        <v>260.73750000000007</v>
      </c>
      <c r="AC95" s="191">
        <f t="shared" si="23"/>
        <v>709.54267355469324</v>
      </c>
      <c r="AF95" s="187">
        <v>47</v>
      </c>
      <c r="AG95" s="190">
        <f t="shared" si="24"/>
        <v>347.96320000000003</v>
      </c>
      <c r="AH95" s="191">
        <f t="shared" si="25"/>
        <v>745.4669052111534</v>
      </c>
      <c r="AI95" s="190">
        <f t="shared" si="26"/>
        <v>269.91950000000003</v>
      </c>
      <c r="AJ95" s="191">
        <f t="shared" si="27"/>
        <v>646.14738733830484</v>
      </c>
      <c r="AK95" s="190">
        <f t="shared" si="28"/>
        <v>205.43389999999999</v>
      </c>
      <c r="AL95" s="191">
        <f t="shared" si="29"/>
        <v>563.61936759607102</v>
      </c>
    </row>
    <row r="96" spans="3:38" x14ac:dyDescent="0.25">
      <c r="C96" s="183"/>
      <c r="E96" s="187">
        <v>48</v>
      </c>
      <c r="F96" s="190">
        <f t="shared" si="6"/>
        <v>355.9144</v>
      </c>
      <c r="G96" s="191">
        <f t="shared" si="7"/>
        <v>755.55743128170798</v>
      </c>
      <c r="H96" s="190">
        <f t="shared" si="8"/>
        <v>286.45839999999998</v>
      </c>
      <c r="I96" s="191">
        <f t="shared" si="9"/>
        <v>667.2406894234083</v>
      </c>
      <c r="J96" s="190">
        <f t="shared" si="10"/>
        <v>223.65740000000002</v>
      </c>
      <c r="K96" s="191">
        <f t="shared" si="11"/>
        <v>586.99208898005861</v>
      </c>
      <c r="N96" s="187">
        <v>48</v>
      </c>
      <c r="O96" s="190">
        <f t="shared" si="12"/>
        <v>126.1297</v>
      </c>
      <c r="P96" s="191">
        <f t="shared" si="13"/>
        <v>456.37112539614088</v>
      </c>
      <c r="Q96" s="190">
        <f t="shared" si="14"/>
        <v>107.49780000000001</v>
      </c>
      <c r="R96" s="191">
        <f t="shared" si="15"/>
        <v>432.85736268617376</v>
      </c>
      <c r="S96" s="190">
        <f t="shared" si="16"/>
        <v>85.25439999999999</v>
      </c>
      <c r="T96" s="191">
        <f t="shared" si="17"/>
        <v>404.65813678033243</v>
      </c>
      <c r="W96" s="187">
        <v>48</v>
      </c>
      <c r="X96" s="190">
        <f t="shared" si="18"/>
        <v>369.85899999999998</v>
      </c>
      <c r="Y96" s="191">
        <f t="shared" si="19"/>
        <v>879.02166450421976</v>
      </c>
      <c r="Z96" s="190">
        <f t="shared" si="30"/>
        <v>319.41600000000005</v>
      </c>
      <c r="AA96" s="191">
        <f t="shared" si="31"/>
        <v>800.8284717311036</v>
      </c>
      <c r="AB96" s="190">
        <f t="shared" si="22"/>
        <v>266.42940000000004</v>
      </c>
      <c r="AC96" s="191">
        <f t="shared" si="23"/>
        <v>718.4149605723685</v>
      </c>
      <c r="AF96" s="187">
        <v>48</v>
      </c>
      <c r="AG96" s="190">
        <f t="shared" si="24"/>
        <v>354.05240000000003</v>
      </c>
      <c r="AH96" s="191">
        <f t="shared" si="25"/>
        <v>753.19487282725686</v>
      </c>
      <c r="AI96" s="190">
        <f t="shared" si="26"/>
        <v>274.28179999999998</v>
      </c>
      <c r="AJ96" s="191">
        <f t="shared" si="27"/>
        <v>651.71356928036062</v>
      </c>
      <c r="AK96" s="190">
        <f t="shared" si="28"/>
        <v>208.20999999999998</v>
      </c>
      <c r="AL96" s="191">
        <f t="shared" si="29"/>
        <v>567.182717043568</v>
      </c>
    </row>
    <row r="97" spans="3:38" x14ac:dyDescent="0.25">
      <c r="C97" s="183"/>
      <c r="E97" s="187">
        <v>49</v>
      </c>
      <c r="F97" s="190">
        <f t="shared" si="6"/>
        <v>365.19139999999993</v>
      </c>
      <c r="G97" s="191">
        <f t="shared" si="7"/>
        <v>767.32454165765103</v>
      </c>
      <c r="H97" s="190">
        <f t="shared" si="8"/>
        <v>294.31969999999995</v>
      </c>
      <c r="I97" s="191">
        <f t="shared" si="9"/>
        <v>677.25760642835837</v>
      </c>
      <c r="J97" s="190">
        <f t="shared" si="10"/>
        <v>230.27870000000004</v>
      </c>
      <c r="K97" s="191">
        <f t="shared" si="11"/>
        <v>595.47382236556746</v>
      </c>
      <c r="N97" s="187">
        <v>49</v>
      </c>
      <c r="O97" s="190">
        <f t="shared" si="12"/>
        <v>128.6498</v>
      </c>
      <c r="P97" s="191">
        <f t="shared" si="13"/>
        <v>459.54507663887495</v>
      </c>
      <c r="Q97" s="190">
        <f t="shared" si="14"/>
        <v>109.3039</v>
      </c>
      <c r="R97" s="191">
        <f t="shared" si="15"/>
        <v>435.14060253806815</v>
      </c>
      <c r="S97" s="190">
        <f t="shared" si="16"/>
        <v>86.674199999999999</v>
      </c>
      <c r="T97" s="191">
        <f t="shared" si="17"/>
        <v>406.46289082900711</v>
      </c>
      <c r="W97" s="187">
        <v>49</v>
      </c>
      <c r="X97" s="190">
        <f t="shared" si="18"/>
        <v>377.78699999999998</v>
      </c>
      <c r="Y97" s="191">
        <f t="shared" si="19"/>
        <v>891.29045578395653</v>
      </c>
      <c r="Z97" s="190">
        <f t="shared" si="30"/>
        <v>326.31600000000003</v>
      </c>
      <c r="AA97" s="191">
        <f t="shared" si="31"/>
        <v>811.53852073992459</v>
      </c>
      <c r="AB97" s="190">
        <f t="shared" si="22"/>
        <v>272.12130000000002</v>
      </c>
      <c r="AC97" s="191">
        <f t="shared" si="23"/>
        <v>727.28326404252221</v>
      </c>
      <c r="AF97" s="187">
        <v>49</v>
      </c>
      <c r="AG97" s="190">
        <f t="shared" si="24"/>
        <v>359.82479999999998</v>
      </c>
      <c r="AH97" s="191">
        <f t="shared" si="25"/>
        <v>760.51822081040893</v>
      </c>
      <c r="AI97" s="190">
        <f t="shared" si="26"/>
        <v>278.43349999999998</v>
      </c>
      <c r="AJ97" s="191">
        <f t="shared" si="27"/>
        <v>657.00927359175421</v>
      </c>
      <c r="AK97" s="190">
        <f t="shared" si="28"/>
        <v>210.8021</v>
      </c>
      <c r="AL97" s="191">
        <f t="shared" si="29"/>
        <v>570.50894643793526</v>
      </c>
    </row>
    <row r="98" spans="3:38" x14ac:dyDescent="0.25">
      <c r="C98" s="183"/>
      <c r="E98" s="187">
        <v>50</v>
      </c>
      <c r="F98" s="190">
        <f t="shared" si="6"/>
        <v>374.62</v>
      </c>
      <c r="G98" s="191">
        <f t="shared" si="7"/>
        <v>779.27757620789532</v>
      </c>
      <c r="H98" s="190">
        <f t="shared" si="8"/>
        <v>302.21600000000001</v>
      </c>
      <c r="I98" s="191">
        <f t="shared" si="9"/>
        <v>687.31340382521034</v>
      </c>
      <c r="J98" s="190">
        <f t="shared" si="10"/>
        <v>236.92599999999999</v>
      </c>
      <c r="K98" s="191">
        <f t="shared" si="11"/>
        <v>603.98353158693385</v>
      </c>
      <c r="N98" s="187">
        <v>50</v>
      </c>
      <c r="O98" s="190">
        <f t="shared" si="12"/>
        <v>131.16989999999998</v>
      </c>
      <c r="P98" s="191">
        <f t="shared" si="13"/>
        <v>462.71759696344571</v>
      </c>
      <c r="Q98" s="190">
        <f t="shared" si="14"/>
        <v>111.11000000000001</v>
      </c>
      <c r="R98" s="191">
        <f t="shared" si="15"/>
        <v>437.4229608036203</v>
      </c>
      <c r="S98" s="190">
        <f t="shared" si="16"/>
        <v>88.093999999999994</v>
      </c>
      <c r="T98" s="191">
        <f t="shared" si="17"/>
        <v>408.26693903512523</v>
      </c>
      <c r="W98" s="187">
        <v>50</v>
      </c>
      <c r="X98" s="190">
        <f t="shared" si="18"/>
        <v>385.71499999999997</v>
      </c>
      <c r="Y98" s="191">
        <f t="shared" si="19"/>
        <v>903.55401391903843</v>
      </c>
      <c r="Z98" s="190">
        <f t="shared" si="30"/>
        <v>333.21600000000001</v>
      </c>
      <c r="AA98" s="191">
        <f t="shared" si="31"/>
        <v>822.24390157619655</v>
      </c>
      <c r="AB98" s="190">
        <f t="shared" si="22"/>
        <v>277.81320000000005</v>
      </c>
      <c r="AC98" s="191">
        <f t="shared" si="23"/>
        <v>736.14767688744723</v>
      </c>
      <c r="AF98" s="187">
        <v>50</v>
      </c>
      <c r="AG98" s="190">
        <f t="shared" si="24"/>
        <v>365.26599999999996</v>
      </c>
      <c r="AH98" s="191">
        <f t="shared" si="25"/>
        <v>767.41914018431362</v>
      </c>
      <c r="AI98" s="190">
        <f t="shared" si="26"/>
        <v>282.36799999999999</v>
      </c>
      <c r="AJ98" s="191">
        <f t="shared" si="27"/>
        <v>662.0263727305279</v>
      </c>
      <c r="AK98" s="190">
        <f t="shared" si="28"/>
        <v>213.20600000000002</v>
      </c>
      <c r="AL98" s="191">
        <f t="shared" si="29"/>
        <v>573.59287306030706</v>
      </c>
    </row>
    <row r="99" spans="3:38" x14ac:dyDescent="0.25">
      <c r="C99" s="183"/>
      <c r="E99" s="187">
        <v>51</v>
      </c>
      <c r="F99" s="190">
        <f t="shared" si="6"/>
        <v>384.20799999999997</v>
      </c>
      <c r="G99" s="191">
        <f t="shared" si="7"/>
        <v>791.4262903567693</v>
      </c>
      <c r="H99" s="190">
        <f t="shared" si="8"/>
        <v>310.14249999999998</v>
      </c>
      <c r="I99" s="191">
        <f t="shared" si="9"/>
        <v>697.40206577410629</v>
      </c>
      <c r="J99" s="190">
        <f t="shared" si="10"/>
        <v>243.59150000000005</v>
      </c>
      <c r="K99" s="191">
        <f t="shared" si="11"/>
        <v>612.51134568038481</v>
      </c>
      <c r="N99" s="187">
        <v>51</v>
      </c>
      <c r="O99" s="190">
        <f t="shared" si="12"/>
        <v>133.68999999999997</v>
      </c>
      <c r="P99" s="191">
        <f t="shared" si="13"/>
        <v>465.88871703087307</v>
      </c>
      <c r="Q99" s="190">
        <f t="shared" si="14"/>
        <v>112.9161</v>
      </c>
      <c r="R99" s="191">
        <f t="shared" si="15"/>
        <v>439.70445346740388</v>
      </c>
      <c r="S99" s="190">
        <f t="shared" si="16"/>
        <v>89.513800000000003</v>
      </c>
      <c r="T99" s="191">
        <f t="shared" si="17"/>
        <v>410.07029408802822</v>
      </c>
      <c r="W99" s="187">
        <v>51</v>
      </c>
      <c r="X99" s="190">
        <f t="shared" si="18"/>
        <v>393.64299999999997</v>
      </c>
      <c r="Y99" s="191">
        <f t="shared" si="19"/>
        <v>915.81245886547185</v>
      </c>
      <c r="Z99" s="190">
        <f t="shared" si="30"/>
        <v>340.11600000000004</v>
      </c>
      <c r="AA99" s="191">
        <f t="shared" si="31"/>
        <v>832.94472204254805</v>
      </c>
      <c r="AB99" s="190">
        <f t="shared" si="22"/>
        <v>283.50510000000003</v>
      </c>
      <c r="AC99" s="191">
        <f t="shared" si="23"/>
        <v>745.0082880041615</v>
      </c>
      <c r="AF99" s="187">
        <v>51</v>
      </c>
      <c r="AG99" s="190">
        <f t="shared" si="24"/>
        <v>370.36159999999995</v>
      </c>
      <c r="AH99" s="191">
        <f t="shared" si="25"/>
        <v>773.87980594590897</v>
      </c>
      <c r="AI99" s="190">
        <f t="shared" si="26"/>
        <v>286.07870000000003</v>
      </c>
      <c r="AJ99" s="191">
        <f t="shared" si="27"/>
        <v>666.75672659302302</v>
      </c>
      <c r="AK99" s="190">
        <f t="shared" si="28"/>
        <v>215.41749999999996</v>
      </c>
      <c r="AL99" s="191">
        <f t="shared" si="29"/>
        <v>576.42930034918027</v>
      </c>
    </row>
    <row r="100" spans="3:38" x14ac:dyDescent="0.25">
      <c r="C100" s="183"/>
      <c r="E100" s="187">
        <v>52</v>
      </c>
      <c r="F100" s="190">
        <f t="shared" si="6"/>
        <v>393.96320000000003</v>
      </c>
      <c r="G100" s="191">
        <f t="shared" si="7"/>
        <v>803.78042177876966</v>
      </c>
      <c r="H100" s="190">
        <f t="shared" si="8"/>
        <v>318.09440000000001</v>
      </c>
      <c r="I100" s="191">
        <f t="shared" si="9"/>
        <v>707.51758444062796</v>
      </c>
      <c r="J100" s="190">
        <f t="shared" si="10"/>
        <v>250.26740000000001</v>
      </c>
      <c r="K100" s="191">
        <f t="shared" si="11"/>
        <v>621.04741088025969</v>
      </c>
      <c r="N100" s="187">
        <v>52</v>
      </c>
      <c r="O100" s="190">
        <f t="shared" si="12"/>
        <v>136.21009999999998</v>
      </c>
      <c r="P100" s="191">
        <f t="shared" si="13"/>
        <v>469.05846628008482</v>
      </c>
      <c r="Q100" s="190">
        <f t="shared" si="14"/>
        <v>114.72220000000002</v>
      </c>
      <c r="R100" s="191">
        <f t="shared" si="15"/>
        <v>441.98509597331849</v>
      </c>
      <c r="S100" s="190">
        <f t="shared" si="16"/>
        <v>90.933599999999998</v>
      </c>
      <c r="T100" s="191">
        <f t="shared" si="17"/>
        <v>411.87296825143204</v>
      </c>
      <c r="W100" s="187">
        <v>52</v>
      </c>
      <c r="X100" s="190">
        <f t="shared" si="18"/>
        <v>401.57099999999997</v>
      </c>
      <c r="Y100" s="191">
        <f t="shared" si="19"/>
        <v>928.06590547115638</v>
      </c>
      <c r="Z100" s="190">
        <f t="shared" si="30"/>
        <v>347.01600000000002</v>
      </c>
      <c r="AA100" s="191">
        <f t="shared" si="31"/>
        <v>843.64108531752061</v>
      </c>
      <c r="AB100" s="190">
        <f t="shared" si="22"/>
        <v>289.19700000000006</v>
      </c>
      <c r="AC100" s="191">
        <f t="shared" si="23"/>
        <v>753.86518251603491</v>
      </c>
      <c r="AF100" s="187">
        <v>52</v>
      </c>
      <c r="AG100" s="190">
        <f t="shared" si="24"/>
        <v>375.09720000000004</v>
      </c>
      <c r="AH100" s="191">
        <f t="shared" si="25"/>
        <v>779.88237542237789</v>
      </c>
      <c r="AI100" s="190">
        <f t="shared" si="26"/>
        <v>289.55899999999997</v>
      </c>
      <c r="AJ100" s="191">
        <f t="shared" si="27"/>
        <v>671.1921822381438</v>
      </c>
      <c r="AK100" s="190">
        <f t="shared" si="28"/>
        <v>217.43239999999997</v>
      </c>
      <c r="AL100" s="191">
        <f t="shared" si="29"/>
        <v>579.01301777586514</v>
      </c>
    </row>
    <row r="101" spans="3:38" x14ac:dyDescent="0.25">
      <c r="C101" s="183"/>
      <c r="E101" s="187">
        <v>53</v>
      </c>
      <c r="F101" s="190">
        <f t="shared" si="6"/>
        <v>403.89339999999999</v>
      </c>
      <c r="G101" s="191">
        <f t="shared" si="7"/>
        <v>816.3496908805356</v>
      </c>
      <c r="H101" s="190">
        <f t="shared" si="8"/>
        <v>326.06689999999998</v>
      </c>
      <c r="I101" s="191">
        <f t="shared" si="9"/>
        <v>717.65395957437192</v>
      </c>
      <c r="J101" s="190">
        <f t="shared" si="10"/>
        <v>256.94590000000005</v>
      </c>
      <c r="K101" s="191">
        <f t="shared" si="11"/>
        <v>629.58188950721842</v>
      </c>
      <c r="N101" s="187">
        <v>53</v>
      </c>
      <c r="O101" s="190">
        <f t="shared" si="12"/>
        <v>138.73019999999997</v>
      </c>
      <c r="P101" s="191">
        <f t="shared" si="13"/>
        <v>472.22687299832046</v>
      </c>
      <c r="Q101" s="190">
        <f t="shared" si="14"/>
        <v>116.5283</v>
      </c>
      <c r="R101" s="191">
        <f t="shared" si="15"/>
        <v>444.2649032510958</v>
      </c>
      <c r="S101" s="190">
        <f t="shared" si="16"/>
        <v>92.353399999999993</v>
      </c>
      <c r="T101" s="191">
        <f t="shared" si="17"/>
        <v>413.67497338412204</v>
      </c>
      <c r="W101" s="187">
        <v>53</v>
      </c>
      <c r="X101" s="190">
        <f t="shared" si="18"/>
        <v>409.49899999999997</v>
      </c>
      <c r="Y101" s="191">
        <f t="shared" si="19"/>
        <v>940.31446378988346</v>
      </c>
      <c r="Z101" s="190">
        <f t="shared" si="30"/>
        <v>353.91600000000005</v>
      </c>
      <c r="AA101" s="191">
        <f t="shared" si="31"/>
        <v>854.33309024185166</v>
      </c>
      <c r="AB101" s="190">
        <f t="shared" si="22"/>
        <v>294.88890000000004</v>
      </c>
      <c r="AC101" s="191">
        <f t="shared" si="23"/>
        <v>762.71844200404371</v>
      </c>
      <c r="AF101" s="187">
        <v>53</v>
      </c>
      <c r="AG101" s="190">
        <f t="shared" si="24"/>
        <v>379.45839999999998</v>
      </c>
      <c r="AH101" s="191">
        <f t="shared" si="25"/>
        <v>785.40898650538134</v>
      </c>
      <c r="AI101" s="190">
        <f t="shared" si="26"/>
        <v>292.80229999999995</v>
      </c>
      <c r="AJ101" s="191">
        <f t="shared" si="27"/>
        <v>675.32457353744724</v>
      </c>
      <c r="AK101" s="190">
        <f t="shared" si="28"/>
        <v>219.24650000000003</v>
      </c>
      <c r="AL101" s="191">
        <f t="shared" si="29"/>
        <v>581.33880063772801</v>
      </c>
    </row>
    <row r="102" spans="3:38" x14ac:dyDescent="0.25">
      <c r="C102" s="183"/>
      <c r="E102" s="187">
        <v>54</v>
      </c>
      <c r="F102" s="190">
        <f t="shared" si="6"/>
        <v>414.00639999999999</v>
      </c>
      <c r="G102" s="191">
        <f t="shared" si="7"/>
        <v>829.14380123916101</v>
      </c>
      <c r="H102" s="190">
        <f t="shared" si="8"/>
        <v>334.05519999999996</v>
      </c>
      <c r="I102" s="191">
        <f t="shared" si="9"/>
        <v>727.80519810920509</v>
      </c>
      <c r="J102" s="190">
        <f t="shared" si="10"/>
        <v>263.61920000000009</v>
      </c>
      <c r="K102" s="191">
        <f t="shared" si="11"/>
        <v>638.10495891061203</v>
      </c>
      <c r="N102" s="187">
        <v>54</v>
      </c>
      <c r="O102" s="190">
        <f t="shared" si="12"/>
        <v>141.25029999999998</v>
      </c>
      <c r="P102" s="191">
        <f t="shared" si="13"/>
        <v>475.3939643862754</v>
      </c>
      <c r="Q102" s="190">
        <f t="shared" si="14"/>
        <v>118.33439999999999</v>
      </c>
      <c r="R102" s="191">
        <f t="shared" si="15"/>
        <v>446.5438897411168</v>
      </c>
      <c r="S102" s="190">
        <f t="shared" si="16"/>
        <v>93.773200000000003</v>
      </c>
      <c r="T102" s="191">
        <f t="shared" si="17"/>
        <v>415.47632095933875</v>
      </c>
      <c r="W102" s="187">
        <v>54</v>
      </c>
      <c r="X102" s="190">
        <f t="shared" si="18"/>
        <v>417.42700000000002</v>
      </c>
      <c r="Y102" s="191">
        <f t="shared" si="19"/>
        <v>952.55823937033176</v>
      </c>
      <c r="Z102" s="190">
        <f t="shared" si="30"/>
        <v>360.81600000000003</v>
      </c>
      <c r="AA102" s="191">
        <f t="shared" si="31"/>
        <v>865.02083158179505</v>
      </c>
      <c r="AB102" s="190">
        <f t="shared" si="22"/>
        <v>300.58080000000007</v>
      </c>
      <c r="AC102" s="191">
        <f t="shared" si="23"/>
        <v>771.56814471966823</v>
      </c>
      <c r="AF102" s="187">
        <v>54</v>
      </c>
      <c r="AG102" s="190">
        <f t="shared" si="24"/>
        <v>383.43080000000009</v>
      </c>
      <c r="AH102" s="191">
        <f t="shared" si="25"/>
        <v>790.44175575025042</v>
      </c>
      <c r="AI102" s="190">
        <f t="shared" si="26"/>
        <v>295.80199999999996</v>
      </c>
      <c r="AJ102" s="191">
        <f t="shared" si="27"/>
        <v>679.14572075125295</v>
      </c>
      <c r="AK102" s="190">
        <f t="shared" si="28"/>
        <v>220.85560000000004</v>
      </c>
      <c r="AL102" s="191">
        <f t="shared" si="29"/>
        <v>583.40140976986561</v>
      </c>
    </row>
    <row r="103" spans="3:38" x14ac:dyDescent="0.25">
      <c r="C103" s="183"/>
      <c r="E103" s="187">
        <v>55</v>
      </c>
      <c r="F103" s="190">
        <f t="shared" si="6"/>
        <v>424.31000000000006</v>
      </c>
      <c r="G103" s="191">
        <f t="shared" si="7"/>
        <v>842.17244000251037</v>
      </c>
      <c r="H103" s="190">
        <f t="shared" si="8"/>
        <v>342.05449999999996</v>
      </c>
      <c r="I103" s="191">
        <f t="shared" si="9"/>
        <v>737.96531378354382</v>
      </c>
      <c r="J103" s="190">
        <f t="shared" si="10"/>
        <v>270.27949999999998</v>
      </c>
      <c r="K103" s="191">
        <f t="shared" si="11"/>
        <v>646.6068104613754</v>
      </c>
      <c r="N103" s="187">
        <v>55</v>
      </c>
      <c r="O103" s="190">
        <f t="shared" si="12"/>
        <v>143.77039999999997</v>
      </c>
      <c r="P103" s="191">
        <f t="shared" si="13"/>
        <v>478.55976661846296</v>
      </c>
      <c r="Q103" s="190">
        <f t="shared" si="14"/>
        <v>120.1405</v>
      </c>
      <c r="R103" s="191">
        <f t="shared" si="15"/>
        <v>448.82206941767009</v>
      </c>
      <c r="S103" s="190">
        <f t="shared" si="16"/>
        <v>95.192999999999998</v>
      </c>
      <c r="T103" s="191">
        <f t="shared" si="17"/>
        <v>417.27702208295631</v>
      </c>
      <c r="W103" s="187">
        <v>55</v>
      </c>
      <c r="X103" s="190">
        <f t="shared" si="18"/>
        <v>425.35500000000002</v>
      </c>
      <c r="Y103" s="191">
        <f t="shared" si="19"/>
        <v>964.79733352248809</v>
      </c>
      <c r="Z103" s="190">
        <f t="shared" si="30"/>
        <v>367.71600000000001</v>
      </c>
      <c r="AA103" s="191">
        <f t="shared" si="31"/>
        <v>875.70440027173527</v>
      </c>
      <c r="AB103" s="190">
        <f t="shared" si="22"/>
        <v>306.27270000000004</v>
      </c>
      <c r="AC103" s="191">
        <f t="shared" si="23"/>
        <v>780.41436578120658</v>
      </c>
      <c r="AF103" s="187">
        <v>55</v>
      </c>
      <c r="AG103" s="190">
        <f t="shared" si="24"/>
        <v>387</v>
      </c>
      <c r="AH103" s="191">
        <f t="shared" si="25"/>
        <v>794.96277632581439</v>
      </c>
      <c r="AI103" s="190">
        <f t="shared" si="26"/>
        <v>298.55150000000003</v>
      </c>
      <c r="AJ103" s="191">
        <f t="shared" si="27"/>
        <v>682.6474300299476</v>
      </c>
      <c r="AK103" s="190">
        <f t="shared" si="28"/>
        <v>222.25550000000004</v>
      </c>
      <c r="AL103" s="191">
        <f t="shared" si="29"/>
        <v>585.19559117465337</v>
      </c>
    </row>
    <row r="104" spans="3:38" x14ac:dyDescent="0.25">
      <c r="C104" s="183"/>
      <c r="E104" s="187">
        <v>56</v>
      </c>
      <c r="F104" s="190">
        <f t="shared" si="6"/>
        <v>434.81199999999995</v>
      </c>
      <c r="G104" s="191">
        <f t="shared" si="7"/>
        <v>855.44527825651198</v>
      </c>
      <c r="H104" s="190">
        <f t="shared" si="8"/>
        <v>350.05999999999995</v>
      </c>
      <c r="I104" s="191">
        <f t="shared" si="9"/>
        <v>748.1283267791357</v>
      </c>
      <c r="J104" s="190">
        <f t="shared" si="10"/>
        <v>276.91899999999998</v>
      </c>
      <c r="K104" s="191">
        <f t="shared" si="11"/>
        <v>655.07764859184772</v>
      </c>
      <c r="N104" s="187">
        <v>56</v>
      </c>
      <c r="O104" s="190">
        <f t="shared" si="12"/>
        <v>146.29049999999998</v>
      </c>
      <c r="P104" s="191">
        <f t="shared" si="13"/>
        <v>481.72430489922601</v>
      </c>
      <c r="Q104" s="190">
        <f t="shared" si="14"/>
        <v>121.94659999999999</v>
      </c>
      <c r="R104" s="191">
        <f t="shared" si="15"/>
        <v>451.09945581077278</v>
      </c>
      <c r="S104" s="190">
        <f t="shared" si="16"/>
        <v>96.612799999999993</v>
      </c>
      <c r="T104" s="191">
        <f t="shared" si="17"/>
        <v>419.07708751054616</v>
      </c>
      <c r="W104" s="187">
        <v>56</v>
      </c>
      <c r="X104" s="190">
        <f t="shared" si="18"/>
        <v>433.28300000000002</v>
      </c>
      <c r="Y104" s="191">
        <f t="shared" si="19"/>
        <v>977.03184356364102</v>
      </c>
      <c r="Z104" s="190">
        <f t="shared" si="30"/>
        <v>374.61600000000004</v>
      </c>
      <c r="AA104" s="191">
        <f t="shared" si="31"/>
        <v>886.38388363807235</v>
      </c>
      <c r="AB104" s="190">
        <f t="shared" si="22"/>
        <v>311.96460000000002</v>
      </c>
      <c r="AC104" s="191">
        <f t="shared" si="23"/>
        <v>789.25717735508431</v>
      </c>
      <c r="AF104" s="187">
        <v>56</v>
      </c>
      <c r="AG104" s="190">
        <f t="shared" si="24"/>
        <v>390.15160000000003</v>
      </c>
      <c r="AH104" s="191">
        <f t="shared" si="25"/>
        <v>798.95411579822064</v>
      </c>
      <c r="AI104" s="190">
        <f t="shared" si="26"/>
        <v>301.04419999999999</v>
      </c>
      <c r="AJ104" s="191">
        <f t="shared" si="27"/>
        <v>685.82149283867443</v>
      </c>
      <c r="AK104" s="190">
        <f t="shared" si="28"/>
        <v>223.44200000000001</v>
      </c>
      <c r="AL104" s="191">
        <f t="shared" si="29"/>
        <v>586.71607556744175</v>
      </c>
    </row>
    <row r="105" spans="3:38" x14ac:dyDescent="0.25">
      <c r="C105" s="183"/>
      <c r="E105" s="187">
        <v>57</v>
      </c>
      <c r="F105" s="190">
        <f t="shared" si="6"/>
        <v>445.52020000000005</v>
      </c>
      <c r="G105" s="191">
        <f t="shared" si="7"/>
        <v>868.97197136379714</v>
      </c>
      <c r="H105" s="190">
        <f t="shared" si="8"/>
        <v>358.06689999999998</v>
      </c>
      <c r="I105" s="191">
        <f t="shared" si="9"/>
        <v>758.28826337692703</v>
      </c>
      <c r="J105" s="190">
        <f t="shared" si="10"/>
        <v>283.5299</v>
      </c>
      <c r="K105" s="191">
        <f t="shared" si="11"/>
        <v>663.50768987901654</v>
      </c>
      <c r="N105" s="187">
        <v>57</v>
      </c>
      <c r="O105" s="190">
        <f t="shared" si="12"/>
        <v>148.81059999999997</v>
      </c>
      <c r="P105" s="191">
        <f t="shared" si="13"/>
        <v>484.88760351477805</v>
      </c>
      <c r="Q105" s="190">
        <f t="shared" si="14"/>
        <v>123.7527</v>
      </c>
      <c r="R105" s="191">
        <f t="shared" si="15"/>
        <v>453.37606202666103</v>
      </c>
      <c r="S105" s="190">
        <f t="shared" si="16"/>
        <v>98.032600000000002</v>
      </c>
      <c r="T105" s="191">
        <f t="shared" si="17"/>
        <v>420.87652766340864</v>
      </c>
      <c r="W105" s="187">
        <v>57</v>
      </c>
      <c r="X105" s="190">
        <f t="shared" si="18"/>
        <v>441.21100000000001</v>
      </c>
      <c r="Y105" s="191">
        <f t="shared" si="19"/>
        <v>989.26186304586304</v>
      </c>
      <c r="Z105" s="190">
        <f t="shared" si="30"/>
        <v>381.51600000000002</v>
      </c>
      <c r="AA105" s="191">
        <f t="shared" si="31"/>
        <v>897.05936560614714</v>
      </c>
      <c r="AB105" s="190">
        <f t="shared" si="22"/>
        <v>317.65650000000005</v>
      </c>
      <c r="AC105" s="191">
        <f t="shared" si="23"/>
        <v>798.09664882355514</v>
      </c>
      <c r="AF105" s="187">
        <v>57</v>
      </c>
      <c r="AG105" s="190">
        <f t="shared" si="24"/>
        <v>392.87120000000004</v>
      </c>
      <c r="AH105" s="191">
        <f t="shared" si="25"/>
        <v>802.39781372943276</v>
      </c>
      <c r="AI105" s="190">
        <f t="shared" si="26"/>
        <v>303.27350000000001</v>
      </c>
      <c r="AJ105" s="191">
        <f t="shared" si="27"/>
        <v>688.65968530259624</v>
      </c>
      <c r="AK105" s="190">
        <f t="shared" si="28"/>
        <v>224.41089999999997</v>
      </c>
      <c r="AL105" s="191">
        <f t="shared" si="29"/>
        <v>587.9575778354847</v>
      </c>
    </row>
    <row r="106" spans="3:38" x14ac:dyDescent="0.25">
      <c r="C106" s="183"/>
      <c r="E106" s="187">
        <v>58</v>
      </c>
      <c r="F106" s="190">
        <f t="shared" si="6"/>
        <v>456.44240000000013</v>
      </c>
      <c r="G106" s="191">
        <f t="shared" si="7"/>
        <v>882.76215927751264</v>
      </c>
      <c r="H106" s="190">
        <f t="shared" si="8"/>
        <v>366.07040000000001</v>
      </c>
      <c r="I106" s="191">
        <f t="shared" si="9"/>
        <v>768.43915562871848</v>
      </c>
      <c r="J106" s="190">
        <f t="shared" si="10"/>
        <v>290.1044</v>
      </c>
      <c r="K106" s="191">
        <f t="shared" si="11"/>
        <v>671.88716216778857</v>
      </c>
      <c r="N106" s="187">
        <v>58</v>
      </c>
      <c r="O106" s="190">
        <f t="shared" si="12"/>
        <v>151.33069999999998</v>
      </c>
      <c r="P106" s="191">
        <f t="shared" si="13"/>
        <v>488.04968588162075</v>
      </c>
      <c r="Q106" s="190">
        <f t="shared" si="14"/>
        <v>125.55879999999999</v>
      </c>
      <c r="R106" s="191">
        <f t="shared" si="15"/>
        <v>455.65190076705085</v>
      </c>
      <c r="S106" s="190">
        <f t="shared" si="16"/>
        <v>99.452399999999997</v>
      </c>
      <c r="T106" s="191">
        <f t="shared" si="17"/>
        <v>422.67535264364909</v>
      </c>
      <c r="W106" s="187">
        <v>58</v>
      </c>
      <c r="X106" s="190">
        <f t="shared" si="18"/>
        <v>449.13900000000001</v>
      </c>
      <c r="Y106" s="191">
        <f t="shared" si="19"/>
        <v>1001.4874819666792</v>
      </c>
      <c r="Z106" s="190">
        <f t="shared" si="30"/>
        <v>388.41600000000005</v>
      </c>
      <c r="AA106" s="191">
        <f t="shared" si="31"/>
        <v>907.73092689177383</v>
      </c>
      <c r="AB106" s="190">
        <f t="shared" si="22"/>
        <v>323.34840000000003</v>
      </c>
      <c r="AC106" s="191">
        <f t="shared" si="23"/>
        <v>806.93284694004365</v>
      </c>
      <c r="AF106" s="187">
        <v>58</v>
      </c>
      <c r="AG106" s="190">
        <f t="shared" si="24"/>
        <v>395.14440000000008</v>
      </c>
      <c r="AH106" s="191">
        <f t="shared" si="25"/>
        <v>805.27587906800807</v>
      </c>
      <c r="AI106" s="190">
        <f t="shared" si="26"/>
        <v>305.2328</v>
      </c>
      <c r="AJ106" s="191">
        <f t="shared" si="27"/>
        <v>691.15376746889376</v>
      </c>
      <c r="AK106" s="190">
        <f t="shared" si="28"/>
        <v>225.15800000000002</v>
      </c>
      <c r="AL106" s="191">
        <f t="shared" si="29"/>
        <v>588.91479640595423</v>
      </c>
    </row>
    <row r="107" spans="3:38" x14ac:dyDescent="0.25">
      <c r="C107" s="183"/>
      <c r="E107" s="187">
        <v>59</v>
      </c>
      <c r="F107" s="190">
        <f t="shared" si="6"/>
        <v>467.58639999999991</v>
      </c>
      <c r="G107" s="191">
        <f t="shared" si="7"/>
        <v>896.82546683367593</v>
      </c>
      <c r="H107" s="190">
        <f t="shared" si="8"/>
        <v>374.06569999999999</v>
      </c>
      <c r="I107" s="191">
        <f t="shared" si="9"/>
        <v>778.57504104340182</v>
      </c>
      <c r="J107" s="190">
        <f t="shared" si="10"/>
        <v>296.63470000000007</v>
      </c>
      <c r="K107" s="191">
        <f t="shared" si="11"/>
        <v>680.20630373100937</v>
      </c>
      <c r="N107" s="187">
        <v>59</v>
      </c>
      <c r="O107" s="190">
        <f t="shared" si="12"/>
        <v>153.85079999999996</v>
      </c>
      <c r="P107" s="191">
        <f t="shared" si="13"/>
        <v>491.21057459164331</v>
      </c>
      <c r="Q107" s="190">
        <f t="shared" si="14"/>
        <v>127.36490000000001</v>
      </c>
      <c r="R107" s="191">
        <f t="shared" si="15"/>
        <v>457.92698434725952</v>
      </c>
      <c r="S107" s="190">
        <f t="shared" si="16"/>
        <v>100.87219999999999</v>
      </c>
      <c r="T107" s="191">
        <f t="shared" si="17"/>
        <v>424.47357224836969</v>
      </c>
      <c r="W107" s="187">
        <v>59</v>
      </c>
      <c r="X107" s="190">
        <f t="shared" si="18"/>
        <v>457.06700000000001</v>
      </c>
      <c r="Y107" s="191">
        <f t="shared" si="19"/>
        <v>1013.7087869644398</v>
      </c>
      <c r="Z107" s="190">
        <f t="shared" si="30"/>
        <v>395.31600000000003</v>
      </c>
      <c r="AA107" s="191">
        <f t="shared" si="31"/>
        <v>918.39864517877606</v>
      </c>
      <c r="AB107" s="190">
        <f t="shared" si="22"/>
        <v>329.04030000000006</v>
      </c>
      <c r="AC107" s="191">
        <f t="shared" si="23"/>
        <v>815.76583597323906</v>
      </c>
      <c r="AF107" s="187">
        <v>59</v>
      </c>
      <c r="AG107" s="190">
        <f t="shared" si="24"/>
        <v>396.95679999999999</v>
      </c>
      <c r="AH107" s="191">
        <f t="shared" si="25"/>
        <v>807.57028730616298</v>
      </c>
      <c r="AI107" s="190">
        <f t="shared" si="26"/>
        <v>306.91550000000001</v>
      </c>
      <c r="AJ107" s="191">
        <f t="shared" si="27"/>
        <v>693.29548248057415</v>
      </c>
      <c r="AK107" s="190">
        <f t="shared" si="28"/>
        <v>225.67910000000001</v>
      </c>
      <c r="AL107" s="191">
        <f t="shared" si="29"/>
        <v>589.5824125175767</v>
      </c>
    </row>
    <row r="108" spans="3:38" x14ac:dyDescent="0.25">
      <c r="C108" s="183"/>
      <c r="E108" s="187">
        <v>60</v>
      </c>
      <c r="F108" s="190">
        <f t="shared" si="6"/>
        <v>478.96000000000004</v>
      </c>
      <c r="G108" s="191">
        <f t="shared" si="7"/>
        <v>911.17150402502966</v>
      </c>
      <c r="H108" s="190">
        <f t="shared" si="8"/>
        <v>382.048</v>
      </c>
      <c r="I108" s="191">
        <f t="shared" si="9"/>
        <v>788.68996228665912</v>
      </c>
      <c r="J108" s="190">
        <f t="shared" si="10"/>
        <v>303.11299999999994</v>
      </c>
      <c r="K108" s="191">
        <f t="shared" si="11"/>
        <v>688.45536246308211</v>
      </c>
      <c r="N108" s="187">
        <v>60</v>
      </c>
      <c r="O108" s="190">
        <f t="shared" si="12"/>
        <v>156.37089999999998</v>
      </c>
      <c r="P108" s="191">
        <f t="shared" si="13"/>
        <v>494.37029145418489</v>
      </c>
      <c r="Q108" s="190">
        <f t="shared" si="14"/>
        <v>129.17099999999999</v>
      </c>
      <c r="R108" s="191">
        <f t="shared" si="15"/>
        <v>460.20132471326929</v>
      </c>
      <c r="S108" s="190">
        <f t="shared" si="16"/>
        <v>102.292</v>
      </c>
      <c r="T108" s="191">
        <f t="shared" si="17"/>
        <v>426.27119598303841</v>
      </c>
      <c r="W108" s="187">
        <v>60</v>
      </c>
      <c r="X108" s="190">
        <f t="shared" si="18"/>
        <v>464.995</v>
      </c>
      <c r="Y108" s="191">
        <f t="shared" si="19"/>
        <v>1025.9258614997534</v>
      </c>
      <c r="Z108" s="190">
        <f t="shared" si="30"/>
        <v>402.21600000000001</v>
      </c>
      <c r="AA108" s="191">
        <f t="shared" si="31"/>
        <v>929.06259528377859</v>
      </c>
      <c r="AB108" s="190">
        <f t="shared" si="22"/>
        <v>334.73220000000003</v>
      </c>
      <c r="AC108" s="191">
        <f t="shared" si="23"/>
        <v>824.59567784093701</v>
      </c>
      <c r="AF108" s="187">
        <v>60</v>
      </c>
      <c r="AG108" s="190">
        <f t="shared" si="24"/>
        <v>398.2940000000001</v>
      </c>
      <c r="AH108" s="191">
        <f t="shared" si="25"/>
        <v>809.26297737289156</v>
      </c>
      <c r="AI108" s="190">
        <f t="shared" si="26"/>
        <v>308.31499999999994</v>
      </c>
      <c r="AJ108" s="191">
        <f t="shared" si="27"/>
        <v>695.07655565599771</v>
      </c>
      <c r="AK108" s="190">
        <f t="shared" si="28"/>
        <v>225.97000000000003</v>
      </c>
      <c r="AL108" s="191">
        <f t="shared" si="29"/>
        <v>589.95508938900673</v>
      </c>
    </row>
    <row r="109" spans="3:38" x14ac:dyDescent="0.25">
      <c r="C109" s="183"/>
      <c r="E109" s="187">
        <v>61</v>
      </c>
      <c r="F109" s="190">
        <f t="shared" si="6"/>
        <v>490.57100000000003</v>
      </c>
      <c r="G109" s="191">
        <f t="shared" si="7"/>
        <v>925.80986625898754</v>
      </c>
      <c r="H109" s="190">
        <f t="shared" si="8"/>
        <v>390.01249999999999</v>
      </c>
      <c r="I109" s="191">
        <f t="shared" si="9"/>
        <v>798.77796689309218</v>
      </c>
      <c r="J109" s="190">
        <f t="shared" si="10"/>
        <v>309.53150000000005</v>
      </c>
      <c r="K109" s="191">
        <f t="shared" si="11"/>
        <v>696.62459510417068</v>
      </c>
      <c r="N109" s="187">
        <v>61</v>
      </c>
      <c r="O109" s="190">
        <f t="shared" si="12"/>
        <v>158.89099999999996</v>
      </c>
      <c r="P109" s="191">
        <f t="shared" si="13"/>
        <v>497.52885753530677</v>
      </c>
      <c r="Q109" s="190">
        <f t="shared" si="14"/>
        <v>130.97710000000001</v>
      </c>
      <c r="R109" s="191">
        <f t="shared" si="15"/>
        <v>462.47493345780987</v>
      </c>
      <c r="S109" s="190">
        <f t="shared" si="16"/>
        <v>103.7118</v>
      </c>
      <c r="T109" s="191">
        <f t="shared" si="17"/>
        <v>428.06823307409553</v>
      </c>
      <c r="W109" s="187">
        <v>61</v>
      </c>
      <c r="X109" s="190">
        <f t="shared" si="18"/>
        <v>472.923</v>
      </c>
      <c r="Y109" s="191">
        <f t="shared" si="19"/>
        <v>1038.1387860241987</v>
      </c>
      <c r="Z109" s="190">
        <f t="shared" si="30"/>
        <v>409.11600000000004</v>
      </c>
      <c r="AA109" s="191">
        <f t="shared" si="31"/>
        <v>939.72284930936837</v>
      </c>
      <c r="AB109" s="190">
        <f t="shared" si="22"/>
        <v>340.42410000000007</v>
      </c>
      <c r="AC109" s="191">
        <f t="shared" si="23"/>
        <v>833.42243223451919</v>
      </c>
      <c r="AF109" s="187">
        <v>61</v>
      </c>
      <c r="AG109" s="190">
        <f t="shared" si="24"/>
        <v>399.14160000000004</v>
      </c>
      <c r="AH109" s="191">
        <f t="shared" si="25"/>
        <v>810.3358482279051</v>
      </c>
      <c r="AI109" s="190">
        <f t="shared" si="26"/>
        <v>309.42469999999997</v>
      </c>
      <c r="AJ109" s="191">
        <f t="shared" si="27"/>
        <v>696.4886934667519</v>
      </c>
      <c r="AK109" s="190">
        <f t="shared" si="28"/>
        <v>226.0265</v>
      </c>
      <c r="AL109" s="191">
        <f t="shared" si="29"/>
        <v>590.02747127546411</v>
      </c>
    </row>
    <row r="110" spans="3:38" x14ac:dyDescent="0.25">
      <c r="C110" s="183"/>
      <c r="E110" s="187">
        <v>62</v>
      </c>
      <c r="F110" s="190">
        <f t="shared" si="6"/>
        <v>502.42720000000008</v>
      </c>
      <c r="G110" s="191">
        <f t="shared" si="7"/>
        <v>940.750134601951</v>
      </c>
      <c r="H110" s="190">
        <f t="shared" si="8"/>
        <v>397.95439999999991</v>
      </c>
      <c r="I110" s="191">
        <f t="shared" si="9"/>
        <v>808.83310698981813</v>
      </c>
      <c r="J110" s="190">
        <f t="shared" si="10"/>
        <v>315.88239999999996</v>
      </c>
      <c r="K110" s="191">
        <f t="shared" si="11"/>
        <v>704.70426649208616</v>
      </c>
      <c r="N110" s="187">
        <v>62</v>
      </c>
      <c r="O110" s="190">
        <f t="shared" si="12"/>
        <v>161.41109999999998</v>
      </c>
      <c r="P110" s="191">
        <f t="shared" si="13"/>
        <v>500.68629319450372</v>
      </c>
      <c r="Q110" s="190">
        <f t="shared" si="14"/>
        <v>132.78319999999999</v>
      </c>
      <c r="R110" s="191">
        <f t="shared" si="15"/>
        <v>464.74782183552873</v>
      </c>
      <c r="S110" s="190">
        <f t="shared" si="16"/>
        <v>105.13159999999999</v>
      </c>
      <c r="T110" s="191">
        <f t="shared" si="17"/>
        <v>429.86469248084973</v>
      </c>
      <c r="W110" s="187">
        <v>62</v>
      </c>
      <c r="X110" s="190">
        <f t="shared" si="18"/>
        <v>480.851</v>
      </c>
      <c r="Y110" s="191">
        <f t="shared" si="19"/>
        <v>1050.3476381373971</v>
      </c>
      <c r="Z110" s="190">
        <f t="shared" si="30"/>
        <v>416.01600000000002</v>
      </c>
      <c r="AA110" s="191">
        <f t="shared" si="31"/>
        <v>950.37947678663227</v>
      </c>
      <c r="AB110" s="190">
        <f t="shared" si="22"/>
        <v>346.11600000000004</v>
      </c>
      <c r="AC110" s="191">
        <f t="shared" si="23"/>
        <v>842.2461567348721</v>
      </c>
      <c r="AF110" s="74">
        <v>62</v>
      </c>
      <c r="AG110" s="190">
        <f t="shared" si="24"/>
        <v>399.48520000000008</v>
      </c>
      <c r="AH110" s="191">
        <f t="shared" si="25"/>
        <v>810.77075511519092</v>
      </c>
      <c r="AI110" s="190">
        <f t="shared" si="26"/>
        <v>310.238</v>
      </c>
      <c r="AJ110" s="191">
        <f t="shared" si="27"/>
        <v>697.52358240507556</v>
      </c>
      <c r="AK110" s="190">
        <f t="shared" si="28"/>
        <v>225.84440000000001</v>
      </c>
      <c r="AL110" s="191">
        <f t="shared" si="29"/>
        <v>589.79418240338089</v>
      </c>
    </row>
    <row r="111" spans="3:38" x14ac:dyDescent="0.25">
      <c r="C111" s="183"/>
      <c r="E111" s="187">
        <v>63</v>
      </c>
      <c r="F111" s="190">
        <f t="shared" si="6"/>
        <v>514.53639999999996</v>
      </c>
      <c r="G111" s="191">
        <f t="shared" si="7"/>
        <v>956.0018760119824</v>
      </c>
      <c r="H111" s="190">
        <f t="shared" si="8"/>
        <v>405.8689</v>
      </c>
      <c r="I111" s="191">
        <f t="shared" si="9"/>
        <v>818.84943903063959</v>
      </c>
      <c r="J111" s="190">
        <f t="shared" si="10"/>
        <v>322.15789999999998</v>
      </c>
      <c r="K111" s="191">
        <f t="shared" si="11"/>
        <v>712.68464883909701</v>
      </c>
      <c r="N111" s="187">
        <v>63</v>
      </c>
      <c r="O111" s="190">
        <f t="shared" si="12"/>
        <v>163.93119999999996</v>
      </c>
      <c r="P111" s="191">
        <f t="shared" si="13"/>
        <v>503.84261811905685</v>
      </c>
      <c r="Q111" s="190">
        <f t="shared" si="14"/>
        <v>134.58930000000001</v>
      </c>
      <c r="R111" s="191">
        <f t="shared" si="15"/>
        <v>467.02000077731253</v>
      </c>
      <c r="S111" s="190">
        <f t="shared" si="16"/>
        <v>106.5514</v>
      </c>
      <c r="T111" s="191">
        <f t="shared" si="17"/>
        <v>431.6605829067131</v>
      </c>
      <c r="W111" s="187">
        <v>63</v>
      </c>
      <c r="X111" s="190">
        <f t="shared" si="18"/>
        <v>488.779</v>
      </c>
      <c r="Y111" s="191">
        <f t="shared" si="19"/>
        <v>1062.5524927334404</v>
      </c>
      <c r="Z111" s="190">
        <f t="shared" si="30"/>
        <v>422.91600000000005</v>
      </c>
      <c r="AA111" s="191">
        <f t="shared" si="31"/>
        <v>961.03254480796932</v>
      </c>
      <c r="AB111" s="190">
        <f t="shared" si="22"/>
        <v>351.80790000000007</v>
      </c>
      <c r="AC111" s="191">
        <f t="shared" si="23"/>
        <v>851.06690692046607</v>
      </c>
      <c r="AF111" s="20"/>
      <c r="AG111" s="183"/>
      <c r="AH111" s="183"/>
      <c r="AI111" s="183"/>
      <c r="AJ111" s="183"/>
      <c r="AK111" s="183"/>
      <c r="AL111" s="183"/>
    </row>
    <row r="112" spans="3:38" x14ac:dyDescent="0.25">
      <c r="E112" s="187">
        <v>64</v>
      </c>
      <c r="F112" s="190">
        <f t="shared" si="6"/>
        <v>526.90640000000008</v>
      </c>
      <c r="G112" s="191">
        <f t="shared" si="7"/>
        <v>971.57464356157993</v>
      </c>
      <c r="H112" s="190">
        <f t="shared" si="8"/>
        <v>413.75119999999998</v>
      </c>
      <c r="I112" s="191">
        <f t="shared" si="9"/>
        <v>828.82102353995435</v>
      </c>
      <c r="J112" s="190">
        <f t="shared" si="10"/>
        <v>328.35020000000003</v>
      </c>
      <c r="K112" s="191">
        <f t="shared" si="11"/>
        <v>720.556021030995</v>
      </c>
      <c r="N112" s="187">
        <v>64</v>
      </c>
      <c r="O112" s="190">
        <f t="shared" si="12"/>
        <v>166.45129999999997</v>
      </c>
      <c r="P112" s="191">
        <f t="shared" si="13"/>
        <v>506.99785135621465</v>
      </c>
      <c r="Q112" s="190">
        <f t="shared" si="14"/>
        <v>136.3954</v>
      </c>
      <c r="R112" s="191">
        <f t="shared" si="15"/>
        <v>469.29148090381727</v>
      </c>
      <c r="S112" s="190">
        <f t="shared" si="16"/>
        <v>107.9712</v>
      </c>
      <c r="T112" s="191">
        <f t="shared" si="17"/>
        <v>433.45591280982075</v>
      </c>
      <c r="W112" s="187">
        <v>64</v>
      </c>
      <c r="X112" s="190">
        <f t="shared" si="18"/>
        <v>496.70699999999999</v>
      </c>
      <c r="Y112" s="191">
        <f t="shared" si="19"/>
        <v>1074.7534221375413</v>
      </c>
      <c r="Z112" s="190">
        <f t="shared" si="30"/>
        <v>429.81600000000003</v>
      </c>
      <c r="AA112" s="191">
        <f t="shared" si="31"/>
        <v>971.68211815099005</v>
      </c>
      <c r="AB112" s="190">
        <f t="shared" si="22"/>
        <v>357.49980000000005</v>
      </c>
      <c r="AC112" s="191">
        <f t="shared" si="23"/>
        <v>859.88473646823763</v>
      </c>
      <c r="AF112" s="20"/>
      <c r="AG112" s="183"/>
      <c r="AH112" s="183"/>
      <c r="AI112" s="183"/>
      <c r="AJ112" s="183"/>
      <c r="AK112" s="183"/>
      <c r="AL112" s="183"/>
    </row>
    <row r="113" spans="5:38" x14ac:dyDescent="0.25">
      <c r="E113" s="187">
        <v>65</v>
      </c>
      <c r="F113" s="190">
        <f t="shared" si="6"/>
        <v>539.54500000000007</v>
      </c>
      <c r="G113" s="191">
        <f t="shared" si="7"/>
        <v>987.47797665206315</v>
      </c>
      <c r="H113" s="190">
        <f t="shared" si="8"/>
        <v>421.59649999999999</v>
      </c>
      <c r="I113" s="191">
        <f t="shared" si="9"/>
        <v>838.74192486562993</v>
      </c>
      <c r="J113" s="190">
        <f t="shared" si="10"/>
        <v>334.45150000000001</v>
      </c>
      <c r="K113" s="191">
        <f t="shared" si="11"/>
        <v>728.30866794587132</v>
      </c>
      <c r="N113" s="187">
        <v>65</v>
      </c>
      <c r="O113" s="190">
        <f t="shared" si="12"/>
        <v>168.97139999999999</v>
      </c>
      <c r="P113" s="191">
        <f t="shared" si="13"/>
        <v>510.1520113433694</v>
      </c>
      <c r="Q113" s="190">
        <f t="shared" si="14"/>
        <v>138.20150000000001</v>
      </c>
      <c r="R113" s="191">
        <f t="shared" si="15"/>
        <v>471.56227253826285</v>
      </c>
      <c r="S113" s="190">
        <f t="shared" si="16"/>
        <v>109.39099999999999</v>
      </c>
      <c r="T113" s="191">
        <f t="shared" si="17"/>
        <v>435.25069041307574</v>
      </c>
      <c r="W113" s="187">
        <v>65</v>
      </c>
      <c r="X113" s="190">
        <f t="shared" si="18"/>
        <v>504.63500000000005</v>
      </c>
      <c r="Y113" s="191">
        <f t="shared" si="19"/>
        <v>1086.9504962337178</v>
      </c>
      <c r="Z113" s="190">
        <f t="shared" si="30"/>
        <v>436.71600000000001</v>
      </c>
      <c r="AA113" s="191">
        <f t="shared" si="31"/>
        <v>982.32825939423481</v>
      </c>
      <c r="AB113" s="190">
        <f t="shared" si="22"/>
        <v>363.19170000000003</v>
      </c>
      <c r="AC113" s="191">
        <f t="shared" si="23"/>
        <v>868.69969724786893</v>
      </c>
      <c r="AF113" s="20"/>
      <c r="AG113" s="183"/>
      <c r="AH113" s="183"/>
      <c r="AI113" s="183"/>
      <c r="AJ113" s="183"/>
      <c r="AK113" s="183"/>
      <c r="AL113" s="183"/>
    </row>
    <row r="114" spans="5:38" x14ac:dyDescent="0.25">
      <c r="E114" s="187">
        <v>66</v>
      </c>
      <c r="F114" s="190"/>
      <c r="G114" s="191"/>
      <c r="H114" s="190">
        <f t="shared" ref="H114:H130" si="32">-0.0008*(E114^3)+0.1351*(E114^2)+(0.4022*E114)+44.356</f>
        <v>429.4</v>
      </c>
      <c r="I114" s="191">
        <f t="shared" ref="I114:I130" si="33">IF(H114&gt;0,(((H114*F$3*F$4) +EXP(-1.0587+(0.8836*LN(H114*F$3*F$4))+0.284))*0.475+70+10)*(44/12),0)</f>
        <v>848.60621094011708</v>
      </c>
      <c r="J114" s="190">
        <f t="shared" ref="J114:J128" si="34" xml:space="preserve"> -0.0013*(E114^3) +0.2041*(E114^2) + (-4.0023*E114) +89.291</f>
        <v>340.45400000000012</v>
      </c>
      <c r="K114" s="191">
        <f t="shared" ref="K114:K128" si="35">IF(J114&gt;0,(((J114*F$3*F$4) +EXP(-1.0587+(0.8836*LN(J114*F$3*F$4))+0.284))*0.475+70+10)*(44/12),0)</f>
        <v>735.93287979014565</v>
      </c>
      <c r="N114" s="187">
        <v>66</v>
      </c>
      <c r="O114" s="190">
        <f t="shared" si="12"/>
        <v>171.49149999999997</v>
      </c>
      <c r="P114" s="191">
        <f t="shared" si="13"/>
        <v>513.30511593638187</v>
      </c>
      <c r="Q114" s="190">
        <f t="shared" ref="Q114:Q130" si="36">1.8061*N114+20.805</f>
        <v>140.0076</v>
      </c>
      <c r="R114" s="191">
        <f t="shared" ref="R114:R130" si="37">IF(Q114&gt;0,(((Q114*O$3*O$4) +EXP(-1.0587+(0.8836*LN(Q114*O$3*O$4))+0.284))*0.475+70+10)*(44/12),0)</f>
        <v>473.83238571853843</v>
      </c>
      <c r="S114" s="190">
        <f t="shared" ref="S114:S128" si="38">1.4198*N114+17.104</f>
        <v>110.8108</v>
      </c>
      <c r="T114" s="191">
        <f t="shared" ref="T114:T128" si="39">IF(S114&gt;0,(((S114*O$3*O$4) +EXP(-1.0587+(0.8836*LN(S114*O$3*O$4))+0.284))*0.475+70+10)*(44/12),0)</f>
        <v>437.04492371365774</v>
      </c>
      <c r="W114" s="187">
        <v>66</v>
      </c>
      <c r="X114" s="190">
        <f t="shared" ref="X114:X118" si="40">7.928*W114-10.685</f>
        <v>512.5630000000001</v>
      </c>
      <c r="Y114" s="191">
        <f t="shared" ref="Y114:Y118" si="41">IF(X114&gt;0,(((X114*X$3*X$4) +EXP(-1.0587+(0.8836*LN(X114*X$3*X$4))+0.284))*0.475+70+10)*(44/12),0)</f>
        <v>1099.1437825842233</v>
      </c>
      <c r="Z114" s="190">
        <f t="shared" si="30"/>
        <v>443.61600000000004</v>
      </c>
      <c r="AA114" s="191">
        <f t="shared" si="31"/>
        <v>992.97102902536915</v>
      </c>
      <c r="AB114" s="190">
        <f t="shared" ref="AB114:AB118" si="42">5.6919*W114-6.7818</f>
        <v>368.88360000000006</v>
      </c>
      <c r="AC114" s="191">
        <f t="shared" ref="AC114:AC118" si="43">IF(AB114&gt;0,(((AB114*X$3*X$4) +EXP(-1.0587+(0.8836*LN(AB114*X$3*X$4))+0.284))*0.475+70+10)*(44/12),0)</f>
        <v>877.51183940998794</v>
      </c>
      <c r="AF114" s="20"/>
      <c r="AG114" s="183"/>
      <c r="AH114" s="183"/>
      <c r="AI114" s="183"/>
      <c r="AJ114" s="183"/>
      <c r="AK114" s="183"/>
      <c r="AL114" s="183"/>
    </row>
    <row r="115" spans="5:38" x14ac:dyDescent="0.25">
      <c r="E115" s="187">
        <v>67</v>
      </c>
      <c r="F115" s="190"/>
      <c r="G115" s="191"/>
      <c r="H115" s="190">
        <f t="shared" si="32"/>
        <v>437.15689999999995</v>
      </c>
      <c r="I115" s="191">
        <f t="shared" si="33"/>
        <v>858.40795304912092</v>
      </c>
      <c r="J115" s="190">
        <f t="shared" si="34"/>
        <v>346.3499000000001</v>
      </c>
      <c r="K115" s="191">
        <f t="shared" si="35"/>
        <v>743.41895144947057</v>
      </c>
      <c r="N115" s="187">
        <v>67</v>
      </c>
      <c r="O115" s="190">
        <f t="shared" ref="O115:O178" si="44">2.5201*N115+5.1649</f>
        <v>174.01159999999999</v>
      </c>
      <c r="P115" s="191">
        <f t="shared" ref="P115:P178" si="45">IF(O115&gt;0,(((O115*O$3*O$4) +EXP(-1.0587+(0.8836*LN(O115*O$3*O$4))+0.284))*0.475+70+10)*(44/12),0)</f>
        <v>516.45718243619513</v>
      </c>
      <c r="Q115" s="190">
        <f t="shared" si="36"/>
        <v>141.81370000000001</v>
      </c>
      <c r="R115" s="191">
        <f t="shared" si="37"/>
        <v>476.10183020866555</v>
      </c>
      <c r="S115" s="190">
        <f t="shared" si="38"/>
        <v>112.2306</v>
      </c>
      <c r="T115" s="191">
        <f t="shared" si="39"/>
        <v>438.83862049202997</v>
      </c>
      <c r="W115" s="187">
        <v>67</v>
      </c>
      <c r="X115" s="190">
        <f t="shared" si="40"/>
        <v>520.4910000000001</v>
      </c>
      <c r="Y115" s="191">
        <f t="shared" si="41"/>
        <v>1111.3333465413775</v>
      </c>
      <c r="Z115" s="190">
        <f t="shared" si="30"/>
        <v>450.51600000000002</v>
      </c>
      <c r="AA115" s="191">
        <f t="shared" si="31"/>
        <v>1003.6104855424587</v>
      </c>
      <c r="AB115" s="190">
        <f t="shared" si="42"/>
        <v>374.57550000000003</v>
      </c>
      <c r="AC115" s="191">
        <f t="shared" si="43"/>
        <v>886.32121146876875</v>
      </c>
      <c r="AF115" s="20"/>
      <c r="AG115" s="183"/>
      <c r="AH115" s="183"/>
      <c r="AI115" s="183"/>
      <c r="AJ115" s="183"/>
      <c r="AK115" s="183"/>
      <c r="AL115" s="183"/>
    </row>
    <row r="116" spans="5:38" x14ac:dyDescent="0.25">
      <c r="E116" s="187">
        <v>68</v>
      </c>
      <c r="F116" s="190"/>
      <c r="G116" s="191"/>
      <c r="H116" s="190">
        <f t="shared" si="32"/>
        <v>444.86239999999998</v>
      </c>
      <c r="I116" s="191">
        <f t="shared" si="33"/>
        <v>868.14122560719204</v>
      </c>
      <c r="J116" s="190">
        <f t="shared" si="34"/>
        <v>352.1314000000001</v>
      </c>
      <c r="K116" s="191">
        <f t="shared" si="35"/>
        <v>750.75718185221353</v>
      </c>
      <c r="N116" s="187">
        <v>68</v>
      </c>
      <c r="O116" s="190">
        <f t="shared" si="44"/>
        <v>176.53169999999997</v>
      </c>
      <c r="P116" s="191">
        <f t="shared" si="45"/>
        <v>519.60822761386123</v>
      </c>
      <c r="Q116" s="190">
        <f t="shared" si="36"/>
        <v>143.6198</v>
      </c>
      <c r="R116" s="191">
        <f t="shared" si="37"/>
        <v>478.37061550966155</v>
      </c>
      <c r="S116" s="190">
        <f t="shared" si="38"/>
        <v>113.65039999999999</v>
      </c>
      <c r="T116" s="191">
        <f t="shared" si="39"/>
        <v>440.63178832047834</v>
      </c>
      <c r="W116" s="187">
        <v>68</v>
      </c>
      <c r="X116" s="190">
        <f t="shared" si="40"/>
        <v>528.4190000000001</v>
      </c>
      <c r="Y116" s="191">
        <f t="shared" si="41"/>
        <v>1123.5192513523923</v>
      </c>
      <c r="Z116" s="190">
        <f t="shared" si="30"/>
        <v>457.41600000000005</v>
      </c>
      <c r="AA116" s="191">
        <f t="shared" si="31"/>
        <v>1014.2466855488649</v>
      </c>
      <c r="AB116" s="190">
        <f t="shared" si="42"/>
        <v>380.26740000000007</v>
      </c>
      <c r="AC116" s="191">
        <f t="shared" si="43"/>
        <v>895.12786037937099</v>
      </c>
      <c r="AF116" s="20"/>
      <c r="AG116" s="183"/>
      <c r="AH116" s="183"/>
      <c r="AI116" s="183"/>
      <c r="AJ116" s="183"/>
      <c r="AK116" s="183"/>
      <c r="AL116" s="183"/>
    </row>
    <row r="117" spans="5:38" x14ac:dyDescent="0.25">
      <c r="E117" s="187">
        <v>69</v>
      </c>
      <c r="F117" s="190"/>
      <c r="G117" s="191"/>
      <c r="H117" s="190">
        <f t="shared" si="32"/>
        <v>452.51169999999996</v>
      </c>
      <c r="I117" s="191">
        <f t="shared" si="33"/>
        <v>877.80010593963743</v>
      </c>
      <c r="J117" s="190">
        <f t="shared" si="34"/>
        <v>357.79070000000002</v>
      </c>
      <c r="K117" s="191">
        <f t="shared" si="35"/>
        <v>757.93787334327237</v>
      </c>
      <c r="N117" s="187">
        <v>69</v>
      </c>
      <c r="O117" s="190">
        <f t="shared" si="44"/>
        <v>179.05179999999999</v>
      </c>
      <c r="P117" s="191">
        <f t="shared" si="45"/>
        <v>522.75826773409892</v>
      </c>
      <c r="Q117" s="190">
        <f t="shared" si="36"/>
        <v>145.42590000000001</v>
      </c>
      <c r="R117" s="191">
        <f t="shared" si="37"/>
        <v>480.63875086983995</v>
      </c>
      <c r="S117" s="190">
        <f t="shared" si="38"/>
        <v>115.0702</v>
      </c>
      <c r="T117" s="191">
        <f t="shared" si="39"/>
        <v>442.42443457121095</v>
      </c>
      <c r="W117" s="187">
        <v>69</v>
      </c>
      <c r="X117" s="190">
        <f t="shared" si="40"/>
        <v>536.34700000000009</v>
      </c>
      <c r="Y117" s="191">
        <f t="shared" si="41"/>
        <v>1135.7015582577283</v>
      </c>
      <c r="Z117" s="190">
        <f t="shared" si="30"/>
        <v>464.31600000000003</v>
      </c>
      <c r="AA117" s="191">
        <f t="shared" si="31"/>
        <v>1024.8796838422477</v>
      </c>
      <c r="AB117" s="190">
        <f t="shared" si="42"/>
        <v>385.95930000000004</v>
      </c>
      <c r="AC117" s="191">
        <f t="shared" si="43"/>
        <v>903.93183161061086</v>
      </c>
      <c r="AF117" s="20"/>
      <c r="AG117" s="183"/>
      <c r="AH117" s="183"/>
      <c r="AI117" s="183"/>
      <c r="AJ117" s="183"/>
      <c r="AK117" s="183"/>
      <c r="AL117" s="183"/>
    </row>
    <row r="118" spans="5:38" ht="15.75" thickBot="1" x14ac:dyDescent="0.3">
      <c r="E118" s="187">
        <v>70</v>
      </c>
      <c r="F118" s="190"/>
      <c r="G118" s="191"/>
      <c r="H118" s="190">
        <f t="shared" si="32"/>
        <v>460.09999999999997</v>
      </c>
      <c r="I118" s="191">
        <f t="shared" si="33"/>
        <v>887.37867407018553</v>
      </c>
      <c r="J118" s="190">
        <f t="shared" si="34"/>
        <v>363.32000000000005</v>
      </c>
      <c r="K118" s="191">
        <f t="shared" si="35"/>
        <v>764.95133106602884</v>
      </c>
      <c r="N118" s="187">
        <v>70</v>
      </c>
      <c r="O118" s="190">
        <f t="shared" si="44"/>
        <v>181.57189999999997</v>
      </c>
      <c r="P118" s="191">
        <f t="shared" si="45"/>
        <v>525.90731857748779</v>
      </c>
      <c r="Q118" s="190">
        <f t="shared" si="36"/>
        <v>147.232</v>
      </c>
      <c r="R118" s="191">
        <f t="shared" si="37"/>
        <v>482.90624529458501</v>
      </c>
      <c r="S118" s="190">
        <f t="shared" si="38"/>
        <v>116.49</v>
      </c>
      <c r="T118" s="191">
        <f t="shared" si="39"/>
        <v>444.21656642404673</v>
      </c>
      <c r="W118" s="187">
        <v>70</v>
      </c>
      <c r="X118" s="193">
        <f t="shared" si="40"/>
        <v>544.27500000000009</v>
      </c>
      <c r="Y118" s="192">
        <f t="shared" si="41"/>
        <v>1147.8803265834667</v>
      </c>
      <c r="Z118" s="193">
        <f t="shared" si="30"/>
        <v>471.21600000000001</v>
      </c>
      <c r="AA118" s="192">
        <f t="shared" si="31"/>
        <v>1035.5095334981318</v>
      </c>
      <c r="AB118" s="193">
        <f t="shared" si="42"/>
        <v>391.65120000000007</v>
      </c>
      <c r="AC118" s="192">
        <f t="shared" si="43"/>
        <v>912.73316921322169</v>
      </c>
      <c r="AF118" s="20"/>
      <c r="AG118" s="183"/>
      <c r="AH118" s="183"/>
      <c r="AI118" s="183"/>
      <c r="AJ118" s="183"/>
      <c r="AK118" s="183"/>
      <c r="AL118" s="183"/>
    </row>
    <row r="119" spans="5:38" x14ac:dyDescent="0.25">
      <c r="E119" s="187">
        <v>71</v>
      </c>
      <c r="F119" s="190"/>
      <c r="G119" s="191"/>
      <c r="H119" s="190">
        <f t="shared" si="32"/>
        <v>467.62249999999995</v>
      </c>
      <c r="I119" s="191">
        <f t="shared" si="33"/>
        <v>896.871012513869</v>
      </c>
      <c r="J119" s="190">
        <f t="shared" si="34"/>
        <v>368.71149999999989</v>
      </c>
      <c r="K119" s="191">
        <f t="shared" si="35"/>
        <v>771.7878623502786</v>
      </c>
      <c r="N119" s="187">
        <v>71</v>
      </c>
      <c r="O119" s="190">
        <f t="shared" si="44"/>
        <v>184.09199999999998</v>
      </c>
      <c r="P119" s="191">
        <f t="shared" si="45"/>
        <v>529.05539546139426</v>
      </c>
      <c r="Q119" s="190">
        <f t="shared" si="36"/>
        <v>149.03810000000001</v>
      </c>
      <c r="R119" s="191">
        <f t="shared" si="37"/>
        <v>485.17310755563329</v>
      </c>
      <c r="S119" s="190">
        <f t="shared" si="38"/>
        <v>117.90979999999999</v>
      </c>
      <c r="T119" s="191">
        <f t="shared" si="39"/>
        <v>446.00819087371855</v>
      </c>
      <c r="AF119" s="20"/>
      <c r="AG119" s="20"/>
      <c r="AH119" s="20"/>
      <c r="AI119" s="20"/>
      <c r="AJ119" s="20"/>
      <c r="AK119" s="20"/>
      <c r="AL119" s="20"/>
    </row>
    <row r="120" spans="5:38" x14ac:dyDescent="0.25">
      <c r="E120" s="187">
        <v>72</v>
      </c>
      <c r="F120" s="190"/>
      <c r="G120" s="191"/>
      <c r="H120" s="190">
        <f t="shared" si="32"/>
        <v>475.07439999999991</v>
      </c>
      <c r="I120" s="191">
        <f t="shared" si="33"/>
        <v>906.27120607461472</v>
      </c>
      <c r="J120" s="190">
        <f t="shared" si="34"/>
        <v>373.95740000000001</v>
      </c>
      <c r="K120" s="191">
        <f t="shared" si="35"/>
        <v>778.43777610399673</v>
      </c>
      <c r="N120" s="187">
        <v>72</v>
      </c>
      <c r="O120" s="190">
        <f t="shared" si="44"/>
        <v>186.61209999999997</v>
      </c>
      <c r="P120" s="191">
        <f t="shared" si="45"/>
        <v>532.20251325972026</v>
      </c>
      <c r="Q120" s="190">
        <f t="shared" si="36"/>
        <v>150.8442</v>
      </c>
      <c r="R120" s="191">
        <f t="shared" si="37"/>
        <v>487.43934619989142</v>
      </c>
      <c r="S120" s="190">
        <f t="shared" si="38"/>
        <v>119.3296</v>
      </c>
      <c r="T120" s="191">
        <f t="shared" si="39"/>
        <v>447.79931473681432</v>
      </c>
    </row>
    <row r="121" spans="5:38" x14ac:dyDescent="0.25">
      <c r="E121" s="187">
        <v>73</v>
      </c>
      <c r="F121" s="190"/>
      <c r="G121" s="191"/>
      <c r="H121" s="190">
        <f t="shared" si="32"/>
        <v>482.45089999999993</v>
      </c>
      <c r="I121" s="191">
        <f t="shared" si="33"/>
        <v>915.57334164706458</v>
      </c>
      <c r="J121" s="190">
        <f t="shared" si="34"/>
        <v>379.04989999999998</v>
      </c>
      <c r="K121" s="191">
        <f t="shared" si="35"/>
        <v>784.89138220680013</v>
      </c>
      <c r="N121" s="187">
        <v>73</v>
      </c>
      <c r="O121" s="190">
        <f t="shared" si="44"/>
        <v>189.13219999999998</v>
      </c>
      <c r="P121" s="191">
        <f t="shared" si="45"/>
        <v>535.34868642155345</v>
      </c>
      <c r="Q121" s="190">
        <f t="shared" si="36"/>
        <v>152.65030000000002</v>
      </c>
      <c r="R121" s="191">
        <f t="shared" si="37"/>
        <v>489.70496955782141</v>
      </c>
      <c r="S121" s="190">
        <f t="shared" si="38"/>
        <v>120.74939999999999</v>
      </c>
      <c r="T121" s="191">
        <f t="shared" si="39"/>
        <v>449.58994465837901</v>
      </c>
    </row>
    <row r="122" spans="5:38" x14ac:dyDescent="0.25">
      <c r="E122" s="187">
        <v>74</v>
      </c>
      <c r="F122" s="190"/>
      <c r="G122" s="191"/>
      <c r="H122" s="190">
        <f t="shared" si="32"/>
        <v>489.74719999999991</v>
      </c>
      <c r="I122" s="191">
        <f t="shared" si="33"/>
        <v>924.77150802215817</v>
      </c>
      <c r="J122" s="190">
        <f t="shared" si="34"/>
        <v>383.98119999999989</v>
      </c>
      <c r="K122" s="191">
        <f t="shared" si="35"/>
        <v>791.13899090296638</v>
      </c>
      <c r="N122" s="187">
        <v>74</v>
      </c>
      <c r="O122" s="190">
        <f t="shared" si="44"/>
        <v>191.65229999999997</v>
      </c>
      <c r="P122" s="191">
        <f t="shared" si="45"/>
        <v>538.49392898879671</v>
      </c>
      <c r="Q122" s="190">
        <f t="shared" si="36"/>
        <v>154.4564</v>
      </c>
      <c r="R122" s="191">
        <f t="shared" si="37"/>
        <v>491.96998575141538</v>
      </c>
      <c r="S122" s="190">
        <f t="shared" si="38"/>
        <v>122.16919999999999</v>
      </c>
      <c r="T122" s="191">
        <f t="shared" si="39"/>
        <v>451.38008711819646</v>
      </c>
    </row>
    <row r="123" spans="5:38" x14ac:dyDescent="0.25">
      <c r="E123" s="187">
        <v>75</v>
      </c>
      <c r="F123" s="190"/>
      <c r="G123" s="191"/>
      <c r="H123" s="190">
        <f t="shared" si="32"/>
        <v>496.95850000000002</v>
      </c>
      <c r="I123" s="191">
        <f t="shared" si="33"/>
        <v>933.85979569603955</v>
      </c>
      <c r="J123" s="190">
        <f t="shared" si="34"/>
        <v>388.74349999999998</v>
      </c>
      <c r="K123" s="191">
        <f t="shared" si="35"/>
        <v>797.17091219183931</v>
      </c>
      <c r="N123" s="187">
        <v>75</v>
      </c>
      <c r="O123" s="190">
        <f t="shared" si="44"/>
        <v>194.17239999999998</v>
      </c>
      <c r="P123" s="191">
        <f t="shared" si="45"/>
        <v>541.63825461284239</v>
      </c>
      <c r="Q123" s="190">
        <f t="shared" si="36"/>
        <v>156.26250000000002</v>
      </c>
      <c r="R123" s="191">
        <f t="shared" si="37"/>
        <v>494.23440270178867</v>
      </c>
      <c r="S123" s="190">
        <f t="shared" si="38"/>
        <v>123.589</v>
      </c>
      <c r="T123" s="191">
        <f t="shared" si="39"/>
        <v>453.1697484367711</v>
      </c>
    </row>
    <row r="124" spans="5:38" x14ac:dyDescent="0.25">
      <c r="E124" s="187">
        <v>76</v>
      </c>
      <c r="F124" s="190"/>
      <c r="G124" s="191"/>
      <c r="H124" s="190">
        <f t="shared" si="32"/>
        <v>504.07999999999993</v>
      </c>
      <c r="I124" s="191">
        <f t="shared" si="33"/>
        <v>942.83229668186323</v>
      </c>
      <c r="J124" s="190">
        <f t="shared" si="34"/>
        <v>393.32900000000001</v>
      </c>
      <c r="K124" s="191">
        <f t="shared" si="35"/>
        <v>802.97745521340801</v>
      </c>
      <c r="N124" s="187">
        <v>76</v>
      </c>
      <c r="O124" s="190">
        <f t="shared" si="44"/>
        <v>196.69249999999997</v>
      </c>
      <c r="P124" s="191">
        <f t="shared" si="45"/>
        <v>544.78167657035715</v>
      </c>
      <c r="Q124" s="190">
        <f t="shared" si="36"/>
        <v>158.0686</v>
      </c>
      <c r="R124" s="191">
        <f t="shared" si="37"/>
        <v>496.49822813641123</v>
      </c>
      <c r="S124" s="190">
        <f t="shared" si="38"/>
        <v>125.00879999999999</v>
      </c>
      <c r="T124" s="191">
        <f t="shared" si="39"/>
        <v>454.95893478102761</v>
      </c>
    </row>
    <row r="125" spans="5:38" x14ac:dyDescent="0.25">
      <c r="E125" s="187">
        <v>77</v>
      </c>
      <c r="F125" s="190"/>
      <c r="G125" s="191"/>
      <c r="H125" s="190">
        <f t="shared" si="32"/>
        <v>511.10689999999994</v>
      </c>
      <c r="I125" s="191">
        <f t="shared" si="33"/>
        <v>951.68310432408839</v>
      </c>
      <c r="J125" s="190">
        <f t="shared" si="34"/>
        <v>397.72989999999999</v>
      </c>
      <c r="K125" s="191">
        <f t="shared" si="35"/>
        <v>808.54892762680345</v>
      </c>
      <c r="N125" s="187">
        <v>77</v>
      </c>
      <c r="O125" s="190">
        <f t="shared" si="44"/>
        <v>199.21259999999998</v>
      </c>
      <c r="P125" s="191">
        <f t="shared" si="45"/>
        <v>547.92420777823497</v>
      </c>
      <c r="Q125" s="190">
        <f t="shared" si="36"/>
        <v>159.87470000000002</v>
      </c>
      <c r="R125" s="191">
        <f t="shared" si="37"/>
        <v>498.76146959599839</v>
      </c>
      <c r="S125" s="190">
        <f t="shared" si="38"/>
        <v>126.42859999999999</v>
      </c>
      <c r="T125" s="191">
        <f t="shared" si="39"/>
        <v>456.74765216974316</v>
      </c>
    </row>
    <row r="126" spans="5:38" x14ac:dyDescent="0.25">
      <c r="E126" s="187">
        <v>78</v>
      </c>
      <c r="F126" s="190"/>
      <c r="G126" s="191"/>
      <c r="H126" s="190">
        <f t="shared" si="32"/>
        <v>518.03440000000001</v>
      </c>
      <c r="I126" s="191">
        <f t="shared" si="33"/>
        <v>960.4063131148655</v>
      </c>
      <c r="J126" s="190">
        <f t="shared" si="34"/>
        <v>401.93840000000006</v>
      </c>
      <c r="K126" s="191">
        <f t="shared" si="35"/>
        <v>813.87563497936151</v>
      </c>
      <c r="N126" s="187">
        <v>78</v>
      </c>
      <c r="O126" s="190">
        <f t="shared" si="44"/>
        <v>201.73269999999997</v>
      </c>
      <c r="P126" s="191">
        <f t="shared" si="45"/>
        <v>551.06586080777197</v>
      </c>
      <c r="Q126" s="190">
        <f t="shared" si="36"/>
        <v>161.6808</v>
      </c>
      <c r="R126" s="191">
        <f t="shared" si="37"/>
        <v>501.02413444108225</v>
      </c>
      <c r="S126" s="190">
        <f t="shared" si="38"/>
        <v>127.8484</v>
      </c>
      <c r="T126" s="191">
        <f t="shared" si="39"/>
        <v>458.53590647872943</v>
      </c>
    </row>
    <row r="127" spans="5:38" x14ac:dyDescent="0.25">
      <c r="E127" s="187">
        <v>79</v>
      </c>
      <c r="F127" s="190"/>
      <c r="G127" s="191"/>
      <c r="H127" s="190">
        <f t="shared" si="32"/>
        <v>524.85769999999991</v>
      </c>
      <c r="I127" s="191">
        <f t="shared" si="33"/>
        <v>968.99601851212708</v>
      </c>
      <c r="J127" s="190">
        <f t="shared" si="34"/>
        <v>405.94670000000002</v>
      </c>
      <c r="K127" s="191">
        <f t="shared" si="35"/>
        <v>818.94788006382328</v>
      </c>
      <c r="N127" s="187">
        <v>79</v>
      </c>
      <c r="O127" s="190">
        <f t="shared" si="44"/>
        <v>204.25279999999998</v>
      </c>
      <c r="P127" s="191">
        <f t="shared" si="45"/>
        <v>554.20664789811156</v>
      </c>
      <c r="Q127" s="190">
        <f t="shared" si="36"/>
        <v>163.48690000000002</v>
      </c>
      <c r="R127" s="191">
        <f t="shared" si="37"/>
        <v>503.28622985828116</v>
      </c>
      <c r="S127" s="190">
        <f t="shared" si="38"/>
        <v>129.26819999999998</v>
      </c>
      <c r="T127" s="191">
        <f t="shared" si="39"/>
        <v>460.32370344577771</v>
      </c>
    </row>
    <row r="128" spans="5:38" x14ac:dyDescent="0.25">
      <c r="E128" s="187">
        <v>80</v>
      </c>
      <c r="F128" s="190"/>
      <c r="G128" s="191"/>
      <c r="H128" s="190">
        <f t="shared" si="32"/>
        <v>531.572</v>
      </c>
      <c r="I128" s="191">
        <f t="shared" si="33"/>
        <v>977.44631675900928</v>
      </c>
      <c r="J128" s="190">
        <f t="shared" si="34"/>
        <v>409.74700000000001</v>
      </c>
      <c r="K128" s="191">
        <f t="shared" si="35"/>
        <v>823.75596226111645</v>
      </c>
      <c r="N128" s="187">
        <v>80</v>
      </c>
      <c r="O128" s="190">
        <f t="shared" si="44"/>
        <v>206.77289999999996</v>
      </c>
      <c r="P128" s="191">
        <f t="shared" si="45"/>
        <v>557.34658096900796</v>
      </c>
      <c r="Q128" s="190">
        <f t="shared" si="36"/>
        <v>165.29300000000001</v>
      </c>
      <c r="R128" s="191">
        <f t="shared" si="37"/>
        <v>505.54776286628305</v>
      </c>
      <c r="S128" s="190">
        <f t="shared" si="38"/>
        <v>130.68799999999999</v>
      </c>
      <c r="T128" s="191">
        <f t="shared" si="39"/>
        <v>462.11104867538057</v>
      </c>
    </row>
    <row r="129" spans="5:20" x14ac:dyDescent="0.25">
      <c r="E129" s="187">
        <v>81</v>
      </c>
      <c r="F129" s="190"/>
      <c r="G129" s="191"/>
      <c r="H129" s="190">
        <f t="shared" si="32"/>
        <v>538.1724999999999</v>
      </c>
      <c r="I129" s="191">
        <f t="shared" si="33"/>
        <v>985.75130470422789</v>
      </c>
      <c r="J129" s="190"/>
      <c r="K129" s="191"/>
      <c r="N129" s="187">
        <v>81</v>
      </c>
      <c r="O129" s="190">
        <f t="shared" si="44"/>
        <v>209.29299999999998</v>
      </c>
      <c r="P129" s="191">
        <f t="shared" si="45"/>
        <v>560.48567163295161</v>
      </c>
      <c r="Q129" s="190">
        <f t="shared" si="36"/>
        <v>167.09910000000002</v>
      </c>
      <c r="R129" s="191">
        <f t="shared" si="37"/>
        <v>507.80874032156123</v>
      </c>
      <c r="S129" s="190">
        <f t="shared" ref="S129:S192" si="46">1.4198*N129+17.104</f>
        <v>132.1078</v>
      </c>
      <c r="T129" s="191">
        <f t="shared" ref="T129:T192" si="47">IF(S129&gt;0,(((S129*O$3*O$4) +EXP(-1.0587+(0.8836*LN(S129*O$3*O$4))+0.284))*0.475+70+10)*(44/12),0)</f>
        <v>463.89794764324233</v>
      </c>
    </row>
    <row r="130" spans="5:20" x14ac:dyDescent="0.25">
      <c r="E130" s="187">
        <v>82</v>
      </c>
      <c r="F130" s="190"/>
      <c r="G130" s="191"/>
      <c r="H130" s="190">
        <f t="shared" si="32"/>
        <v>544.6543999999999</v>
      </c>
      <c r="I130" s="191">
        <f t="shared" si="33"/>
        <v>993.90507962304912</v>
      </c>
      <c r="J130" s="190"/>
      <c r="K130" s="191"/>
      <c r="N130" s="187">
        <v>82</v>
      </c>
      <c r="O130" s="190">
        <f t="shared" si="44"/>
        <v>211.81309999999996</v>
      </c>
      <c r="P130" s="191">
        <f t="shared" si="45"/>
        <v>563.62393120668992</v>
      </c>
      <c r="Q130" s="190">
        <f t="shared" si="36"/>
        <v>168.90520000000001</v>
      </c>
      <c r="R130" s="191">
        <f t="shared" si="37"/>
        <v>510.06916892383515</v>
      </c>
      <c r="S130" s="190">
        <f t="shared" si="46"/>
        <v>133.52760000000001</v>
      </c>
      <c r="T130" s="191">
        <f t="shared" si="47"/>
        <v>465.68440570058971</v>
      </c>
    </row>
    <row r="131" spans="5:20" x14ac:dyDescent="0.25">
      <c r="E131" s="187">
        <v>83</v>
      </c>
      <c r="F131" s="190"/>
      <c r="G131" s="191"/>
      <c r="H131" s="190"/>
      <c r="I131" s="191"/>
      <c r="J131" s="190"/>
      <c r="K131" s="191"/>
      <c r="N131" s="187">
        <v>83</v>
      </c>
      <c r="O131" s="190">
        <f t="shared" si="44"/>
        <v>214.33319999999998</v>
      </c>
      <c r="P131" s="191">
        <f t="shared" si="45"/>
        <v>566.76137072218739</v>
      </c>
      <c r="Q131" s="190">
        <f t="shared" ref="Q131:Q194" si="48">1.8061*N131+20.805</f>
        <v>170.71130000000002</v>
      </c>
      <c r="R131" s="191">
        <f t="shared" ref="R131:R194" si="49">IF(Q131&gt;0,(((Q131*O$3*O$4) +EXP(-1.0587+(0.8836*LN(Q131*O$3*O$4))+0.284))*0.475+70+10)*(44/12),0)</f>
        <v>512.32905522129147</v>
      </c>
      <c r="S131" s="190">
        <f t="shared" si="46"/>
        <v>134.94740000000002</v>
      </c>
      <c r="T131" s="191">
        <f t="shared" si="47"/>
        <v>467.47042807829536</v>
      </c>
    </row>
    <row r="132" spans="5:20" x14ac:dyDescent="0.25">
      <c r="E132" s="187">
        <v>84</v>
      </c>
      <c r="F132" s="190"/>
      <c r="G132" s="191"/>
      <c r="H132" s="190"/>
      <c r="I132" s="191"/>
      <c r="J132" s="190"/>
      <c r="K132" s="191"/>
      <c r="N132" s="187">
        <v>84</v>
      </c>
      <c r="O132" s="190">
        <f t="shared" si="44"/>
        <v>216.85329999999996</v>
      </c>
      <c r="P132" s="191">
        <f t="shared" si="45"/>
        <v>569.89800093705469</v>
      </c>
      <c r="Q132" s="190">
        <f t="shared" si="48"/>
        <v>172.51740000000001</v>
      </c>
      <c r="R132" s="191">
        <f t="shared" si="49"/>
        <v>514.58840561557645</v>
      </c>
      <c r="S132" s="190">
        <f t="shared" si="46"/>
        <v>136.3672</v>
      </c>
      <c r="T132" s="191">
        <f t="shared" si="47"/>
        <v>469.25601989082105</v>
      </c>
    </row>
    <row r="133" spans="5:20" x14ac:dyDescent="0.25">
      <c r="E133" s="187">
        <v>85</v>
      </c>
      <c r="F133" s="190"/>
      <c r="G133" s="191"/>
      <c r="H133" s="190"/>
      <c r="I133" s="191"/>
      <c r="J133" s="190"/>
      <c r="K133" s="191"/>
      <c r="N133" s="187">
        <v>85</v>
      </c>
      <c r="O133" s="190">
        <f t="shared" si="44"/>
        <v>219.37339999999998</v>
      </c>
      <c r="P133" s="191">
        <f t="shared" si="45"/>
        <v>573.03383234447801</v>
      </c>
      <c r="Q133" s="190">
        <f t="shared" si="48"/>
        <v>174.32350000000002</v>
      </c>
      <c r="R133" s="191">
        <f t="shared" si="49"/>
        <v>516.84722636657602</v>
      </c>
      <c r="S133" s="190">
        <f t="shared" si="46"/>
        <v>137.78699999999998</v>
      </c>
      <c r="T133" s="191">
        <f t="shared" si="47"/>
        <v>471.04118613999299</v>
      </c>
    </row>
    <row r="134" spans="5:20" x14ac:dyDescent="0.25">
      <c r="E134" s="187">
        <v>86</v>
      </c>
      <c r="F134" s="190"/>
      <c r="G134" s="191"/>
      <c r="H134" s="190"/>
      <c r="I134" s="191"/>
      <c r="J134" s="190"/>
      <c r="K134" s="191"/>
      <c r="N134" s="187">
        <v>86</v>
      </c>
      <c r="O134" s="190">
        <f t="shared" si="44"/>
        <v>221.89349999999996</v>
      </c>
      <c r="P134" s="191">
        <f t="shared" si="45"/>
        <v>576.1688751826814</v>
      </c>
      <c r="Q134" s="190">
        <f t="shared" si="48"/>
        <v>176.12960000000001</v>
      </c>
      <c r="R134" s="191">
        <f t="shared" si="49"/>
        <v>519.10552359698943</v>
      </c>
      <c r="S134" s="190">
        <f t="shared" si="46"/>
        <v>139.20679999999999</v>
      </c>
      <c r="T134" s="191">
        <f t="shared" si="47"/>
        <v>472.82593171861737</v>
      </c>
    </row>
    <row r="135" spans="5:20" x14ac:dyDescent="0.25">
      <c r="E135" s="187">
        <v>87</v>
      </c>
      <c r="F135" s="190"/>
      <c r="G135" s="191"/>
      <c r="H135" s="190"/>
      <c r="I135" s="191"/>
      <c r="J135" s="190"/>
      <c r="K135" s="191"/>
      <c r="N135" s="187">
        <v>87</v>
      </c>
      <c r="O135" s="190">
        <f t="shared" si="44"/>
        <v>224.41359999999997</v>
      </c>
      <c r="P135" s="191">
        <f t="shared" si="45"/>
        <v>579.30313944394425</v>
      </c>
      <c r="Q135" s="190">
        <f t="shared" si="48"/>
        <v>177.9357</v>
      </c>
      <c r="R135" s="191">
        <f t="shared" si="49"/>
        <v>521.36330329671057</v>
      </c>
      <c r="S135" s="190">
        <f t="shared" si="46"/>
        <v>140.6266</v>
      </c>
      <c r="T135" s="191">
        <f t="shared" si="47"/>
        <v>474.61026141394314</v>
      </c>
    </row>
    <row r="136" spans="5:20" x14ac:dyDescent="0.25">
      <c r="E136" s="187">
        <v>88</v>
      </c>
      <c r="F136" s="190"/>
      <c r="G136" s="191"/>
      <c r="H136" s="190"/>
      <c r="I136" s="191"/>
      <c r="J136" s="190"/>
      <c r="K136" s="191"/>
      <c r="N136" s="187">
        <v>88</v>
      </c>
      <c r="O136" s="190">
        <f t="shared" si="44"/>
        <v>226.93369999999996</v>
      </c>
      <c r="P136" s="191">
        <f t="shared" si="45"/>
        <v>582.43663488320442</v>
      </c>
      <c r="Q136" s="190">
        <f t="shared" si="48"/>
        <v>179.74180000000001</v>
      </c>
      <c r="R136" s="191">
        <f t="shared" si="49"/>
        <v>523.62057132702819</v>
      </c>
      <c r="S136" s="190">
        <f t="shared" si="46"/>
        <v>142.04640000000001</v>
      </c>
      <c r="T136" s="191">
        <f t="shared" si="47"/>
        <v>476.39417991098173</v>
      </c>
    </row>
    <row r="137" spans="5:20" x14ac:dyDescent="0.25">
      <c r="E137" s="187">
        <v>89</v>
      </c>
      <c r="F137" s="190"/>
      <c r="G137" s="191"/>
      <c r="H137" s="190"/>
      <c r="I137" s="191"/>
      <c r="J137" s="190"/>
      <c r="K137" s="191"/>
      <c r="N137" s="187">
        <v>89</v>
      </c>
      <c r="O137" s="190">
        <f t="shared" si="44"/>
        <v>229.45379999999997</v>
      </c>
      <c r="P137" s="191">
        <f t="shared" si="45"/>
        <v>585.56937102626705</v>
      </c>
      <c r="Q137" s="190">
        <f t="shared" si="48"/>
        <v>181.5479</v>
      </c>
      <c r="R137" s="191">
        <f t="shared" si="49"/>
        <v>525.87733342464992</v>
      </c>
      <c r="S137" s="190">
        <f t="shared" si="46"/>
        <v>143.46620000000001</v>
      </c>
      <c r="T137" s="191">
        <f t="shared" si="47"/>
        <v>478.17769179569012</v>
      </c>
    </row>
    <row r="138" spans="5:20" x14ac:dyDescent="0.25">
      <c r="E138" s="187">
        <v>90</v>
      </c>
      <c r="F138" s="190"/>
      <c r="G138" s="191"/>
      <c r="H138" s="190"/>
      <c r="I138" s="191"/>
      <c r="J138" s="190"/>
      <c r="K138" s="191"/>
      <c r="N138" s="187">
        <v>90</v>
      </c>
      <c r="O138" s="190">
        <f t="shared" si="44"/>
        <v>231.97389999999996</v>
      </c>
      <c r="P138" s="191">
        <f t="shared" si="45"/>
        <v>588.70135717764299</v>
      </c>
      <c r="Q138" s="190">
        <f t="shared" si="48"/>
        <v>183.35400000000001</v>
      </c>
      <c r="R138" s="191">
        <f t="shared" si="49"/>
        <v>528.13359520556241</v>
      </c>
      <c r="S138" s="190">
        <f t="shared" si="46"/>
        <v>144.886</v>
      </c>
      <c r="T138" s="191">
        <f t="shared" si="47"/>
        <v>479.96080155802412</v>
      </c>
    </row>
    <row r="139" spans="5:20" x14ac:dyDescent="0.25">
      <c r="E139" s="187">
        <v>91</v>
      </c>
      <c r="F139" s="190"/>
      <c r="G139" s="191"/>
      <c r="H139" s="190"/>
      <c r="I139" s="191"/>
      <c r="J139" s="190"/>
      <c r="K139" s="191"/>
      <c r="N139" s="187">
        <v>91</v>
      </c>
      <c r="O139" s="190">
        <f t="shared" si="44"/>
        <v>234.49399999999997</v>
      </c>
      <c r="P139" s="191">
        <f t="shared" si="45"/>
        <v>591.83260242803658</v>
      </c>
      <c r="Q139" s="190">
        <f t="shared" si="48"/>
        <v>185.1601</v>
      </c>
      <c r="R139" s="191">
        <f t="shared" si="49"/>
        <v>530.38936216873662</v>
      </c>
      <c r="S139" s="190">
        <f t="shared" si="46"/>
        <v>146.30579999999998</v>
      </c>
      <c r="T139" s="191">
        <f t="shared" si="47"/>
        <v>481.74351359486883</v>
      </c>
    </row>
    <row r="140" spans="5:20" x14ac:dyDescent="0.25">
      <c r="E140" s="187">
        <v>92</v>
      </c>
      <c r="F140" s="190"/>
      <c r="G140" s="191"/>
      <c r="H140" s="190"/>
      <c r="I140" s="191"/>
      <c r="J140" s="190"/>
      <c r="K140" s="191"/>
      <c r="N140" s="187">
        <v>92</v>
      </c>
      <c r="O140" s="190">
        <f t="shared" si="44"/>
        <v>237.01409999999996</v>
      </c>
      <c r="P140" s="191">
        <f t="shared" si="45"/>
        <v>594.96311566150246</v>
      </c>
      <c r="Q140" s="190">
        <f t="shared" si="48"/>
        <v>186.96620000000001</v>
      </c>
      <c r="R140" s="191">
        <f t="shared" si="49"/>
        <v>532.64463969968176</v>
      </c>
      <c r="S140" s="190">
        <f t="shared" si="46"/>
        <v>147.72559999999999</v>
      </c>
      <c r="T140" s="191">
        <f t="shared" si="47"/>
        <v>483.52583221285192</v>
      </c>
    </row>
    <row r="141" spans="5:20" x14ac:dyDescent="0.25">
      <c r="E141" s="187">
        <v>93</v>
      </c>
      <c r="F141" s="190"/>
      <c r="G141" s="191"/>
      <c r="H141" s="190"/>
      <c r="I141" s="191"/>
      <c r="J141" s="190"/>
      <c r="K141" s="191"/>
      <c r="N141" s="187">
        <v>93</v>
      </c>
      <c r="O141" s="190">
        <f t="shared" si="44"/>
        <v>239.53419999999997</v>
      </c>
      <c r="P141" s="191">
        <f t="shared" si="45"/>
        <v>598.09290556228973</v>
      </c>
      <c r="Q141" s="190">
        <f t="shared" si="48"/>
        <v>188.7723</v>
      </c>
      <c r="R141" s="191">
        <f t="shared" si="49"/>
        <v>534.89943307385965</v>
      </c>
      <c r="S141" s="190">
        <f t="shared" si="46"/>
        <v>149.1454</v>
      </c>
      <c r="T141" s="191">
        <f t="shared" si="47"/>
        <v>485.30776163104514</v>
      </c>
    </row>
    <row r="142" spans="5:20" x14ac:dyDescent="0.25">
      <c r="E142" s="187">
        <v>94</v>
      </c>
      <c r="F142" s="190"/>
      <c r="G142" s="191"/>
      <c r="H142" s="190"/>
      <c r="I142" s="191"/>
      <c r="J142" s="190"/>
      <c r="K142" s="191"/>
      <c r="N142" s="187">
        <v>94</v>
      </c>
      <c r="O142" s="190">
        <f t="shared" si="44"/>
        <v>242.05429999999996</v>
      </c>
      <c r="P142" s="191">
        <f t="shared" si="45"/>
        <v>601.22198062138898</v>
      </c>
      <c r="Q142" s="190">
        <f t="shared" si="48"/>
        <v>190.57840000000002</v>
      </c>
      <c r="R142" s="191">
        <f t="shared" si="49"/>
        <v>537.1537474599653</v>
      </c>
      <c r="S142" s="190">
        <f t="shared" si="46"/>
        <v>150.5652</v>
      </c>
      <c r="T142" s="191">
        <f t="shared" si="47"/>
        <v>487.08930598356147</v>
      </c>
    </row>
    <row r="143" spans="5:20" x14ac:dyDescent="0.25">
      <c r="E143" s="187">
        <v>95</v>
      </c>
      <c r="F143" s="190"/>
      <c r="G143" s="191"/>
      <c r="H143" s="190"/>
      <c r="I143" s="191"/>
      <c r="J143" s="190"/>
      <c r="K143" s="191"/>
      <c r="N143" s="187">
        <v>95</v>
      </c>
      <c r="O143" s="190">
        <f t="shared" si="44"/>
        <v>244.57439999999997</v>
      </c>
      <c r="P143" s="191">
        <f t="shared" si="45"/>
        <v>604.35034914279959</v>
      </c>
      <c r="Q143" s="190">
        <f t="shared" si="48"/>
        <v>192.3845</v>
      </c>
      <c r="R143" s="191">
        <f t="shared" si="49"/>
        <v>539.40758792307668</v>
      </c>
      <c r="S143" s="190">
        <f t="shared" si="46"/>
        <v>151.98500000000001</v>
      </c>
      <c r="T143" s="191">
        <f t="shared" si="47"/>
        <v>488.87046932204959</v>
      </c>
    </row>
    <row r="144" spans="5:20" x14ac:dyDescent="0.25">
      <c r="E144" s="187">
        <v>96</v>
      </c>
      <c r="F144" s="190"/>
      <c r="G144" s="191"/>
      <c r="H144" s="190"/>
      <c r="I144" s="191"/>
      <c r="J144" s="190"/>
      <c r="K144" s="191"/>
      <c r="N144" s="187">
        <v>96</v>
      </c>
      <c r="O144" s="190">
        <f t="shared" si="44"/>
        <v>247.09449999999998</v>
      </c>
      <c r="P144" s="191">
        <f t="shared" si="45"/>
        <v>607.47801924953114</v>
      </c>
      <c r="Q144" s="190">
        <f t="shared" si="48"/>
        <v>194.19060000000002</v>
      </c>
      <c r="R144" s="191">
        <f t="shared" si="49"/>
        <v>541.66095942768686</v>
      </c>
      <c r="S144" s="190">
        <f t="shared" si="46"/>
        <v>153.40479999999997</v>
      </c>
      <c r="T144" s="191">
        <f t="shared" si="47"/>
        <v>490.65125561809424</v>
      </c>
    </row>
    <row r="145" spans="5:20" x14ac:dyDescent="0.25">
      <c r="E145" s="187">
        <v>97</v>
      </c>
      <c r="F145" s="190"/>
      <c r="G145" s="191"/>
      <c r="H145" s="190"/>
      <c r="I145" s="191"/>
      <c r="J145" s="190"/>
      <c r="K145" s="191"/>
      <c r="N145" s="187">
        <v>97</v>
      </c>
      <c r="O145" s="190">
        <f t="shared" si="44"/>
        <v>249.61459999999997</v>
      </c>
      <c r="P145" s="191">
        <f t="shared" si="45"/>
        <v>610.60499888935271</v>
      </c>
      <c r="Q145" s="190">
        <f t="shared" si="48"/>
        <v>195.9967</v>
      </c>
      <c r="R145" s="191">
        <f t="shared" si="49"/>
        <v>543.91386684061615</v>
      </c>
      <c r="S145" s="190">
        <f t="shared" si="46"/>
        <v>154.82459999999998</v>
      </c>
      <c r="T145" s="191">
        <f t="shared" si="47"/>
        <v>492.43166876552414</v>
      </c>
    </row>
    <row r="146" spans="5:20" x14ac:dyDescent="0.25">
      <c r="E146" s="187">
        <v>98</v>
      </c>
      <c r="F146" s="190"/>
      <c r="G146" s="191"/>
      <c r="H146" s="190"/>
      <c r="I146" s="191"/>
      <c r="J146" s="190"/>
      <c r="K146" s="191"/>
      <c r="N146" s="187">
        <v>98</v>
      </c>
      <c r="O146" s="190">
        <f t="shared" si="44"/>
        <v>252.13469999999998</v>
      </c>
      <c r="P146" s="191">
        <f t="shared" si="45"/>
        <v>613.73129584030391</v>
      </c>
      <c r="Q146" s="190">
        <f t="shared" si="48"/>
        <v>197.80280000000002</v>
      </c>
      <c r="R146" s="191">
        <f t="shared" si="49"/>
        <v>546.16631493381692</v>
      </c>
      <c r="S146" s="190">
        <f t="shared" si="46"/>
        <v>156.24439999999998</v>
      </c>
      <c r="T146" s="191">
        <f t="shared" si="47"/>
        <v>494.2117125826328</v>
      </c>
    </row>
    <row r="147" spans="5:20" x14ac:dyDescent="0.25">
      <c r="E147" s="187">
        <v>99</v>
      </c>
      <c r="F147" s="190"/>
      <c r="G147" s="191"/>
      <c r="H147" s="190"/>
      <c r="I147" s="191"/>
      <c r="J147" s="190"/>
      <c r="K147" s="191"/>
      <c r="N147" s="187">
        <v>99</v>
      </c>
      <c r="O147" s="190">
        <f t="shared" si="44"/>
        <v>254.65479999999997</v>
      </c>
      <c r="P147" s="191">
        <f t="shared" si="45"/>
        <v>616.85691771597919</v>
      </c>
      <c r="Q147" s="190">
        <f t="shared" si="48"/>
        <v>199.60890000000001</v>
      </c>
      <c r="R147" s="191">
        <f t="shared" si="49"/>
        <v>548.41830838707153</v>
      </c>
      <c r="S147" s="190">
        <f t="shared" si="46"/>
        <v>157.66419999999999</v>
      </c>
      <c r="T147" s="191">
        <f t="shared" si="47"/>
        <v>495.99139081431696</v>
      </c>
    </row>
    <row r="148" spans="5:20" ht="15.75" thickBot="1" x14ac:dyDescent="0.3">
      <c r="E148" s="187">
        <v>100</v>
      </c>
      <c r="F148" s="193"/>
      <c r="G148" s="192"/>
      <c r="H148" s="193"/>
      <c r="I148" s="192"/>
      <c r="J148" s="193"/>
      <c r="K148" s="192"/>
      <c r="N148" s="187">
        <v>100</v>
      </c>
      <c r="O148" s="190">
        <f t="shared" si="44"/>
        <v>257.17489999999998</v>
      </c>
      <c r="P148" s="191">
        <f t="shared" si="45"/>
        <v>619.98187197059576</v>
      </c>
      <c r="Q148" s="190">
        <f t="shared" si="48"/>
        <v>201.41500000000002</v>
      </c>
      <c r="R148" s="191">
        <f t="shared" si="49"/>
        <v>550.66985179058941</v>
      </c>
      <c r="S148" s="190">
        <f t="shared" si="46"/>
        <v>159.084</v>
      </c>
      <c r="T148" s="191">
        <f t="shared" si="47"/>
        <v>497.77070713413519</v>
      </c>
    </row>
    <row r="149" spans="5:20" x14ac:dyDescent="0.25">
      <c r="N149" s="187">
        <v>101</v>
      </c>
      <c r="O149" s="190">
        <f t="shared" si="44"/>
        <v>259.69499999999999</v>
      </c>
      <c r="P149" s="191">
        <f t="shared" si="45"/>
        <v>623.10616590385973</v>
      </c>
      <c r="Q149" s="190">
        <f t="shared" si="48"/>
        <v>203.22110000000001</v>
      </c>
      <c r="R149" s="191">
        <f t="shared" si="49"/>
        <v>552.92094964750993</v>
      </c>
      <c r="S149" s="190">
        <f t="shared" si="46"/>
        <v>160.50380000000001</v>
      </c>
      <c r="T149" s="191">
        <f t="shared" si="47"/>
        <v>499.54966514629115</v>
      </c>
    </row>
    <row r="150" spans="5:20" x14ac:dyDescent="0.25">
      <c r="N150" s="187">
        <v>102</v>
      </c>
      <c r="O150" s="190">
        <f t="shared" si="44"/>
        <v>262.21509999999995</v>
      </c>
      <c r="P150" s="191">
        <f t="shared" si="45"/>
        <v>626.2298066656349</v>
      </c>
      <c r="Q150" s="190">
        <f t="shared" si="48"/>
        <v>205.02720000000002</v>
      </c>
      <c r="R150" s="191">
        <f t="shared" si="49"/>
        <v>555.1716063763123</v>
      </c>
      <c r="S150" s="190">
        <f t="shared" si="46"/>
        <v>161.92360000000002</v>
      </c>
      <c r="T150" s="191">
        <f t="shared" si="47"/>
        <v>501.32826838754494</v>
      </c>
    </row>
    <row r="151" spans="5:20" x14ac:dyDescent="0.25">
      <c r="N151" s="187">
        <v>103</v>
      </c>
      <c r="O151" s="190">
        <f t="shared" si="44"/>
        <v>264.73519999999996</v>
      </c>
      <c r="P151" s="191">
        <f t="shared" si="45"/>
        <v>629.35280126042971</v>
      </c>
      <c r="Q151" s="190">
        <f t="shared" si="48"/>
        <v>206.83330000000001</v>
      </c>
      <c r="R151" s="191">
        <f t="shared" si="49"/>
        <v>557.42182631313881</v>
      </c>
      <c r="S151" s="190">
        <f t="shared" si="46"/>
        <v>163.34339999999997</v>
      </c>
      <c r="T151" s="191">
        <f t="shared" si="47"/>
        <v>503.10652032905449</v>
      </c>
    </row>
    <row r="152" spans="5:20" x14ac:dyDescent="0.25">
      <c r="N152" s="187">
        <v>104</v>
      </c>
      <c r="O152" s="190">
        <f t="shared" si="44"/>
        <v>267.25529999999998</v>
      </c>
      <c r="P152" s="191">
        <f t="shared" si="45"/>
        <v>632.47515655170673</v>
      </c>
      <c r="Q152" s="190">
        <f t="shared" si="48"/>
        <v>208.63940000000002</v>
      </c>
      <c r="R152" s="191">
        <f t="shared" si="49"/>
        <v>559.67161371403427</v>
      </c>
      <c r="S152" s="190">
        <f t="shared" si="46"/>
        <v>164.76319999999998</v>
      </c>
      <c r="T152" s="191">
        <f t="shared" si="47"/>
        <v>504.88442437815274</v>
      </c>
    </row>
    <row r="153" spans="5:20" x14ac:dyDescent="0.25">
      <c r="N153" s="187">
        <v>105</v>
      </c>
      <c r="O153" s="190">
        <f t="shared" si="44"/>
        <v>269.77539999999999</v>
      </c>
      <c r="P153" s="191">
        <f t="shared" si="45"/>
        <v>635.59687926602533</v>
      </c>
      <c r="Q153" s="190">
        <f t="shared" si="48"/>
        <v>210.44550000000001</v>
      </c>
      <c r="R153" s="191">
        <f t="shared" si="49"/>
        <v>561.92097275710603</v>
      </c>
      <c r="S153" s="190">
        <f t="shared" si="46"/>
        <v>166.18299999999999</v>
      </c>
      <c r="T153" s="191">
        <f t="shared" si="47"/>
        <v>506.66198388006006</v>
      </c>
    </row>
    <row r="154" spans="5:20" x14ac:dyDescent="0.25">
      <c r="N154" s="187">
        <v>106</v>
      </c>
      <c r="O154" s="190">
        <f t="shared" si="44"/>
        <v>272.29549999999995</v>
      </c>
      <c r="P154" s="191">
        <f t="shared" si="45"/>
        <v>638.71797599702472</v>
      </c>
      <c r="Q154" s="190">
        <f t="shared" si="48"/>
        <v>212.25160000000002</v>
      </c>
      <c r="R154" s="191">
        <f t="shared" si="49"/>
        <v>564.16990754460744</v>
      </c>
      <c r="S154" s="190">
        <f t="shared" si="46"/>
        <v>167.6028</v>
      </c>
      <c r="T154" s="191">
        <f t="shared" si="47"/>
        <v>508.43920211953753</v>
      </c>
    </row>
    <row r="155" spans="5:20" x14ac:dyDescent="0.25">
      <c r="N155" s="187">
        <v>107</v>
      </c>
      <c r="O155" s="190">
        <f t="shared" si="44"/>
        <v>274.81559999999996</v>
      </c>
      <c r="P155" s="191">
        <f t="shared" si="45"/>
        <v>641.83845320925764</v>
      </c>
      <c r="Q155" s="190">
        <f t="shared" si="48"/>
        <v>214.05770000000001</v>
      </c>
      <c r="R155" s="191">
        <f t="shared" si="49"/>
        <v>566.41842210494849</v>
      </c>
      <c r="S155" s="190">
        <f t="shared" si="46"/>
        <v>169.02260000000001</v>
      </c>
      <c r="T155" s="191">
        <f t="shared" si="47"/>
        <v>510.21608232248241</v>
      </c>
    </row>
    <row r="156" spans="5:20" x14ac:dyDescent="0.25">
      <c r="N156" s="187">
        <v>108</v>
      </c>
      <c r="O156" s="190">
        <f t="shared" si="44"/>
        <v>277.33569999999997</v>
      </c>
      <c r="P156" s="191">
        <f t="shared" si="45"/>
        <v>644.95831724187565</v>
      </c>
      <c r="Q156" s="190">
        <f t="shared" si="48"/>
        <v>215.8638</v>
      </c>
      <c r="R156" s="191">
        <f t="shared" si="49"/>
        <v>568.66652039463645</v>
      </c>
      <c r="S156" s="190">
        <f t="shared" si="46"/>
        <v>170.44240000000002</v>
      </c>
      <c r="T156" s="191">
        <f t="shared" si="47"/>
        <v>511.9926276574684</v>
      </c>
    </row>
    <row r="157" spans="5:20" x14ac:dyDescent="0.25">
      <c r="N157" s="187">
        <v>109</v>
      </c>
      <c r="O157" s="190">
        <f t="shared" si="44"/>
        <v>279.85579999999999</v>
      </c>
      <c r="P157" s="191">
        <f t="shared" si="45"/>
        <v>648.07757431217954</v>
      </c>
      <c r="Q157" s="190">
        <f t="shared" si="48"/>
        <v>217.66990000000001</v>
      </c>
      <c r="R157" s="191">
        <f t="shared" si="49"/>
        <v>570.91420630015034</v>
      </c>
      <c r="S157" s="190">
        <f t="shared" si="46"/>
        <v>171.86219999999997</v>
      </c>
      <c r="T157" s="191">
        <f t="shared" si="47"/>
        <v>513.76884123723312</v>
      </c>
    </row>
    <row r="158" spans="5:20" x14ac:dyDescent="0.25">
      <c r="N158" s="187">
        <v>110</v>
      </c>
      <c r="O158" s="190">
        <f t="shared" si="44"/>
        <v>282.37589999999994</v>
      </c>
      <c r="P158" s="191">
        <f t="shared" si="45"/>
        <v>651.19623051903682</v>
      </c>
      <c r="Q158" s="190">
        <f t="shared" si="48"/>
        <v>219.476</v>
      </c>
      <c r="R158" s="191">
        <f t="shared" si="49"/>
        <v>573.16148363975026</v>
      </c>
      <c r="S158" s="190">
        <f t="shared" si="46"/>
        <v>173.28199999999998</v>
      </c>
      <c r="T158" s="191">
        <f t="shared" si="47"/>
        <v>515.54472612011477</v>
      </c>
    </row>
    <row r="159" spans="5:20" x14ac:dyDescent="0.25">
      <c r="N159" s="187">
        <v>111</v>
      </c>
      <c r="O159" s="190">
        <f t="shared" si="44"/>
        <v>284.89599999999996</v>
      </c>
      <c r="P159" s="191">
        <f t="shared" si="45"/>
        <v>654.3142918461748</v>
      </c>
      <c r="Q159" s="190">
        <f t="shared" si="48"/>
        <v>221.28210000000001</v>
      </c>
      <c r="R159" s="191">
        <f t="shared" si="49"/>
        <v>575.40835616522679</v>
      </c>
      <c r="S159" s="190">
        <f t="shared" si="46"/>
        <v>174.70179999999999</v>
      </c>
      <c r="T159" s="191">
        <f t="shared" si="47"/>
        <v>517.32028531144101</v>
      </c>
    </row>
    <row r="160" spans="5:20" x14ac:dyDescent="0.25">
      <c r="N160" s="187">
        <v>112</v>
      </c>
      <c r="O160" s="190">
        <f t="shared" si="44"/>
        <v>287.41609999999997</v>
      </c>
      <c r="P160" s="191">
        <f t="shared" si="45"/>
        <v>657.43176416535243</v>
      </c>
      <c r="Q160" s="190">
        <f t="shared" si="48"/>
        <v>223.0882</v>
      </c>
      <c r="R160" s="191">
        <f t="shared" si="49"/>
        <v>577.65482756359029</v>
      </c>
      <c r="S160" s="190">
        <f t="shared" si="46"/>
        <v>176.1216</v>
      </c>
      <c r="T160" s="191">
        <f t="shared" si="47"/>
        <v>519.09552176487023</v>
      </c>
    </row>
    <row r="161" spans="14:20" x14ac:dyDescent="0.25">
      <c r="N161" s="187">
        <v>113</v>
      </c>
      <c r="O161" s="190">
        <f t="shared" si="44"/>
        <v>289.93619999999999</v>
      </c>
      <c r="P161" s="191">
        <f t="shared" si="45"/>
        <v>660.54865323941863</v>
      </c>
      <c r="Q161" s="190">
        <f t="shared" si="48"/>
        <v>224.89430000000002</v>
      </c>
      <c r="R161" s="191">
        <f t="shared" si="49"/>
        <v>579.90090145870545</v>
      </c>
      <c r="S161" s="190">
        <f t="shared" si="46"/>
        <v>177.54140000000001</v>
      </c>
      <c r="T161" s="191">
        <f t="shared" si="47"/>
        <v>520.87043838369027</v>
      </c>
    </row>
    <row r="162" spans="14:20" x14ac:dyDescent="0.25">
      <c r="N162" s="187">
        <v>114</v>
      </c>
      <c r="O162" s="190">
        <f t="shared" si="44"/>
        <v>292.45629999999994</v>
      </c>
      <c r="P162" s="191">
        <f t="shared" si="45"/>
        <v>663.66496472526137</v>
      </c>
      <c r="Q162" s="190">
        <f t="shared" si="48"/>
        <v>226.7004</v>
      </c>
      <c r="R162" s="191">
        <f t="shared" si="49"/>
        <v>582.1465814128702</v>
      </c>
      <c r="S162" s="190">
        <f t="shared" si="46"/>
        <v>178.96120000000002</v>
      </c>
      <c r="T162" s="191">
        <f t="shared" si="47"/>
        <v>522.64503802207196</v>
      </c>
    </row>
    <row r="163" spans="14:20" x14ac:dyDescent="0.25">
      <c r="N163" s="187">
        <v>115</v>
      </c>
      <c r="O163" s="190">
        <f t="shared" si="44"/>
        <v>294.97639999999996</v>
      </c>
      <c r="P163" s="191">
        <f t="shared" si="45"/>
        <v>666.78070417665151</v>
      </c>
      <c r="Q163" s="190">
        <f t="shared" si="48"/>
        <v>228.50650000000002</v>
      </c>
      <c r="R163" s="191">
        <f t="shared" si="49"/>
        <v>584.39187092834425</v>
      </c>
      <c r="S163" s="190">
        <f t="shared" si="46"/>
        <v>180.38099999999997</v>
      </c>
      <c r="T163" s="191">
        <f t="shared" si="47"/>
        <v>524.41932348628359</v>
      </c>
    </row>
    <row r="164" spans="14:20" x14ac:dyDescent="0.25">
      <c r="N164" s="187">
        <v>116</v>
      </c>
      <c r="O164" s="190">
        <f t="shared" si="44"/>
        <v>297.49649999999997</v>
      </c>
      <c r="P164" s="191">
        <f t="shared" si="45"/>
        <v>669.89587704698704</v>
      </c>
      <c r="Q164" s="190">
        <f t="shared" si="48"/>
        <v>230.3126</v>
      </c>
      <c r="R164" s="191">
        <f t="shared" si="49"/>
        <v>586.63677344882672</v>
      </c>
      <c r="S164" s="190">
        <f t="shared" si="46"/>
        <v>181.80079999999998</v>
      </c>
      <c r="T164" s="191">
        <f t="shared" si="47"/>
        <v>526.19329753586578</v>
      </c>
    </row>
    <row r="165" spans="14:20" x14ac:dyDescent="0.25">
      <c r="N165" s="187">
        <v>117</v>
      </c>
      <c r="O165" s="190">
        <f t="shared" si="44"/>
        <v>300.01659999999998</v>
      </c>
      <c r="P165" s="191">
        <f t="shared" si="45"/>
        <v>673.01048869194187</v>
      </c>
      <c r="Q165" s="190">
        <f t="shared" si="48"/>
        <v>232.11870000000002</v>
      </c>
      <c r="R165" s="191">
        <f t="shared" si="49"/>
        <v>588.8812923608873</v>
      </c>
      <c r="S165" s="190">
        <f t="shared" si="46"/>
        <v>183.22059999999999</v>
      </c>
      <c r="T165" s="191">
        <f t="shared" si="47"/>
        <v>527.96696288476733</v>
      </c>
    </row>
    <row r="166" spans="14:20" x14ac:dyDescent="0.25">
      <c r="N166" s="187">
        <v>118</v>
      </c>
      <c r="O166" s="190">
        <f t="shared" si="44"/>
        <v>302.53669999999994</v>
      </c>
      <c r="P166" s="191">
        <f t="shared" si="45"/>
        <v>676.12454437202257</v>
      </c>
      <c r="Q166" s="190">
        <f t="shared" si="48"/>
        <v>233.9248</v>
      </c>
      <c r="R166" s="191">
        <f t="shared" si="49"/>
        <v>591.12543099535048</v>
      </c>
      <c r="S166" s="190">
        <f t="shared" si="46"/>
        <v>184.6404</v>
      </c>
      <c r="T166" s="191">
        <f t="shared" si="47"/>
        <v>529.74032220244715</v>
      </c>
    </row>
    <row r="167" spans="14:20" x14ac:dyDescent="0.25">
      <c r="N167" s="187">
        <v>119</v>
      </c>
      <c r="O167" s="190">
        <f t="shared" si="44"/>
        <v>305.05679999999995</v>
      </c>
      <c r="P167" s="191">
        <f t="shared" si="45"/>
        <v>679.23804925503828</v>
      </c>
      <c r="Q167" s="190">
        <f t="shared" si="48"/>
        <v>235.73090000000002</v>
      </c>
      <c r="R167" s="191">
        <f t="shared" si="49"/>
        <v>593.36919262863682</v>
      </c>
      <c r="S167" s="190">
        <f t="shared" si="46"/>
        <v>186.06020000000001</v>
      </c>
      <c r="T167" s="191">
        <f t="shared" si="47"/>
        <v>531.51337811493806</v>
      </c>
    </row>
    <row r="168" spans="14:20" x14ac:dyDescent="0.25">
      <c r="N168" s="187">
        <v>120</v>
      </c>
      <c r="O168" s="190">
        <f t="shared" si="44"/>
        <v>307.57689999999997</v>
      </c>
      <c r="P168" s="191">
        <f t="shared" si="45"/>
        <v>682.35100841848509</v>
      </c>
      <c r="Q168" s="190">
        <f t="shared" si="48"/>
        <v>237.53700000000001</v>
      </c>
      <c r="R168" s="191">
        <f t="shared" si="49"/>
        <v>595.61258048406057</v>
      </c>
      <c r="S168" s="190">
        <f t="shared" si="46"/>
        <v>187.48000000000002</v>
      </c>
      <c r="T168" s="191">
        <f t="shared" si="47"/>
        <v>533.28613320588101</v>
      </c>
    </row>
    <row r="169" spans="14:20" x14ac:dyDescent="0.25">
      <c r="N169" s="187">
        <v>121</v>
      </c>
      <c r="O169" s="190">
        <f t="shared" si="44"/>
        <v>310.09699999999998</v>
      </c>
      <c r="P169" s="191">
        <f t="shared" si="45"/>
        <v>685.46342685185277</v>
      </c>
      <c r="Q169" s="190">
        <f t="shared" si="48"/>
        <v>239.34310000000002</v>
      </c>
      <c r="R169" s="191">
        <f t="shared" si="49"/>
        <v>597.85559773308887</v>
      </c>
      <c r="S169" s="190">
        <f t="shared" si="46"/>
        <v>188.89979999999997</v>
      </c>
      <c r="T169" s="191">
        <f t="shared" si="47"/>
        <v>535.05859001752424</v>
      </c>
    </row>
    <row r="170" spans="14:20" x14ac:dyDescent="0.25">
      <c r="N170" s="187">
        <v>122</v>
      </c>
      <c r="O170" s="190">
        <f t="shared" si="44"/>
        <v>312.61709999999994</v>
      </c>
      <c r="P170" s="191">
        <f t="shared" si="45"/>
        <v>688.57530945885071</v>
      </c>
      <c r="Q170" s="190">
        <f t="shared" si="48"/>
        <v>241.14920000000001</v>
      </c>
      <c r="R170" s="191">
        <f t="shared" si="49"/>
        <v>600.098247496559</v>
      </c>
      <c r="S170" s="190">
        <f t="shared" si="46"/>
        <v>190.31959999999998</v>
      </c>
      <c r="T170" s="191">
        <f t="shared" si="47"/>
        <v>536.830751051692</v>
      </c>
    </row>
    <row r="171" spans="14:20" x14ac:dyDescent="0.25">
      <c r="N171" s="187">
        <v>123</v>
      </c>
      <c r="O171" s="190">
        <f t="shared" si="44"/>
        <v>315.13719999999995</v>
      </c>
      <c r="P171" s="191">
        <f t="shared" si="45"/>
        <v>691.68666105956368</v>
      </c>
      <c r="Q171" s="190">
        <f t="shared" si="48"/>
        <v>242.95530000000002</v>
      </c>
      <c r="R171" s="191">
        <f t="shared" si="49"/>
        <v>602.34053284586082</v>
      </c>
      <c r="S171" s="190">
        <f t="shared" si="46"/>
        <v>191.73939999999999</v>
      </c>
      <c r="T171" s="191">
        <f t="shared" si="47"/>
        <v>538.60261877072514</v>
      </c>
    </row>
    <row r="172" spans="14:20" x14ac:dyDescent="0.25">
      <c r="N172" s="187">
        <v>124</v>
      </c>
      <c r="O172" s="190">
        <f t="shared" si="44"/>
        <v>317.65729999999996</v>
      </c>
      <c r="P172" s="191">
        <f t="shared" si="45"/>
        <v>694.7974863925341</v>
      </c>
      <c r="Q172" s="190">
        <f t="shared" si="48"/>
        <v>244.76140000000001</v>
      </c>
      <c r="R172" s="191">
        <f t="shared" si="49"/>
        <v>604.58245680408118</v>
      </c>
      <c r="S172" s="190">
        <f t="shared" si="46"/>
        <v>193.1592</v>
      </c>
      <c r="T172" s="191">
        <f t="shared" si="47"/>
        <v>540.37419559839077</v>
      </c>
    </row>
    <row r="173" spans="14:20" x14ac:dyDescent="0.25">
      <c r="N173" s="187">
        <v>125</v>
      </c>
      <c r="O173" s="190">
        <f t="shared" si="44"/>
        <v>320.17739999999998</v>
      </c>
      <c r="P173" s="191">
        <f t="shared" si="45"/>
        <v>697.90779011677716</v>
      </c>
      <c r="Q173" s="190">
        <f t="shared" si="48"/>
        <v>246.56750000000002</v>
      </c>
      <c r="R173" s="191">
        <f t="shared" si="49"/>
        <v>606.82402234711481</v>
      </c>
      <c r="S173" s="190">
        <f t="shared" si="46"/>
        <v>194.57900000000001</v>
      </c>
      <c r="T173" s="191">
        <f t="shared" si="47"/>
        <v>542.14548392076631</v>
      </c>
    </row>
    <row r="174" spans="14:20" x14ac:dyDescent="0.25">
      <c r="N174" s="187">
        <v>126</v>
      </c>
      <c r="O174" s="190">
        <f t="shared" si="44"/>
        <v>322.69749999999993</v>
      </c>
      <c r="P174" s="191">
        <f t="shared" si="45"/>
        <v>701.01757681373147</v>
      </c>
      <c r="Q174" s="190">
        <f t="shared" si="48"/>
        <v>248.37360000000001</v>
      </c>
      <c r="R174" s="191">
        <f t="shared" si="49"/>
        <v>609.06523240474053</v>
      </c>
      <c r="S174" s="190">
        <f t="shared" si="46"/>
        <v>195.99880000000002</v>
      </c>
      <c r="T174" s="191">
        <f t="shared" si="47"/>
        <v>543.9164860870959</v>
      </c>
    </row>
    <row r="175" spans="14:20" x14ac:dyDescent="0.25">
      <c r="N175" s="187">
        <v>127</v>
      </c>
      <c r="O175" s="190">
        <f t="shared" si="44"/>
        <v>325.21759999999995</v>
      </c>
      <c r="P175" s="191">
        <f t="shared" si="45"/>
        <v>704.1268509891454</v>
      </c>
      <c r="Q175" s="190">
        <f t="shared" si="48"/>
        <v>250.17970000000003</v>
      </c>
      <c r="R175" s="191">
        <f t="shared" si="49"/>
        <v>611.30608986166612</v>
      </c>
      <c r="S175" s="190">
        <f t="shared" si="46"/>
        <v>197.41859999999997</v>
      </c>
      <c r="T175" s="191">
        <f t="shared" si="47"/>
        <v>545.68720441062078</v>
      </c>
    </row>
    <row r="176" spans="14:20" x14ac:dyDescent="0.25">
      <c r="N176" s="187">
        <v>128</v>
      </c>
      <c r="O176" s="190">
        <f t="shared" si="44"/>
        <v>327.73769999999996</v>
      </c>
      <c r="P176" s="191">
        <f t="shared" si="45"/>
        <v>707.23561707490489</v>
      </c>
      <c r="Q176" s="190">
        <f t="shared" si="48"/>
        <v>251.98580000000001</v>
      </c>
      <c r="R176" s="191">
        <f t="shared" si="49"/>
        <v>613.54659755854266</v>
      </c>
      <c r="S176" s="190">
        <f t="shared" si="46"/>
        <v>198.83839999999998</v>
      </c>
      <c r="T176" s="191">
        <f t="shared" si="47"/>
        <v>547.45764116938801</v>
      </c>
    </row>
    <row r="177" spans="14:20" x14ac:dyDescent="0.25">
      <c r="N177" s="187">
        <v>129</v>
      </c>
      <c r="O177" s="190">
        <f t="shared" si="44"/>
        <v>330.25779999999997</v>
      </c>
      <c r="P177" s="191">
        <f t="shared" si="45"/>
        <v>710.34387943080196</v>
      </c>
      <c r="Q177" s="190">
        <f t="shared" si="48"/>
        <v>253.7919</v>
      </c>
      <c r="R177" s="191">
        <f t="shared" si="49"/>
        <v>615.78675829294696</v>
      </c>
      <c r="S177" s="190">
        <f t="shared" si="46"/>
        <v>200.25819999999999</v>
      </c>
      <c r="T177" s="191">
        <f t="shared" si="47"/>
        <v>549.22779860703122</v>
      </c>
    </row>
    <row r="178" spans="14:20" x14ac:dyDescent="0.25">
      <c r="N178" s="187">
        <v>130</v>
      </c>
      <c r="O178" s="190">
        <f t="shared" si="44"/>
        <v>332.77789999999999</v>
      </c>
      <c r="P178" s="191">
        <f t="shared" si="45"/>
        <v>713.45164234624951</v>
      </c>
      <c r="Q178" s="190">
        <f t="shared" si="48"/>
        <v>255.59800000000001</v>
      </c>
      <c r="R178" s="191">
        <f t="shared" si="49"/>
        <v>618.02657482033771</v>
      </c>
      <c r="S178" s="190">
        <f t="shared" si="46"/>
        <v>201.678</v>
      </c>
      <c r="T178" s="191">
        <f t="shared" si="47"/>
        <v>550.99767893353146</v>
      </c>
    </row>
    <row r="179" spans="14:20" x14ac:dyDescent="0.25">
      <c r="N179" s="187">
        <v>131</v>
      </c>
      <c r="O179" s="190">
        <f t="shared" ref="O179:O218" si="50">2.5201*N179+5.1649</f>
        <v>335.29799999999994</v>
      </c>
      <c r="P179" s="191">
        <f t="shared" ref="P179:P218" si="51">IF(O179&gt;0,(((O179*O$3*O$4) +EXP(-1.0587+(0.8836*LN(O179*O$3*O$4))+0.284))*0.475+70+10)*(44/12),0)</f>
        <v>716.55891004194029</v>
      </c>
      <c r="Q179" s="190">
        <f t="shared" si="48"/>
        <v>257.40409999999997</v>
      </c>
      <c r="R179" s="191">
        <f t="shared" si="49"/>
        <v>620.26604985498147</v>
      </c>
      <c r="S179" s="190">
        <f t="shared" si="46"/>
        <v>203.09780000000001</v>
      </c>
      <c r="T179" s="191">
        <f t="shared" si="47"/>
        <v>552.76728432595576</v>
      </c>
    </row>
    <row r="180" spans="14:20" x14ac:dyDescent="0.25">
      <c r="N180" s="187">
        <v>132</v>
      </c>
      <c r="O180" s="190">
        <f t="shared" si="50"/>
        <v>337.81809999999996</v>
      </c>
      <c r="P180" s="191">
        <f t="shared" si="51"/>
        <v>719.66568667145702</v>
      </c>
      <c r="Q180" s="190">
        <f t="shared" si="48"/>
        <v>259.21019999999999</v>
      </c>
      <c r="R180" s="191">
        <f t="shared" si="49"/>
        <v>622.50518607085394</v>
      </c>
      <c r="S180" s="190">
        <f t="shared" si="46"/>
        <v>204.51760000000002</v>
      </c>
      <c r="T180" s="191">
        <f t="shared" si="47"/>
        <v>554.53661692917262</v>
      </c>
    </row>
    <row r="181" spans="14:20" x14ac:dyDescent="0.25">
      <c r="N181" s="187">
        <v>133</v>
      </c>
      <c r="O181" s="190">
        <f t="shared" si="50"/>
        <v>340.33819999999997</v>
      </c>
      <c r="P181" s="191">
        <f t="shared" si="51"/>
        <v>722.77197632283128</v>
      </c>
      <c r="Q181" s="190">
        <f t="shared" si="48"/>
        <v>261.0163</v>
      </c>
      <c r="R181" s="191">
        <f t="shared" si="49"/>
        <v>624.74398610251444</v>
      </c>
      <c r="S181" s="190">
        <f t="shared" si="46"/>
        <v>205.93739999999997</v>
      </c>
      <c r="T181" s="191">
        <f t="shared" si="47"/>
        <v>556.30567885654978</v>
      </c>
    </row>
    <row r="182" spans="14:20" x14ac:dyDescent="0.25">
      <c r="N182" s="187">
        <v>134</v>
      </c>
      <c r="O182" s="190">
        <f t="shared" si="50"/>
        <v>342.85829999999999</v>
      </c>
      <c r="P182" s="191">
        <f t="shared" si="51"/>
        <v>725.87778302005574</v>
      </c>
      <c r="Q182" s="190">
        <f t="shared" si="48"/>
        <v>262.82240000000002</v>
      </c>
      <c r="R182" s="191">
        <f t="shared" si="49"/>
        <v>626.98245254595497</v>
      </c>
      <c r="S182" s="190">
        <f t="shared" si="46"/>
        <v>207.35719999999998</v>
      </c>
      <c r="T182" s="191">
        <f t="shared" si="47"/>
        <v>558.0744721906301</v>
      </c>
    </row>
    <row r="183" spans="14:20" x14ac:dyDescent="0.25">
      <c r="N183" s="187">
        <v>135</v>
      </c>
      <c r="O183" s="190">
        <f t="shared" si="50"/>
        <v>345.37839999999994</v>
      </c>
      <c r="P183" s="191">
        <f t="shared" si="51"/>
        <v>728.98311072455078</v>
      </c>
      <c r="Q183" s="190">
        <f t="shared" si="48"/>
        <v>264.62849999999997</v>
      </c>
      <c r="R183" s="191">
        <f t="shared" si="49"/>
        <v>629.22058795942621</v>
      </c>
      <c r="S183" s="190">
        <f t="shared" si="46"/>
        <v>208.77699999999999</v>
      </c>
      <c r="T183" s="191">
        <f t="shared" si="47"/>
        <v>559.84299898378879</v>
      </c>
    </row>
    <row r="184" spans="14:20" x14ac:dyDescent="0.25">
      <c r="N184" s="187">
        <v>136</v>
      </c>
      <c r="O184" s="190">
        <f t="shared" si="50"/>
        <v>347.89849999999996</v>
      </c>
      <c r="P184" s="191">
        <f t="shared" si="51"/>
        <v>732.08796333658631</v>
      </c>
      <c r="Q184" s="190">
        <f t="shared" si="48"/>
        <v>266.43459999999999</v>
      </c>
      <c r="R184" s="191">
        <f t="shared" si="49"/>
        <v>631.45839486424029</v>
      </c>
      <c r="S184" s="190">
        <f t="shared" si="46"/>
        <v>210.1968</v>
      </c>
      <c r="T184" s="191">
        <f t="shared" si="47"/>
        <v>561.61126125887313</v>
      </c>
    </row>
    <row r="185" spans="14:20" x14ac:dyDescent="0.25">
      <c r="N185" s="187">
        <v>137</v>
      </c>
      <c r="O185" s="190">
        <f t="shared" si="50"/>
        <v>350.41859999999997</v>
      </c>
      <c r="P185" s="191">
        <f t="shared" si="51"/>
        <v>735.19234469666173</v>
      </c>
      <c r="Q185" s="190">
        <f t="shared" si="48"/>
        <v>268.2407</v>
      </c>
      <c r="R185" s="191">
        <f t="shared" si="49"/>
        <v>633.69587574555067</v>
      </c>
      <c r="S185" s="190">
        <f t="shared" si="46"/>
        <v>211.61660000000001</v>
      </c>
      <c r="T185" s="191">
        <f t="shared" si="47"/>
        <v>563.37926100982361</v>
      </c>
    </row>
    <row r="186" spans="14:20" x14ac:dyDescent="0.25">
      <c r="N186" s="187">
        <v>138</v>
      </c>
      <c r="O186" s="190">
        <f t="shared" si="50"/>
        <v>352.93869999999998</v>
      </c>
      <c r="P186" s="191">
        <f t="shared" si="51"/>
        <v>738.2962585868454</v>
      </c>
      <c r="Q186" s="190">
        <f t="shared" si="48"/>
        <v>270.04680000000002</v>
      </c>
      <c r="R186" s="191">
        <f t="shared" si="49"/>
        <v>635.93303305310974</v>
      </c>
      <c r="S186" s="190">
        <f t="shared" si="46"/>
        <v>213.03640000000001</v>
      </c>
      <c r="T186" s="191">
        <f t="shared" si="47"/>
        <v>565.14700020227758</v>
      </c>
    </row>
    <row r="187" spans="14:20" x14ac:dyDescent="0.25">
      <c r="N187" s="187">
        <v>139</v>
      </c>
      <c r="O187" s="190">
        <f t="shared" si="50"/>
        <v>355.45879999999994</v>
      </c>
      <c r="P187" s="191">
        <f t="shared" si="51"/>
        <v>741.39970873207437</v>
      </c>
      <c r="Q187" s="190">
        <f t="shared" si="48"/>
        <v>271.85289999999998</v>
      </c>
      <c r="R187" s="191">
        <f t="shared" si="49"/>
        <v>638.16986920200736</v>
      </c>
      <c r="S187" s="190">
        <f t="shared" si="46"/>
        <v>214.45619999999997</v>
      </c>
      <c r="T187" s="191">
        <f t="shared" si="47"/>
        <v>566.91448077415782</v>
      </c>
    </row>
    <row r="188" spans="14:20" x14ac:dyDescent="0.25">
      <c r="N188" s="187">
        <v>140</v>
      </c>
      <c r="O188" s="190">
        <f t="shared" si="50"/>
        <v>357.97889999999995</v>
      </c>
      <c r="P188" s="191">
        <f t="shared" si="51"/>
        <v>744.50269880141514</v>
      </c>
      <c r="Q188" s="190">
        <f t="shared" si="48"/>
        <v>273.65899999999999</v>
      </c>
      <c r="R188" s="191">
        <f t="shared" si="49"/>
        <v>640.40638657338889</v>
      </c>
      <c r="S188" s="190">
        <f t="shared" si="46"/>
        <v>215.87599999999998</v>
      </c>
      <c r="T188" s="191">
        <f t="shared" si="47"/>
        <v>568.68170463624358</v>
      </c>
    </row>
    <row r="189" spans="14:20" x14ac:dyDescent="0.25">
      <c r="N189" s="187">
        <v>141</v>
      </c>
      <c r="O189" s="190">
        <f t="shared" si="50"/>
        <v>360.49899999999997</v>
      </c>
      <c r="P189" s="191">
        <f t="shared" si="51"/>
        <v>747.60523240929069</v>
      </c>
      <c r="Q189" s="190">
        <f t="shared" si="48"/>
        <v>275.46510000000001</v>
      </c>
      <c r="R189" s="191">
        <f t="shared" si="49"/>
        <v>642.64258751515115</v>
      </c>
      <c r="S189" s="190">
        <f t="shared" si="46"/>
        <v>217.29579999999999</v>
      </c>
      <c r="T189" s="191">
        <f t="shared" si="47"/>
        <v>570.44867367272673</v>
      </c>
    </row>
    <row r="190" spans="14:20" x14ac:dyDescent="0.25">
      <c r="N190" s="187">
        <v>142</v>
      </c>
      <c r="O190" s="190">
        <f t="shared" si="50"/>
        <v>363.01909999999998</v>
      </c>
      <c r="P190" s="191">
        <f t="shared" si="51"/>
        <v>750.70731311666896</v>
      </c>
      <c r="Q190" s="190">
        <f t="shared" si="48"/>
        <v>277.27120000000002</v>
      </c>
      <c r="R190" s="191">
        <f t="shared" si="49"/>
        <v>644.87847434262289</v>
      </c>
      <c r="S190" s="190">
        <f t="shared" si="46"/>
        <v>218.71559999999999</v>
      </c>
      <c r="T190" s="191">
        <f t="shared" si="47"/>
        <v>572.21538974175292</v>
      </c>
    </row>
    <row r="191" spans="14:20" x14ac:dyDescent="0.25">
      <c r="N191" s="187">
        <v>143</v>
      </c>
      <c r="O191" s="190">
        <f t="shared" si="50"/>
        <v>365.53919999999994</v>
      </c>
      <c r="P191" s="191">
        <f t="shared" si="51"/>
        <v>753.80894443221905</v>
      </c>
      <c r="Q191" s="190">
        <f t="shared" si="48"/>
        <v>279.07730000000004</v>
      </c>
      <c r="R191" s="191">
        <f t="shared" si="49"/>
        <v>647.11404933922586</v>
      </c>
      <c r="S191" s="190">
        <f t="shared" si="46"/>
        <v>220.1354</v>
      </c>
      <c r="T191" s="191">
        <f t="shared" si="47"/>
        <v>573.98185467594874</v>
      </c>
    </row>
    <row r="192" spans="14:20" x14ac:dyDescent="0.25">
      <c r="N192" s="187">
        <v>144</v>
      </c>
      <c r="O192" s="190">
        <f t="shared" si="50"/>
        <v>368.05929999999995</v>
      </c>
      <c r="P192" s="191">
        <f t="shared" si="51"/>
        <v>756.9101298134359</v>
      </c>
      <c r="Q192" s="190">
        <f t="shared" si="48"/>
        <v>280.88339999999999</v>
      </c>
      <c r="R192" s="191">
        <f t="shared" si="49"/>
        <v>649.34931475711721</v>
      </c>
      <c r="S192" s="190">
        <f t="shared" si="46"/>
        <v>221.55520000000001</v>
      </c>
      <c r="T192" s="191">
        <f t="shared" si="47"/>
        <v>575.74807028293378</v>
      </c>
    </row>
    <row r="193" spans="14:20" x14ac:dyDescent="0.25">
      <c r="N193" s="187">
        <v>145</v>
      </c>
      <c r="O193" s="190">
        <f t="shared" si="50"/>
        <v>370.57939999999996</v>
      </c>
      <c r="P193" s="191">
        <f t="shared" si="51"/>
        <v>760.01087266772981</v>
      </c>
      <c r="Q193" s="190">
        <f t="shared" si="48"/>
        <v>282.68950000000001</v>
      </c>
      <c r="R193" s="191">
        <f t="shared" si="49"/>
        <v>651.58427281781655</v>
      </c>
      <c r="S193" s="190">
        <f t="shared" ref="S193:S238" si="52">1.4198*N193+17.104</f>
        <v>222.97499999999997</v>
      </c>
      <c r="T193" s="191">
        <f t="shared" ref="T193:T238" si="53">IF(S193&gt;0,(((S193*O$3*O$4) +EXP(-1.0587+(0.8836*LN(S193*O$3*O$4))+0.284))*0.475+70+10)*(44/12),0)</f>
        <v>577.5140383458205</v>
      </c>
    </row>
    <row r="194" spans="14:20" x14ac:dyDescent="0.25">
      <c r="N194" s="187">
        <v>146</v>
      </c>
      <c r="O194" s="190">
        <f t="shared" si="50"/>
        <v>373.09949999999998</v>
      </c>
      <c r="P194" s="191">
        <f t="shared" si="51"/>
        <v>763.11117635348853</v>
      </c>
      <c r="Q194" s="190">
        <f t="shared" si="48"/>
        <v>284.49560000000002</v>
      </c>
      <c r="R194" s="191">
        <f t="shared" si="49"/>
        <v>653.81892571281526</v>
      </c>
      <c r="S194" s="190">
        <f t="shared" si="52"/>
        <v>224.39479999999998</v>
      </c>
      <c r="T194" s="191">
        <f t="shared" si="53"/>
        <v>579.27976062370044</v>
      </c>
    </row>
    <row r="195" spans="14:20" x14ac:dyDescent="0.25">
      <c r="N195" s="187">
        <v>147</v>
      </c>
      <c r="O195" s="190">
        <f t="shared" si="50"/>
        <v>375.61959999999993</v>
      </c>
      <c r="P195" s="191">
        <f t="shared" si="51"/>
        <v>766.21104418110929</v>
      </c>
      <c r="Q195" s="190">
        <f t="shared" ref="Q195:Q228" si="54">1.8061*N195+20.805</f>
        <v>286.30170000000004</v>
      </c>
      <c r="R195" s="191">
        <f t="shared" ref="R195:R228" si="55">IF(Q195&gt;0,(((Q195*O$3*O$4) +EXP(-1.0587+(0.8836*LN(Q195*O$3*O$4))+0.284))*0.475+70+10)*(44/12),0)</f>
        <v>656.05327560417061</v>
      </c>
      <c r="S195" s="190">
        <f t="shared" si="52"/>
        <v>225.81459999999998</v>
      </c>
      <c r="T195" s="191">
        <f t="shared" si="53"/>
        <v>581.04523885211665</v>
      </c>
    </row>
    <row r="196" spans="14:20" x14ac:dyDescent="0.25">
      <c r="N196" s="187">
        <v>148</v>
      </c>
      <c r="O196" s="190">
        <f t="shared" si="50"/>
        <v>378.13969999999995</v>
      </c>
      <c r="P196" s="191">
        <f t="shared" si="51"/>
        <v>769.31047941400061</v>
      </c>
      <c r="Q196" s="190">
        <f t="shared" si="54"/>
        <v>288.1078</v>
      </c>
      <c r="R196" s="191">
        <f t="shared" si="55"/>
        <v>658.2873246250839</v>
      </c>
      <c r="S196" s="190">
        <f t="shared" si="52"/>
        <v>227.23439999999999</v>
      </c>
      <c r="T196" s="191">
        <f t="shared" si="53"/>
        <v>582.81047474352613</v>
      </c>
    </row>
    <row r="197" spans="14:20" x14ac:dyDescent="0.25">
      <c r="N197" s="187">
        <v>149</v>
      </c>
      <c r="O197" s="190">
        <f t="shared" si="50"/>
        <v>380.65979999999996</v>
      </c>
      <c r="P197" s="191">
        <f t="shared" si="51"/>
        <v>772.40948526955913</v>
      </c>
      <c r="Q197" s="190">
        <f t="shared" si="54"/>
        <v>289.91390000000001</v>
      </c>
      <c r="R197" s="191">
        <f t="shared" si="55"/>
        <v>660.52107488046454</v>
      </c>
      <c r="S197" s="190">
        <f t="shared" si="52"/>
        <v>228.6542</v>
      </c>
      <c r="T197" s="191">
        <f t="shared" si="53"/>
        <v>584.5754699877491</v>
      </c>
    </row>
    <row r="198" spans="14:20" x14ac:dyDescent="0.25">
      <c r="N198" s="187">
        <v>150</v>
      </c>
      <c r="O198" s="190">
        <f t="shared" si="50"/>
        <v>383.17989999999998</v>
      </c>
      <c r="P198" s="191">
        <f t="shared" si="51"/>
        <v>775.50806492011736</v>
      </c>
      <c r="Q198" s="190">
        <f t="shared" si="54"/>
        <v>291.72000000000003</v>
      </c>
      <c r="R198" s="191">
        <f t="shared" si="55"/>
        <v>662.75452844747883</v>
      </c>
      <c r="S198" s="190">
        <f t="shared" si="52"/>
        <v>230.07400000000001</v>
      </c>
      <c r="T198" s="191">
        <f t="shared" si="53"/>
        <v>586.34022625240584</v>
      </c>
    </row>
    <row r="199" spans="14:20" x14ac:dyDescent="0.25">
      <c r="N199" s="187">
        <v>151</v>
      </c>
      <c r="O199" s="190">
        <f t="shared" si="50"/>
        <v>385.69999999999993</v>
      </c>
      <c r="P199" s="191">
        <f t="shared" si="51"/>
        <v>778.60622149386791</v>
      </c>
      <c r="Q199" s="190">
        <f t="shared" si="54"/>
        <v>293.52609999999999</v>
      </c>
      <c r="R199" s="191">
        <f t="shared" si="55"/>
        <v>664.98768737608509</v>
      </c>
      <c r="S199" s="190">
        <f t="shared" si="52"/>
        <v>231.49379999999996</v>
      </c>
      <c r="T199" s="191">
        <f t="shared" si="53"/>
        <v>588.10474518334468</v>
      </c>
    </row>
    <row r="200" spans="14:20" x14ac:dyDescent="0.25">
      <c r="N200" s="187">
        <v>152</v>
      </c>
      <c r="O200" s="190">
        <f t="shared" si="50"/>
        <v>388.22009999999995</v>
      </c>
      <c r="P200" s="191">
        <f t="shared" si="51"/>
        <v>781.70395807576153</v>
      </c>
      <c r="Q200" s="190">
        <f t="shared" si="54"/>
        <v>295.3322</v>
      </c>
      <c r="R200" s="191">
        <f t="shared" si="55"/>
        <v>667.22055368955512</v>
      </c>
      <c r="S200" s="190">
        <f t="shared" si="52"/>
        <v>232.91359999999997</v>
      </c>
      <c r="T200" s="191">
        <f t="shared" si="53"/>
        <v>589.86902840505741</v>
      </c>
    </row>
    <row r="201" spans="14:20" x14ac:dyDescent="0.25">
      <c r="N201" s="187">
        <v>153</v>
      </c>
      <c r="O201" s="190">
        <f t="shared" si="50"/>
        <v>390.74019999999996</v>
      </c>
      <c r="P201" s="191">
        <f t="shared" si="51"/>
        <v>784.80127770838203</v>
      </c>
      <c r="Q201" s="190">
        <f t="shared" si="54"/>
        <v>297.13830000000002</v>
      </c>
      <c r="R201" s="191">
        <f t="shared" si="55"/>
        <v>669.4531293849825</v>
      </c>
      <c r="S201" s="190">
        <f t="shared" si="52"/>
        <v>234.33339999999998</v>
      </c>
      <c r="T201" s="191">
        <f t="shared" si="53"/>
        <v>591.63307752108506</v>
      </c>
    </row>
    <row r="202" spans="14:20" x14ac:dyDescent="0.25">
      <c r="N202" s="187">
        <v>154</v>
      </c>
      <c r="O202" s="190">
        <f t="shared" si="50"/>
        <v>393.26029999999997</v>
      </c>
      <c r="P202" s="191">
        <f t="shared" si="51"/>
        <v>787.89818339279645</v>
      </c>
      <c r="Q202" s="190">
        <f t="shared" si="54"/>
        <v>298.94440000000003</v>
      </c>
      <c r="R202" s="191">
        <f t="shared" si="55"/>
        <v>671.6854164337791</v>
      </c>
      <c r="S202" s="190">
        <f t="shared" si="52"/>
        <v>235.75319999999999</v>
      </c>
      <c r="T202" s="191">
        <f t="shared" si="53"/>
        <v>593.39689411441327</v>
      </c>
    </row>
    <row r="203" spans="14:20" x14ac:dyDescent="0.25">
      <c r="N203" s="187">
        <v>155</v>
      </c>
      <c r="O203" s="190">
        <f t="shared" si="50"/>
        <v>395.78039999999993</v>
      </c>
      <c r="P203" s="191">
        <f t="shared" si="51"/>
        <v>790.99467808938539</v>
      </c>
      <c r="Q203" s="190">
        <f t="shared" si="54"/>
        <v>300.75049999999999</v>
      </c>
      <c r="R203" s="191">
        <f t="shared" si="55"/>
        <v>673.91741678215737</v>
      </c>
      <c r="S203" s="190">
        <f t="shared" si="52"/>
        <v>237.173</v>
      </c>
      <c r="T203" s="191">
        <f t="shared" si="53"/>
        <v>595.16047974785772</v>
      </c>
    </row>
    <row r="204" spans="14:20" x14ac:dyDescent="0.25">
      <c r="N204" s="187">
        <v>156</v>
      </c>
      <c r="O204" s="190">
        <f t="shared" si="50"/>
        <v>398.30049999999994</v>
      </c>
      <c r="P204" s="191">
        <f t="shared" si="51"/>
        <v>794.09076471864887</v>
      </c>
      <c r="Q204" s="190">
        <f t="shared" si="54"/>
        <v>302.5566</v>
      </c>
      <c r="R204" s="191">
        <f t="shared" si="55"/>
        <v>676.1491323516027</v>
      </c>
      <c r="S204" s="190">
        <f t="shared" si="52"/>
        <v>238.59280000000001</v>
      </c>
      <c r="T204" s="191">
        <f t="shared" si="53"/>
        <v>596.92383596444085</v>
      </c>
    </row>
    <row r="205" spans="14:20" x14ac:dyDescent="0.25">
      <c r="N205" s="187">
        <v>157</v>
      </c>
      <c r="O205" s="190">
        <f t="shared" si="50"/>
        <v>400.82059999999996</v>
      </c>
      <c r="P205" s="191">
        <f t="shared" si="51"/>
        <v>797.18644616199299</v>
      </c>
      <c r="Q205" s="190">
        <f t="shared" si="54"/>
        <v>304.36270000000002</v>
      </c>
      <c r="R205" s="191">
        <f t="shared" si="55"/>
        <v>678.38056503933251</v>
      </c>
      <c r="S205" s="190">
        <f t="shared" si="52"/>
        <v>240.01259999999996</v>
      </c>
      <c r="T205" s="191">
        <f t="shared" si="53"/>
        <v>598.6869642877582</v>
      </c>
    </row>
    <row r="206" spans="14:20" x14ac:dyDescent="0.25">
      <c r="N206" s="187">
        <v>158</v>
      </c>
      <c r="O206" s="190">
        <f t="shared" si="50"/>
        <v>403.34069999999997</v>
      </c>
      <c r="P206" s="191">
        <f t="shared" si="51"/>
        <v>800.28172526249523</v>
      </c>
      <c r="Q206" s="190">
        <f t="shared" si="54"/>
        <v>306.16880000000003</v>
      </c>
      <c r="R206" s="191">
        <f t="shared" si="55"/>
        <v>680.61171671874547</v>
      </c>
      <c r="S206" s="190">
        <f t="shared" si="52"/>
        <v>241.43239999999997</v>
      </c>
      <c r="T206" s="191">
        <f t="shared" si="53"/>
        <v>600.44986622233705</v>
      </c>
    </row>
    <row r="207" spans="14:20" x14ac:dyDescent="0.25">
      <c r="N207" s="187">
        <v>159</v>
      </c>
      <c r="O207" s="190">
        <f t="shared" si="50"/>
        <v>405.86079999999993</v>
      </c>
      <c r="P207" s="191">
        <f t="shared" si="51"/>
        <v>803.37660482565161</v>
      </c>
      <c r="Q207" s="190">
        <f t="shared" si="54"/>
        <v>307.97489999999999</v>
      </c>
      <c r="R207" s="191">
        <f t="shared" si="55"/>
        <v>682.84258923985908</v>
      </c>
      <c r="S207" s="190">
        <f t="shared" si="52"/>
        <v>242.85219999999998</v>
      </c>
      <c r="T207" s="191">
        <f t="shared" si="53"/>
        <v>602.21254325398536</v>
      </c>
    </row>
    <row r="208" spans="14:20" x14ac:dyDescent="0.25">
      <c r="N208" s="187">
        <v>160</v>
      </c>
      <c r="O208" s="190">
        <f t="shared" si="50"/>
        <v>408.38089999999994</v>
      </c>
      <c r="P208" s="191">
        <f t="shared" si="51"/>
        <v>806.47108762010225</v>
      </c>
      <c r="Q208" s="190">
        <f t="shared" si="54"/>
        <v>309.78100000000001</v>
      </c>
      <c r="R208" s="191">
        <f t="shared" si="55"/>
        <v>685.07318442973656</v>
      </c>
      <c r="S208" s="190">
        <f t="shared" si="52"/>
        <v>244.27199999999999</v>
      </c>
      <c r="T208" s="191">
        <f t="shared" si="53"/>
        <v>603.97499685013247</v>
      </c>
    </row>
    <row r="209" spans="14:20" x14ac:dyDescent="0.25">
      <c r="N209" s="187">
        <v>161</v>
      </c>
      <c r="O209" s="190">
        <f t="shared" si="50"/>
        <v>410.90099999999995</v>
      </c>
      <c r="P209" s="191">
        <f t="shared" si="51"/>
        <v>809.56517637834065</v>
      </c>
      <c r="Q209" s="190">
        <f t="shared" si="54"/>
        <v>311.58710000000002</v>
      </c>
      <c r="R209" s="191">
        <f t="shared" si="55"/>
        <v>687.3035040929044</v>
      </c>
      <c r="S209" s="190">
        <f t="shared" si="52"/>
        <v>245.6918</v>
      </c>
      <c r="T209" s="191">
        <f t="shared" si="53"/>
        <v>605.73722846016267</v>
      </c>
    </row>
    <row r="210" spans="14:20" x14ac:dyDescent="0.25">
      <c r="N210" s="187">
        <v>162</v>
      </c>
      <c r="O210" s="190">
        <f t="shared" si="50"/>
        <v>413.42109999999997</v>
      </c>
      <c r="P210" s="191">
        <f t="shared" si="51"/>
        <v>812.65887379740457</v>
      </c>
      <c r="Q210" s="190">
        <f t="shared" si="54"/>
        <v>313.39320000000004</v>
      </c>
      <c r="R210" s="191">
        <f t="shared" si="55"/>
        <v>689.53355001175873</v>
      </c>
      <c r="S210" s="190">
        <f t="shared" si="52"/>
        <v>247.11160000000001</v>
      </c>
      <c r="T210" s="191">
        <f t="shared" si="53"/>
        <v>607.49923951573919</v>
      </c>
    </row>
    <row r="211" spans="14:20" x14ac:dyDescent="0.25">
      <c r="N211" s="187">
        <v>163</v>
      </c>
      <c r="O211" s="190">
        <f t="shared" si="50"/>
        <v>415.94119999999998</v>
      </c>
      <c r="P211" s="191">
        <f t="shared" si="51"/>
        <v>815.75218253954858</v>
      </c>
      <c r="Q211" s="190">
        <f t="shared" si="54"/>
        <v>315.19929999999999</v>
      </c>
      <c r="R211" s="191">
        <f t="shared" si="55"/>
        <v>691.76332394696249</v>
      </c>
      <c r="S211" s="190">
        <f t="shared" si="52"/>
        <v>248.53140000000002</v>
      </c>
      <c r="T211" s="191">
        <f t="shared" si="53"/>
        <v>609.26103143112232</v>
      </c>
    </row>
    <row r="212" spans="14:20" x14ac:dyDescent="0.25">
      <c r="N212" s="187">
        <v>164</v>
      </c>
      <c r="O212" s="190">
        <f t="shared" si="50"/>
        <v>418.46129999999994</v>
      </c>
      <c r="P212" s="191">
        <f t="shared" si="51"/>
        <v>818.84510523290112</v>
      </c>
      <c r="Q212" s="190">
        <f t="shared" si="54"/>
        <v>317.00540000000001</v>
      </c>
      <c r="R212" s="191">
        <f t="shared" si="55"/>
        <v>693.99282763783469</v>
      </c>
      <c r="S212" s="190">
        <f t="shared" si="52"/>
        <v>249.95119999999997</v>
      </c>
      <c r="T212" s="191">
        <f t="shared" si="53"/>
        <v>611.02260560347815</v>
      </c>
    </row>
    <row r="213" spans="14:20" x14ac:dyDescent="0.25">
      <c r="N213" s="187">
        <v>165</v>
      </c>
      <c r="O213" s="190">
        <f t="shared" si="50"/>
        <v>420.98139999999995</v>
      </c>
      <c r="P213" s="191">
        <f t="shared" si="51"/>
        <v>821.93764447210526</v>
      </c>
      <c r="Q213" s="190">
        <f t="shared" si="54"/>
        <v>318.81150000000002</v>
      </c>
      <c r="R213" s="191">
        <f t="shared" si="55"/>
        <v>696.22206280272746</v>
      </c>
      <c r="S213" s="190">
        <f t="shared" si="52"/>
        <v>251.37099999999998</v>
      </c>
      <c r="T213" s="191">
        <f t="shared" si="53"/>
        <v>612.78396341318228</v>
      </c>
    </row>
    <row r="214" spans="14:20" x14ac:dyDescent="0.25">
      <c r="N214" s="187">
        <v>166</v>
      </c>
      <c r="O214" s="190">
        <f t="shared" si="50"/>
        <v>423.50149999999996</v>
      </c>
      <c r="P214" s="191">
        <f t="shared" si="51"/>
        <v>825.0298028189419</v>
      </c>
      <c r="Q214" s="190">
        <f t="shared" si="54"/>
        <v>320.61760000000004</v>
      </c>
      <c r="R214" s="191">
        <f t="shared" si="55"/>
        <v>698.45103113939774</v>
      </c>
      <c r="S214" s="190">
        <f t="shared" si="52"/>
        <v>252.79079999999999</v>
      </c>
      <c r="T214" s="191">
        <f t="shared" si="53"/>
        <v>614.54510622411374</v>
      </c>
    </row>
    <row r="215" spans="14:20" x14ac:dyDescent="0.25">
      <c r="N215" s="187">
        <v>167</v>
      </c>
      <c r="O215" s="190">
        <f t="shared" si="50"/>
        <v>426.02159999999998</v>
      </c>
      <c r="P215" s="191">
        <f t="shared" si="51"/>
        <v>828.12158280294034</v>
      </c>
      <c r="Q215" s="190">
        <f t="shared" si="54"/>
        <v>322.4237</v>
      </c>
      <c r="R215" s="191">
        <f t="shared" si="55"/>
        <v>700.67973432536746</v>
      </c>
      <c r="S215" s="190">
        <f t="shared" si="52"/>
        <v>254.2106</v>
      </c>
      <c r="T215" s="191">
        <f t="shared" si="53"/>
        <v>616.3060353839453</v>
      </c>
    </row>
    <row r="216" spans="14:20" x14ac:dyDescent="0.25">
      <c r="N216" s="187">
        <v>168</v>
      </c>
      <c r="O216" s="190">
        <f t="shared" si="50"/>
        <v>428.54169999999993</v>
      </c>
      <c r="P216" s="191">
        <f t="shared" si="51"/>
        <v>831.21298692197126</v>
      </c>
      <c r="Q216" s="190">
        <f t="shared" si="54"/>
        <v>324.22980000000001</v>
      </c>
      <c r="R216" s="191">
        <f t="shared" si="55"/>
        <v>702.90817401827724</v>
      </c>
      <c r="S216" s="190">
        <f t="shared" si="52"/>
        <v>255.63040000000001</v>
      </c>
      <c r="T216" s="191">
        <f t="shared" si="53"/>
        <v>618.06675222442402</v>
      </c>
    </row>
    <row r="217" spans="14:20" x14ac:dyDescent="0.25">
      <c r="N217" s="187">
        <v>169</v>
      </c>
      <c r="O217" s="190">
        <f t="shared" si="50"/>
        <v>431.06179999999995</v>
      </c>
      <c r="P217" s="191">
        <f t="shared" si="51"/>
        <v>834.30401764282828</v>
      </c>
      <c r="Q217" s="190">
        <f t="shared" si="54"/>
        <v>326.03590000000003</v>
      </c>
      <c r="R217" s="191">
        <f t="shared" si="55"/>
        <v>705.13635185623173</v>
      </c>
      <c r="S217" s="190">
        <f t="shared" si="52"/>
        <v>257.05020000000002</v>
      </c>
      <c r="T217" s="191">
        <f t="shared" si="53"/>
        <v>619.82725806164797</v>
      </c>
    </row>
    <row r="218" spans="14:20" x14ac:dyDescent="0.25">
      <c r="N218" s="187">
        <v>170</v>
      </c>
      <c r="O218" s="190">
        <f t="shared" si="50"/>
        <v>433.58189999999996</v>
      </c>
      <c r="P218" s="191">
        <f t="shared" si="51"/>
        <v>837.39467740179259</v>
      </c>
      <c r="Q218" s="190">
        <f t="shared" si="54"/>
        <v>327.84200000000004</v>
      </c>
      <c r="R218" s="191">
        <f t="shared" si="55"/>
        <v>707.36426945813605</v>
      </c>
      <c r="S218" s="190">
        <f t="shared" si="52"/>
        <v>258.46999999999997</v>
      </c>
      <c r="T218" s="191">
        <f t="shared" si="53"/>
        <v>621.58755419633485</v>
      </c>
    </row>
    <row r="219" spans="14:20" x14ac:dyDescent="0.25">
      <c r="N219" s="187">
        <v>171</v>
      </c>
      <c r="Q219" s="190">
        <f t="shared" si="54"/>
        <v>329.6481</v>
      </c>
      <c r="R219" s="191">
        <f t="shared" si="55"/>
        <v>709.59192842402592</v>
      </c>
      <c r="S219" s="190">
        <f t="shared" si="52"/>
        <v>259.88979999999998</v>
      </c>
      <c r="T219" s="191">
        <f t="shared" si="53"/>
        <v>623.3476419140851</v>
      </c>
    </row>
    <row r="220" spans="14:20" x14ac:dyDescent="0.25">
      <c r="N220" s="187">
        <v>172</v>
      </c>
      <c r="Q220" s="190">
        <f t="shared" si="54"/>
        <v>331.45420000000001</v>
      </c>
      <c r="R220" s="191">
        <f t="shared" si="55"/>
        <v>711.81933033538951</v>
      </c>
      <c r="S220" s="190">
        <f t="shared" si="52"/>
        <v>261.30959999999999</v>
      </c>
      <c r="T220" s="191">
        <f t="shared" si="53"/>
        <v>625.10752248563972</v>
      </c>
    </row>
    <row r="221" spans="14:20" x14ac:dyDescent="0.25">
      <c r="N221" s="187">
        <v>173</v>
      </c>
      <c r="Q221" s="190">
        <f t="shared" si="54"/>
        <v>333.26030000000003</v>
      </c>
      <c r="R221" s="191">
        <f t="shared" si="55"/>
        <v>714.0464767554821</v>
      </c>
      <c r="S221" s="190">
        <f t="shared" si="52"/>
        <v>262.7294</v>
      </c>
      <c r="T221" s="191">
        <f t="shared" si="53"/>
        <v>626.86719716713162</v>
      </c>
    </row>
    <row r="222" spans="14:20" x14ac:dyDescent="0.25">
      <c r="N222" s="187">
        <v>174</v>
      </c>
      <c r="Q222" s="190">
        <f t="shared" si="54"/>
        <v>335.06639999999999</v>
      </c>
      <c r="R222" s="191">
        <f t="shared" si="55"/>
        <v>716.27336922963411</v>
      </c>
      <c r="S222" s="190">
        <f t="shared" si="52"/>
        <v>264.14920000000001</v>
      </c>
      <c r="T222" s="191">
        <f t="shared" si="53"/>
        <v>628.62666720033133</v>
      </c>
    </row>
    <row r="223" spans="14:20" x14ac:dyDescent="0.25">
      <c r="N223" s="187">
        <v>175</v>
      </c>
      <c r="Q223" s="190">
        <f t="shared" si="54"/>
        <v>336.8725</v>
      </c>
      <c r="R223" s="191">
        <f t="shared" si="55"/>
        <v>718.50000928555255</v>
      </c>
      <c r="S223" s="190">
        <f t="shared" si="52"/>
        <v>265.56900000000002</v>
      </c>
      <c r="T223" s="191">
        <f t="shared" si="53"/>
        <v>630.38593381288774</v>
      </c>
    </row>
    <row r="224" spans="14:20" x14ac:dyDescent="0.25">
      <c r="N224" s="187">
        <v>176</v>
      </c>
      <c r="Q224" s="190">
        <f t="shared" si="54"/>
        <v>338.67860000000002</v>
      </c>
      <c r="R224" s="191">
        <f t="shared" si="55"/>
        <v>720.72639843361458</v>
      </c>
      <c r="S224" s="190">
        <f t="shared" si="52"/>
        <v>266.98879999999997</v>
      </c>
      <c r="T224" s="191">
        <f t="shared" si="53"/>
        <v>632.14499821856305</v>
      </c>
    </row>
    <row r="225" spans="14:20" x14ac:dyDescent="0.25">
      <c r="N225" s="187">
        <v>177</v>
      </c>
      <c r="Q225" s="190">
        <f t="shared" si="54"/>
        <v>340.48470000000003</v>
      </c>
      <c r="R225" s="191">
        <f t="shared" si="55"/>
        <v>722.95253816715604</v>
      </c>
      <c r="S225" s="190">
        <f t="shared" si="52"/>
        <v>268.40859999999998</v>
      </c>
      <c r="T225" s="191">
        <f t="shared" si="53"/>
        <v>633.90386161746346</v>
      </c>
    </row>
    <row r="226" spans="14:20" x14ac:dyDescent="0.25">
      <c r="N226" s="187">
        <v>178</v>
      </c>
      <c r="Q226" s="190">
        <f t="shared" si="54"/>
        <v>342.29079999999999</v>
      </c>
      <c r="R226" s="191">
        <f t="shared" si="55"/>
        <v>725.17842996275272</v>
      </c>
      <c r="S226" s="190">
        <f t="shared" si="52"/>
        <v>269.82839999999999</v>
      </c>
      <c r="T226" s="191">
        <f t="shared" si="53"/>
        <v>635.66252519626323</v>
      </c>
    </row>
    <row r="227" spans="14:20" x14ac:dyDescent="0.25">
      <c r="N227" s="187">
        <v>179</v>
      </c>
      <c r="Q227" s="190">
        <f t="shared" si="54"/>
        <v>344.09690000000001</v>
      </c>
      <c r="R227" s="191">
        <f t="shared" si="55"/>
        <v>727.40407528049616</v>
      </c>
      <c r="S227" s="190">
        <f t="shared" si="52"/>
        <v>271.2482</v>
      </c>
      <c r="T227" s="191">
        <f t="shared" si="53"/>
        <v>637.42099012842607</v>
      </c>
    </row>
    <row r="228" spans="14:20" x14ac:dyDescent="0.25">
      <c r="N228" s="187">
        <v>180</v>
      </c>
      <c r="Q228" s="190">
        <f t="shared" si="54"/>
        <v>345.90300000000002</v>
      </c>
      <c r="R228" s="191">
        <f t="shared" si="55"/>
        <v>729.62947556426298</v>
      </c>
      <c r="S228" s="190">
        <f t="shared" si="52"/>
        <v>272.66800000000001</v>
      </c>
      <c r="T228" s="191">
        <f t="shared" si="53"/>
        <v>639.17925757441924</v>
      </c>
    </row>
    <row r="229" spans="14:20" x14ac:dyDescent="0.25">
      <c r="N229" s="187">
        <v>181</v>
      </c>
      <c r="S229" s="190">
        <f t="shared" si="52"/>
        <v>274.08779999999996</v>
      </c>
      <c r="T229" s="191">
        <f t="shared" si="53"/>
        <v>640.93732868192581</v>
      </c>
    </row>
    <row r="230" spans="14:20" x14ac:dyDescent="0.25">
      <c r="N230" s="187">
        <v>182</v>
      </c>
      <c r="S230" s="190">
        <f t="shared" si="52"/>
        <v>275.50759999999997</v>
      </c>
      <c r="T230" s="191">
        <f t="shared" si="53"/>
        <v>642.69520458604961</v>
      </c>
    </row>
    <row r="231" spans="14:20" x14ac:dyDescent="0.25">
      <c r="N231" s="187">
        <v>183</v>
      </c>
      <c r="S231" s="190">
        <f t="shared" si="52"/>
        <v>276.92739999999998</v>
      </c>
      <c r="T231" s="191">
        <f t="shared" si="53"/>
        <v>644.45288640951844</v>
      </c>
    </row>
    <row r="232" spans="14:20" x14ac:dyDescent="0.25">
      <c r="N232" s="187">
        <v>184</v>
      </c>
      <c r="S232" s="190">
        <f t="shared" si="52"/>
        <v>278.34719999999999</v>
      </c>
      <c r="T232" s="191">
        <f t="shared" si="53"/>
        <v>646.21037526288058</v>
      </c>
    </row>
    <row r="233" spans="14:20" x14ac:dyDescent="0.25">
      <c r="N233" s="187">
        <v>185</v>
      </c>
      <c r="S233" s="190">
        <f t="shared" si="52"/>
        <v>279.767</v>
      </c>
      <c r="T233" s="191">
        <f t="shared" si="53"/>
        <v>647.96767224469943</v>
      </c>
    </row>
    <row r="234" spans="14:20" x14ac:dyDescent="0.25">
      <c r="N234" s="187">
        <v>186</v>
      </c>
      <c r="S234" s="190">
        <f t="shared" si="52"/>
        <v>281.18679999999995</v>
      </c>
      <c r="T234" s="191">
        <f t="shared" si="53"/>
        <v>649.72477844174193</v>
      </c>
    </row>
    <row r="235" spans="14:20" x14ac:dyDescent="0.25">
      <c r="N235" s="187">
        <v>187</v>
      </c>
      <c r="S235" s="190">
        <f t="shared" si="52"/>
        <v>282.60659999999996</v>
      </c>
      <c r="T235" s="191">
        <f t="shared" si="53"/>
        <v>651.48169492916531</v>
      </c>
    </row>
    <row r="236" spans="14:20" x14ac:dyDescent="0.25">
      <c r="N236" s="187">
        <v>188</v>
      </c>
      <c r="S236" s="190">
        <f t="shared" si="52"/>
        <v>284.02639999999997</v>
      </c>
      <c r="T236" s="191">
        <f t="shared" si="53"/>
        <v>653.23842277069798</v>
      </c>
    </row>
    <row r="237" spans="14:20" x14ac:dyDescent="0.25">
      <c r="N237" s="187">
        <v>189</v>
      </c>
      <c r="S237" s="190">
        <f t="shared" si="52"/>
        <v>285.44619999999998</v>
      </c>
      <c r="T237" s="191">
        <f t="shared" si="53"/>
        <v>654.99496301881743</v>
      </c>
    </row>
    <row r="238" spans="14:20" x14ac:dyDescent="0.25">
      <c r="N238" s="187">
        <v>190</v>
      </c>
      <c r="S238" s="190">
        <f t="shared" si="52"/>
        <v>286.86599999999999</v>
      </c>
      <c r="T238" s="191">
        <f t="shared" si="53"/>
        <v>656.75131671492534</v>
      </c>
    </row>
  </sheetData>
  <mergeCells count="18">
    <mergeCell ref="E1:L1"/>
    <mergeCell ref="F47:G47"/>
    <mergeCell ref="H47:I47"/>
    <mergeCell ref="J47:K47"/>
    <mergeCell ref="N1:U1"/>
    <mergeCell ref="O47:P47"/>
    <mergeCell ref="Q47:R47"/>
    <mergeCell ref="S47:T47"/>
    <mergeCell ref="X47:Y47"/>
    <mergeCell ref="Z47:AA47"/>
    <mergeCell ref="AB47:AC47"/>
    <mergeCell ref="AO35:AT35"/>
    <mergeCell ref="AO1:AV1"/>
    <mergeCell ref="AF1:AM1"/>
    <mergeCell ref="AG47:AH47"/>
    <mergeCell ref="AI47:AJ47"/>
    <mergeCell ref="AK47:AL47"/>
    <mergeCell ref="W1:AD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12" sqref="A12"/>
    </sheetView>
  </sheetViews>
  <sheetFormatPr baseColWidth="10" defaultColWidth="10.85546875" defaultRowHeight="14.25" x14ac:dyDescent="0.2"/>
  <cols>
    <col min="1" max="16384" width="10.85546875" style="121"/>
  </cols>
  <sheetData>
    <row r="1" spans="1:3" x14ac:dyDescent="0.2">
      <c r="B1" s="121" t="s">
        <v>209</v>
      </c>
      <c r="C1" s="121" t="s">
        <v>210</v>
      </c>
    </row>
    <row r="2" spans="1:3" x14ac:dyDescent="0.2">
      <c r="A2" s="121" t="s">
        <v>27</v>
      </c>
      <c r="B2" s="121" t="s">
        <v>211</v>
      </c>
      <c r="C2" s="121" t="s">
        <v>218</v>
      </c>
    </row>
    <row r="3" spans="1:3" x14ac:dyDescent="0.2">
      <c r="A3" s="121" t="s">
        <v>217</v>
      </c>
      <c r="B3" s="121" t="s">
        <v>211</v>
      </c>
      <c r="C3" s="121" t="s">
        <v>213</v>
      </c>
    </row>
    <row r="4" spans="1:3" x14ac:dyDescent="0.2">
      <c r="A4" s="121" t="s">
        <v>26</v>
      </c>
      <c r="B4" s="121" t="s">
        <v>211</v>
      </c>
      <c r="C4" s="121" t="s">
        <v>214</v>
      </c>
    </row>
    <row r="5" spans="1:3" x14ac:dyDescent="0.2">
      <c r="A5" s="121" t="s">
        <v>29</v>
      </c>
      <c r="B5" s="121" t="s">
        <v>211</v>
      </c>
      <c r="C5" s="121" t="s">
        <v>212</v>
      </c>
    </row>
    <row r="6" spans="1:3" x14ac:dyDescent="0.2">
      <c r="A6" s="121" t="s">
        <v>28</v>
      </c>
      <c r="B6" s="121" t="s">
        <v>215</v>
      </c>
      <c r="C6" s="121" t="s">
        <v>216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11</vt:i4>
      </vt:variant>
    </vt:vector>
  </HeadingPairs>
  <TitlesOfParts>
    <vt:vector size="17" baseType="lpstr">
      <vt:lpstr>2-REA </vt:lpstr>
      <vt:lpstr>VAN </vt:lpstr>
      <vt:lpstr>Inputs</vt:lpstr>
      <vt:lpstr>Inputs - Tables de production</vt:lpstr>
      <vt:lpstr>VERRA</vt:lpstr>
      <vt:lpstr>Lexique</vt:lpstr>
      <vt:lpstr>CF</vt:lpstr>
      <vt:lpstr>'2-REA '!d</vt:lpstr>
      <vt:lpstr>ESS</vt:lpstr>
      <vt:lpstr>Rab</vt:lpstr>
      <vt:lpstr>SMLT</vt:lpstr>
      <vt:lpstr>Tc</vt:lpstr>
      <vt:lpstr>TPR</vt:lpstr>
      <vt:lpstr>Vbi</vt:lpstr>
      <vt:lpstr>Vt</vt:lpstr>
      <vt:lpstr>'2-REA '!Zone_d_impression</vt:lpstr>
      <vt:lpstr>Inputs!Zone_d_impression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Lopez</dc:creator>
  <cp:lastModifiedBy>manon Lopez</cp:lastModifiedBy>
  <cp:lastPrinted>2020-10-27T08:53:36Z</cp:lastPrinted>
  <dcterms:created xsi:type="dcterms:W3CDTF">2019-10-04T15:03:08Z</dcterms:created>
  <dcterms:modified xsi:type="dcterms:W3CDTF">2021-03-11T20:38:53Z</dcterms:modified>
</cp:coreProperties>
</file>