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CFBL\Projets_LBC\Projet_Billy-sur-Oisy_02021\"/>
    </mc:Choice>
  </mc:AlternateContent>
  <bookViews>
    <workbookView xWindow="0" yWindow="0" windowWidth="19200" windowHeight="7310" activeTab="3"/>
  </bookViews>
  <sheets>
    <sheet name="REAforêtMBoisement" sheetId="6" r:id="rId1"/>
    <sheet name="REAproduitsMBoisement" sheetId="7" r:id="rId2"/>
    <sheet name="REEsubsMBoisement" sheetId="5" r:id="rId3"/>
    <sheet name="REG&amp;Rabais" sheetId="4" r:id="rId4"/>
    <sheet name="Listes choix" sheetId="2" state="hidden"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7" i="5" l="1"/>
  <c r="V26" i="7"/>
  <c r="BT21" i="6" l="1"/>
  <c r="B21" i="6"/>
  <c r="B22" i="6"/>
  <c r="D31" i="6"/>
  <c r="BJ35" i="6"/>
  <c r="D35" i="6"/>
  <c r="E35" i="6"/>
  <c r="F35" i="6"/>
  <c r="G35" i="6"/>
  <c r="H35" i="6"/>
  <c r="I35" i="6"/>
  <c r="J35" i="6"/>
  <c r="K35" i="6"/>
  <c r="L35" i="6"/>
  <c r="M35" i="6"/>
  <c r="N35" i="6"/>
  <c r="O35" i="6"/>
  <c r="P35" i="6"/>
  <c r="Q35" i="6"/>
  <c r="R35" i="6"/>
  <c r="S35" i="6"/>
  <c r="T35" i="6"/>
  <c r="U35" i="6"/>
  <c r="V35" i="6"/>
  <c r="W35" i="6"/>
  <c r="X35" i="6"/>
  <c r="Y35" i="6"/>
  <c r="Z35" i="6"/>
  <c r="AA35" i="6"/>
  <c r="AB35" i="6"/>
  <c r="AC35" i="6"/>
  <c r="AD35" i="6"/>
  <c r="AE35" i="6"/>
  <c r="AF35" i="6"/>
  <c r="AG35" i="6"/>
  <c r="AH35" i="6"/>
  <c r="AI35" i="6"/>
  <c r="AJ35" i="6"/>
  <c r="AK35" i="6"/>
  <c r="AL35" i="6"/>
  <c r="AM35" i="6"/>
  <c r="AN35" i="6"/>
  <c r="AO35" i="6"/>
  <c r="AP35" i="6"/>
  <c r="AQ35" i="6"/>
  <c r="AQ31" i="6" s="1"/>
  <c r="AR35" i="6"/>
  <c r="AS35" i="6"/>
  <c r="AT35" i="6"/>
  <c r="AU35" i="6"/>
  <c r="AV35" i="6"/>
  <c r="AW35" i="6"/>
  <c r="AX35" i="6"/>
  <c r="AY35" i="6"/>
  <c r="AZ35" i="6"/>
  <c r="BA35" i="6"/>
  <c r="BB35" i="6"/>
  <c r="BC35" i="6"/>
  <c r="BD35" i="6"/>
  <c r="BE35" i="6"/>
  <c r="BF35" i="6"/>
  <c r="BG35" i="6"/>
  <c r="BG31" i="6" s="1"/>
  <c r="BH35" i="6"/>
  <c r="BI35" i="6"/>
  <c r="BT34" i="6"/>
  <c r="BK34" i="6"/>
  <c r="BK31" i="6" s="1"/>
  <c r="BL34" i="6"/>
  <c r="BM34" i="6"/>
  <c r="BN34" i="6"/>
  <c r="BO34" i="6"/>
  <c r="BO31" i="6" s="1"/>
  <c r="BP34" i="6"/>
  <c r="BQ34" i="6"/>
  <c r="BQ31" i="6" s="1"/>
  <c r="BR34" i="6"/>
  <c r="BR31" i="6" s="1"/>
  <c r="BS34" i="6"/>
  <c r="BS31" i="6" s="1"/>
  <c r="D34" i="6"/>
  <c r="E34" i="6"/>
  <c r="F34" i="6"/>
  <c r="G34" i="6"/>
  <c r="H34" i="6"/>
  <c r="I34" i="6"/>
  <c r="J34" i="6"/>
  <c r="K34" i="6"/>
  <c r="L34" i="6"/>
  <c r="M34" i="6"/>
  <c r="N34" i="6"/>
  <c r="O34" i="6"/>
  <c r="P34" i="6"/>
  <c r="Q34" i="6"/>
  <c r="R34" i="6"/>
  <c r="S34" i="6"/>
  <c r="T34" i="6"/>
  <c r="U34" i="6"/>
  <c r="V34" i="6"/>
  <c r="W34" i="6"/>
  <c r="X34" i="6"/>
  <c r="Y34" i="6"/>
  <c r="Z34" i="6"/>
  <c r="AA34" i="6"/>
  <c r="AB34" i="6"/>
  <c r="AC34" i="6"/>
  <c r="AD34" i="6"/>
  <c r="AE34" i="6"/>
  <c r="AF34" i="6"/>
  <c r="AG34" i="6"/>
  <c r="AH34" i="6"/>
  <c r="AI34" i="6"/>
  <c r="AJ34" i="6"/>
  <c r="AK34" i="6"/>
  <c r="AL34" i="6"/>
  <c r="AM34" i="6"/>
  <c r="AN34" i="6"/>
  <c r="AO34" i="6"/>
  <c r="AP34" i="6"/>
  <c r="AQ34" i="6"/>
  <c r="AR34" i="6"/>
  <c r="AS34" i="6"/>
  <c r="AT34" i="6"/>
  <c r="AU34" i="6"/>
  <c r="AV34" i="6"/>
  <c r="AW34" i="6"/>
  <c r="AX34" i="6"/>
  <c r="AY34" i="6"/>
  <c r="AZ34" i="6"/>
  <c r="BA34" i="6"/>
  <c r="BB34" i="6"/>
  <c r="BC34" i="6"/>
  <c r="BD34" i="6"/>
  <c r="BE34" i="6"/>
  <c r="BF34" i="6"/>
  <c r="BG34" i="6"/>
  <c r="BH34" i="6"/>
  <c r="BI34" i="6"/>
  <c r="BJ34" i="6"/>
  <c r="AA33" i="6"/>
  <c r="D33" i="6"/>
  <c r="E33" i="6"/>
  <c r="F33" i="6"/>
  <c r="F31" i="6" s="1"/>
  <c r="G33" i="6"/>
  <c r="H33" i="6"/>
  <c r="I33" i="6"/>
  <c r="J33" i="6"/>
  <c r="K33" i="6"/>
  <c r="L33" i="6"/>
  <c r="M33" i="6"/>
  <c r="N33" i="6"/>
  <c r="N31" i="6" s="1"/>
  <c r="O33" i="6"/>
  <c r="P33" i="6"/>
  <c r="Q33" i="6"/>
  <c r="R33" i="6"/>
  <c r="S33" i="6"/>
  <c r="T33" i="6"/>
  <c r="T31" i="6" s="1"/>
  <c r="U33" i="6"/>
  <c r="V33" i="6"/>
  <c r="V31" i="6" s="1"/>
  <c r="W33" i="6"/>
  <c r="X33" i="6"/>
  <c r="Y33" i="6"/>
  <c r="Z33" i="6"/>
  <c r="AK32" i="6"/>
  <c r="D32" i="6"/>
  <c r="E32" i="6"/>
  <c r="F32" i="6"/>
  <c r="G32" i="6"/>
  <c r="H32" i="6"/>
  <c r="I32" i="6"/>
  <c r="J32" i="6"/>
  <c r="J31" i="6" s="1"/>
  <c r="K32" i="6"/>
  <c r="L32" i="6"/>
  <c r="M32" i="6"/>
  <c r="N32" i="6"/>
  <c r="O32" i="6"/>
  <c r="P32" i="6"/>
  <c r="Q32" i="6"/>
  <c r="R32" i="6"/>
  <c r="R31" i="6" s="1"/>
  <c r="S32" i="6"/>
  <c r="T32" i="6"/>
  <c r="U32" i="6"/>
  <c r="V32" i="6"/>
  <c r="W32" i="6"/>
  <c r="X32" i="6"/>
  <c r="Y32" i="6"/>
  <c r="Z32" i="6"/>
  <c r="Z31" i="6" s="1"/>
  <c r="AA32" i="6"/>
  <c r="AB32" i="6"/>
  <c r="AC32" i="6"/>
  <c r="AD32" i="6"/>
  <c r="AE32" i="6"/>
  <c r="AF32" i="6"/>
  <c r="AG32" i="6"/>
  <c r="AH32" i="6"/>
  <c r="AH31" i="6" s="1"/>
  <c r="AI32" i="6"/>
  <c r="AJ32" i="6"/>
  <c r="E31" i="6"/>
  <c r="G31" i="6"/>
  <c r="H31" i="6"/>
  <c r="L31" i="6"/>
  <c r="M31" i="6"/>
  <c r="O31" i="6"/>
  <c r="P31" i="6"/>
  <c r="U31" i="6"/>
  <c r="W31" i="6"/>
  <c r="X31" i="6"/>
  <c r="AB31" i="6"/>
  <c r="AC31" i="6"/>
  <c r="AD31" i="6"/>
  <c r="AE31" i="6"/>
  <c r="AF31" i="6"/>
  <c r="AJ31" i="6"/>
  <c r="AK31" i="6"/>
  <c r="AL31" i="6"/>
  <c r="AM31" i="6"/>
  <c r="AN31" i="6"/>
  <c r="AP31" i="6"/>
  <c r="AR31" i="6"/>
  <c r="AS31" i="6"/>
  <c r="AT31" i="6"/>
  <c r="AU31" i="6"/>
  <c r="AV31" i="6"/>
  <c r="AX31" i="6"/>
  <c r="AY31" i="6"/>
  <c r="AZ31" i="6"/>
  <c r="BA31" i="6"/>
  <c r="BB31" i="6"/>
  <c r="BC31" i="6"/>
  <c r="BD31" i="6"/>
  <c r="BF31" i="6"/>
  <c r="BH31" i="6"/>
  <c r="BI31" i="6"/>
  <c r="BJ31" i="6"/>
  <c r="BL31" i="6"/>
  <c r="BM31" i="6"/>
  <c r="BN31" i="6"/>
  <c r="BP31" i="6"/>
  <c r="BT31" i="6"/>
  <c r="C35" i="6"/>
  <c r="C34" i="6"/>
  <c r="C33" i="6"/>
  <c r="C32" i="6"/>
  <c r="C31" i="6"/>
  <c r="BE31" i="6" l="1"/>
  <c r="AW31" i="6"/>
  <c r="AO31" i="6"/>
  <c r="AI31" i="6"/>
  <c r="AA31" i="6"/>
  <c r="S31" i="6"/>
  <c r="K31" i="6"/>
  <c r="AG31" i="6"/>
  <c r="Y31" i="6"/>
  <c r="Q31" i="6"/>
  <c r="I31" i="6"/>
  <c r="V17" i="7"/>
  <c r="V20" i="7"/>
  <c r="V23" i="7"/>
  <c r="B40" i="6"/>
  <c r="B39" i="6"/>
  <c r="BS36" i="6"/>
  <c r="C36" i="6"/>
  <c r="AK22" i="6"/>
  <c r="BJ29" i="6"/>
  <c r="B29" i="6"/>
  <c r="AM27" i="6"/>
  <c r="B27" i="6"/>
  <c r="AA25" i="6"/>
  <c r="B25" i="6"/>
  <c r="Q23" i="6"/>
  <c r="K23" i="6"/>
  <c r="B23" i="6"/>
  <c r="B55" i="6"/>
  <c r="F39" i="6" l="1"/>
  <c r="AE17" i="5"/>
  <c r="AE16" i="5" s="1"/>
  <c r="B11" i="5"/>
  <c r="U16" i="5" s="1"/>
  <c r="B5" i="5" s="1"/>
  <c r="B8" i="4" s="1"/>
  <c r="B14" i="7"/>
  <c r="V24" i="7"/>
  <c r="V25" i="7"/>
  <c r="C37" i="7" l="1"/>
  <c r="C36" i="7"/>
  <c r="C35" i="7"/>
  <c r="C34" i="7"/>
  <c r="G17" i="7" l="1"/>
  <c r="O17" i="7"/>
  <c r="X17" i="7"/>
  <c r="B17" i="7"/>
  <c r="AB17" i="7"/>
  <c r="AD17" i="7"/>
  <c r="F17" i="7"/>
  <c r="H17" i="7"/>
  <c r="P17" i="7"/>
  <c r="Y17" i="7"/>
  <c r="S17" i="7"/>
  <c r="N17" i="7"/>
  <c r="I17" i="7"/>
  <c r="Q17" i="7"/>
  <c r="Z17" i="7"/>
  <c r="C17" i="7"/>
  <c r="K17" i="7"/>
  <c r="E17" i="7"/>
  <c r="W17" i="7"/>
  <c r="AF17" i="7"/>
  <c r="J17" i="7"/>
  <c r="R17" i="7"/>
  <c r="AA17" i="7"/>
  <c r="U17" i="7"/>
  <c r="D17" i="7"/>
  <c r="L17" i="7"/>
  <c r="T17" i="7"/>
  <c r="AC17" i="7"/>
  <c r="M17" i="7"/>
  <c r="AE17" i="7"/>
  <c r="H20" i="7"/>
  <c r="P20" i="7"/>
  <c r="Y20" i="7"/>
  <c r="B20" i="7"/>
  <c r="G20" i="7"/>
  <c r="I20" i="7"/>
  <c r="Q20" i="7"/>
  <c r="Z20" i="7"/>
  <c r="AC20" i="7"/>
  <c r="O20" i="7"/>
  <c r="C19" i="7"/>
  <c r="C18" i="7" s="1"/>
  <c r="J20" i="7"/>
  <c r="R20" i="7"/>
  <c r="AA20" i="7"/>
  <c r="D20" i="7"/>
  <c r="T20" i="7"/>
  <c r="N20" i="7"/>
  <c r="X20" i="7"/>
  <c r="C20" i="7"/>
  <c r="K20" i="7"/>
  <c r="S20" i="7"/>
  <c r="AB20" i="7"/>
  <c r="L20" i="7"/>
  <c r="W20" i="7"/>
  <c r="E20" i="7"/>
  <c r="M20" i="7"/>
  <c r="U20" i="7"/>
  <c r="AD20" i="7"/>
  <c r="F20" i="7"/>
  <c r="AE20" i="7"/>
  <c r="AF20" i="7"/>
  <c r="F23" i="7"/>
  <c r="N23" i="7"/>
  <c r="AD23" i="7"/>
  <c r="P23" i="7"/>
  <c r="X23" i="7"/>
  <c r="G23" i="7"/>
  <c r="O23" i="7"/>
  <c r="W23" i="7"/>
  <c r="AE23" i="7"/>
  <c r="H23" i="7"/>
  <c r="AF23" i="7"/>
  <c r="K23" i="7"/>
  <c r="AA23" i="7"/>
  <c r="D23" i="7"/>
  <c r="L23" i="7"/>
  <c r="T23" i="7"/>
  <c r="AB23" i="7"/>
  <c r="I23" i="7"/>
  <c r="Q23" i="7"/>
  <c r="Y23" i="7"/>
  <c r="C23" i="7"/>
  <c r="J23" i="7"/>
  <c r="R23" i="7"/>
  <c r="Z23" i="7"/>
  <c r="B23" i="7"/>
  <c r="S23" i="7"/>
  <c r="E23" i="7"/>
  <c r="M23" i="7"/>
  <c r="U23" i="7"/>
  <c r="AC23" i="7"/>
  <c r="C16" i="7"/>
  <c r="C22" i="7"/>
  <c r="D19" i="7" l="1"/>
  <c r="D18" i="7" s="1"/>
  <c r="E19" i="7" s="1"/>
  <c r="E18" i="7" s="1"/>
  <c r="F19" i="7" s="1"/>
  <c r="F18" i="7" s="1"/>
  <c r="G19" i="7" s="1"/>
  <c r="G18" i="7" s="1"/>
  <c r="H19" i="7" s="1"/>
  <c r="H18" i="7" s="1"/>
  <c r="I19" i="7" s="1"/>
  <c r="I18" i="7" s="1"/>
  <c r="J19" i="7" s="1"/>
  <c r="J18" i="7" s="1"/>
  <c r="K19" i="7" s="1"/>
  <c r="K18" i="7" s="1"/>
  <c r="L19" i="7" s="1"/>
  <c r="L18" i="7" s="1"/>
  <c r="M19" i="7" s="1"/>
  <c r="M18" i="7" s="1"/>
  <c r="N19" i="7" s="1"/>
  <c r="N18" i="7" s="1"/>
  <c r="O19" i="7" s="1"/>
  <c r="O18" i="7" s="1"/>
  <c r="P19" i="7" s="1"/>
  <c r="P18" i="7" s="1"/>
  <c r="Q19" i="7" s="1"/>
  <c r="Q18" i="7" s="1"/>
  <c r="R19" i="7" s="1"/>
  <c r="R18" i="7" s="1"/>
  <c r="S19" i="7" s="1"/>
  <c r="S18" i="7" s="1"/>
  <c r="T19" i="7" s="1"/>
  <c r="T18" i="7" s="1"/>
  <c r="U19" i="7" s="1"/>
  <c r="U18" i="7" s="1"/>
  <c r="V19" i="7" s="1"/>
  <c r="V18" i="7" s="1"/>
  <c r="W19" i="7" s="1"/>
  <c r="W18" i="7" s="1"/>
  <c r="X19" i="7" s="1"/>
  <c r="X18" i="7" s="1"/>
  <c r="Y19" i="7" s="1"/>
  <c r="Y18" i="7" s="1"/>
  <c r="Z19" i="7" s="1"/>
  <c r="Z18" i="7" s="1"/>
  <c r="AA19" i="7" s="1"/>
  <c r="AA18" i="7" s="1"/>
  <c r="AB19" i="7" s="1"/>
  <c r="AB18" i="7" s="1"/>
  <c r="AC19" i="7" s="1"/>
  <c r="AC18" i="7" s="1"/>
  <c r="AD19" i="7" s="1"/>
  <c r="AD18" i="7" s="1"/>
  <c r="AE19" i="7" s="1"/>
  <c r="AE18" i="7" s="1"/>
  <c r="AF19" i="7" s="1"/>
  <c r="AF18" i="7" s="1"/>
  <c r="C15" i="7"/>
  <c r="C21" i="7"/>
  <c r="D16" i="7" l="1"/>
  <c r="D15" i="7" s="1"/>
  <c r="C14" i="7"/>
  <c r="D22" i="7"/>
  <c r="D21" i="7" s="1"/>
  <c r="E16" i="7" l="1"/>
  <c r="E15" i="7" s="1"/>
  <c r="D14" i="7"/>
  <c r="E22" i="7"/>
  <c r="E21" i="7" s="1"/>
  <c r="F16" i="7" l="1"/>
  <c r="F15" i="7" s="1"/>
  <c r="E14" i="7"/>
  <c r="F22" i="7"/>
  <c r="F21" i="7" s="1"/>
  <c r="G16" i="7" l="1"/>
  <c r="G15" i="7" s="1"/>
  <c r="F14" i="7"/>
  <c r="G22" i="7"/>
  <c r="G21" i="7" s="1"/>
  <c r="H16" i="7" l="1"/>
  <c r="H15" i="7" s="1"/>
  <c r="G14" i="7"/>
  <c r="H22" i="7"/>
  <c r="H21" i="7" s="1"/>
  <c r="I16" i="7" l="1"/>
  <c r="I15" i="7" s="1"/>
  <c r="H14" i="7"/>
  <c r="I22" i="7"/>
  <c r="I21" i="7" s="1"/>
  <c r="J16" i="7" l="1"/>
  <c r="J15" i="7" s="1"/>
  <c r="I14" i="7"/>
  <c r="J22" i="7"/>
  <c r="J21" i="7" s="1"/>
  <c r="K16" i="7" l="1"/>
  <c r="K15" i="7" s="1"/>
  <c r="J14" i="7"/>
  <c r="K22" i="7"/>
  <c r="K21" i="7" s="1"/>
  <c r="L16" i="7" l="1"/>
  <c r="L15" i="7" s="1"/>
  <c r="K14" i="7"/>
  <c r="L22" i="7"/>
  <c r="L21" i="7" s="1"/>
  <c r="M16" i="7" l="1"/>
  <c r="M15" i="7" s="1"/>
  <c r="L14" i="7"/>
  <c r="M22" i="7"/>
  <c r="M21" i="7" s="1"/>
  <c r="N16" i="7" l="1"/>
  <c r="N15" i="7" s="1"/>
  <c r="M14" i="7"/>
  <c r="N22" i="7"/>
  <c r="N21" i="7" s="1"/>
  <c r="O16" i="7" l="1"/>
  <c r="O15" i="7" s="1"/>
  <c r="N14" i="7"/>
  <c r="O22" i="7"/>
  <c r="O21" i="7" s="1"/>
  <c r="P16" i="7" l="1"/>
  <c r="P15" i="7" s="1"/>
  <c r="O14" i="7"/>
  <c r="P22" i="7"/>
  <c r="P21" i="7" s="1"/>
  <c r="Q16" i="7" l="1"/>
  <c r="Q15" i="7" s="1"/>
  <c r="P14" i="7"/>
  <c r="Q22" i="7"/>
  <c r="Q21" i="7" s="1"/>
  <c r="R16" i="7" l="1"/>
  <c r="R15" i="7" s="1"/>
  <c r="Q14" i="7"/>
  <c r="R22" i="7"/>
  <c r="R21" i="7" s="1"/>
  <c r="S16" i="7" l="1"/>
  <c r="S15" i="7" s="1"/>
  <c r="R14" i="7"/>
  <c r="S22" i="7"/>
  <c r="S21" i="7" s="1"/>
  <c r="T16" i="7" l="1"/>
  <c r="T15" i="7" s="1"/>
  <c r="S14" i="7"/>
  <c r="T22" i="7"/>
  <c r="T21" i="7" s="1"/>
  <c r="U16" i="7" l="1"/>
  <c r="U15" i="7" s="1"/>
  <c r="T14" i="7"/>
  <c r="U22" i="7"/>
  <c r="U21" i="7" s="1"/>
  <c r="V16" i="7" l="1"/>
  <c r="V15" i="7" s="1"/>
  <c r="U14" i="7"/>
  <c r="V22" i="7"/>
  <c r="V21" i="7" s="1"/>
  <c r="W16" i="7" l="1"/>
  <c r="W15" i="7" s="1"/>
  <c r="V14" i="7"/>
  <c r="W22" i="7"/>
  <c r="W21" i="7" s="1"/>
  <c r="X22" i="7" l="1"/>
  <c r="X21" i="7" s="1"/>
  <c r="Y22" i="7" s="1"/>
  <c r="Y21" i="7" s="1"/>
  <c r="W14" i="7"/>
  <c r="X16" i="7"/>
  <c r="X15" i="7" s="1"/>
  <c r="Y16" i="7" l="1"/>
  <c r="Y15" i="7" s="1"/>
  <c r="X14" i="7"/>
  <c r="Z22" i="7"/>
  <c r="Z21" i="7" s="1"/>
  <c r="Z16" i="7" l="1"/>
  <c r="Z15" i="7" s="1"/>
  <c r="Y14" i="7"/>
  <c r="AA22" i="7"/>
  <c r="AA21" i="7" s="1"/>
  <c r="AA16" i="7" l="1"/>
  <c r="AA15" i="7" s="1"/>
  <c r="Z14" i="7"/>
  <c r="AB22" i="7"/>
  <c r="AB21" i="7" s="1"/>
  <c r="AB16" i="7" l="1"/>
  <c r="AB15" i="7" s="1"/>
  <c r="AA14" i="7"/>
  <c r="AC22" i="7"/>
  <c r="AC21" i="7" s="1"/>
  <c r="AC16" i="7" l="1"/>
  <c r="AC15" i="7" s="1"/>
  <c r="AB14" i="7"/>
  <c r="AD22" i="7"/>
  <c r="AD21" i="7" s="1"/>
  <c r="AD16" i="7" l="1"/>
  <c r="AD15" i="7" s="1"/>
  <c r="AC14" i="7"/>
  <c r="AE22" i="7"/>
  <c r="AE21" i="7" s="1"/>
  <c r="AE16" i="7" l="1"/>
  <c r="AE15" i="7" s="1"/>
  <c r="AD14" i="7"/>
  <c r="AF22" i="7"/>
  <c r="AF21" i="7" s="1"/>
  <c r="AF16" i="7" l="1"/>
  <c r="AF15" i="7" s="1"/>
  <c r="AF14" i="7" s="1"/>
  <c r="B5" i="7" s="1"/>
  <c r="B6" i="4" s="1"/>
  <c r="AE14" i="7"/>
  <c r="V24" i="6" l="1"/>
  <c r="B41" i="6"/>
  <c r="C39" i="6"/>
  <c r="D39" i="6"/>
  <c r="E39" i="6"/>
  <c r="G39" i="6"/>
  <c r="H39" i="6"/>
  <c r="I39" i="6"/>
  <c r="J39" i="6"/>
  <c r="K39" i="6"/>
  <c r="L39" i="6"/>
  <c r="M39" i="6"/>
  <c r="N39" i="6"/>
  <c r="O39" i="6"/>
  <c r="P39" i="6"/>
  <c r="Q39" i="6"/>
  <c r="R39" i="6"/>
  <c r="S39" i="6"/>
  <c r="T39" i="6"/>
  <c r="U39" i="6"/>
  <c r="V39" i="6"/>
  <c r="W39" i="6"/>
  <c r="X39" i="6"/>
  <c r="Y39" i="6"/>
  <c r="Z39" i="6"/>
  <c r="AA39" i="6"/>
  <c r="AB39" i="6"/>
  <c r="AC39" i="6"/>
  <c r="AD39" i="6"/>
  <c r="AE39" i="6"/>
  <c r="AF39" i="6"/>
  <c r="AG39" i="6"/>
  <c r="AH39" i="6"/>
  <c r="AI39" i="6"/>
  <c r="AJ39" i="6"/>
  <c r="AK39" i="6"/>
  <c r="AL39" i="6"/>
  <c r="AM39" i="6"/>
  <c r="AN39" i="6"/>
  <c r="AO39" i="6"/>
  <c r="AP39" i="6"/>
  <c r="AQ39" i="6"/>
  <c r="AR39" i="6"/>
  <c r="AS39" i="6"/>
  <c r="AT39" i="6"/>
  <c r="AU39" i="6"/>
  <c r="AV39" i="6"/>
  <c r="AW39" i="6"/>
  <c r="AX39" i="6"/>
  <c r="AY39" i="6"/>
  <c r="AZ39" i="6"/>
  <c r="BA39" i="6"/>
  <c r="BB39" i="6"/>
  <c r="BC39" i="6"/>
  <c r="BD39" i="6"/>
  <c r="BE39" i="6"/>
  <c r="BF39" i="6"/>
  <c r="BG39" i="6"/>
  <c r="BH39" i="6"/>
  <c r="BI39" i="6"/>
  <c r="BJ39" i="6"/>
  <c r="BK39" i="6"/>
  <c r="BL39" i="6"/>
  <c r="BM39" i="6"/>
  <c r="BN39" i="6"/>
  <c r="BO39" i="6"/>
  <c r="BP39" i="6"/>
  <c r="BQ39" i="6"/>
  <c r="BR39" i="6"/>
  <c r="BS39" i="6"/>
  <c r="BT39" i="6"/>
  <c r="C40" i="6"/>
  <c r="D40" i="6"/>
  <c r="E40" i="6"/>
  <c r="F40" i="6"/>
  <c r="G40" i="6"/>
  <c r="H40" i="6"/>
  <c r="I40" i="6"/>
  <c r="J40" i="6"/>
  <c r="K40" i="6"/>
  <c r="L40" i="6"/>
  <c r="M40" i="6"/>
  <c r="N40" i="6"/>
  <c r="O40" i="6"/>
  <c r="P40" i="6"/>
  <c r="Q40" i="6"/>
  <c r="R40" i="6"/>
  <c r="S40" i="6"/>
  <c r="T40" i="6"/>
  <c r="U40" i="6"/>
  <c r="V40" i="6"/>
  <c r="W40" i="6"/>
  <c r="X40" i="6"/>
  <c r="Y40" i="6"/>
  <c r="Z40" i="6"/>
  <c r="AA40" i="6"/>
  <c r="AB40" i="6"/>
  <c r="AC40" i="6"/>
  <c r="AD40" i="6"/>
  <c r="AE40" i="6"/>
  <c r="AF40" i="6"/>
  <c r="AG40" i="6"/>
  <c r="AH40" i="6"/>
  <c r="AI40" i="6"/>
  <c r="AJ40" i="6"/>
  <c r="AK40" i="6"/>
  <c r="AL40" i="6"/>
  <c r="AM40" i="6"/>
  <c r="AN40" i="6"/>
  <c r="AO40" i="6"/>
  <c r="AP40" i="6"/>
  <c r="AQ40" i="6"/>
  <c r="AR40" i="6"/>
  <c r="AS40" i="6"/>
  <c r="AT40" i="6"/>
  <c r="AU40" i="6"/>
  <c r="AV40" i="6"/>
  <c r="AW40" i="6"/>
  <c r="AX40" i="6"/>
  <c r="AY40" i="6"/>
  <c r="AZ40" i="6"/>
  <c r="BA40" i="6"/>
  <c r="BB40" i="6"/>
  <c r="BC40" i="6"/>
  <c r="BD40" i="6"/>
  <c r="BE40" i="6"/>
  <c r="BF40" i="6"/>
  <c r="BG40" i="6"/>
  <c r="BH40" i="6"/>
  <c r="BI40" i="6"/>
  <c r="BJ40" i="6"/>
  <c r="BK40" i="6"/>
  <c r="BL40" i="6"/>
  <c r="BM40" i="6"/>
  <c r="BN40" i="6"/>
  <c r="BO40" i="6"/>
  <c r="BP40" i="6"/>
  <c r="BQ40" i="6"/>
  <c r="BR40" i="6"/>
  <c r="BS40" i="6"/>
  <c r="BT40" i="6"/>
  <c r="G21" i="6"/>
  <c r="C37" i="6"/>
  <c r="B37" i="6"/>
  <c r="D36" i="6"/>
  <c r="E36" i="6"/>
  <c r="F36" i="6"/>
  <c r="G36" i="6"/>
  <c r="H36" i="6"/>
  <c r="I36" i="6"/>
  <c r="J36" i="6"/>
  <c r="K36" i="6"/>
  <c r="L36" i="6"/>
  <c r="M36" i="6"/>
  <c r="N36" i="6"/>
  <c r="O36" i="6"/>
  <c r="P36" i="6"/>
  <c r="Q36" i="6"/>
  <c r="R36" i="6"/>
  <c r="S36" i="6"/>
  <c r="T36" i="6"/>
  <c r="U36" i="6"/>
  <c r="V36" i="6"/>
  <c r="W36" i="6"/>
  <c r="X36" i="6"/>
  <c r="Y36" i="6"/>
  <c r="Z36" i="6"/>
  <c r="AA36" i="6"/>
  <c r="AB36" i="6"/>
  <c r="AC36" i="6"/>
  <c r="AD36" i="6"/>
  <c r="AE36" i="6"/>
  <c r="AF36" i="6"/>
  <c r="AG36" i="6"/>
  <c r="AH36" i="6"/>
  <c r="AI36" i="6"/>
  <c r="AJ36" i="6"/>
  <c r="AK36" i="6"/>
  <c r="AL36" i="6"/>
  <c r="AM36" i="6"/>
  <c r="AN36" i="6"/>
  <c r="AO36" i="6"/>
  <c r="AP36" i="6"/>
  <c r="AQ36" i="6"/>
  <c r="AR36" i="6"/>
  <c r="AS36" i="6"/>
  <c r="AT36" i="6"/>
  <c r="AU36" i="6"/>
  <c r="AV36" i="6"/>
  <c r="AW36" i="6"/>
  <c r="AX36" i="6"/>
  <c r="AY36" i="6"/>
  <c r="AZ36" i="6"/>
  <c r="BA36" i="6"/>
  <c r="BB36" i="6"/>
  <c r="BC36" i="6"/>
  <c r="BD36" i="6"/>
  <c r="BE36" i="6"/>
  <c r="BF36" i="6"/>
  <c r="BG36" i="6"/>
  <c r="BH36" i="6"/>
  <c r="BI36" i="6"/>
  <c r="BJ36" i="6"/>
  <c r="BK36" i="6"/>
  <c r="BL36" i="6"/>
  <c r="BM36" i="6"/>
  <c r="BN36" i="6"/>
  <c r="BO36" i="6"/>
  <c r="BP36" i="6"/>
  <c r="BQ36" i="6"/>
  <c r="BR36" i="6"/>
  <c r="BT36" i="6"/>
  <c r="B36" i="6"/>
  <c r="BT22" i="6"/>
  <c r="C22" i="6"/>
  <c r="D22" i="6"/>
  <c r="E22" i="6"/>
  <c r="F22" i="6"/>
  <c r="G22" i="6"/>
  <c r="H22" i="6"/>
  <c r="I22" i="6"/>
  <c r="J22" i="6"/>
  <c r="K22" i="6"/>
  <c r="L22" i="6"/>
  <c r="M22" i="6"/>
  <c r="N22" i="6"/>
  <c r="O22" i="6"/>
  <c r="P22" i="6"/>
  <c r="Q22" i="6"/>
  <c r="R22" i="6"/>
  <c r="S22" i="6"/>
  <c r="T22" i="6"/>
  <c r="U22" i="6"/>
  <c r="AL22" i="6"/>
  <c r="AM22" i="6"/>
  <c r="AN22" i="6"/>
  <c r="AO22" i="6"/>
  <c r="AP22" i="6"/>
  <c r="AQ22" i="6"/>
  <c r="AR22" i="6"/>
  <c r="AS22" i="6"/>
  <c r="AT22" i="6"/>
  <c r="AU22" i="6"/>
  <c r="AV22" i="6"/>
  <c r="AW22" i="6"/>
  <c r="AX22" i="6"/>
  <c r="AY22" i="6"/>
  <c r="AZ22" i="6"/>
  <c r="BA22" i="6"/>
  <c r="BB22" i="6"/>
  <c r="BC22" i="6"/>
  <c r="BD22" i="6"/>
  <c r="BE22" i="6"/>
  <c r="BF22" i="6"/>
  <c r="BG22" i="6"/>
  <c r="BH22" i="6"/>
  <c r="BI22" i="6"/>
  <c r="BJ22" i="6"/>
  <c r="BK22" i="6"/>
  <c r="BL22" i="6"/>
  <c r="BM22" i="6"/>
  <c r="BN22" i="6"/>
  <c r="BO22" i="6"/>
  <c r="BP22" i="6"/>
  <c r="BQ22" i="6"/>
  <c r="BR22" i="6"/>
  <c r="BS22" i="6"/>
  <c r="AZ30" i="6"/>
  <c r="AP30" i="6"/>
  <c r="AF30" i="6"/>
  <c r="V30" i="6"/>
  <c r="W30" i="6" s="1"/>
  <c r="X30" i="6" s="1"/>
  <c r="D30" i="6"/>
  <c r="D29" i="6" s="1"/>
  <c r="E30" i="6"/>
  <c r="E29" i="6" s="1"/>
  <c r="F30" i="6"/>
  <c r="G30" i="6" s="1"/>
  <c r="C30" i="6"/>
  <c r="C29" i="6" s="1"/>
  <c r="X29" i="6" l="1"/>
  <c r="Y30" i="6"/>
  <c r="H30" i="6"/>
  <c r="G29" i="6"/>
  <c r="F29" i="6"/>
  <c r="D28" i="6"/>
  <c r="E28" i="6"/>
  <c r="F28" i="6" s="1"/>
  <c r="G28" i="6" s="1"/>
  <c r="H28" i="6" s="1"/>
  <c r="I28" i="6" s="1"/>
  <c r="J28" i="6" s="1"/>
  <c r="K28" i="6" s="1"/>
  <c r="L28" i="6" s="1"/>
  <c r="M28" i="6" s="1"/>
  <c r="N28" i="6" s="1"/>
  <c r="O28" i="6" s="1"/>
  <c r="P28" i="6" s="1"/>
  <c r="Q28" i="6" s="1"/>
  <c r="R28" i="6" s="1"/>
  <c r="S28" i="6" s="1"/>
  <c r="T28" i="6" s="1"/>
  <c r="U28" i="6" s="1"/>
  <c r="V28" i="6" s="1"/>
  <c r="C28" i="6"/>
  <c r="C27" i="6" s="1"/>
  <c r="C25" i="6"/>
  <c r="D25" i="6"/>
  <c r="E25" i="6"/>
  <c r="F25" i="6"/>
  <c r="G25" i="6"/>
  <c r="H25" i="6"/>
  <c r="I25" i="6"/>
  <c r="J25" i="6"/>
  <c r="K25" i="6"/>
  <c r="L25" i="6"/>
  <c r="M25" i="6"/>
  <c r="N25" i="6"/>
  <c r="O25" i="6"/>
  <c r="P25" i="6"/>
  <c r="Q25" i="6"/>
  <c r="R25" i="6"/>
  <c r="S25" i="6"/>
  <c r="T25" i="6"/>
  <c r="U25" i="6"/>
  <c r="V25" i="6"/>
  <c r="W25" i="6"/>
  <c r="X25" i="6"/>
  <c r="Y25" i="6"/>
  <c r="Z25" i="6"/>
  <c r="AA26" i="6"/>
  <c r="Z26" i="6"/>
  <c r="Y26" i="6"/>
  <c r="X26" i="6"/>
  <c r="W26" i="6"/>
  <c r="V26" i="6"/>
  <c r="U26" i="6"/>
  <c r="T26" i="6"/>
  <c r="S26" i="6"/>
  <c r="R26" i="6"/>
  <c r="Q26" i="6"/>
  <c r="P26" i="6"/>
  <c r="O26" i="6"/>
  <c r="D26" i="6"/>
  <c r="E26" i="6"/>
  <c r="F26" i="6" s="1"/>
  <c r="C26" i="6"/>
  <c r="N24" i="6"/>
  <c r="O24" i="6" s="1"/>
  <c r="P24" i="6" s="1"/>
  <c r="Q24" i="6" s="1"/>
  <c r="R24" i="6" s="1"/>
  <c r="S24" i="6" s="1"/>
  <c r="T24" i="6" s="1"/>
  <c r="U24" i="6" s="1"/>
  <c r="W24" i="6" s="1"/>
  <c r="X24" i="6" s="1"/>
  <c r="Y24" i="6" s="1"/>
  <c r="Z24" i="6" s="1"/>
  <c r="AA24" i="6" s="1"/>
  <c r="AB24" i="6" s="1"/>
  <c r="AC24" i="6" s="1"/>
  <c r="AD24" i="6" s="1"/>
  <c r="AE24" i="6" s="1"/>
  <c r="AF24" i="6" s="1"/>
  <c r="AG24" i="6" s="1"/>
  <c r="AH24" i="6" s="1"/>
  <c r="AI24" i="6" s="1"/>
  <c r="AJ24" i="6" s="1"/>
  <c r="AK24" i="6" s="1"/>
  <c r="M24" i="6"/>
  <c r="I24" i="6"/>
  <c r="J24" i="6" s="1"/>
  <c r="K24" i="6" s="1"/>
  <c r="L24" i="6" s="1"/>
  <c r="H24" i="6"/>
  <c r="D24" i="6"/>
  <c r="E24" i="6" s="1"/>
  <c r="F24" i="6" s="1"/>
  <c r="G24" i="6" s="1"/>
  <c r="C24" i="6"/>
  <c r="C23" i="6"/>
  <c r="B44" i="6"/>
  <c r="Y29" i="6" l="1"/>
  <c r="Z30" i="6"/>
  <c r="I30" i="6"/>
  <c r="H29" i="6"/>
  <c r="W28" i="6"/>
  <c r="X28" i="6" s="1"/>
  <c r="Y28" i="6" s="1"/>
  <c r="Z28" i="6" s="1"/>
  <c r="AA28" i="6" s="1"/>
  <c r="AB28" i="6" s="1"/>
  <c r="AC28" i="6" s="1"/>
  <c r="AD28" i="6" s="1"/>
  <c r="AE28" i="6" s="1"/>
  <c r="AF28" i="6" s="1"/>
  <c r="AG28" i="6" s="1"/>
  <c r="G26" i="6"/>
  <c r="D23" i="6"/>
  <c r="AA30" i="6" l="1"/>
  <c r="Z29" i="6"/>
  <c r="I29" i="6"/>
  <c r="J30" i="6"/>
  <c r="AH28" i="6"/>
  <c r="AI28" i="6" s="1"/>
  <c r="AJ28" i="6" s="1"/>
  <c r="AK28" i="6" s="1"/>
  <c r="AL28" i="6" s="1"/>
  <c r="AM28" i="6" s="1"/>
  <c r="AN28" i="6" s="1"/>
  <c r="AO28" i="6" s="1"/>
  <c r="AP28" i="6" s="1"/>
  <c r="AQ28" i="6" s="1"/>
  <c r="AR28" i="6" s="1"/>
  <c r="AS28" i="6" s="1"/>
  <c r="D27" i="6"/>
  <c r="H26" i="6"/>
  <c r="G16" i="5" l="1"/>
  <c r="R16" i="5"/>
  <c r="Z16" i="5"/>
  <c r="AA16" i="5"/>
  <c r="AA29" i="6"/>
  <c r="AB30" i="6"/>
  <c r="J29" i="6"/>
  <c r="K30" i="6"/>
  <c r="AT28" i="6"/>
  <c r="AU28" i="6" s="1"/>
  <c r="AV28" i="6" s="1"/>
  <c r="AW28" i="6" s="1"/>
  <c r="AX28" i="6" s="1"/>
  <c r="AY28" i="6" s="1"/>
  <c r="AZ28" i="6" s="1"/>
  <c r="BA28" i="6" s="1"/>
  <c r="BB28" i="6" s="1"/>
  <c r="BC28" i="6" s="1"/>
  <c r="BD28" i="6" s="1"/>
  <c r="BE28" i="6" s="1"/>
  <c r="E27" i="6"/>
  <c r="I26" i="6"/>
  <c r="E23" i="6"/>
  <c r="B16" i="5"/>
  <c r="E16" i="5"/>
  <c r="AB29" i="6" l="1"/>
  <c r="AC30" i="6"/>
  <c r="K29" i="6"/>
  <c r="L30" i="6"/>
  <c r="BF28" i="6"/>
  <c r="BG28" i="6" s="1"/>
  <c r="BH28" i="6" s="1"/>
  <c r="BI28" i="6" s="1"/>
  <c r="BJ28" i="6" s="1"/>
  <c r="BK28" i="6" s="1"/>
  <c r="BL28" i="6" s="1"/>
  <c r="BM28" i="6" s="1"/>
  <c r="BN28" i="6" s="1"/>
  <c r="BO28" i="6" s="1"/>
  <c r="BP28" i="6" s="1"/>
  <c r="BQ28" i="6" s="1"/>
  <c r="BR28" i="6" s="1"/>
  <c r="BS28" i="6" s="1"/>
  <c r="BT28" i="6" s="1"/>
  <c r="F27" i="6"/>
  <c r="J26" i="6"/>
  <c r="F23" i="6"/>
  <c r="C16" i="5"/>
  <c r="AC29" i="6" l="1"/>
  <c r="AD30" i="6"/>
  <c r="L29" i="6"/>
  <c r="M30" i="6"/>
  <c r="G27" i="6"/>
  <c r="K26" i="6"/>
  <c r="G23" i="6"/>
  <c r="C15" i="4"/>
  <c r="AD29" i="6" l="1"/>
  <c r="AE30" i="6"/>
  <c r="N30" i="6"/>
  <c r="M29" i="6"/>
  <c r="H27" i="6"/>
  <c r="L26" i="6"/>
  <c r="H23" i="6"/>
  <c r="F37" i="6"/>
  <c r="AE29" i="6" l="1"/>
  <c r="O30" i="6"/>
  <c r="N29" i="6"/>
  <c r="I27" i="6"/>
  <c r="M26" i="6"/>
  <c r="I23" i="6"/>
  <c r="E45" i="6"/>
  <c r="AG30" i="6" l="1"/>
  <c r="AF29" i="6"/>
  <c r="P30" i="6"/>
  <c r="O29" i="6"/>
  <c r="J27" i="6"/>
  <c r="N26" i="6"/>
  <c r="J23" i="6"/>
  <c r="AH30" i="6" l="1"/>
  <c r="AG29" i="6"/>
  <c r="P29" i="6"/>
  <c r="Q30" i="6"/>
  <c r="K27" i="6"/>
  <c r="AF37" i="6"/>
  <c r="D37" i="6"/>
  <c r="E37" i="6"/>
  <c r="G37" i="6"/>
  <c r="H37" i="6"/>
  <c r="I37" i="6"/>
  <c r="J37" i="6"/>
  <c r="K37" i="6"/>
  <c r="L37" i="6"/>
  <c r="M37" i="6"/>
  <c r="N37" i="6"/>
  <c r="O37" i="6"/>
  <c r="P37" i="6"/>
  <c r="Q37" i="6"/>
  <c r="R37" i="6"/>
  <c r="S37" i="6"/>
  <c r="T37" i="6"/>
  <c r="U37" i="6"/>
  <c r="V37" i="6"/>
  <c r="W37" i="6"/>
  <c r="X37" i="6"/>
  <c r="Y37" i="6"/>
  <c r="Z37" i="6"/>
  <c r="AA37" i="6"/>
  <c r="AB37" i="6"/>
  <c r="AC37" i="6"/>
  <c r="AD37" i="6"/>
  <c r="AE37" i="6"/>
  <c r="AI30" i="6" l="1"/>
  <c r="AH29" i="6"/>
  <c r="R30" i="6"/>
  <c r="Q29" i="6"/>
  <c r="L27" i="6"/>
  <c r="L23" i="6"/>
  <c r="AJ30" i="6" l="1"/>
  <c r="AI29" i="6"/>
  <c r="R29" i="6"/>
  <c r="S30" i="6"/>
  <c r="M27" i="6"/>
  <c r="M23" i="6"/>
  <c r="AK30" i="6" l="1"/>
  <c r="AJ29" i="6"/>
  <c r="S29" i="6"/>
  <c r="T30" i="6"/>
  <c r="N27" i="6"/>
  <c r="N23" i="6"/>
  <c r="C17" i="4"/>
  <c r="AK29" i="6" l="1"/>
  <c r="AL30" i="6"/>
  <c r="U30" i="6"/>
  <c r="T29" i="6"/>
  <c r="O27" i="6"/>
  <c r="O23" i="6"/>
  <c r="AM30" i="6" l="1"/>
  <c r="AL29" i="6"/>
  <c r="U29" i="6"/>
  <c r="P27" i="6"/>
  <c r="P23" i="6"/>
  <c r="C45" i="6"/>
  <c r="AM29" i="6" l="1"/>
  <c r="AN30" i="6"/>
  <c r="W29" i="6"/>
  <c r="V29" i="6"/>
  <c r="Q27" i="6"/>
  <c r="D16" i="5"/>
  <c r="M16" i="5"/>
  <c r="AC16" i="5"/>
  <c r="O16" i="5"/>
  <c r="L16" i="5"/>
  <c r="F16" i="5"/>
  <c r="N16" i="5"/>
  <c r="V16" i="5"/>
  <c r="AD16" i="5"/>
  <c r="W16" i="5"/>
  <c r="H16" i="5"/>
  <c r="P16" i="5"/>
  <c r="X16" i="5"/>
  <c r="T16" i="5"/>
  <c r="I16" i="5"/>
  <c r="Q16" i="5"/>
  <c r="Y16" i="5"/>
  <c r="J16" i="5"/>
  <c r="K16" i="5"/>
  <c r="S16" i="5"/>
  <c r="AB16" i="5"/>
  <c r="C18" i="4"/>
  <c r="AN29" i="6" l="1"/>
  <c r="AO30" i="6"/>
  <c r="R27" i="6"/>
  <c r="Q21" i="6"/>
  <c r="R23" i="6"/>
  <c r="R21" i="6" s="1"/>
  <c r="K21" i="6"/>
  <c r="O21" i="6"/>
  <c r="E21" i="6"/>
  <c r="C21" i="6"/>
  <c r="H21" i="6"/>
  <c r="P21" i="6"/>
  <c r="I21" i="6"/>
  <c r="J21" i="6"/>
  <c r="L21" i="6"/>
  <c r="N21" i="6"/>
  <c r="F21" i="6"/>
  <c r="M21" i="6"/>
  <c r="D21" i="6"/>
  <c r="B9" i="4" l="1"/>
  <c r="AO29" i="6"/>
  <c r="S27" i="6"/>
  <c r="S23" i="6"/>
  <c r="I41" i="6"/>
  <c r="E41" i="6"/>
  <c r="Q41" i="6"/>
  <c r="M41" i="6"/>
  <c r="G41" i="6"/>
  <c r="P41" i="6"/>
  <c r="H41" i="6"/>
  <c r="R41" i="6"/>
  <c r="J41" i="6"/>
  <c r="N41" i="6"/>
  <c r="K41" i="6"/>
  <c r="D41" i="6"/>
  <c r="F41" i="6"/>
  <c r="O41" i="6"/>
  <c r="L41" i="6"/>
  <c r="AP29" i="6" l="1"/>
  <c r="AQ30" i="6"/>
  <c r="S21" i="6"/>
  <c r="T27" i="6"/>
  <c r="T23" i="6"/>
  <c r="C41" i="6"/>
  <c r="S41" i="6" l="1"/>
  <c r="AQ29" i="6"/>
  <c r="AR30" i="6"/>
  <c r="T21" i="6"/>
  <c r="T41" i="6" s="1"/>
  <c r="U27" i="6"/>
  <c r="U23" i="6"/>
  <c r="U21" i="6" s="1"/>
  <c r="U41" i="6" s="1"/>
  <c r="AR29" i="6" l="1"/>
  <c r="AS30" i="6"/>
  <c r="V27" i="6"/>
  <c r="V23" i="6"/>
  <c r="V22" i="6" s="1"/>
  <c r="AT30" i="6" l="1"/>
  <c r="AS29" i="6"/>
  <c r="V21" i="6"/>
  <c r="W27" i="6"/>
  <c r="W23" i="6"/>
  <c r="W22" i="6" s="1"/>
  <c r="V41" i="6" l="1"/>
  <c r="AU30" i="6"/>
  <c r="AT29" i="6"/>
  <c r="W21" i="6"/>
  <c r="W41" i="6" s="1"/>
  <c r="X27" i="6"/>
  <c r="X23" i="6"/>
  <c r="X22" i="6" s="1"/>
  <c r="AV30" i="6" l="1"/>
  <c r="AU29" i="6"/>
  <c r="X21" i="6"/>
  <c r="X41" i="6" s="1"/>
  <c r="Y27" i="6"/>
  <c r="Y23" i="6"/>
  <c r="Y22" i="6" s="1"/>
  <c r="AV29" i="6" l="1"/>
  <c r="AW30" i="6"/>
  <c r="Z27" i="6"/>
  <c r="Y21" i="6"/>
  <c r="Y41" i="6" s="1"/>
  <c r="Z23" i="6"/>
  <c r="Z22" i="6" s="1"/>
  <c r="AW29" i="6" l="1"/>
  <c r="AX30" i="6"/>
  <c r="Z21" i="6"/>
  <c r="Z41" i="6" s="1"/>
  <c r="AA27" i="6"/>
  <c r="AA23" i="6"/>
  <c r="AB23" i="6"/>
  <c r="AB22" i="6" s="1"/>
  <c r="AA22" i="6" l="1"/>
  <c r="AA21" i="6" s="1"/>
  <c r="AA41" i="6" s="1"/>
  <c r="AX29" i="6"/>
  <c r="AY30" i="6"/>
  <c r="AB27" i="6"/>
  <c r="AB21" i="6" s="1"/>
  <c r="AB41" i="6" s="1"/>
  <c r="AC23" i="6"/>
  <c r="AC22" i="6" s="1"/>
  <c r="AY29" i="6" l="1"/>
  <c r="AC27" i="6"/>
  <c r="AC21" i="6" s="1"/>
  <c r="AC41" i="6" s="1"/>
  <c r="AD23" i="6"/>
  <c r="AD22" i="6" s="1"/>
  <c r="BA30" i="6" l="1"/>
  <c r="AZ29" i="6"/>
  <c r="AD27" i="6"/>
  <c r="AD21" i="6" s="1"/>
  <c r="AD41" i="6" s="1"/>
  <c r="AE23" i="6"/>
  <c r="AE22" i="6" s="1"/>
  <c r="BB30" i="6" l="1"/>
  <c r="BA29" i="6"/>
  <c r="AE27" i="6"/>
  <c r="AE21" i="6" s="1"/>
  <c r="AE41" i="6" s="1"/>
  <c r="BB29" i="6" l="1"/>
  <c r="BC30" i="6"/>
  <c r="AF27" i="6"/>
  <c r="AF23" i="6"/>
  <c r="AG23" i="6"/>
  <c r="AG22" i="6" s="1"/>
  <c r="AF22" i="6" l="1"/>
  <c r="AF21" i="6" s="1"/>
  <c r="B53" i="6" s="1"/>
  <c r="BD30" i="6"/>
  <c r="BC29" i="6"/>
  <c r="AG27" i="6"/>
  <c r="AG21" i="6" s="1"/>
  <c r="AG41" i="6" s="1"/>
  <c r="AH23" i="6"/>
  <c r="AH22" i="6" s="1"/>
  <c r="AF41" i="6" l="1"/>
  <c r="BE30" i="6"/>
  <c r="BD29" i="6"/>
  <c r="AH27" i="6"/>
  <c r="AH21" i="6" s="1"/>
  <c r="AH41" i="6" s="1"/>
  <c r="AI23" i="6"/>
  <c r="AI22" i="6" s="1"/>
  <c r="BF30" i="6" l="1"/>
  <c r="BE29" i="6"/>
  <c r="AI27" i="6"/>
  <c r="AI21" i="6" s="1"/>
  <c r="AI41" i="6" s="1"/>
  <c r="AJ23" i="6"/>
  <c r="AJ22" i="6" s="1"/>
  <c r="AK23" i="6"/>
  <c r="BG30" i="6" l="1"/>
  <c r="BF29" i="6"/>
  <c r="AJ27" i="6"/>
  <c r="AJ21" i="6" s="1"/>
  <c r="AJ41" i="6" s="1"/>
  <c r="BH30" i="6" l="1"/>
  <c r="BG29" i="6"/>
  <c r="AK27" i="6"/>
  <c r="AK21" i="6" s="1"/>
  <c r="AK41" i="6" l="1"/>
  <c r="BH29" i="6"/>
  <c r="BI30" i="6"/>
  <c r="AL27" i="6"/>
  <c r="AL21" i="6" s="1"/>
  <c r="AL41" i="6" s="1"/>
  <c r="BI29" i="6" l="1"/>
  <c r="BJ30" i="6"/>
  <c r="AM21" i="6"/>
  <c r="AM41" i="6" s="1"/>
  <c r="AN27" i="6" l="1"/>
  <c r="AN21" i="6" s="1"/>
  <c r="AN41" i="6" s="1"/>
  <c r="AO27" i="6" l="1"/>
  <c r="AO21" i="6" s="1"/>
  <c r="AO41" i="6" s="1"/>
  <c r="AP27" i="6"/>
  <c r="AP21" i="6" s="1"/>
  <c r="AP41" i="6" s="1"/>
  <c r="AQ27" i="6" l="1"/>
  <c r="AQ21" i="6" s="1"/>
  <c r="AQ41" i="6" s="1"/>
  <c r="AR27" i="6" l="1"/>
  <c r="AR21" i="6" s="1"/>
  <c r="AR41" i="6" s="1"/>
  <c r="AS27" i="6" l="1"/>
  <c r="AS21" i="6" s="1"/>
  <c r="AS41" i="6" s="1"/>
  <c r="AT27" i="6" l="1"/>
  <c r="AT21" i="6" s="1"/>
  <c r="AT41" i="6" s="1"/>
  <c r="AU27" i="6" l="1"/>
  <c r="AU21" i="6" s="1"/>
  <c r="AU41" i="6" s="1"/>
  <c r="AV27" i="6" l="1"/>
  <c r="AV21" i="6" s="1"/>
  <c r="AV41" i="6" s="1"/>
  <c r="AW27" i="6" l="1"/>
  <c r="AW21" i="6" s="1"/>
  <c r="AW41" i="6" s="1"/>
  <c r="B7" i="4" l="1"/>
  <c r="AX27" i="6"/>
  <c r="AX21" i="6" s="1"/>
  <c r="AX41" i="6" s="1"/>
  <c r="AY27" i="6" l="1"/>
  <c r="AY21" i="6" s="1"/>
  <c r="AY41" i="6" s="1"/>
  <c r="AZ27" i="6" l="1"/>
  <c r="AZ21" i="6" s="1"/>
  <c r="AZ41" i="6" s="1"/>
  <c r="BA27" i="6" l="1"/>
  <c r="BA21" i="6" s="1"/>
  <c r="BA41" i="6" s="1"/>
  <c r="BB27" i="6" l="1"/>
  <c r="BB21" i="6" s="1"/>
  <c r="BB41" i="6" s="1"/>
  <c r="BC27" i="6" l="1"/>
  <c r="BC21" i="6" s="1"/>
  <c r="BC41" i="6" s="1"/>
  <c r="BD27" i="6" l="1"/>
  <c r="BD21" i="6" s="1"/>
  <c r="BD41" i="6" s="1"/>
  <c r="BE27" i="6"/>
  <c r="BE21" i="6" s="1"/>
  <c r="BE41" i="6" s="1"/>
  <c r="BF27" i="6" l="1"/>
  <c r="BF21" i="6" s="1"/>
  <c r="BF41" i="6" s="1"/>
  <c r="BG27" i="6"/>
  <c r="BG21" i="6" s="1"/>
  <c r="BG41" i="6" s="1"/>
  <c r="BH27" i="6" l="1"/>
  <c r="BH21" i="6" s="1"/>
  <c r="BH41" i="6" s="1"/>
  <c r="BI27" i="6" l="1"/>
  <c r="BI21" i="6" s="1"/>
  <c r="BI41" i="6" s="1"/>
  <c r="BJ27" i="6" l="1"/>
  <c r="BJ21" i="6" s="1"/>
  <c r="BJ41" i="6" s="1"/>
  <c r="BK27" i="6" l="1"/>
  <c r="BK21" i="6" s="1"/>
  <c r="BK41" i="6" s="1"/>
  <c r="BL27" i="6" l="1"/>
  <c r="BL21" i="6" s="1"/>
  <c r="BL41" i="6" s="1"/>
  <c r="BM27" i="6" l="1"/>
  <c r="BM21" i="6" s="1"/>
  <c r="BM41" i="6" l="1"/>
  <c r="BN27" i="6"/>
  <c r="BN21" i="6" s="1"/>
  <c r="BN41" i="6" s="1"/>
  <c r="BO27" i="6" l="1"/>
  <c r="BO21" i="6" s="1"/>
  <c r="BO41" i="6" s="1"/>
  <c r="BP27" i="6" l="1"/>
  <c r="BP21" i="6" s="1"/>
  <c r="BP41" i="6" l="1"/>
  <c r="BQ27" i="6"/>
  <c r="BQ21" i="6" s="1"/>
  <c r="BQ41" i="6" s="1"/>
  <c r="BR27" i="6" l="1"/>
  <c r="BR21" i="6" s="1"/>
  <c r="BR41" i="6" s="1"/>
  <c r="BS27" i="6" l="1"/>
  <c r="BS21" i="6" s="1"/>
  <c r="BS41" i="6" s="1"/>
  <c r="BT27" i="6"/>
  <c r="B54" i="6" s="1"/>
  <c r="B56" i="6" s="1"/>
  <c r="B6" i="6" s="1"/>
  <c r="B4" i="4" l="1"/>
  <c r="B5" i="6"/>
  <c r="BT41" i="6"/>
  <c r="B5" i="4" l="1"/>
  <c r="B11" i="4" s="1"/>
  <c r="B3" i="4"/>
  <c r="B10" i="4" s="1"/>
</calcChain>
</file>

<file path=xl/comments1.xml><?xml version="1.0" encoding="utf-8"?>
<comments xmlns="http://schemas.openxmlformats.org/spreadsheetml/2006/main">
  <authors>
    <author>Florence HEUSCHMIDT</author>
  </authors>
  <commentList>
    <comment ref="A14" authorId="0" shapeId="0">
      <text>
        <r>
          <rPr>
            <b/>
            <sz val="9"/>
            <color indexed="81"/>
            <rFont val="Tahoma"/>
            <family val="2"/>
          </rPr>
          <t>Stock de carbone au début de l'année n dans les produits bois déjà récoltés</t>
        </r>
      </text>
    </comment>
    <comment ref="V17" authorId="0" shapeId="0">
      <text>
        <r>
          <rPr>
            <b/>
            <sz val="9"/>
            <color indexed="81"/>
            <rFont val="Tahoma"/>
            <charset val="1"/>
          </rPr>
          <t>Florence HEUSCHMIDT:</t>
        </r>
        <r>
          <rPr>
            <sz val="9"/>
            <color indexed="81"/>
            <rFont val="Tahoma"/>
            <charset val="1"/>
          </rPr>
          <t xml:space="preserve">
Le 0.41 correspond à la moyenne de l'infradensité du cèdre et du pin.</t>
        </r>
      </text>
    </comment>
  </commentList>
</comments>
</file>

<file path=xl/comments2.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<sst xmlns="http://schemas.openxmlformats.org/spreadsheetml/2006/main" count="296" uniqueCount="234">
  <si>
    <t>REA forêt</t>
  </si>
  <si>
    <t>REA produits</t>
  </si>
  <si>
    <t>Variables scénario de projet</t>
  </si>
  <si>
    <t>Taux de carbone dans la matière sèche (en tC/tMS)</t>
  </si>
  <si>
    <t>FEB (facteur d'expansion "branches")</t>
  </si>
  <si>
    <t>di (infrandensité de l'essence) (en tMS/m3)</t>
  </si>
  <si>
    <t>Surface (ha)</t>
  </si>
  <si>
    <t>Litière à l'équilibre (en tC/ha)</t>
  </si>
  <si>
    <t>Peuplement incendié ou nettoyage et préparation du sol total</t>
  </si>
  <si>
    <t xml:space="preserve">Constantes </t>
  </si>
  <si>
    <t>Carbone organique du sol (n) (en tC/ha)</t>
  </si>
  <si>
    <t>Informations générales :</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</si>
  <si>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</si>
  <si>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</si>
  <si>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</si>
  <si>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</si>
  <si>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</si>
  <si>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</si>
  <si>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</si>
  <si>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</si>
  <si>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</si>
  <si>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</si>
  <si>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</si>
  <si>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</si>
  <si>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</si>
  <si>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</si>
  <si>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</si>
  <si>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</si>
  <si>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</si>
  <si>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</si>
  <si>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</si>
  <si>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</si>
  <si>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</si>
  <si>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</si>
  <si>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</si>
  <si>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</si>
  <si>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</si>
  <si>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</si>
  <si>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</si>
  <si>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</si>
  <si>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</si>
  <si>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</si>
  <si>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</si>
  <si>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</si>
  <si>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</si>
  <si>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</si>
  <si>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</si>
  <si>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</si>
  <si>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</si>
  <si>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</si>
  <si>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</si>
  <si>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</si>
  <si>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</si>
  <si>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</si>
  <si>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</si>
  <si>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</si>
  <si>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</si>
  <si>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</si>
  <si>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</si>
  <si>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</si>
  <si>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</si>
  <si>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</si>
  <si>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</si>
  <si>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</si>
  <si>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</si>
  <si>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</si>
  <si>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</si>
  <si>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</si>
  <si>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</si>
  <si>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</si>
  <si>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</si>
  <si>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</si>
  <si>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</si>
  <si>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</si>
  <si>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</si>
  <si>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</si>
  <si>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</si>
  <si>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</si>
  <si>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</si>
  <si>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</si>
  <si>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</si>
  <si>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</si>
  <si>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</si>
  <si>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</si>
  <si>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</si>
  <si>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t1/2 (temps de demi-vie des produits bois) (en années)</t>
  </si>
  <si>
    <t>Produits</t>
  </si>
  <si>
    <t>t1/2</t>
  </si>
  <si>
    <t>Bois de sciage</t>
  </si>
  <si>
    <t>Panneaux de bois</t>
  </si>
  <si>
    <t>Papier</t>
  </si>
  <si>
    <t>k (constante de décomposition pour une décomposition du premier ordre (en an-1)</t>
  </si>
  <si>
    <t xml:space="preserve">REE substitution (en tCO2) = </t>
  </si>
  <si>
    <t>REE substitution</t>
  </si>
  <si>
    <t>n (années à partir du début du projet) (égal au max entre R et R')</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</si>
  <si>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</si>
  <si>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</si>
  <si>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</si>
  <si>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</si>
  <si>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</si>
  <si>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</si>
  <si>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</si>
  <si>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</si>
  <si>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</si>
  <si>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</si>
  <si>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</si>
  <si>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</si>
  <si>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</si>
  <si>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Type de friches</t>
  </si>
  <si>
    <t>Résineux pionniers (PM, PA, PS…)</t>
  </si>
  <si>
    <t>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</si>
  <si>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</si>
  <si>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</si>
  <si>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</si>
  <si>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</si>
  <si>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</si>
  <si>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</si>
  <si>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</si>
  <si>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</si>
  <si>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</si>
  <si>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</si>
  <si>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</si>
  <si>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</si>
  <si>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</si>
  <si>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</si>
  <si>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</si>
  <si>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</si>
  <si>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</si>
  <si>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</si>
  <si>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</si>
  <si>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</si>
  <si>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</si>
  <si>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</si>
  <si>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</si>
  <si>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</si>
  <si>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</si>
  <si>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</si>
  <si>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</si>
  <si>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</si>
  <si>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deltaS(30) (différence de stock de C à l’année 30 entre le projet et le scénario de référence) (en tCO2 à 30 ans)</t>
  </si>
  <si>
    <t>Situation de référence</t>
  </si>
  <si>
    <t>Embroussaillement</t>
  </si>
  <si>
    <t>Culture agricole</t>
  </si>
  <si>
    <t>Nature de prairie ou pâture</t>
  </si>
  <si>
    <r>
      <t xml:space="preserve">Quantification carbone pour le scénario de référence de la poursuite de la culture agricole </t>
    </r>
    <r>
      <rPr>
        <sz val="10"/>
        <color theme="1"/>
        <rFont val="Calibri"/>
        <family val="2"/>
        <scheme val="minor"/>
      </rPr>
      <t>(Giec; 2006) (en tC/ha)</t>
    </r>
  </si>
  <si>
    <t>Biomasse aérienne pour le scénario de référence de la poursuite d’une nature de prairie ou de pâture (en tC/ha)</t>
  </si>
  <si>
    <t>Carbone organique du sol sur une friche en phase d’embroussaillement, sur une prairie ou sur une pâture (n) (en tC/ha)</t>
  </si>
  <si>
    <t>di (infradensité de l'essence) (en tMS/m3)</t>
  </si>
  <si>
    <t>Piquet</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</si>
  <si>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</si>
  <si>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</si>
  <si>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</si>
  <si>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</si>
  <si>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</si>
  <si>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</si>
  <si>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</si>
  <si>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</si>
  <si>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</si>
  <si>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</si>
  <si>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n (années civiles à partir du début du projet) (égal au max entre R et R')</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</si>
  <si>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</si>
  <si>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</si>
  <si>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</si>
  <si>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</si>
  <si>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</si>
  <si>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</si>
  <si>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</si>
  <si>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</si>
  <si>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</si>
  <si>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</si>
  <si>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</si>
  <si>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</si>
  <si>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</si>
  <si>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</si>
  <si>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</si>
  <si>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</si>
  <si>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</si>
  <si>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L0 (carbone de la litière avant le projet de boisement) (en tC/ha)</t>
  </si>
  <si>
    <t>REA forêt (compartiments forestiers) (en tCO2/ha) =</t>
  </si>
  <si>
    <t xml:space="preserve">moyenne du carbone stocké dans le projet pendant sa durée de vie (en tCO2/an) </t>
  </si>
  <si>
    <t xml:space="preserve">moyenne du carbone stocké dans le scénario de référence pendant sa durée de vie (en tCO2/an) </t>
  </si>
  <si>
    <t xml:space="preserve">différence de la moyenne du carbone stocké dans le projet par rapport au scénario de référence pendant sa durée de vie (en tCO2/an) </t>
  </si>
  <si>
    <t>Litière (n) (en tC/ha)</t>
  </si>
  <si>
    <t>C projet Piquet (n) (en tC/ha)</t>
  </si>
  <si>
    <t>Dégradation des piquets déjà récoltés (en tC/ha)</t>
  </si>
  <si>
    <t>Flux entrant de carbone en piquets au cours de l'année n et dégradation (en tC/ha)</t>
  </si>
  <si>
    <t>Carbone organique du sol sur une culture (n) (en tC/ha)</t>
  </si>
  <si>
    <t>Moyenne</t>
  </si>
  <si>
    <t>Projet situé dans les GRECO de l'IGN "Méditerranée" et "Corse"</t>
  </si>
  <si>
    <t>GRECO IGN</t>
  </si>
  <si>
    <t>OUI</t>
  </si>
  <si>
    <t>NON</t>
  </si>
  <si>
    <t>Essences plantées</t>
  </si>
  <si>
    <t>-</t>
  </si>
  <si>
    <t>Volume total Acacia (n) (en m3/ha)</t>
  </si>
  <si>
    <t>Ces valeurs changent selon les essences --&gt; directement intégrées dans les calculs</t>
  </si>
  <si>
    <t>CS*Flux projet (n) (en TCO2)</t>
  </si>
  <si>
    <t>Flux projet (n) (en m3)</t>
  </si>
  <si>
    <t>Analyse économique de l’additionnalité</t>
  </si>
  <si>
    <t>Risques généraux difficilement maîtrisables</t>
  </si>
  <si>
    <t>R essence plantée plus longue : pin laricio de Corse (ans)</t>
  </si>
  <si>
    <t>Mélange feuillus et résineux</t>
  </si>
  <si>
    <t>Deux situations de référence car 50.8% de la surface correspond à des cultures et 49.2% à des prairies</t>
  </si>
  <si>
    <t>Biomasse Aérienne Acacia 1.3326 ha (n) (en tMS)</t>
  </si>
  <si>
    <t>Biomasse Aérienne Noyer 3.8026 ha (n) (en tMS)</t>
  </si>
  <si>
    <t>Volume total Noyer (n) (en m3/ha)</t>
  </si>
  <si>
    <t>Biomasse Aérienne Pin Laricio 2.2816 ha (n) (en tMS)</t>
  </si>
  <si>
    <t>Volume bois fort tige Pin Laricio (n) (en m3/ha)</t>
  </si>
  <si>
    <t>Biomasse Aérienne Cèdre 0.6540 ha (n) (en tMS)</t>
  </si>
  <si>
    <t>Volume bois fort tige Cèdre (n) (en m3/ha)</t>
  </si>
  <si>
    <t>Biomasse Racinaire TOTALE pour les 8.1 ha (n) (en tMS)</t>
  </si>
  <si>
    <t>Biomasse Aérienne TOTALE pour les 8.1 ha (n) (en tMS)</t>
  </si>
  <si>
    <t>S projet TOTAL pour les 8.1 ha (n) (en tCO2)</t>
  </si>
  <si>
    <t>Variables scénario de référence : Deux situations de référence car 50.8% de la surface correspond à des cultures et 49.2% à des prairies</t>
  </si>
  <si>
    <t>Sprojet (n) - Sréf (n) (en tCO2)</t>
  </si>
  <si>
    <t>S réf TOTAL pour les 8.1 ha (n) (en tCO2)</t>
  </si>
  <si>
    <t xml:space="preserve">REA produits (produits bois) (en tCO2) = </t>
  </si>
  <si>
    <t>C projet Panneaux de bois (n) (en tC/ha)</t>
  </si>
  <si>
    <t>Dégradation des panneaux de bois déjà récoltés (en tC/ha)</t>
  </si>
  <si>
    <t>Flux entrant de carbone en panneaux de bois  au cours de l'année n et dégradation (en tC/ha)</t>
  </si>
  <si>
    <t>C projet Papier (n) (en tC/ha)</t>
  </si>
  <si>
    <t>Dégradation des papiers déjà récoltés (en tC/ha)</t>
  </si>
  <si>
    <t>Flux entrant de carbone en papiers au cours de l'année n et dégradation (en tC/ha)</t>
  </si>
  <si>
    <t>Volume  bois fort Panneaux de bois (n) (en m3/ha)</t>
  </si>
  <si>
    <t>Volume  bois fort Papier (n) (en m3/ha)</t>
  </si>
  <si>
    <t>Volume total Piquet (n) (en m3/ha)</t>
  </si>
  <si>
    <t xml:space="preserve">Cèdre  </t>
  </si>
  <si>
    <t>Pin Laricio</t>
  </si>
  <si>
    <t>Acacia</t>
  </si>
  <si>
    <t>C projet (n) pour les 1.3326 d'Acacia et 2.9356 de pin laricio et cèdre (en tC)</t>
  </si>
  <si>
    <t>Biomasse Racinaire Acacia 1.3326 ha (n) (en tMS)</t>
  </si>
  <si>
    <t>Biomasse Racinaire Noyer 3.8026 ha (n) (en tMS)</t>
  </si>
  <si>
    <t>Biomasse Racinaire Pin Laricio 2.2816 ha (n) (en tMS)</t>
  </si>
  <si>
    <t>Biomasse Racinaire Cèdre 0.6540 ha (n) (en tMS)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</si>
</sst>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10" x14ac:knownFonts="1">
    <font>
      <sz val="11"/>
      <color theme="1"/>
      <name val="Calibri"/>
      <family val="2"/>
      <scheme val="minor"/>
    </font>
    <font>
      <b/>
      <sz val="11"/>
      <color theme="1"/>
      <name val="Calibri"/>
      <family val="2"/>
      <scheme val="minor"/>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sz val="10"/>
      <color theme="1"/>
      <name val="Calibri"/>
      <family val="2"/>
      <scheme val="minor"/>
    </font>
    <font>
      <sz val="9"/>
      <color indexed="81"/>
      <name val="Tahoma"/>
      <charset val="1"/>
    </font>
    <font>
      <b/>
      <sz val="9"/>
      <color indexed="81"/>
      <name val="Tahoma"/>
      <charset val="1"/>
    </font>
  </fonts>
  <fills count="22">
    <fill>
      <patternFill patternType="none"/>
    </fill>
    <fill>
      <patternFill patternType="gray125"/>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D5FFD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99FF99"/>
        <bgColor indexed="64"/>
      </patternFill>
    </fill>
    <fill>
      <patternFill patternType="solid">
        <fgColor theme="4" tint="0.79998168889431442"/>
        <bgColor indexed="64"/>
      </patternFill>
    </fill>
    <fill>
      <patternFill patternType="solid">
        <fgColor theme="0" tint="-0.14999847407452621"/>
        <bgColor indexed="64"/>
      </patternFill>
    </fill>
  </fills>
  <borders count="6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224">
    <xf numFmtId="0" fontId="0" fillId="0" borderId="0" xfId="0"/>
    <xf numFmtId="0" fontId="0" fillId="0" borderId="0" xfId="0" applyAlignment="1">
      <alignment vertical="center" wrapText="1"/>
    </xf>
    <xf numFmtId="0" fontId="0" fillId="4" borderId="4" xfId="0" applyFill="1" applyBorder="1" applyAlignment="1">
      <alignment vertical="center" wrapText="1"/>
    </xf>
    <xf numFmtId="0" fontId="0" fillId="4" borderId="6" xfId="0" applyFill="1" applyBorder="1" applyAlignment="1">
      <alignment vertical="center" wrapText="1"/>
    </xf>
    <xf numFmtId="0" fontId="0" fillId="4" borderId="8" xfId="0" applyFill="1" applyBorder="1" applyAlignment="1">
      <alignment vertical="center" wrapText="1"/>
    </xf>
    <xf numFmtId="0" fontId="0" fillId="6"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4" borderId="14" xfId="0" applyFill="1" applyBorder="1" applyAlignment="1">
      <alignment vertical="center" wrapText="1"/>
    </xf>
    <xf numFmtId="0" fontId="0" fillId="7" borderId="3" xfId="0" applyFill="1" applyBorder="1" applyAlignment="1">
      <alignment horizontal="center" vertical="center"/>
    </xf>
    <xf numFmtId="0" fontId="0" fillId="7" borderId="10" xfId="0" applyFill="1" applyBorder="1" applyAlignment="1">
      <alignment horizontal="center" vertical="center"/>
    </xf>
    <xf numFmtId="0" fontId="0" fillId="7" borderId="21"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3" fillId="0" borderId="0" xfId="0" applyFont="1" applyFill="1" applyBorder="1" applyAlignment="1">
      <alignment vertical="center" wrapText="1"/>
    </xf>
    <xf numFmtId="0" fontId="3" fillId="5" borderId="22" xfId="0" applyFont="1" applyFill="1" applyBorder="1" applyAlignment="1">
      <alignment vertical="center" wrapText="1"/>
    </xf>
    <xf numFmtId="0" fontId="0" fillId="7" borderId="9" xfId="0" applyFill="1" applyBorder="1" applyAlignment="1">
      <alignment horizontal="center"/>
    </xf>
    <xf numFmtId="0" fontId="0" fillId="4" borderId="6" xfId="0" applyFill="1" applyBorder="1" applyAlignment="1">
      <alignment horizontal="center" vertical="center" wrapText="1"/>
    </xf>
    <xf numFmtId="0" fontId="0" fillId="0" borderId="20" xfId="0" applyFill="1" applyBorder="1" applyAlignment="1">
      <alignment horizontal="center" vertical="center"/>
    </xf>
    <xf numFmtId="0" fontId="0" fillId="7" borderId="11" xfId="0" applyFill="1" applyBorder="1" applyAlignment="1">
      <alignment horizontal="center" vertical="center"/>
    </xf>
    <xf numFmtId="0" fontId="0" fillId="0" borderId="26" xfId="0" applyFill="1" applyBorder="1" applyAlignment="1">
      <alignment horizontal="center" vertical="center"/>
    </xf>
    <xf numFmtId="0" fontId="0" fillId="3" borderId="25" xfId="0" applyFill="1" applyBorder="1" applyAlignment="1">
      <alignment horizontal="center" vertical="center"/>
    </xf>
    <xf numFmtId="0" fontId="0" fillId="7" borderId="7" xfId="0" applyFill="1" applyBorder="1" applyAlignment="1">
      <alignment horizontal="center" vertical="center"/>
    </xf>
    <xf numFmtId="0" fontId="0" fillId="7" borderId="27" xfId="0" applyFill="1" applyBorder="1" applyAlignment="1">
      <alignment horizontal="center" vertical="center"/>
    </xf>
    <xf numFmtId="164" fontId="0" fillId="7" borderId="23" xfId="0" applyNumberFormat="1" applyFill="1" applyBorder="1" applyAlignment="1">
      <alignment horizontal="center" vertical="center"/>
    </xf>
    <xf numFmtId="164" fontId="0" fillId="7" borderId="9" xfId="0" applyNumberFormat="1" applyFill="1" applyBorder="1" applyAlignment="1">
      <alignment horizontal="center" vertical="center"/>
    </xf>
    <xf numFmtId="164" fontId="0" fillId="7" borderId="3" xfId="0" applyNumberFormat="1" applyFill="1" applyBorder="1" applyAlignment="1">
      <alignment horizontal="center" vertical="center"/>
    </xf>
    <xf numFmtId="0" fontId="3" fillId="5" borderId="4" xfId="0" applyFont="1" applyFill="1" applyBorder="1" applyAlignment="1">
      <alignment horizontal="center" vertical="center" wrapText="1"/>
    </xf>
    <xf numFmtId="0" fontId="4" fillId="5" borderId="22" xfId="0" applyFont="1" applyFill="1" applyBorder="1" applyAlignment="1">
      <alignment vertical="center" wrapText="1"/>
    </xf>
    <xf numFmtId="0" fontId="0" fillId="7" borderId="5" xfId="0" applyFill="1" applyBorder="1" applyAlignment="1">
      <alignment horizontal="center" vertical="center"/>
    </xf>
    <xf numFmtId="0" fontId="0" fillId="7" borderId="3" xfId="0" applyFill="1" applyBorder="1" applyAlignment="1">
      <alignment horizontal="center" vertical="center" wrapText="1"/>
    </xf>
    <xf numFmtId="0" fontId="0" fillId="0" borderId="7" xfId="0" applyBorder="1" applyAlignment="1">
      <alignment horizontal="center" vertical="center" wrapText="1"/>
    </xf>
    <xf numFmtId="2" fontId="0" fillId="7" borderId="23" xfId="0" applyNumberFormat="1" applyFill="1" applyBorder="1" applyAlignment="1">
      <alignment horizontal="center" vertical="center"/>
    </xf>
    <xf numFmtId="2" fontId="0" fillId="7"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7" borderId="9" xfId="0" applyFill="1" applyBorder="1" applyAlignment="1">
      <alignment horizontal="center" vertical="center"/>
    </xf>
    <xf numFmtId="0" fontId="3" fillId="0" borderId="32" xfId="0" applyFont="1" applyBorder="1" applyAlignment="1">
      <alignment horizontal="center" vertical="center" wrapText="1"/>
    </xf>
    <xf numFmtId="0" fontId="3" fillId="5" borderId="6"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Alignment="1">
      <alignment wrapText="1"/>
    </xf>
    <xf numFmtId="0" fontId="3" fillId="2" borderId="22" xfId="0" applyFont="1" applyFill="1" applyBorder="1" applyAlignment="1">
      <alignment horizontal="center" vertical="center" wrapText="1"/>
    </xf>
    <xf numFmtId="0" fontId="0" fillId="4" borderId="3" xfId="0" applyFill="1" applyBorder="1" applyAlignment="1">
      <alignment horizontal="center" vertical="center" wrapText="1"/>
    </xf>
    <xf numFmtId="0" fontId="1" fillId="4" borderId="3" xfId="0" applyFont="1" applyFill="1" applyBorder="1" applyAlignment="1">
      <alignment horizontal="center" vertical="center" wrapText="1"/>
    </xf>
    <xf numFmtId="0" fontId="0" fillId="0" borderId="33" xfId="0" applyFill="1" applyBorder="1" applyAlignment="1">
      <alignment horizontal="center" vertical="center" wrapText="1"/>
    </xf>
    <xf numFmtId="0" fontId="0" fillId="0" borderId="3" xfId="0" applyFill="1" applyBorder="1" applyAlignment="1">
      <alignment horizontal="center" vertical="center" wrapText="1"/>
    </xf>
    <xf numFmtId="0" fontId="0" fillId="7" borderId="5" xfId="0" applyFill="1" applyBorder="1" applyAlignment="1">
      <alignment horizontal="center" vertical="center" wrapText="1"/>
    </xf>
    <xf numFmtId="0" fontId="0" fillId="7"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29" xfId="0" applyFill="1" applyBorder="1"/>
    <xf numFmtId="0" fontId="1" fillId="0" borderId="1" xfId="0" applyFont="1" applyFill="1" applyBorder="1" applyAlignment="1">
      <alignment vertical="center" wrapText="1"/>
    </xf>
    <xf numFmtId="0" fontId="0" fillId="0" borderId="29" xfId="0" applyFill="1" applyBorder="1" applyAlignment="1">
      <alignment horizontal="center" vertical="center"/>
    </xf>
    <xf numFmtId="0" fontId="0" fillId="7" borderId="26" xfId="0" applyFill="1" applyBorder="1" applyAlignment="1">
      <alignment horizontal="center" vertical="center"/>
    </xf>
    <xf numFmtId="0" fontId="0" fillId="0" borderId="11" xfId="0" applyFill="1" applyBorder="1" applyAlignment="1">
      <alignment horizontal="center" vertical="center"/>
    </xf>
    <xf numFmtId="0" fontId="0" fillId="7" borderId="23" xfId="0" applyFill="1" applyBorder="1" applyAlignment="1">
      <alignment horizontal="center" vertical="center"/>
    </xf>
    <xf numFmtId="0" fontId="0" fillId="7" borderId="20" xfId="0" applyFill="1" applyBorder="1" applyAlignment="1">
      <alignment horizontal="center" vertical="center"/>
    </xf>
    <xf numFmtId="164" fontId="0" fillId="7" borderId="28" xfId="0" applyNumberFormat="1" applyFill="1" applyBorder="1" applyAlignment="1">
      <alignment horizontal="center" vertical="center"/>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7" borderId="3" xfId="0" applyFont="1" applyFill="1" applyBorder="1" applyAlignment="1">
      <alignment horizontal="center" vertical="center" wrapText="1"/>
    </xf>
    <xf numFmtId="0" fontId="0" fillId="4" borderId="14" xfId="0" applyFont="1" applyFill="1" applyBorder="1" applyAlignment="1">
      <alignment horizontal="left" vertical="center" wrapText="1"/>
    </xf>
    <xf numFmtId="0" fontId="3" fillId="2" borderId="34" xfId="0" applyFont="1" applyFill="1" applyBorder="1" applyAlignment="1">
      <alignment horizontal="center" vertical="center"/>
    </xf>
    <xf numFmtId="0" fontId="0" fillId="4" borderId="45" xfId="0" applyFill="1" applyBorder="1" applyAlignment="1">
      <alignment horizontal="center" vertical="center" wrapText="1"/>
    </xf>
    <xf numFmtId="0" fontId="0" fillId="4" borderId="46" xfId="0" applyFill="1" applyBorder="1" applyAlignment="1">
      <alignment horizontal="center" vertical="center" wrapText="1"/>
    </xf>
    <xf numFmtId="0" fontId="0" fillId="4" borderId="47" xfId="0" applyFill="1" applyBorder="1" applyAlignment="1">
      <alignment horizontal="center" vertical="center" wrapText="1"/>
    </xf>
    <xf numFmtId="0" fontId="1" fillId="10" borderId="3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49" xfId="0" applyFill="1" applyBorder="1" applyAlignment="1">
      <alignment horizontal="center" vertical="center" wrapText="1"/>
    </xf>
    <xf numFmtId="0" fontId="1" fillId="10" borderId="50"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7" xfId="0" applyFill="1" applyBorder="1" applyAlignment="1">
      <alignment horizontal="center" vertical="center" wrapText="1"/>
    </xf>
    <xf numFmtId="0" fontId="0" fillId="4" borderId="9" xfId="0" applyFill="1" applyBorder="1" applyAlignment="1">
      <alignment horizontal="center" vertical="center" wrapText="1"/>
    </xf>
    <xf numFmtId="0" fontId="0" fillId="4" borderId="51"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36" xfId="0" applyFill="1" applyBorder="1" applyAlignment="1">
      <alignment horizontal="center" vertical="center" wrapText="1"/>
    </xf>
    <xf numFmtId="0" fontId="0" fillId="4" borderId="14" xfId="0" applyFill="1" applyBorder="1" applyAlignment="1">
      <alignment horizontal="center" vertical="center" wrapText="1"/>
    </xf>
    <xf numFmtId="0" fontId="3" fillId="2" borderId="32" xfId="0" applyFont="1" applyFill="1" applyBorder="1" applyAlignment="1">
      <alignment horizontal="center" vertical="center" wrapText="1"/>
    </xf>
    <xf numFmtId="0" fontId="0" fillId="4" borderId="33"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26" xfId="0" applyFill="1" applyBorder="1" applyAlignment="1">
      <alignment horizontal="center" vertical="center" wrapText="1"/>
    </xf>
    <xf numFmtId="0" fontId="0" fillId="4" borderId="35" xfId="0" applyFill="1" applyBorder="1" applyAlignment="1">
      <alignment horizontal="center" vertical="center" wrapText="1"/>
    </xf>
    <xf numFmtId="0" fontId="0" fillId="0" borderId="0" xfId="0" applyFill="1" applyBorder="1" applyAlignment="1">
      <alignment horizontal="center" vertical="center" wrapText="1"/>
    </xf>
    <xf numFmtId="0" fontId="0" fillId="4" borderId="42" xfId="0" applyFill="1" applyBorder="1" applyAlignment="1">
      <alignment horizontal="center" vertical="center" wrapText="1"/>
    </xf>
    <xf numFmtId="0" fontId="3" fillId="2" borderId="25" xfId="0" applyFont="1" applyFill="1" applyBorder="1" applyAlignment="1">
      <alignment horizontal="center" vertical="center"/>
    </xf>
    <xf numFmtId="0" fontId="0" fillId="13" borderId="6" xfId="0" applyFill="1" applyBorder="1" applyAlignment="1">
      <alignment vertical="center" wrapText="1"/>
    </xf>
    <xf numFmtId="0" fontId="0" fillId="0" borderId="3" xfId="0" applyBorder="1" applyAlignment="1">
      <alignment horizontal="center" vertical="center"/>
    </xf>
    <xf numFmtId="0" fontId="0" fillId="0" borderId="10" xfId="0" applyBorder="1" applyAlignment="1">
      <alignment horizontal="center" vertical="center"/>
    </xf>
    <xf numFmtId="165" fontId="0" fillId="7" borderId="3" xfId="0" applyNumberFormat="1" applyFill="1" applyBorder="1" applyAlignment="1">
      <alignment horizontal="center" vertical="center"/>
    </xf>
    <xf numFmtId="1" fontId="0" fillId="7" borderId="5" xfId="0" applyNumberFormat="1" applyFill="1" applyBorder="1" applyAlignment="1">
      <alignment horizontal="center" vertical="center"/>
    </xf>
    <xf numFmtId="0" fontId="0" fillId="4" borderId="30" xfId="0" applyFill="1" applyBorder="1" applyAlignment="1">
      <alignment vertical="center" wrapText="1"/>
    </xf>
    <xf numFmtId="0" fontId="0" fillId="0" borderId="0" xfId="0" applyBorder="1"/>
    <xf numFmtId="0" fontId="0" fillId="12" borderId="6" xfId="0" applyFill="1" applyBorder="1" applyAlignment="1">
      <alignment vertical="center" wrapText="1"/>
    </xf>
    <xf numFmtId="0" fontId="0" fillId="7" borderId="23" xfId="0" applyFill="1" applyBorder="1" applyAlignment="1">
      <alignment horizontal="center"/>
    </xf>
    <xf numFmtId="165" fontId="0" fillId="9" borderId="25" xfId="0" applyNumberFormat="1" applyFill="1" applyBorder="1" applyAlignment="1">
      <alignment horizontal="center" vertical="center"/>
    </xf>
    <xf numFmtId="0" fontId="3" fillId="15" borderId="6" xfId="0" applyFont="1" applyFill="1" applyBorder="1" applyAlignment="1">
      <alignment horizontal="center" vertical="center" wrapText="1"/>
    </xf>
    <xf numFmtId="0" fontId="3" fillId="15" borderId="8" xfId="0" applyFont="1" applyFill="1" applyBorder="1" applyAlignment="1">
      <alignment horizontal="center" vertical="center" wrapText="1"/>
    </xf>
    <xf numFmtId="165" fontId="0" fillId="0" borderId="0" xfId="0" applyNumberFormat="1" applyFill="1" applyBorder="1" applyAlignment="1">
      <alignment horizontal="center" vertical="center"/>
    </xf>
    <xf numFmtId="0" fontId="0" fillId="0" borderId="0" xfId="0" applyFill="1" applyAlignment="1">
      <alignment wrapText="1"/>
    </xf>
    <xf numFmtId="0" fontId="0" fillId="4" borderId="8" xfId="0" applyFill="1" applyBorder="1" applyAlignment="1">
      <alignment horizontal="center" vertical="center" wrapText="1"/>
    </xf>
    <xf numFmtId="165" fontId="0" fillId="7" borderId="11" xfId="0" applyNumberFormat="1" applyFill="1" applyBorder="1" applyAlignment="1">
      <alignment horizontal="center" vertical="center"/>
    </xf>
    <xf numFmtId="0" fontId="1" fillId="10" borderId="55" xfId="0" applyFont="1" applyFill="1" applyBorder="1" applyAlignment="1">
      <alignment horizontal="center" vertical="center" wrapText="1"/>
    </xf>
    <xf numFmtId="0" fontId="0" fillId="4" borderId="40" xfId="0" applyFill="1" applyBorder="1" applyAlignment="1">
      <alignment horizontal="center" vertical="center" wrapText="1"/>
    </xf>
    <xf numFmtId="0" fontId="0" fillId="4" borderId="41" xfId="0" applyFill="1" applyBorder="1" applyAlignment="1">
      <alignment vertical="center" wrapText="1"/>
    </xf>
    <xf numFmtId="0" fontId="0" fillId="16" borderId="53" xfId="0" applyFill="1" applyBorder="1" applyAlignment="1">
      <alignment horizontal="center" vertical="center" wrapText="1"/>
    </xf>
    <xf numFmtId="0" fontId="0" fillId="4" borderId="56" xfId="0" applyFill="1" applyBorder="1" applyAlignment="1">
      <alignment vertical="center" wrapText="1"/>
    </xf>
    <xf numFmtId="0" fontId="3" fillId="6" borderId="12" xfId="0" applyFont="1" applyFill="1" applyBorder="1" applyAlignment="1">
      <alignment vertical="center" wrapText="1"/>
    </xf>
    <xf numFmtId="0" fontId="3" fillId="6" borderId="13" xfId="0" applyFont="1" applyFill="1" applyBorder="1" applyAlignment="1">
      <alignment vertical="center" wrapText="1"/>
    </xf>
    <xf numFmtId="0" fontId="1" fillId="6" borderId="16" xfId="0" applyFont="1" applyFill="1" applyBorder="1" applyAlignment="1">
      <alignment vertical="center" wrapText="1"/>
    </xf>
    <xf numFmtId="0" fontId="1" fillId="6" borderId="17" xfId="0" applyFont="1" applyFill="1" applyBorder="1" applyAlignment="1">
      <alignment vertical="center" wrapText="1"/>
    </xf>
    <xf numFmtId="0" fontId="1" fillId="6" borderId="15" xfId="0" applyFont="1" applyFill="1" applyBorder="1" applyAlignment="1">
      <alignment vertical="center" wrapText="1"/>
    </xf>
    <xf numFmtId="165" fontId="0" fillId="7" borderId="10" xfId="0" applyNumberFormat="1" applyFill="1" applyBorder="1" applyAlignment="1">
      <alignment horizontal="center" vertical="center"/>
    </xf>
    <xf numFmtId="1" fontId="5" fillId="9" borderId="25" xfId="0" applyNumberFormat="1" applyFont="1" applyFill="1" applyBorder="1" applyAlignment="1">
      <alignment horizontal="center" vertical="center"/>
    </xf>
    <xf numFmtId="165" fontId="0" fillId="14" borderId="5" xfId="0" applyNumberFormat="1" applyFill="1" applyBorder="1" applyAlignment="1">
      <alignment horizontal="center" vertical="center"/>
    </xf>
    <xf numFmtId="0" fontId="0" fillId="4" borderId="22" xfId="0" applyFill="1" applyBorder="1" applyAlignment="1">
      <alignment vertical="center" wrapText="1"/>
    </xf>
    <xf numFmtId="1" fontId="0" fillId="14" borderId="25" xfId="0" applyNumberFormat="1" applyFill="1" applyBorder="1" applyAlignment="1">
      <alignment horizontal="center" vertical="center"/>
    </xf>
    <xf numFmtId="165" fontId="5" fillId="9" borderId="25" xfId="0" applyNumberFormat="1" applyFont="1" applyFill="1" applyBorder="1" applyAlignment="1">
      <alignment horizontal="center" vertical="center"/>
    </xf>
    <xf numFmtId="0" fontId="0" fillId="17" borderId="3" xfId="0" applyFill="1" applyBorder="1" applyAlignment="1">
      <alignment horizontal="center" vertical="center"/>
    </xf>
    <xf numFmtId="0" fontId="0" fillId="0" borderId="1" xfId="0" applyFill="1" applyBorder="1" applyAlignment="1">
      <alignment horizontal="center" vertical="center"/>
    </xf>
    <xf numFmtId="0" fontId="0" fillId="0" borderId="55" xfId="0" applyFill="1" applyBorder="1" applyAlignment="1">
      <alignment horizontal="center" vertical="center"/>
    </xf>
    <xf numFmtId="0" fontId="0" fillId="0" borderId="59" xfId="0" applyFill="1" applyBorder="1"/>
    <xf numFmtId="0" fontId="0" fillId="0" borderId="60" xfId="0" applyFill="1" applyBorder="1"/>
    <xf numFmtId="0" fontId="0" fillId="0" borderId="21" xfId="0" applyBorder="1" applyAlignment="1">
      <alignment horizontal="center" vertical="center"/>
    </xf>
    <xf numFmtId="0" fontId="0" fillId="9" borderId="3" xfId="0" applyFill="1" applyBorder="1" applyAlignment="1">
      <alignment horizontal="center" vertical="center"/>
    </xf>
    <xf numFmtId="165" fontId="0" fillId="7" borderId="36" xfId="0" applyNumberFormat="1" applyFill="1" applyBorder="1" applyAlignment="1">
      <alignment horizontal="center" vertical="center"/>
    </xf>
    <xf numFmtId="165" fontId="0" fillId="7" borderId="20" xfId="0" applyNumberFormat="1" applyFill="1" applyBorder="1" applyAlignment="1">
      <alignment horizontal="center" vertical="center"/>
    </xf>
    <xf numFmtId="165" fontId="0" fillId="7" borderId="27" xfId="0" applyNumberFormat="1" applyFill="1" applyBorder="1" applyAlignment="1">
      <alignment horizontal="center" vertical="center"/>
    </xf>
    <xf numFmtId="164" fontId="0" fillId="0" borderId="11" xfId="0" applyNumberFormat="1" applyFill="1" applyBorder="1" applyAlignment="1">
      <alignment horizontal="center" vertical="center"/>
    </xf>
    <xf numFmtId="165" fontId="0" fillId="0" borderId="11" xfId="0" applyNumberFormat="1" applyFill="1" applyBorder="1" applyAlignment="1">
      <alignment horizontal="center" vertical="center"/>
    </xf>
    <xf numFmtId="165" fontId="0" fillId="0" borderId="9" xfId="0" applyNumberFormat="1" applyFill="1" applyBorder="1" applyAlignment="1">
      <alignment horizontal="center" vertical="center"/>
    </xf>
    <xf numFmtId="165" fontId="0" fillId="7" borderId="3" xfId="0" applyNumberFormat="1" applyFont="1" applyFill="1" applyBorder="1" applyAlignment="1">
      <alignment horizontal="center" vertical="center" wrapText="1"/>
    </xf>
    <xf numFmtId="1" fontId="0" fillId="0" borderId="11" xfId="0" applyNumberFormat="1" applyFill="1" applyBorder="1" applyAlignment="1">
      <alignment horizontal="center" vertical="center"/>
    </xf>
    <xf numFmtId="0" fontId="3" fillId="0" borderId="43" xfId="0" applyFont="1" applyBorder="1" applyAlignment="1">
      <alignment horizontal="center" vertical="center" wrapText="1"/>
    </xf>
    <xf numFmtId="0" fontId="3" fillId="0" borderId="0" xfId="0" applyFont="1" applyFill="1" applyBorder="1" applyAlignment="1">
      <alignment horizontal="center" vertical="center" wrapText="1"/>
    </xf>
    <xf numFmtId="0" fontId="3" fillId="0" borderId="29" xfId="0" applyFont="1" applyFill="1" applyBorder="1" applyAlignment="1">
      <alignment vertical="center" wrapText="1"/>
    </xf>
    <xf numFmtId="0" fontId="3" fillId="0" borderId="29" xfId="0" applyFont="1" applyFill="1" applyBorder="1" applyAlignment="1">
      <alignment horizontal="center" vertical="center" wrapText="1"/>
    </xf>
    <xf numFmtId="165" fontId="3" fillId="9" borderId="51" xfId="0" applyNumberFormat="1" applyFont="1" applyFill="1" applyBorder="1" applyAlignment="1">
      <alignment horizontal="center" vertical="center" wrapText="1"/>
    </xf>
    <xf numFmtId="165" fontId="3" fillId="9" borderId="10" xfId="0" applyNumberFormat="1" applyFont="1" applyFill="1" applyBorder="1" applyAlignment="1">
      <alignment horizontal="center" vertical="center" wrapText="1"/>
    </xf>
    <xf numFmtId="165" fontId="3" fillId="9" borderId="36" xfId="0" applyNumberFormat="1" applyFont="1" applyFill="1" applyBorder="1" applyAlignment="1">
      <alignment horizontal="center" vertical="center" wrapText="1"/>
    </xf>
    <xf numFmtId="165" fontId="0" fillId="11" borderId="51" xfId="0" applyNumberFormat="1" applyFill="1" applyBorder="1" applyAlignment="1">
      <alignment horizontal="center" vertical="center"/>
    </xf>
    <xf numFmtId="165" fontId="0" fillId="11" borderId="36" xfId="0" applyNumberFormat="1" applyFill="1" applyBorder="1" applyAlignment="1">
      <alignment horizontal="center" vertical="center"/>
    </xf>
    <xf numFmtId="0" fontId="1" fillId="0" borderId="0" xfId="0" applyFont="1"/>
    <xf numFmtId="0" fontId="0" fillId="18" borderId="3" xfId="0" applyFill="1" applyBorder="1" applyAlignment="1">
      <alignment horizontal="center" vertical="center"/>
    </xf>
    <xf numFmtId="0" fontId="0" fillId="9" borderId="10" xfId="0" applyFill="1" applyBorder="1" applyAlignment="1">
      <alignment horizontal="center" vertical="center"/>
    </xf>
    <xf numFmtId="0" fontId="0" fillId="18" borderId="10" xfId="0" applyFill="1" applyBorder="1" applyAlignment="1">
      <alignment horizontal="center" vertical="center"/>
    </xf>
    <xf numFmtId="0" fontId="0" fillId="16" borderId="5" xfId="0" applyFill="1" applyBorder="1" applyAlignment="1">
      <alignment horizontal="center" vertical="center"/>
    </xf>
    <xf numFmtId="0" fontId="0" fillId="16" borderId="7" xfId="0" applyFill="1" applyBorder="1" applyAlignment="1">
      <alignment horizontal="center" vertical="center"/>
    </xf>
    <xf numFmtId="0" fontId="0" fillId="16" borderId="57" xfId="0" applyFill="1" applyBorder="1" applyAlignment="1">
      <alignment horizontal="center" vertical="center"/>
    </xf>
    <xf numFmtId="0" fontId="0" fillId="0" borderId="20" xfId="0" applyBorder="1" applyAlignment="1">
      <alignment horizontal="center" vertical="center"/>
    </xf>
    <xf numFmtId="165" fontId="0" fillId="7" borderId="58" xfId="0" applyNumberFormat="1" applyFill="1" applyBorder="1" applyAlignment="1">
      <alignment horizontal="center" vertical="center"/>
    </xf>
    <xf numFmtId="0" fontId="1" fillId="0" borderId="29" xfId="0" applyFont="1" applyFill="1" applyBorder="1" applyAlignment="1">
      <alignment vertical="center" wrapText="1"/>
    </xf>
    <xf numFmtId="165" fontId="0" fillId="0" borderId="29" xfId="0" applyNumberFormat="1" applyFill="1" applyBorder="1" applyAlignment="1">
      <alignment horizontal="center" vertical="center"/>
    </xf>
    <xf numFmtId="165" fontId="0" fillId="0" borderId="1" xfId="0" applyNumberFormat="1" applyFill="1" applyBorder="1" applyAlignment="1">
      <alignment horizontal="center" vertical="center"/>
    </xf>
    <xf numFmtId="165" fontId="0" fillId="0" borderId="55" xfId="0" applyNumberFormat="1" applyFill="1" applyBorder="1" applyAlignment="1">
      <alignment horizontal="center" vertical="center"/>
    </xf>
    <xf numFmtId="0" fontId="0" fillId="0" borderId="59" xfId="0" applyFill="1" applyBorder="1" applyAlignment="1">
      <alignment horizontal="center" vertical="center"/>
    </xf>
    <xf numFmtId="0" fontId="0" fillId="0" borderId="60" xfId="0" applyFill="1" applyBorder="1" applyAlignment="1">
      <alignment horizontal="center" vertical="center"/>
    </xf>
    <xf numFmtId="0" fontId="0" fillId="9" borderId="6" xfId="0" applyFill="1" applyBorder="1" applyAlignment="1">
      <alignment vertical="center" wrapText="1"/>
    </xf>
    <xf numFmtId="0" fontId="0" fillId="11" borderId="6" xfId="0" applyFill="1" applyBorder="1" applyAlignment="1">
      <alignment vertical="center" wrapText="1"/>
    </xf>
    <xf numFmtId="0" fontId="0" fillId="19" borderId="6" xfId="0" applyFill="1" applyBorder="1" applyAlignment="1">
      <alignment vertical="center" wrapText="1"/>
    </xf>
    <xf numFmtId="0" fontId="0" fillId="15" borderId="3" xfId="0" applyFill="1" applyBorder="1" applyAlignment="1">
      <alignment horizontal="center" vertical="center"/>
    </xf>
    <xf numFmtId="0" fontId="0" fillId="17" borderId="6" xfId="0" applyFill="1" applyBorder="1" applyAlignment="1">
      <alignment vertical="center" wrapText="1"/>
    </xf>
    <xf numFmtId="0" fontId="0" fillId="15" borderId="6" xfId="0" applyFill="1" applyBorder="1" applyAlignment="1">
      <alignment vertical="center" wrapText="1"/>
    </xf>
    <xf numFmtId="0" fontId="0" fillId="20" borderId="6" xfId="0" applyFill="1" applyBorder="1" applyAlignment="1">
      <alignment vertical="center" wrapText="1"/>
    </xf>
    <xf numFmtId="0" fontId="0" fillId="3" borderId="3" xfId="0" applyFill="1" applyBorder="1" applyAlignment="1">
      <alignment horizontal="center" vertical="center"/>
    </xf>
    <xf numFmtId="0" fontId="0" fillId="21" borderId="3" xfId="0" applyFill="1" applyBorder="1" applyAlignment="1">
      <alignment horizontal="center" vertical="center"/>
    </xf>
    <xf numFmtId="0" fontId="0" fillId="7" borderId="28" xfId="0" applyFill="1" applyBorder="1" applyAlignment="1">
      <alignment horizontal="center" vertical="center"/>
    </xf>
    <xf numFmtId="0" fontId="0" fillId="0" borderId="10" xfId="0" applyFill="1" applyBorder="1" applyAlignment="1">
      <alignment horizontal="center" vertical="center"/>
    </xf>
    <xf numFmtId="0" fontId="0" fillId="0" borderId="61" xfId="0" applyFill="1" applyBorder="1" applyAlignment="1">
      <alignment horizontal="center" vertical="center"/>
    </xf>
    <xf numFmtId="0" fontId="0" fillId="0" borderId="62" xfId="0" applyFill="1" applyBorder="1" applyAlignment="1">
      <alignment horizontal="center" vertical="center"/>
    </xf>
    <xf numFmtId="0" fontId="0" fillId="0" borderId="63" xfId="0" applyFill="1" applyBorder="1" applyAlignment="1">
      <alignment horizontal="center" vertical="center"/>
    </xf>
    <xf numFmtId="0" fontId="0" fillId="0" borderId="55" xfId="0" applyFill="1" applyBorder="1"/>
    <xf numFmtId="0" fontId="1" fillId="0" borderId="55" xfId="0" applyFont="1" applyFill="1" applyBorder="1" applyAlignment="1">
      <alignment vertical="center" wrapText="1"/>
    </xf>
    <xf numFmtId="164" fontId="0" fillId="7" borderId="10" xfId="0" applyNumberFormat="1" applyFill="1" applyBorder="1" applyAlignment="1">
      <alignment horizontal="center" vertical="center"/>
    </xf>
    <xf numFmtId="0" fontId="0" fillId="0" borderId="21" xfId="0" applyFill="1" applyBorder="1" applyAlignment="1">
      <alignment horizontal="center" vertical="center"/>
    </xf>
    <xf numFmtId="0" fontId="0" fillId="0" borderId="29" xfId="0" applyBorder="1"/>
    <xf numFmtId="0" fontId="0" fillId="3" borderId="7" xfId="0" applyFill="1" applyBorder="1" applyAlignment="1">
      <alignment horizontal="center" vertical="center"/>
    </xf>
    <xf numFmtId="165" fontId="0" fillId="7" borderId="7" xfId="0" applyNumberFormat="1" applyFont="1" applyFill="1" applyBorder="1" applyAlignment="1">
      <alignment horizontal="center" vertical="center" wrapText="1"/>
    </xf>
    <xf numFmtId="0" fontId="0" fillId="4" borderId="19" xfId="0" applyFill="1" applyBorder="1" applyAlignment="1">
      <alignment horizontal="center" vertical="center" wrapText="1"/>
    </xf>
    <xf numFmtId="0" fontId="0" fillId="4" borderId="8" xfId="0" applyFill="1" applyBorder="1" applyAlignment="1">
      <alignment horizontal="center" vertical="center" wrapText="1"/>
    </xf>
    <xf numFmtId="165" fontId="0" fillId="7" borderId="21" xfId="0" applyNumberFormat="1" applyFill="1" applyBorder="1" applyAlignment="1">
      <alignment horizontal="center" vertical="center"/>
    </xf>
    <xf numFmtId="165" fontId="0" fillId="0" borderId="52" xfId="0" applyNumberFormat="1" applyFill="1" applyBorder="1" applyAlignment="1">
      <alignment horizontal="center" vertical="center"/>
    </xf>
    <xf numFmtId="165" fontId="0" fillId="0" borderId="43" xfId="0" applyNumberFormat="1" applyFill="1" applyBorder="1" applyAlignment="1">
      <alignment horizontal="center" vertical="center"/>
    </xf>
    <xf numFmtId="165" fontId="0" fillId="7" borderId="64" xfId="0" applyNumberFormat="1" applyFill="1" applyBorder="1" applyAlignment="1">
      <alignment horizontal="center" vertical="center"/>
    </xf>
    <xf numFmtId="165" fontId="0" fillId="0" borderId="60" xfId="0" applyNumberFormat="1" applyFill="1" applyBorder="1" applyAlignment="1">
      <alignment horizontal="center" vertical="center"/>
    </xf>
    <xf numFmtId="0" fontId="0" fillId="0" borderId="11" xfId="0" applyFill="1" applyBorder="1" applyAlignment="1">
      <alignment horizontal="center" vertical="center" wrapText="1"/>
    </xf>
    <xf numFmtId="0" fontId="0" fillId="7" borderId="9" xfId="0" applyFill="1" applyBorder="1" applyAlignment="1">
      <alignment horizontal="center" vertical="center" wrapText="1"/>
    </xf>
    <xf numFmtId="0" fontId="0" fillId="6" borderId="16" xfId="0" applyFill="1" applyBorder="1" applyAlignment="1">
      <alignment horizontal="center" vertical="center" wrapText="1"/>
    </xf>
    <xf numFmtId="0" fontId="0" fillId="6" borderId="54"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6" borderId="37" xfId="0" applyFont="1" applyFill="1" applyBorder="1" applyAlignment="1">
      <alignment horizontal="center" vertical="center" wrapText="1"/>
    </xf>
    <xf numFmtId="0" fontId="1" fillId="6" borderId="38" xfId="0" applyFont="1" applyFill="1" applyBorder="1" applyAlignment="1">
      <alignment horizontal="center" vertical="center" wrapText="1"/>
    </xf>
    <xf numFmtId="0" fontId="1" fillId="6" borderId="14" xfId="0" applyFont="1" applyFill="1" applyBorder="1" applyAlignment="1">
      <alignment horizontal="left" vertical="center" wrapText="1"/>
    </xf>
    <xf numFmtId="0" fontId="1" fillId="6" borderId="15" xfId="0" applyFont="1" applyFill="1" applyBorder="1" applyAlignment="1">
      <alignment horizontal="left" vertical="center" wrapText="1"/>
    </xf>
    <xf numFmtId="0" fontId="1" fillId="0" borderId="29"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0" fillId="4" borderId="19"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41" xfId="0" applyFill="1" applyBorder="1" applyAlignment="1">
      <alignment horizontal="center" vertical="center" wrapText="1"/>
    </xf>
    <xf numFmtId="0" fontId="3" fillId="6" borderId="12"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1" fillId="6" borderId="16" xfId="0" applyFont="1" applyFill="1" applyBorder="1" applyAlignment="1">
      <alignment horizontal="left" vertical="center" wrapText="1"/>
    </xf>
    <xf numFmtId="0" fontId="1" fillId="6" borderId="17" xfId="0" applyFont="1" applyFill="1" applyBorder="1" applyAlignment="1">
      <alignment horizontal="left" vertical="center" wrapText="1"/>
    </xf>
    <xf numFmtId="0" fontId="1" fillId="6" borderId="14"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0" fillId="4" borderId="30" xfId="0"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1" fillId="0" borderId="12" xfId="0" applyFont="1" applyBorder="1" applyAlignment="1">
      <alignment horizontal="center" vertical="center" wrapText="1"/>
    </xf>
    <xf numFmtId="0" fontId="1" fillId="0" borderId="39" xfId="0" applyFont="1" applyBorder="1" applyAlignment="1">
      <alignment horizontal="center" vertical="center" wrapText="1"/>
    </xf>
    <xf numFmtId="0" fontId="3" fillId="6" borderId="39" xfId="0" applyFont="1" applyFill="1" applyBorder="1" applyAlignment="1">
      <alignment horizontal="left" vertical="center" wrapText="1"/>
    </xf>
    <xf numFmtId="0" fontId="1" fillId="6" borderId="31" xfId="0" applyFont="1" applyFill="1" applyBorder="1" applyAlignment="1">
      <alignment horizontal="left" vertical="center" wrapText="1"/>
    </xf>
    <xf numFmtId="0" fontId="1" fillId="2" borderId="52"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10" borderId="52" xfId="0" applyFont="1" applyFill="1" applyBorder="1" applyAlignment="1">
      <alignment horizontal="center" vertical="center" wrapText="1"/>
    </xf>
    <xf numFmtId="0" fontId="1" fillId="10" borderId="43" xfId="0" applyFont="1" applyFill="1" applyBorder="1" applyAlignment="1">
      <alignment horizontal="center" vertical="center" wrapText="1"/>
    </xf>
    <xf numFmtId="0" fontId="1" fillId="10" borderId="44" xfId="0" applyFont="1" applyFill="1" applyBorder="1" applyAlignment="1">
      <alignment horizontal="center" vertical="center" wrapText="1"/>
    </xf>
  </cellXfs>
  <cellStyles count="1">
    <cellStyle name="Normal" xfId="0" builtinId="0"/>
  </cellStyles>
  <dxfs count="1">
    <dxf>
      <font>
        <color rgb="FF006100"/>
      </font>
      <fill>
        <patternFill>
          <bgColor rgb="FFC6EFCE"/>
        </patternFill>
      </fill>
    </dxf>
  </dxfs>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U56"/>
  <sheetViews>
    <sheetView topLeftCell="A18" zoomScale="84" zoomScaleNormal="63" workbookViewId="0">
      <selection activeCell="AB26" sqref="AB26"/>
    </sheetView>
  </sheetViews>
  <sheetFormatPr baseColWidth="10" defaultRowHeight="14.5" x14ac:dyDescent="0.35"/>
  <cols>
    <col min="1" max="1" width="33.6328125" style="1" customWidth="1"/>
    <col min="2" max="2" width="19.90625" customWidth="1"/>
    <col min="3" max="3" width="14.54296875" bestFit="1" customWidth="1"/>
    <col min="4" max="4" width="15.7265625" customWidth="1"/>
    <col min="5" max="32" width="14.54296875" bestFit="1" customWidth="1"/>
    <col min="33" max="122" width="12.36328125" bestFit="1" customWidth="1"/>
  </cols>
  <sheetData>
    <row r="1" spans="1:4" x14ac:dyDescent="0.35">
      <c r="D1" s="105"/>
    </row>
    <row r="4" spans="1:4" ht="15" thickBot="1" x14ac:dyDescent="0.4">
      <c r="B4" s="9"/>
    </row>
    <row r="5" spans="1:4" ht="37.5" thickBot="1" x14ac:dyDescent="0.4">
      <c r="A5" s="33" t="s">
        <v>178</v>
      </c>
      <c r="B5" s="119">
        <f>B6/B10</f>
        <v>159.27527217958888</v>
      </c>
    </row>
    <row r="6" spans="1:4" ht="37.5" thickBot="1" x14ac:dyDescent="0.4">
      <c r="A6" s="33" t="s">
        <v>154</v>
      </c>
      <c r="B6" s="123">
        <f>MIN(B53,B56)</f>
        <v>1290.1297046546699</v>
      </c>
    </row>
    <row r="8" spans="1:4" ht="15" thickBot="1" x14ac:dyDescent="0.4"/>
    <row r="9" spans="1:4" ht="15" thickBot="1" x14ac:dyDescent="0.4">
      <c r="A9" s="195" t="s">
        <v>11</v>
      </c>
      <c r="B9" s="196"/>
    </row>
    <row r="10" spans="1:4" x14ac:dyDescent="0.35">
      <c r="A10" s="2" t="s">
        <v>6</v>
      </c>
      <c r="B10" s="152">
        <v>8.1</v>
      </c>
    </row>
    <row r="11" spans="1:4" ht="29" x14ac:dyDescent="0.35">
      <c r="A11" s="3" t="s">
        <v>200</v>
      </c>
      <c r="B11" s="153">
        <v>70</v>
      </c>
    </row>
    <row r="12" spans="1:4" x14ac:dyDescent="0.35">
      <c r="A12" s="3" t="s">
        <v>192</v>
      </c>
      <c r="B12" s="153"/>
      <c r="C12" s="148" t="s">
        <v>201</v>
      </c>
    </row>
    <row r="13" spans="1:4" x14ac:dyDescent="0.35">
      <c r="A13" s="3" t="s">
        <v>12</v>
      </c>
      <c r="B13" s="153" t="s">
        <v>193</v>
      </c>
    </row>
    <row r="14" spans="1:4" x14ac:dyDescent="0.35">
      <c r="A14" s="3" t="s">
        <v>13</v>
      </c>
      <c r="B14" s="153">
        <v>30</v>
      </c>
    </row>
    <row r="15" spans="1:4" x14ac:dyDescent="0.35">
      <c r="A15" s="112" t="s">
        <v>140</v>
      </c>
      <c r="B15" s="154"/>
      <c r="C15" s="148" t="s">
        <v>202</v>
      </c>
    </row>
    <row r="16" spans="1:4" ht="29.5" thickBot="1" x14ac:dyDescent="0.4">
      <c r="A16" s="110" t="s">
        <v>188</v>
      </c>
      <c r="B16" s="111" t="s">
        <v>191</v>
      </c>
    </row>
    <row r="17" spans="1:177" ht="15" thickBot="1" x14ac:dyDescent="0.4"/>
    <row r="18" spans="1:177" s="5" customFormat="1" ht="15.5" x14ac:dyDescent="0.35">
      <c r="A18" s="113" t="s">
        <v>0</v>
      </c>
      <c r="B18" s="114"/>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41"/>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7"/>
      <c r="DT18" s="7"/>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29" x14ac:dyDescent="0.35">
      <c r="A19" s="3" t="s">
        <v>94</v>
      </c>
      <c r="B19" s="12">
        <v>0</v>
      </c>
      <c r="C19" s="12">
        <v>1</v>
      </c>
      <c r="D19" s="12">
        <v>2</v>
      </c>
      <c r="E19" s="12">
        <v>3</v>
      </c>
      <c r="F19" s="12">
        <v>4</v>
      </c>
      <c r="G19" s="12">
        <v>5</v>
      </c>
      <c r="H19" s="12">
        <v>6</v>
      </c>
      <c r="I19" s="12">
        <v>7</v>
      </c>
      <c r="J19" s="12">
        <v>8</v>
      </c>
      <c r="K19" s="12">
        <v>9</v>
      </c>
      <c r="L19" s="12">
        <v>10</v>
      </c>
      <c r="M19" s="12">
        <v>11</v>
      </c>
      <c r="N19" s="12">
        <v>12</v>
      </c>
      <c r="O19" s="12">
        <v>13</v>
      </c>
      <c r="P19" s="12">
        <v>14</v>
      </c>
      <c r="Q19" s="12">
        <v>15</v>
      </c>
      <c r="R19" s="12">
        <v>16</v>
      </c>
      <c r="S19" s="12">
        <v>17</v>
      </c>
      <c r="T19" s="12">
        <v>18</v>
      </c>
      <c r="U19" s="12">
        <v>19</v>
      </c>
      <c r="V19" s="130">
        <v>20</v>
      </c>
      <c r="W19" s="12">
        <v>21</v>
      </c>
      <c r="X19" s="12">
        <v>22</v>
      </c>
      <c r="Y19" s="12">
        <v>23</v>
      </c>
      <c r="Z19" s="12">
        <v>24</v>
      </c>
      <c r="AA19" s="166">
        <v>25</v>
      </c>
      <c r="AB19" s="12">
        <v>26</v>
      </c>
      <c r="AC19" s="12">
        <v>27</v>
      </c>
      <c r="AD19" s="12">
        <v>28</v>
      </c>
      <c r="AE19" s="12">
        <v>29</v>
      </c>
      <c r="AF19" s="151">
        <v>30</v>
      </c>
      <c r="AG19" s="12">
        <v>31</v>
      </c>
      <c r="AH19" s="130">
        <v>32</v>
      </c>
      <c r="AI19" s="13">
        <v>33</v>
      </c>
      <c r="AJ19" s="12">
        <v>34</v>
      </c>
      <c r="AK19" s="124">
        <v>35</v>
      </c>
      <c r="AL19" s="13">
        <v>36</v>
      </c>
      <c r="AM19" s="12">
        <v>37</v>
      </c>
      <c r="AN19" s="12">
        <v>38</v>
      </c>
      <c r="AO19" s="13">
        <v>39</v>
      </c>
      <c r="AP19" s="149">
        <v>40</v>
      </c>
      <c r="AQ19" s="12">
        <v>41</v>
      </c>
      <c r="AR19" s="13">
        <v>42</v>
      </c>
      <c r="AS19" s="12">
        <v>43</v>
      </c>
      <c r="AT19" s="130">
        <v>44</v>
      </c>
      <c r="AU19" s="13">
        <v>45</v>
      </c>
      <c r="AV19" s="12">
        <v>46</v>
      </c>
      <c r="AW19" s="12">
        <v>47</v>
      </c>
      <c r="AX19" s="13">
        <v>48</v>
      </c>
      <c r="AY19" s="12">
        <v>49</v>
      </c>
      <c r="AZ19" s="149">
        <v>50</v>
      </c>
      <c r="BA19" s="13">
        <v>51</v>
      </c>
      <c r="BB19" s="12">
        <v>52</v>
      </c>
      <c r="BC19" s="12">
        <v>53</v>
      </c>
      <c r="BD19" s="13">
        <v>54</v>
      </c>
      <c r="BE19" s="12">
        <v>55</v>
      </c>
      <c r="BF19" s="130">
        <v>56</v>
      </c>
      <c r="BG19" s="13">
        <v>57</v>
      </c>
      <c r="BH19" s="12">
        <v>58</v>
      </c>
      <c r="BI19" s="12">
        <v>59</v>
      </c>
      <c r="BJ19" s="151">
        <v>60</v>
      </c>
      <c r="BK19" s="12">
        <v>61</v>
      </c>
      <c r="BL19" s="12">
        <v>62</v>
      </c>
      <c r="BM19" s="13">
        <v>63</v>
      </c>
      <c r="BN19" s="12">
        <v>64</v>
      </c>
      <c r="BO19" s="12">
        <v>65</v>
      </c>
      <c r="BP19" s="13">
        <v>66</v>
      </c>
      <c r="BQ19" s="12">
        <v>67</v>
      </c>
      <c r="BR19" s="12">
        <v>68</v>
      </c>
      <c r="BS19" s="13">
        <v>69</v>
      </c>
      <c r="BT19" s="150">
        <v>70</v>
      </c>
      <c r="BU19" s="57"/>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7"/>
      <c r="DT19" s="7"/>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115" t="s">
        <v>2</v>
      </c>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c r="BS20" s="116"/>
      <c r="BT20" s="116"/>
      <c r="BU20" s="157"/>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7"/>
      <c r="DT20" s="7"/>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ht="29" x14ac:dyDescent="0.35">
      <c r="A21" s="3" t="s">
        <v>212</v>
      </c>
      <c r="B21" s="95">
        <f>(((B22+B31)*$B$43)+((B36+B37)*$B$10))*(44/12)</f>
        <v>1701.8099999999997</v>
      </c>
      <c r="C21" s="95">
        <f t="shared" ref="C21:BN21" si="0">(((C22+C31)*$B$43)+((C36+C37)*$B$10))*(44/12)</f>
        <v>1753.6288764958665</v>
      </c>
      <c r="D21" s="95">
        <f t="shared" si="0"/>
        <v>1803.8071559579898</v>
      </c>
      <c r="E21" s="95">
        <f t="shared" si="0"/>
        <v>1853.3807198535999</v>
      </c>
      <c r="F21" s="95">
        <f t="shared" si="0"/>
        <v>1902.5406722817322</v>
      </c>
      <c r="G21" s="95">
        <f>(((G22+G31)*$B$43)+((G36+G37)*$B$10))*(44/12)</f>
        <v>1951.374652334139</v>
      </c>
      <c r="H21" s="95">
        <f t="shared" si="0"/>
        <v>2009.5577793727939</v>
      </c>
      <c r="I21" s="95">
        <f t="shared" si="0"/>
        <v>2067.3999305653069</v>
      </c>
      <c r="J21" s="95">
        <f t="shared" si="0"/>
        <v>2124.953445693382</v>
      </c>
      <c r="K21" s="95">
        <f t="shared" si="0"/>
        <v>2182.2528500346366</v>
      </c>
      <c r="L21" s="95">
        <f t="shared" si="0"/>
        <v>2239.3229440720202</v>
      </c>
      <c r="M21" s="95">
        <f t="shared" si="0"/>
        <v>2296.0146873299459</v>
      </c>
      <c r="N21" s="95">
        <f t="shared" si="0"/>
        <v>2353.8594926935434</v>
      </c>
      <c r="O21" s="95">
        <f t="shared" si="0"/>
        <v>2412.4090795182651</v>
      </c>
      <c r="P21" s="95">
        <f t="shared" si="0"/>
        <v>2471.6654283692783</v>
      </c>
      <c r="Q21" s="95">
        <f t="shared" si="0"/>
        <v>2531.6296945699946</v>
      </c>
      <c r="R21" s="95">
        <f t="shared" si="0"/>
        <v>2590.9165565813764</v>
      </c>
      <c r="S21" s="95">
        <f t="shared" si="0"/>
        <v>2651.3549482667131</v>
      </c>
      <c r="T21" s="95">
        <f t="shared" si="0"/>
        <v>2712.9402360160507</v>
      </c>
      <c r="U21" s="95">
        <f t="shared" si="0"/>
        <v>2775.6684552134216</v>
      </c>
      <c r="V21" s="95">
        <f t="shared" si="0"/>
        <v>2736.6140442972401</v>
      </c>
      <c r="W21" s="95">
        <f t="shared" si="0"/>
        <v>2800.1762106030387</v>
      </c>
      <c r="X21" s="95">
        <f t="shared" si="0"/>
        <v>2865.2984293830523</v>
      </c>
      <c r="Y21" s="95">
        <f t="shared" si="0"/>
        <v>2952.9555697077953</v>
      </c>
      <c r="Z21" s="95">
        <f t="shared" si="0"/>
        <v>3042.0944790504082</v>
      </c>
      <c r="AA21" s="95">
        <f t="shared" si="0"/>
        <v>3133.1481872919799</v>
      </c>
      <c r="AB21" s="95">
        <f t="shared" si="0"/>
        <v>3019.1060223105101</v>
      </c>
      <c r="AC21" s="95">
        <f t="shared" si="0"/>
        <v>3089.3962127302534</v>
      </c>
      <c r="AD21" s="95">
        <f t="shared" si="0"/>
        <v>3159.5331004574723</v>
      </c>
      <c r="AE21" s="95">
        <f t="shared" si="0"/>
        <v>3229.5242319831891</v>
      </c>
      <c r="AF21" s="95">
        <f t="shared" si="0"/>
        <v>3265.5518372543861</v>
      </c>
      <c r="AG21" s="95">
        <f t="shared" si="0"/>
        <v>3325.0575267158988</v>
      </c>
      <c r="AH21" s="95">
        <f t="shared" si="0"/>
        <v>3278.1118544027076</v>
      </c>
      <c r="AI21" s="95">
        <f t="shared" si="0"/>
        <v>3337.4907431980405</v>
      </c>
      <c r="AJ21" s="95">
        <f t="shared" si="0"/>
        <v>3396.7379944421059</v>
      </c>
      <c r="AK21" s="95">
        <f t="shared" si="0"/>
        <v>3455.859122050816</v>
      </c>
      <c r="AL21" s="95">
        <f t="shared" si="0"/>
        <v>3042.0095209464844</v>
      </c>
      <c r="AM21" s="95">
        <f t="shared" si="0"/>
        <v>3094.574867072788</v>
      </c>
      <c r="AN21" s="95">
        <f t="shared" si="0"/>
        <v>3147.0256594691464</v>
      </c>
      <c r="AO21" s="95">
        <f t="shared" si="0"/>
        <v>3199.3660764419733</v>
      </c>
      <c r="AP21" s="95">
        <f t="shared" si="0"/>
        <v>3214.5217667778916</v>
      </c>
      <c r="AQ21" s="95">
        <f t="shared" si="0"/>
        <v>3270.6885187441112</v>
      </c>
      <c r="AR21" s="95">
        <f t="shared" si="0"/>
        <v>3326.7458463734492</v>
      </c>
      <c r="AS21" s="95">
        <f t="shared" si="0"/>
        <v>3382.6975919442521</v>
      </c>
      <c r="AT21" s="95">
        <f t="shared" si="0"/>
        <v>3165.0383348414866</v>
      </c>
      <c r="AU21" s="95">
        <f t="shared" si="0"/>
        <v>3221.0420905671567</v>
      </c>
      <c r="AV21" s="95">
        <f t="shared" si="0"/>
        <v>3278.3627483354135</v>
      </c>
      <c r="AW21" s="95">
        <f t="shared" si="0"/>
        <v>3335.5760446133499</v>
      </c>
      <c r="AX21" s="95">
        <f t="shared" si="0"/>
        <v>3392.6859348594608</v>
      </c>
      <c r="AY21" s="95">
        <f t="shared" si="0"/>
        <v>3449.6960551103775</v>
      </c>
      <c r="AZ21" s="95">
        <f t="shared" si="0"/>
        <v>3469.6285421531852</v>
      </c>
      <c r="BA21" s="95">
        <f t="shared" si="0"/>
        <v>3526.3135550000443</v>
      </c>
      <c r="BB21" s="95">
        <f t="shared" si="0"/>
        <v>3582.9055365987438</v>
      </c>
      <c r="BC21" s="95">
        <f t="shared" si="0"/>
        <v>3639.4074792015713</v>
      </c>
      <c r="BD21" s="95">
        <f t="shared" si="0"/>
        <v>3695.8221681410882</v>
      </c>
      <c r="BE21" s="95">
        <f t="shared" si="0"/>
        <v>3752.1522069526627</v>
      </c>
      <c r="BF21" s="95">
        <f t="shared" si="0"/>
        <v>3414.0998276349569</v>
      </c>
      <c r="BG21" s="95">
        <f t="shared" si="0"/>
        <v>3470.5568274730531</v>
      </c>
      <c r="BH21" s="95">
        <f t="shared" si="0"/>
        <v>3526.9239392677887</v>
      </c>
      <c r="BI21" s="95">
        <f t="shared" si="0"/>
        <v>3576.9586404335678</v>
      </c>
      <c r="BJ21" s="95">
        <f t="shared" si="0"/>
        <v>3626.9181577291902</v>
      </c>
      <c r="BK21" s="95">
        <f t="shared" si="0"/>
        <v>3533.749196455889</v>
      </c>
      <c r="BL21" s="95">
        <f t="shared" si="0"/>
        <v>3578.2319452901502</v>
      </c>
      <c r="BM21" s="95">
        <f t="shared" si="0"/>
        <v>3622.6499420530295</v>
      </c>
      <c r="BN21" s="95">
        <f t="shared" si="0"/>
        <v>3667.0047643378316</v>
      </c>
      <c r="BO21" s="95">
        <f t="shared" ref="BO21:BS21" si="1">(((BO22+BO31)*$B$43)+((BO36+BO37)*$B$10))*(44/12)</f>
        <v>3711.297920034448</v>
      </c>
      <c r="BP21" s="95">
        <f t="shared" si="1"/>
        <v>3755.5308528646351</v>
      </c>
      <c r="BQ21" s="95">
        <f t="shared" si="1"/>
        <v>3788.4017293522502</v>
      </c>
      <c r="BR21" s="95">
        <f t="shared" si="1"/>
        <v>3821.2251080177593</v>
      </c>
      <c r="BS21" s="95">
        <f t="shared" si="1"/>
        <v>3854.0018729957524</v>
      </c>
      <c r="BT21" s="118">
        <f>(((BT22+BT31)*$B$43)+((BT36+BT37)*$B$10))*(44/12)</f>
        <v>3886.7328866433008</v>
      </c>
      <c r="BU21" s="158"/>
      <c r="BV21" s="104"/>
      <c r="BW21" s="104"/>
      <c r="BX21" s="104"/>
      <c r="BY21" s="104"/>
      <c r="BZ21" s="104"/>
      <c r="CA21" s="104"/>
      <c r="CB21" s="104"/>
      <c r="CC21" s="104"/>
      <c r="CD21" s="104"/>
      <c r="CE21" s="104"/>
      <c r="CF21" s="104"/>
      <c r="CG21" s="104"/>
      <c r="CH21" s="104"/>
      <c r="CI21" s="104"/>
      <c r="CJ21" s="104"/>
      <c r="CK21" s="104"/>
      <c r="CL21" s="104"/>
      <c r="CM21" s="104"/>
      <c r="CN21" s="104"/>
      <c r="CO21" s="104"/>
      <c r="CP21" s="104"/>
      <c r="CQ21" s="104"/>
      <c r="CR21" s="104"/>
      <c r="CS21" s="104"/>
      <c r="CT21" s="104"/>
      <c r="CU21" s="104"/>
      <c r="CV21" s="104"/>
      <c r="CW21" s="104"/>
      <c r="CX21" s="104"/>
      <c r="CY21" s="104"/>
      <c r="CZ21" s="104"/>
      <c r="DA21" s="104"/>
      <c r="DB21" s="104"/>
      <c r="DC21" s="104"/>
      <c r="DD21" s="104"/>
      <c r="DE21" s="104"/>
      <c r="DF21" s="104"/>
      <c r="DG21" s="104"/>
      <c r="DH21" s="104"/>
      <c r="DI21" s="104"/>
      <c r="DJ21" s="104"/>
      <c r="DK21" s="104"/>
      <c r="DL21" s="104"/>
      <c r="DM21" s="104"/>
      <c r="DN21" s="104"/>
      <c r="DO21" s="104"/>
      <c r="DP21" s="104"/>
      <c r="DQ21" s="104"/>
      <c r="DR21" s="104"/>
      <c r="DS21" s="7"/>
      <c r="DT21" s="7"/>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ht="29.5" thickBot="1" x14ac:dyDescent="0.4">
      <c r="A22" s="3" t="s">
        <v>211</v>
      </c>
      <c r="B22" s="95">
        <f>SUM(B23,B25,B27,B29)</f>
        <v>0</v>
      </c>
      <c r="C22" s="95">
        <f t="shared" ref="C22:BN22" si="2">SUM(C23,C25,C27,C29)</f>
        <v>14.65550968</v>
      </c>
      <c r="D22" s="95">
        <f t="shared" si="2"/>
        <v>29.31101936</v>
      </c>
      <c r="E22" s="95">
        <f t="shared" si="2"/>
        <v>43.966529039999998</v>
      </c>
      <c r="F22" s="95">
        <f t="shared" si="2"/>
        <v>58.622038719999999</v>
      </c>
      <c r="G22" s="95">
        <f t="shared" si="2"/>
        <v>73.277548399999986</v>
      </c>
      <c r="H22" s="95">
        <f t="shared" si="2"/>
        <v>92.261342880000001</v>
      </c>
      <c r="I22" s="95">
        <f t="shared" si="2"/>
        <v>111.24513736</v>
      </c>
      <c r="J22" s="95">
        <f t="shared" si="2"/>
        <v>130.22893184000003</v>
      </c>
      <c r="K22" s="95">
        <f t="shared" si="2"/>
        <v>149.21272632</v>
      </c>
      <c r="L22" s="95">
        <f t="shared" si="2"/>
        <v>168.1965208</v>
      </c>
      <c r="M22" s="95">
        <f t="shared" si="2"/>
        <v>187.10302448000002</v>
      </c>
      <c r="N22" s="95">
        <f t="shared" si="2"/>
        <v>206.60273376000001</v>
      </c>
      <c r="O22" s="95">
        <f t="shared" si="2"/>
        <v>226.49791343999999</v>
      </c>
      <c r="P22" s="95">
        <f t="shared" si="2"/>
        <v>246.78856351999997</v>
      </c>
      <c r="Q22" s="95">
        <f t="shared" si="2"/>
        <v>267.47468399999997</v>
      </c>
      <c r="R22" s="95">
        <f t="shared" si="2"/>
        <v>287.9038112799999</v>
      </c>
      <c r="S22" s="95">
        <f t="shared" si="2"/>
        <v>308.92614415999998</v>
      </c>
      <c r="T22" s="95">
        <f t="shared" si="2"/>
        <v>330.54168263999998</v>
      </c>
      <c r="U22" s="95">
        <f t="shared" si="2"/>
        <v>352.75042671999995</v>
      </c>
      <c r="V22" s="95">
        <f t="shared" si="2"/>
        <v>327.92964199999989</v>
      </c>
      <c r="W22" s="95">
        <f t="shared" si="2"/>
        <v>350.57742087999998</v>
      </c>
      <c r="X22" s="95">
        <f t="shared" si="2"/>
        <v>374.01614056</v>
      </c>
      <c r="Y22" s="95">
        <f t="shared" si="2"/>
        <v>408.06945799999994</v>
      </c>
      <c r="Z22" s="95">
        <f t="shared" si="2"/>
        <v>442.91371623999999</v>
      </c>
      <c r="AA22" s="95">
        <f t="shared" si="2"/>
        <v>478.74665047999997</v>
      </c>
      <c r="AB22" s="95">
        <f t="shared" si="2"/>
        <v>422.12195488000003</v>
      </c>
      <c r="AC22" s="95">
        <f t="shared" si="2"/>
        <v>448.54604328000005</v>
      </c>
      <c r="AD22" s="95">
        <f t="shared" si="2"/>
        <v>474.97013168000007</v>
      </c>
      <c r="AE22" s="95">
        <f t="shared" si="2"/>
        <v>501.39422008000003</v>
      </c>
      <c r="AF22" s="95">
        <f t="shared" si="2"/>
        <v>512.51470847999997</v>
      </c>
      <c r="AG22" s="95">
        <f t="shared" si="2"/>
        <v>538.76925088000007</v>
      </c>
      <c r="AH22" s="95">
        <f t="shared" si="2"/>
        <v>514.54111168000009</v>
      </c>
      <c r="AI22" s="95">
        <f t="shared" si="2"/>
        <v>540.79565408000008</v>
      </c>
      <c r="AJ22" s="95">
        <f t="shared" si="2"/>
        <v>567.05019648000007</v>
      </c>
      <c r="AK22" s="95">
        <f>SUM(AK23,AK25,AK27,AK29)</f>
        <v>593.30473888000017</v>
      </c>
      <c r="AL22" s="132">
        <f t="shared" si="2"/>
        <v>401.72696927999993</v>
      </c>
      <c r="AM22" s="132">
        <f t="shared" si="2"/>
        <v>425.01762367999999</v>
      </c>
      <c r="AN22" s="132">
        <f t="shared" si="2"/>
        <v>448.30827807999992</v>
      </c>
      <c r="AO22" s="132">
        <f t="shared" si="2"/>
        <v>471.59893248000003</v>
      </c>
      <c r="AP22" s="132">
        <f t="shared" si="2"/>
        <v>478.05562687999992</v>
      </c>
      <c r="AQ22" s="132">
        <f t="shared" si="2"/>
        <v>503.25643679999996</v>
      </c>
      <c r="AR22" s="132">
        <f t="shared" si="2"/>
        <v>528.45724671999983</v>
      </c>
      <c r="AS22" s="132">
        <f t="shared" si="2"/>
        <v>553.65805663999981</v>
      </c>
      <c r="AT22" s="132">
        <f t="shared" si="2"/>
        <v>447.87677375999982</v>
      </c>
      <c r="AU22" s="132">
        <f t="shared" si="2"/>
        <v>473.0775836799998</v>
      </c>
      <c r="AV22" s="132">
        <f t="shared" si="2"/>
        <v>498.96059199999979</v>
      </c>
      <c r="AW22" s="132">
        <f t="shared" si="2"/>
        <v>524.84360031999984</v>
      </c>
      <c r="AX22" s="132">
        <f t="shared" si="2"/>
        <v>550.72660863999965</v>
      </c>
      <c r="AY22" s="132">
        <f t="shared" si="2"/>
        <v>576.6096169599997</v>
      </c>
      <c r="AZ22" s="132">
        <f t="shared" si="2"/>
        <v>585.6586652799997</v>
      </c>
      <c r="BA22" s="132">
        <f t="shared" si="2"/>
        <v>611.43842655999981</v>
      </c>
      <c r="BB22" s="132">
        <f t="shared" si="2"/>
        <v>637.21818783999981</v>
      </c>
      <c r="BC22" s="132">
        <f t="shared" si="2"/>
        <v>662.99794911999982</v>
      </c>
      <c r="BD22" s="132">
        <f t="shared" si="2"/>
        <v>688.77771039999982</v>
      </c>
      <c r="BE22" s="132">
        <f t="shared" si="2"/>
        <v>714.55747167999982</v>
      </c>
      <c r="BF22" s="132">
        <f t="shared" si="2"/>
        <v>550.68607775999988</v>
      </c>
      <c r="BG22" s="132">
        <f t="shared" si="2"/>
        <v>576.46583903999999</v>
      </c>
      <c r="BH22" s="132">
        <f t="shared" si="2"/>
        <v>602.24560031999999</v>
      </c>
      <c r="BI22" s="132">
        <f t="shared" si="2"/>
        <v>625.02368863999982</v>
      </c>
      <c r="BJ22" s="132">
        <f t="shared" si="2"/>
        <v>647.80177695999998</v>
      </c>
      <c r="BK22" s="95">
        <f t="shared" si="2"/>
        <v>606.61081727999988</v>
      </c>
      <c r="BL22" s="95">
        <f t="shared" si="2"/>
        <v>626.94032959999993</v>
      </c>
      <c r="BM22" s="95">
        <f t="shared" si="2"/>
        <v>647.26984191999975</v>
      </c>
      <c r="BN22" s="95">
        <f t="shared" si="2"/>
        <v>667.5993542399998</v>
      </c>
      <c r="BO22" s="95">
        <f t="shared" ref="BO22:BS22" si="3">SUM(BO23,BO25,BO27,BO29)</f>
        <v>687.92886655999962</v>
      </c>
      <c r="BP22" s="95">
        <f t="shared" si="3"/>
        <v>708.2583788799999</v>
      </c>
      <c r="BQ22" s="95">
        <f t="shared" si="3"/>
        <v>723.1303039999998</v>
      </c>
      <c r="BR22" s="95">
        <f t="shared" si="3"/>
        <v>738.00222911999981</v>
      </c>
      <c r="BS22" s="95">
        <f t="shared" si="3"/>
        <v>752.87415423999983</v>
      </c>
      <c r="BT22" s="118">
        <f>SUM(BT23,BT25,BT27,BT29)</f>
        <v>767.74607935999973</v>
      </c>
      <c r="BU22" s="158"/>
      <c r="BV22" s="104"/>
      <c r="BW22" s="104"/>
      <c r="BX22" s="104"/>
      <c r="BY22" s="104"/>
      <c r="BZ22" s="104"/>
      <c r="CA22" s="104"/>
      <c r="CB22" s="104"/>
      <c r="CC22" s="104"/>
      <c r="CD22" s="104"/>
      <c r="CE22" s="104"/>
      <c r="CF22" s="104"/>
      <c r="CG22" s="104"/>
      <c r="CH22" s="104"/>
      <c r="CI22" s="104"/>
      <c r="CJ22" s="104"/>
      <c r="CK22" s="104"/>
      <c r="CL22" s="104"/>
      <c r="CM22" s="104"/>
      <c r="CN22" s="104"/>
      <c r="CO22" s="104"/>
      <c r="CP22" s="104"/>
      <c r="CQ22" s="104"/>
      <c r="CR22" s="104"/>
      <c r="CS22" s="104"/>
      <c r="CT22" s="104"/>
      <c r="CU22" s="104"/>
      <c r="CV22" s="104"/>
      <c r="CW22" s="104"/>
      <c r="CX22" s="104"/>
      <c r="CY22" s="104"/>
      <c r="CZ22" s="104"/>
      <c r="DA22" s="104"/>
      <c r="DB22" s="104"/>
      <c r="DC22" s="104"/>
      <c r="DD22" s="104"/>
      <c r="DE22" s="104"/>
      <c r="DF22" s="104"/>
      <c r="DG22" s="104"/>
      <c r="DH22" s="104"/>
      <c r="DI22" s="104"/>
      <c r="DJ22" s="104"/>
      <c r="DK22" s="104"/>
      <c r="DL22" s="104"/>
      <c r="DM22" s="104"/>
      <c r="DN22" s="104"/>
      <c r="DO22" s="104"/>
      <c r="DP22" s="104"/>
      <c r="DQ22" s="104"/>
      <c r="DR22" s="104"/>
      <c r="DS22" s="7"/>
      <c r="DT22" s="7"/>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ht="29" x14ac:dyDescent="0.35">
      <c r="A23" s="167" t="s">
        <v>203</v>
      </c>
      <c r="B23" s="95">
        <f>B24*1.3326*0.58</f>
        <v>0</v>
      </c>
      <c r="C23" s="95">
        <f t="shared" ref="C23:AK23" si="4">C24*1.3326*0.58</f>
        <v>4.2509939999999995</v>
      </c>
      <c r="D23" s="95">
        <f t="shared" si="4"/>
        <v>8.501987999999999</v>
      </c>
      <c r="E23" s="95">
        <f t="shared" si="4"/>
        <v>12.752981999999999</v>
      </c>
      <c r="F23" s="95">
        <f t="shared" si="4"/>
        <v>17.003975999999998</v>
      </c>
      <c r="G23" s="95">
        <f t="shared" si="4"/>
        <v>21.25497</v>
      </c>
      <c r="H23" s="95">
        <f t="shared" si="4"/>
        <v>29.834248800000001</v>
      </c>
      <c r="I23" s="95">
        <f t="shared" si="4"/>
        <v>38.413527600000002</v>
      </c>
      <c r="J23" s="95">
        <f t="shared" si="4"/>
        <v>46.992806399999999</v>
      </c>
      <c r="K23" s="95">
        <f>K24*1.3326*0.58</f>
        <v>55.572085199999997</v>
      </c>
      <c r="L23" s="95">
        <f t="shared" si="4"/>
        <v>64.151364000000001</v>
      </c>
      <c r="M23" s="95">
        <f t="shared" si="4"/>
        <v>72.653351999999998</v>
      </c>
      <c r="N23" s="95">
        <f t="shared" si="4"/>
        <v>81.155339999999995</v>
      </c>
      <c r="O23" s="95">
        <f t="shared" si="4"/>
        <v>89.657327999999993</v>
      </c>
      <c r="P23" s="95">
        <f t="shared" si="4"/>
        <v>98.15931599999999</v>
      </c>
      <c r="Q23" s="95">
        <f>Q24*1.3326*0.58</f>
        <v>106.66130399999999</v>
      </c>
      <c r="R23" s="95">
        <f t="shared" si="4"/>
        <v>114.3130932</v>
      </c>
      <c r="S23" s="95">
        <f t="shared" si="4"/>
        <v>121.96488240000001</v>
      </c>
      <c r="T23" s="95">
        <f t="shared" si="4"/>
        <v>129.61667159999999</v>
      </c>
      <c r="U23" s="95">
        <f t="shared" si="4"/>
        <v>137.26846080000001</v>
      </c>
      <c r="V23" s="95">
        <f t="shared" si="4"/>
        <v>134.09953800000002</v>
      </c>
      <c r="W23" s="95">
        <f t="shared" si="4"/>
        <v>140.5919652</v>
      </c>
      <c r="X23" s="95">
        <f t="shared" si="4"/>
        <v>147.08439240000004</v>
      </c>
      <c r="Y23" s="95">
        <f t="shared" si="4"/>
        <v>153.57681960000002</v>
      </c>
      <c r="Z23" s="95">
        <f t="shared" si="4"/>
        <v>160.06924680000003</v>
      </c>
      <c r="AA23" s="95">
        <f t="shared" si="4"/>
        <v>166.56167400000001</v>
      </c>
      <c r="AB23" s="95">
        <f t="shared" si="4"/>
        <v>171.89473920000003</v>
      </c>
      <c r="AC23" s="95">
        <f t="shared" si="4"/>
        <v>177.22780440000005</v>
      </c>
      <c r="AD23" s="95">
        <f t="shared" si="4"/>
        <v>182.56086960000005</v>
      </c>
      <c r="AE23" s="95">
        <f t="shared" si="4"/>
        <v>187.89393480000007</v>
      </c>
      <c r="AF23" s="95">
        <f t="shared" si="4"/>
        <v>193.22700000000003</v>
      </c>
      <c r="AG23" s="95">
        <f t="shared" si="4"/>
        <v>197.55528480000004</v>
      </c>
      <c r="AH23" s="95">
        <f t="shared" si="4"/>
        <v>201.88356960000007</v>
      </c>
      <c r="AI23" s="95">
        <f t="shared" si="4"/>
        <v>206.21185440000011</v>
      </c>
      <c r="AJ23" s="95">
        <f t="shared" si="4"/>
        <v>210.54013920000008</v>
      </c>
      <c r="AK23" s="118">
        <f t="shared" si="4"/>
        <v>214.86842400000012</v>
      </c>
      <c r="AL23" s="159"/>
      <c r="AM23" s="160"/>
      <c r="AN23" s="160"/>
      <c r="AO23" s="160"/>
      <c r="AP23" s="160"/>
      <c r="AQ23" s="160"/>
      <c r="AR23" s="160"/>
      <c r="AS23" s="160"/>
      <c r="AT23" s="160"/>
      <c r="AU23" s="160"/>
      <c r="AV23" s="160"/>
      <c r="AW23" s="160"/>
      <c r="AX23" s="160"/>
      <c r="AY23" s="160"/>
      <c r="AZ23" s="160"/>
      <c r="BA23" s="160"/>
      <c r="BB23" s="160"/>
      <c r="BC23" s="160"/>
      <c r="BD23" s="160"/>
      <c r="BE23" s="160"/>
      <c r="BF23" s="160"/>
      <c r="BG23" s="160"/>
      <c r="BH23" s="160"/>
      <c r="BI23" s="160"/>
      <c r="BJ23" s="160"/>
      <c r="BK23" s="126"/>
      <c r="BL23" s="126"/>
      <c r="BM23" s="126"/>
      <c r="BN23" s="126"/>
      <c r="BO23" s="126"/>
      <c r="BP23" s="126"/>
      <c r="BQ23" s="126"/>
      <c r="BR23" s="126"/>
      <c r="BS23" s="126"/>
      <c r="BT23" s="126"/>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7"/>
      <c r="DT23" s="7"/>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ht="15" thickBot="1" x14ac:dyDescent="0.4">
      <c r="A24" s="167" t="s">
        <v>194</v>
      </c>
      <c r="B24" s="93">
        <v>0</v>
      </c>
      <c r="C24" s="93">
        <f>B24+5.5</f>
        <v>5.5</v>
      </c>
      <c r="D24" s="93">
        <f t="shared" ref="D24:G24" si="5">C24+5.5</f>
        <v>11</v>
      </c>
      <c r="E24" s="93">
        <f t="shared" si="5"/>
        <v>16.5</v>
      </c>
      <c r="F24" s="93">
        <f t="shared" si="5"/>
        <v>22</v>
      </c>
      <c r="G24" s="93">
        <f t="shared" si="5"/>
        <v>27.5</v>
      </c>
      <c r="H24" s="93">
        <f>G24+11.1</f>
        <v>38.6</v>
      </c>
      <c r="I24" s="93">
        <f t="shared" ref="I24:L24" si="6">H24+11.1</f>
        <v>49.7</v>
      </c>
      <c r="J24" s="93">
        <f t="shared" si="6"/>
        <v>60.800000000000004</v>
      </c>
      <c r="K24" s="93">
        <f t="shared" si="6"/>
        <v>71.900000000000006</v>
      </c>
      <c r="L24" s="93">
        <f t="shared" si="6"/>
        <v>83</v>
      </c>
      <c r="M24" s="93">
        <f>L24+11</f>
        <v>94</v>
      </c>
      <c r="N24" s="93">
        <f t="shared" ref="N24:Q24" si="7">M24+11</f>
        <v>105</v>
      </c>
      <c r="O24" s="93">
        <f t="shared" si="7"/>
        <v>116</v>
      </c>
      <c r="P24" s="93">
        <f t="shared" si="7"/>
        <v>127</v>
      </c>
      <c r="Q24" s="93">
        <f t="shared" si="7"/>
        <v>138</v>
      </c>
      <c r="R24" s="93">
        <f>Q24+9.9</f>
        <v>147.9</v>
      </c>
      <c r="S24" s="93">
        <f t="shared" ref="S24:U24" si="8">R24+9.9</f>
        <v>157.80000000000001</v>
      </c>
      <c r="T24" s="93">
        <f t="shared" si="8"/>
        <v>167.70000000000002</v>
      </c>
      <c r="U24" s="93">
        <f t="shared" si="8"/>
        <v>177.60000000000002</v>
      </c>
      <c r="V24" s="93">
        <f>U24+9.9-14</f>
        <v>173.50000000000003</v>
      </c>
      <c r="W24" s="93">
        <f>V24+8.4</f>
        <v>181.90000000000003</v>
      </c>
      <c r="X24" s="93">
        <f t="shared" ref="X24:AA24" si="9">W24+8.4</f>
        <v>190.30000000000004</v>
      </c>
      <c r="Y24" s="93">
        <f t="shared" si="9"/>
        <v>198.70000000000005</v>
      </c>
      <c r="Z24" s="93">
        <f t="shared" si="9"/>
        <v>207.10000000000005</v>
      </c>
      <c r="AA24" s="93">
        <f t="shared" si="9"/>
        <v>215.50000000000006</v>
      </c>
      <c r="AB24" s="93">
        <f>AA24+6.9</f>
        <v>222.40000000000006</v>
      </c>
      <c r="AC24" s="93">
        <f t="shared" ref="AC24:AF24" si="10">AB24+6.9</f>
        <v>229.30000000000007</v>
      </c>
      <c r="AD24" s="93">
        <f t="shared" si="10"/>
        <v>236.20000000000007</v>
      </c>
      <c r="AE24" s="93">
        <f t="shared" si="10"/>
        <v>243.10000000000008</v>
      </c>
      <c r="AF24" s="93">
        <f t="shared" si="10"/>
        <v>250.00000000000009</v>
      </c>
      <c r="AG24" s="93">
        <f>AF24+5.6</f>
        <v>255.60000000000008</v>
      </c>
      <c r="AH24" s="93">
        <f t="shared" ref="AH24:AK24" si="11">AG24+5.6</f>
        <v>261.2000000000001</v>
      </c>
      <c r="AI24" s="93">
        <f t="shared" si="11"/>
        <v>266.80000000000013</v>
      </c>
      <c r="AJ24" s="93">
        <f t="shared" si="11"/>
        <v>272.40000000000015</v>
      </c>
      <c r="AK24" s="94">
        <f t="shared" si="11"/>
        <v>278.00000000000017</v>
      </c>
      <c r="AL24" s="57"/>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row>
    <row r="25" spans="1:177" ht="29" x14ac:dyDescent="0.35">
      <c r="A25" s="168" t="s">
        <v>204</v>
      </c>
      <c r="B25" s="95">
        <f>B26*3.8026*0.52</f>
        <v>0</v>
      </c>
      <c r="C25" s="95">
        <f t="shared" ref="C25:Z25" si="12">C26*3.8026*0.52</f>
        <v>0.988676</v>
      </c>
      <c r="D25" s="95">
        <f t="shared" si="12"/>
        <v>1.977352</v>
      </c>
      <c r="E25" s="95">
        <f t="shared" si="12"/>
        <v>2.9660280000000001</v>
      </c>
      <c r="F25" s="95">
        <f t="shared" si="12"/>
        <v>3.954704</v>
      </c>
      <c r="G25" s="95">
        <f t="shared" si="12"/>
        <v>4.9433799999999994</v>
      </c>
      <c r="H25" s="95">
        <f t="shared" si="12"/>
        <v>5.9320560000000002</v>
      </c>
      <c r="I25" s="95">
        <f t="shared" si="12"/>
        <v>6.920732000000001</v>
      </c>
      <c r="J25" s="95">
        <f t="shared" si="12"/>
        <v>7.909408</v>
      </c>
      <c r="K25" s="95">
        <f t="shared" si="12"/>
        <v>8.898083999999999</v>
      </c>
      <c r="L25" s="95">
        <f t="shared" si="12"/>
        <v>9.8867599999999989</v>
      </c>
      <c r="M25" s="95">
        <f t="shared" si="12"/>
        <v>10.875436000000001</v>
      </c>
      <c r="N25" s="95">
        <f t="shared" si="12"/>
        <v>12.4573176</v>
      </c>
      <c r="O25" s="95">
        <f t="shared" si="12"/>
        <v>14.434669599999999</v>
      </c>
      <c r="P25" s="95">
        <f t="shared" si="12"/>
        <v>16.807492</v>
      </c>
      <c r="Q25" s="95">
        <f t="shared" si="12"/>
        <v>19.575784800000001</v>
      </c>
      <c r="R25" s="95">
        <f t="shared" si="12"/>
        <v>22.9372832</v>
      </c>
      <c r="S25" s="95">
        <f t="shared" si="12"/>
        <v>26.891987199999999</v>
      </c>
      <c r="T25" s="95">
        <f t="shared" si="12"/>
        <v>31.439896799999996</v>
      </c>
      <c r="U25" s="95">
        <f t="shared" si="12"/>
        <v>36.581012000000001</v>
      </c>
      <c r="V25" s="95">
        <f t="shared" si="12"/>
        <v>42.315332799999993</v>
      </c>
      <c r="W25" s="95">
        <f t="shared" si="12"/>
        <v>48.840594400000001</v>
      </c>
      <c r="X25" s="95">
        <f t="shared" si="12"/>
        <v>56.156796799999995</v>
      </c>
      <c r="Y25" s="95">
        <f t="shared" si="12"/>
        <v>64.263940000000005</v>
      </c>
      <c r="Z25" s="95">
        <f t="shared" si="12"/>
        <v>73.162024000000002</v>
      </c>
      <c r="AA25" s="95">
        <f>AA26*3.8026*0.52</f>
        <v>83.048784000000012</v>
      </c>
      <c r="AB25" s="125"/>
      <c r="AC25" s="126"/>
      <c r="AD25" s="126"/>
      <c r="AE25" s="126"/>
      <c r="AF25" s="126"/>
      <c r="AG25" s="126"/>
      <c r="AH25" s="126"/>
      <c r="AI25" s="126"/>
      <c r="AJ25" s="126"/>
      <c r="AK25" s="126"/>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7"/>
      <c r="DT25" s="7"/>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row>
    <row r="26" spans="1:177" ht="15" thickBot="1" x14ac:dyDescent="0.4">
      <c r="A26" s="168" t="s">
        <v>205</v>
      </c>
      <c r="B26" s="93">
        <v>0</v>
      </c>
      <c r="C26" s="93">
        <f>B26+0.5</f>
        <v>0.5</v>
      </c>
      <c r="D26" s="93">
        <f t="shared" ref="D26:M26" si="13">C26+0.5</f>
        <v>1</v>
      </c>
      <c r="E26" s="93">
        <f t="shared" si="13"/>
        <v>1.5</v>
      </c>
      <c r="F26" s="93">
        <f t="shared" si="13"/>
        <v>2</v>
      </c>
      <c r="G26" s="93">
        <f t="shared" si="13"/>
        <v>2.5</v>
      </c>
      <c r="H26" s="93">
        <f t="shared" si="13"/>
        <v>3</v>
      </c>
      <c r="I26" s="93">
        <f t="shared" si="13"/>
        <v>3.5</v>
      </c>
      <c r="J26" s="93">
        <f t="shared" si="13"/>
        <v>4</v>
      </c>
      <c r="K26" s="93">
        <f t="shared" si="13"/>
        <v>4.5</v>
      </c>
      <c r="L26" s="93">
        <f t="shared" si="13"/>
        <v>5</v>
      </c>
      <c r="M26" s="93">
        <f t="shared" si="13"/>
        <v>5.5</v>
      </c>
      <c r="N26" s="93">
        <f>M26+0.8</f>
        <v>6.3</v>
      </c>
      <c r="O26" s="93">
        <f>N26+1</f>
        <v>7.3</v>
      </c>
      <c r="P26" s="93">
        <f>O26+1.2</f>
        <v>8.5</v>
      </c>
      <c r="Q26" s="93">
        <f>P26+1.4</f>
        <v>9.9</v>
      </c>
      <c r="R26" s="93">
        <f>Q26+1.7</f>
        <v>11.6</v>
      </c>
      <c r="S26" s="93">
        <f>R26+2</f>
        <v>13.6</v>
      </c>
      <c r="T26" s="93">
        <f>S26+2.3</f>
        <v>15.899999999999999</v>
      </c>
      <c r="U26" s="93">
        <f>T26+2.6</f>
        <v>18.5</v>
      </c>
      <c r="V26" s="93">
        <f>U26+2.9</f>
        <v>21.4</v>
      </c>
      <c r="W26" s="93">
        <f>V26+3.3</f>
        <v>24.7</v>
      </c>
      <c r="X26" s="93">
        <f>W26+3.7</f>
        <v>28.4</v>
      </c>
      <c r="Y26" s="93">
        <f>X26+4.1</f>
        <v>32.5</v>
      </c>
      <c r="Z26" s="93">
        <f>Y26+4.5</f>
        <v>37</v>
      </c>
      <c r="AA26" s="93">
        <f>Z26+5</f>
        <v>42</v>
      </c>
      <c r="AB26" s="127"/>
      <c r="AC26" s="128"/>
      <c r="AD26" s="128"/>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c r="BH26" s="128"/>
      <c r="BI26" s="128"/>
      <c r="BJ26" s="128"/>
      <c r="BK26" s="128"/>
      <c r="BL26" s="128"/>
      <c r="BM26" s="128"/>
      <c r="BN26" s="128"/>
      <c r="BO26" s="128"/>
      <c r="BP26" s="128"/>
      <c r="BQ26" s="128"/>
      <c r="BR26" s="128"/>
      <c r="BS26" s="128"/>
      <c r="BT26" s="128"/>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row>
    <row r="27" spans="1:177" ht="29" x14ac:dyDescent="0.35">
      <c r="A27" s="163" t="s">
        <v>206</v>
      </c>
      <c r="B27" s="95">
        <f>B28*2.2816*1.3*0.46</f>
        <v>0</v>
      </c>
      <c r="C27" s="95">
        <f t="shared" ref="C27:BN27" si="14">C28*2.2816*1.3*0.46</f>
        <v>7.64062208</v>
      </c>
      <c r="D27" s="95">
        <f t="shared" si="14"/>
        <v>15.28124416</v>
      </c>
      <c r="E27" s="95">
        <f t="shared" si="14"/>
        <v>22.921866239999996</v>
      </c>
      <c r="F27" s="95">
        <f t="shared" si="14"/>
        <v>30.56248832</v>
      </c>
      <c r="G27" s="95">
        <f t="shared" si="14"/>
        <v>38.2031104</v>
      </c>
      <c r="H27" s="95">
        <f t="shared" si="14"/>
        <v>45.843732480000007</v>
      </c>
      <c r="I27" s="95">
        <f t="shared" si="14"/>
        <v>53.484354560000007</v>
      </c>
      <c r="J27" s="95">
        <f t="shared" si="14"/>
        <v>61.124976640000014</v>
      </c>
      <c r="K27" s="95">
        <f t="shared" si="14"/>
        <v>68.765598720000014</v>
      </c>
      <c r="L27" s="95">
        <f t="shared" si="14"/>
        <v>76.406220800000014</v>
      </c>
      <c r="M27" s="95">
        <f t="shared" si="14"/>
        <v>84.046842880000028</v>
      </c>
      <c r="N27" s="95">
        <f t="shared" si="14"/>
        <v>91.687464960000014</v>
      </c>
      <c r="O27" s="95">
        <f t="shared" si="14"/>
        <v>99.328087040000014</v>
      </c>
      <c r="P27" s="95">
        <f t="shared" si="14"/>
        <v>106.96870911999999</v>
      </c>
      <c r="Q27" s="95">
        <f t="shared" si="14"/>
        <v>114.6093312</v>
      </c>
      <c r="R27" s="95">
        <f t="shared" si="14"/>
        <v>122.24995327999997</v>
      </c>
      <c r="S27" s="95">
        <f t="shared" si="14"/>
        <v>129.89057535999999</v>
      </c>
      <c r="T27" s="95">
        <f t="shared" si="14"/>
        <v>137.53119743999997</v>
      </c>
      <c r="U27" s="95">
        <f t="shared" si="14"/>
        <v>145.17181951999999</v>
      </c>
      <c r="V27" s="95">
        <f t="shared" si="14"/>
        <v>128.25329919999993</v>
      </c>
      <c r="W27" s="95">
        <f t="shared" si="14"/>
        <v>135.89392127999994</v>
      </c>
      <c r="X27" s="95">
        <f t="shared" si="14"/>
        <v>143.53454335999996</v>
      </c>
      <c r="Y27" s="95">
        <f t="shared" si="14"/>
        <v>160.99882239999991</v>
      </c>
      <c r="Z27" s="95">
        <f t="shared" si="14"/>
        <v>178.46310143999997</v>
      </c>
      <c r="AA27" s="95">
        <f t="shared" si="14"/>
        <v>195.92738048000001</v>
      </c>
      <c r="AB27" s="95">
        <f t="shared" si="14"/>
        <v>215.02893567999999</v>
      </c>
      <c r="AC27" s="95">
        <f t="shared" si="14"/>
        <v>234.13049088</v>
      </c>
      <c r="AD27" s="95">
        <f t="shared" si="14"/>
        <v>253.23204608000003</v>
      </c>
      <c r="AE27" s="95">
        <f t="shared" si="14"/>
        <v>272.33360127999998</v>
      </c>
      <c r="AF27" s="95">
        <f t="shared" si="14"/>
        <v>291.43515647999999</v>
      </c>
      <c r="AG27" s="95">
        <f t="shared" si="14"/>
        <v>311.21891008</v>
      </c>
      <c r="AH27" s="95">
        <f t="shared" si="14"/>
        <v>280.51998207999998</v>
      </c>
      <c r="AI27" s="95">
        <f t="shared" si="14"/>
        <v>300.30373567999999</v>
      </c>
      <c r="AJ27" s="95">
        <f t="shared" si="14"/>
        <v>320.08748928</v>
      </c>
      <c r="AK27" s="95">
        <f t="shared" si="14"/>
        <v>339.87124288000001</v>
      </c>
      <c r="AL27" s="95">
        <f t="shared" si="14"/>
        <v>361.01939327999997</v>
      </c>
      <c r="AM27" s="95">
        <f>AM28*2.2816*1.3*0.46</f>
        <v>382.16754367999999</v>
      </c>
      <c r="AN27" s="95">
        <f t="shared" si="14"/>
        <v>403.31569407999996</v>
      </c>
      <c r="AO27" s="95">
        <f t="shared" si="14"/>
        <v>424.46384448000003</v>
      </c>
      <c r="AP27" s="95">
        <f t="shared" si="14"/>
        <v>445.61199487999994</v>
      </c>
      <c r="AQ27" s="95">
        <f t="shared" si="14"/>
        <v>468.67030079999995</v>
      </c>
      <c r="AR27" s="95">
        <f t="shared" si="14"/>
        <v>491.7286067199999</v>
      </c>
      <c r="AS27" s="95">
        <f t="shared" si="14"/>
        <v>514.78691263999985</v>
      </c>
      <c r="AT27" s="95">
        <f t="shared" si="14"/>
        <v>406.86312575999983</v>
      </c>
      <c r="AU27" s="95">
        <f t="shared" si="14"/>
        <v>429.92143167999984</v>
      </c>
      <c r="AV27" s="95">
        <f t="shared" si="14"/>
        <v>453.6619359999998</v>
      </c>
      <c r="AW27" s="95">
        <f t="shared" si="14"/>
        <v>477.40244031999981</v>
      </c>
      <c r="AX27" s="95">
        <f t="shared" si="14"/>
        <v>501.14294463999971</v>
      </c>
      <c r="AY27" s="95">
        <f t="shared" si="14"/>
        <v>524.88344895999967</v>
      </c>
      <c r="AZ27" s="95">
        <f t="shared" si="14"/>
        <v>548.62395327999968</v>
      </c>
      <c r="BA27" s="95">
        <f t="shared" si="14"/>
        <v>571.9551385599998</v>
      </c>
      <c r="BB27" s="95">
        <f t="shared" si="14"/>
        <v>595.2863238399998</v>
      </c>
      <c r="BC27" s="95">
        <f t="shared" si="14"/>
        <v>618.6175091199998</v>
      </c>
      <c r="BD27" s="95">
        <f t="shared" si="14"/>
        <v>641.94869439999979</v>
      </c>
      <c r="BE27" s="95">
        <f t="shared" si="14"/>
        <v>665.27987967999979</v>
      </c>
      <c r="BF27" s="95">
        <f t="shared" si="14"/>
        <v>498.9599097599999</v>
      </c>
      <c r="BG27" s="95">
        <f t="shared" si="14"/>
        <v>522.29109503999996</v>
      </c>
      <c r="BH27" s="95">
        <f t="shared" si="14"/>
        <v>545.62228031999996</v>
      </c>
      <c r="BI27" s="95">
        <f t="shared" si="14"/>
        <v>565.95179263999989</v>
      </c>
      <c r="BJ27" s="95">
        <f t="shared" si="14"/>
        <v>586.28130495999994</v>
      </c>
      <c r="BK27" s="95">
        <f t="shared" si="14"/>
        <v>606.61081727999988</v>
      </c>
      <c r="BL27" s="95">
        <f t="shared" si="14"/>
        <v>626.94032959999993</v>
      </c>
      <c r="BM27" s="95">
        <f t="shared" si="14"/>
        <v>647.26984191999975</v>
      </c>
      <c r="BN27" s="95">
        <f t="shared" si="14"/>
        <v>667.5993542399998</v>
      </c>
      <c r="BO27" s="95">
        <f t="shared" ref="BO27:BT27" si="15">BO28*2.2816*1.3*0.46</f>
        <v>687.92886655999962</v>
      </c>
      <c r="BP27" s="95">
        <f t="shared" si="15"/>
        <v>708.2583788799999</v>
      </c>
      <c r="BQ27" s="95">
        <f t="shared" si="15"/>
        <v>723.1303039999998</v>
      </c>
      <c r="BR27" s="95">
        <f t="shared" si="15"/>
        <v>738.00222911999981</v>
      </c>
      <c r="BS27" s="95">
        <f t="shared" si="15"/>
        <v>752.87415423999983</v>
      </c>
      <c r="BT27" s="118">
        <f t="shared" si="15"/>
        <v>767.74607935999973</v>
      </c>
      <c r="BU27" s="158"/>
      <c r="BV27" s="104"/>
      <c r="BW27" s="104"/>
      <c r="BX27" s="104"/>
      <c r="BY27" s="104"/>
      <c r="BZ27" s="104"/>
      <c r="CA27" s="104"/>
      <c r="CB27" s="104"/>
      <c r="CC27" s="104"/>
      <c r="CD27" s="104"/>
      <c r="CE27" s="104"/>
      <c r="CF27" s="104"/>
      <c r="CG27" s="104"/>
      <c r="CH27" s="104"/>
      <c r="CI27" s="104"/>
      <c r="CJ27" s="104"/>
      <c r="CK27" s="104"/>
      <c r="CL27" s="104"/>
      <c r="CM27" s="104"/>
      <c r="CN27" s="104"/>
      <c r="CO27" s="104"/>
      <c r="CP27" s="104"/>
      <c r="CQ27" s="104"/>
      <c r="CR27" s="104"/>
      <c r="CS27" s="104"/>
      <c r="CT27" s="104"/>
      <c r="CU27" s="104"/>
      <c r="CV27" s="104"/>
      <c r="CW27" s="104"/>
      <c r="CX27" s="104"/>
      <c r="CY27" s="104"/>
      <c r="CZ27" s="104"/>
      <c r="DA27" s="104"/>
      <c r="DB27" s="104"/>
      <c r="DC27" s="104"/>
      <c r="DD27" s="104"/>
      <c r="DE27" s="104"/>
      <c r="DF27" s="104"/>
      <c r="DG27" s="104"/>
      <c r="DH27" s="104"/>
      <c r="DI27" s="104"/>
      <c r="DJ27" s="104"/>
      <c r="DK27" s="104"/>
      <c r="DL27" s="104"/>
      <c r="DM27" s="104"/>
      <c r="DN27" s="104"/>
      <c r="DO27" s="104"/>
      <c r="DP27" s="104"/>
      <c r="DQ27" s="104"/>
      <c r="DR27" s="104"/>
      <c r="DS27" s="7"/>
      <c r="DT27" s="7"/>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row>
    <row r="28" spans="1:177" ht="29.5" thickBot="1" x14ac:dyDescent="0.4">
      <c r="A28" s="163" t="s">
        <v>207</v>
      </c>
      <c r="B28" s="93">
        <v>0</v>
      </c>
      <c r="C28" s="93">
        <f>B28+5.6</f>
        <v>5.6</v>
      </c>
      <c r="D28" s="93">
        <f t="shared" ref="D28:X28" si="16">C28+5.6</f>
        <v>11.2</v>
      </c>
      <c r="E28" s="93">
        <f t="shared" si="16"/>
        <v>16.799999999999997</v>
      </c>
      <c r="F28" s="93">
        <f t="shared" si="16"/>
        <v>22.4</v>
      </c>
      <c r="G28" s="93">
        <f t="shared" si="16"/>
        <v>28</v>
      </c>
      <c r="H28" s="93">
        <f t="shared" si="16"/>
        <v>33.6</v>
      </c>
      <c r="I28" s="93">
        <f t="shared" si="16"/>
        <v>39.200000000000003</v>
      </c>
      <c r="J28" s="93">
        <f t="shared" si="16"/>
        <v>44.800000000000004</v>
      </c>
      <c r="K28" s="93">
        <f t="shared" si="16"/>
        <v>50.400000000000006</v>
      </c>
      <c r="L28" s="93">
        <f t="shared" si="16"/>
        <v>56.000000000000007</v>
      </c>
      <c r="M28" s="93">
        <f t="shared" si="16"/>
        <v>61.600000000000009</v>
      </c>
      <c r="N28" s="93">
        <f t="shared" si="16"/>
        <v>67.2</v>
      </c>
      <c r="O28" s="93">
        <f t="shared" si="16"/>
        <v>72.8</v>
      </c>
      <c r="P28" s="93">
        <f t="shared" si="16"/>
        <v>78.399999999999991</v>
      </c>
      <c r="Q28" s="93">
        <f t="shared" si="16"/>
        <v>83.999999999999986</v>
      </c>
      <c r="R28" s="93">
        <f t="shared" si="16"/>
        <v>89.59999999999998</v>
      </c>
      <c r="S28" s="93">
        <f t="shared" si="16"/>
        <v>95.199999999999974</v>
      </c>
      <c r="T28" s="93">
        <f t="shared" si="16"/>
        <v>100.79999999999997</v>
      </c>
      <c r="U28" s="93">
        <f t="shared" si="16"/>
        <v>106.39999999999996</v>
      </c>
      <c r="V28" s="93">
        <f>U28+5.6-18</f>
        <v>93.999999999999957</v>
      </c>
      <c r="W28" s="93">
        <f t="shared" si="16"/>
        <v>99.599999999999952</v>
      </c>
      <c r="X28" s="93">
        <f t="shared" si="16"/>
        <v>105.19999999999995</v>
      </c>
      <c r="Y28" s="93">
        <f>X28+12.8</f>
        <v>117.99999999999994</v>
      </c>
      <c r="Z28" s="93">
        <f t="shared" ref="Z28:AA28" si="17">Y28+12.8</f>
        <v>130.79999999999995</v>
      </c>
      <c r="AA28" s="93">
        <f t="shared" si="17"/>
        <v>143.59999999999997</v>
      </c>
      <c r="AB28" s="93">
        <f>AA28+14</f>
        <v>157.59999999999997</v>
      </c>
      <c r="AC28" s="93">
        <f t="shared" ref="AC28:AF28" si="18">AB28+14</f>
        <v>171.59999999999997</v>
      </c>
      <c r="AD28" s="93">
        <f t="shared" si="18"/>
        <v>185.59999999999997</v>
      </c>
      <c r="AE28" s="93">
        <f t="shared" si="18"/>
        <v>199.59999999999997</v>
      </c>
      <c r="AF28" s="93">
        <f t="shared" si="18"/>
        <v>213.59999999999997</v>
      </c>
      <c r="AG28" s="93">
        <f>AF28+14.5</f>
        <v>228.09999999999997</v>
      </c>
      <c r="AH28" s="93">
        <f>AG28+14.5-37</f>
        <v>205.59999999999997</v>
      </c>
      <c r="AI28" s="93">
        <f t="shared" ref="AI28:AK28" si="19">AH28+14.5</f>
        <v>220.09999999999997</v>
      </c>
      <c r="AJ28" s="93">
        <f t="shared" si="19"/>
        <v>234.59999999999997</v>
      </c>
      <c r="AK28" s="93">
        <f t="shared" si="19"/>
        <v>249.09999999999997</v>
      </c>
      <c r="AL28" s="93">
        <f>AK28+15.5</f>
        <v>264.59999999999997</v>
      </c>
      <c r="AM28" s="93">
        <f t="shared" ref="AM28:AP28" si="20">AL28+15.5</f>
        <v>280.09999999999997</v>
      </c>
      <c r="AN28" s="93">
        <f t="shared" si="20"/>
        <v>295.59999999999997</v>
      </c>
      <c r="AO28" s="93">
        <f t="shared" si="20"/>
        <v>311.09999999999997</v>
      </c>
      <c r="AP28" s="93">
        <f t="shared" si="20"/>
        <v>326.59999999999997</v>
      </c>
      <c r="AQ28" s="93">
        <f>AP28+16.9</f>
        <v>343.49999999999994</v>
      </c>
      <c r="AR28" s="93">
        <f t="shared" ref="AR28:AU28" si="21">AQ28+16.9</f>
        <v>360.39999999999992</v>
      </c>
      <c r="AS28" s="93">
        <f t="shared" si="21"/>
        <v>377.2999999999999</v>
      </c>
      <c r="AT28" s="93">
        <f>AS28+16.9-96</f>
        <v>298.19999999999987</v>
      </c>
      <c r="AU28" s="93">
        <f t="shared" si="21"/>
        <v>315.09999999999985</v>
      </c>
      <c r="AV28" s="93">
        <f>AU28+17.4</f>
        <v>332.49999999999983</v>
      </c>
      <c r="AW28" s="93">
        <f t="shared" ref="AW28:AZ28" si="22">AV28+17.4</f>
        <v>349.89999999999981</v>
      </c>
      <c r="AX28" s="93">
        <f t="shared" si="22"/>
        <v>367.29999999999978</v>
      </c>
      <c r="AY28" s="93">
        <f t="shared" si="22"/>
        <v>384.69999999999976</v>
      </c>
      <c r="AZ28" s="93">
        <f t="shared" si="22"/>
        <v>402.09999999999974</v>
      </c>
      <c r="BA28" s="93">
        <f>AZ28+17.1</f>
        <v>419.19999999999976</v>
      </c>
      <c r="BB28" s="93">
        <f t="shared" ref="BB28:BH28" si="23">BA28+17.1</f>
        <v>436.29999999999978</v>
      </c>
      <c r="BC28" s="93">
        <f t="shared" si="23"/>
        <v>453.39999999999981</v>
      </c>
      <c r="BD28" s="93">
        <f t="shared" si="23"/>
        <v>470.49999999999983</v>
      </c>
      <c r="BE28" s="93">
        <f t="shared" si="23"/>
        <v>487.59999999999985</v>
      </c>
      <c r="BF28" s="93">
        <f>BE28+17.1-139</f>
        <v>365.69999999999987</v>
      </c>
      <c r="BG28" s="93">
        <f t="shared" si="23"/>
        <v>382.7999999999999</v>
      </c>
      <c r="BH28" s="93">
        <f t="shared" si="23"/>
        <v>399.89999999999992</v>
      </c>
      <c r="BI28" s="93">
        <f>BH28+14.9</f>
        <v>414.7999999999999</v>
      </c>
      <c r="BJ28" s="93">
        <f t="shared" ref="BJ28:BP28" si="24">BI28+14.9</f>
        <v>429.69999999999987</v>
      </c>
      <c r="BK28" s="155">
        <f t="shared" si="24"/>
        <v>444.59999999999985</v>
      </c>
      <c r="BL28" s="155">
        <f t="shared" si="24"/>
        <v>459.49999999999983</v>
      </c>
      <c r="BM28" s="155">
        <f t="shared" si="24"/>
        <v>474.39999999999981</v>
      </c>
      <c r="BN28" s="155">
        <f t="shared" si="24"/>
        <v>489.29999999999978</v>
      </c>
      <c r="BO28" s="155">
        <f t="shared" si="24"/>
        <v>504.19999999999976</v>
      </c>
      <c r="BP28" s="155">
        <f t="shared" si="24"/>
        <v>519.0999999999998</v>
      </c>
      <c r="BQ28" s="155">
        <f>BP28+10.9</f>
        <v>529.99999999999977</v>
      </c>
      <c r="BR28" s="155">
        <f t="shared" ref="BR28:BT28" si="25">BQ28+10.9</f>
        <v>540.89999999999975</v>
      </c>
      <c r="BS28" s="155">
        <f t="shared" si="25"/>
        <v>551.79999999999973</v>
      </c>
      <c r="BT28" s="129">
        <f t="shared" si="25"/>
        <v>562.6999999999997</v>
      </c>
      <c r="BU28" s="57"/>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7"/>
      <c r="DT28" s="7"/>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row>
    <row r="29" spans="1:177" ht="29" x14ac:dyDescent="0.35">
      <c r="A29" s="169" t="s">
        <v>208</v>
      </c>
      <c r="B29" s="95">
        <f>B30*0.654*1.3*0.36</f>
        <v>0</v>
      </c>
      <c r="C29" s="95">
        <f t="shared" ref="C29:BI29" si="26">C30*0.654*1.3*0.36</f>
        <v>1.7752176</v>
      </c>
      <c r="D29" s="95">
        <f t="shared" si="26"/>
        <v>3.5504351999999999</v>
      </c>
      <c r="E29" s="95">
        <f t="shared" si="26"/>
        <v>5.3256528000000003</v>
      </c>
      <c r="F29" s="95">
        <f t="shared" si="26"/>
        <v>7.1008703999999998</v>
      </c>
      <c r="G29" s="95">
        <f t="shared" si="26"/>
        <v>8.8760880000000011</v>
      </c>
      <c r="H29" s="95">
        <f t="shared" si="26"/>
        <v>10.651305600000001</v>
      </c>
      <c r="I29" s="95">
        <f t="shared" si="26"/>
        <v>12.426523199999998</v>
      </c>
      <c r="J29" s="95">
        <f t="shared" si="26"/>
        <v>14.201740799999998</v>
      </c>
      <c r="K29" s="95">
        <f t="shared" si="26"/>
        <v>15.976958399999999</v>
      </c>
      <c r="L29" s="95">
        <f t="shared" si="26"/>
        <v>17.752175999999999</v>
      </c>
      <c r="M29" s="95">
        <f t="shared" si="26"/>
        <v>19.5273936</v>
      </c>
      <c r="N29" s="95">
        <f t="shared" si="26"/>
        <v>21.302611199999994</v>
      </c>
      <c r="O29" s="95">
        <f t="shared" si="26"/>
        <v>23.077828799999995</v>
      </c>
      <c r="P29" s="95">
        <f t="shared" si="26"/>
        <v>24.85304639999999</v>
      </c>
      <c r="Q29" s="95">
        <f t="shared" si="26"/>
        <v>26.628263999999994</v>
      </c>
      <c r="R29" s="95">
        <f t="shared" si="26"/>
        <v>28.403481599999989</v>
      </c>
      <c r="S29" s="95">
        <f t="shared" si="26"/>
        <v>30.178699199999993</v>
      </c>
      <c r="T29" s="95">
        <f t="shared" si="26"/>
        <v>31.953916799999988</v>
      </c>
      <c r="U29" s="95">
        <f t="shared" si="26"/>
        <v>33.729134399999992</v>
      </c>
      <c r="V29" s="95">
        <f t="shared" si="26"/>
        <v>23.261471999999991</v>
      </c>
      <c r="W29" s="95">
        <f t="shared" si="26"/>
        <v>25.250939999999993</v>
      </c>
      <c r="X29" s="95">
        <f t="shared" si="26"/>
        <v>27.240407999999988</v>
      </c>
      <c r="Y29" s="95">
        <f t="shared" si="26"/>
        <v>29.229875999999987</v>
      </c>
      <c r="Z29" s="95">
        <f t="shared" si="26"/>
        <v>31.219343999999989</v>
      </c>
      <c r="AA29" s="95">
        <f t="shared" si="26"/>
        <v>33.208811999999988</v>
      </c>
      <c r="AB29" s="95">
        <f t="shared" si="26"/>
        <v>35.19827999999999</v>
      </c>
      <c r="AC29" s="95">
        <f t="shared" si="26"/>
        <v>37.187747999999985</v>
      </c>
      <c r="AD29" s="95">
        <f t="shared" si="26"/>
        <v>39.177215999999987</v>
      </c>
      <c r="AE29" s="95">
        <f t="shared" si="26"/>
        <v>41.166683999999982</v>
      </c>
      <c r="AF29" s="95">
        <f t="shared" si="26"/>
        <v>27.852551999999985</v>
      </c>
      <c r="AG29" s="95">
        <f t="shared" si="26"/>
        <v>29.995055999999988</v>
      </c>
      <c r="AH29" s="95">
        <f t="shared" si="26"/>
        <v>32.137559999999979</v>
      </c>
      <c r="AI29" s="95">
        <f t="shared" si="26"/>
        <v>34.280063999999982</v>
      </c>
      <c r="AJ29" s="95">
        <f t="shared" si="26"/>
        <v>36.422567999999984</v>
      </c>
      <c r="AK29" s="95">
        <f t="shared" si="26"/>
        <v>38.565071999999986</v>
      </c>
      <c r="AL29" s="95">
        <f t="shared" si="26"/>
        <v>40.707575999999989</v>
      </c>
      <c r="AM29" s="95">
        <f t="shared" si="26"/>
        <v>42.850079999999977</v>
      </c>
      <c r="AN29" s="95">
        <f t="shared" si="26"/>
        <v>44.992583999999979</v>
      </c>
      <c r="AO29" s="95">
        <f t="shared" si="26"/>
        <v>47.135087999999982</v>
      </c>
      <c r="AP29" s="95">
        <f t="shared" si="26"/>
        <v>32.443631999999987</v>
      </c>
      <c r="AQ29" s="95">
        <f t="shared" si="26"/>
        <v>34.586135999999989</v>
      </c>
      <c r="AR29" s="95">
        <f t="shared" si="26"/>
        <v>36.728639999999984</v>
      </c>
      <c r="AS29" s="95">
        <f t="shared" si="26"/>
        <v>38.87114399999998</v>
      </c>
      <c r="AT29" s="95">
        <f t="shared" si="26"/>
        <v>41.013647999999982</v>
      </c>
      <c r="AU29" s="95">
        <f t="shared" si="26"/>
        <v>43.156151999999985</v>
      </c>
      <c r="AV29" s="95">
        <f t="shared" si="26"/>
        <v>45.298655999999987</v>
      </c>
      <c r="AW29" s="95">
        <f t="shared" si="26"/>
        <v>47.441159999999982</v>
      </c>
      <c r="AX29" s="95">
        <f t="shared" si="26"/>
        <v>49.583663999999985</v>
      </c>
      <c r="AY29" s="95">
        <f t="shared" si="26"/>
        <v>51.726167999999987</v>
      </c>
      <c r="AZ29" s="95">
        <f t="shared" si="26"/>
        <v>37.034711999999992</v>
      </c>
      <c r="BA29" s="95">
        <f t="shared" si="26"/>
        <v>39.483287999999988</v>
      </c>
      <c r="BB29" s="95">
        <f t="shared" si="26"/>
        <v>41.931863999999983</v>
      </c>
      <c r="BC29" s="95">
        <f t="shared" si="26"/>
        <v>44.380439999999986</v>
      </c>
      <c r="BD29" s="95">
        <f t="shared" si="26"/>
        <v>46.829015999999989</v>
      </c>
      <c r="BE29" s="95">
        <f t="shared" si="26"/>
        <v>49.277591999999984</v>
      </c>
      <c r="BF29" s="95">
        <f t="shared" si="26"/>
        <v>51.726167999999987</v>
      </c>
      <c r="BG29" s="95">
        <f t="shared" si="26"/>
        <v>54.17474399999999</v>
      </c>
      <c r="BH29" s="95">
        <f t="shared" si="26"/>
        <v>56.623319999999978</v>
      </c>
      <c r="BI29" s="95">
        <f t="shared" si="26"/>
        <v>59.071895999999981</v>
      </c>
      <c r="BJ29" s="118">
        <f>BJ30*0.654*1.3*0.36</f>
        <v>61.520471999999998</v>
      </c>
      <c r="BK29" s="159"/>
      <c r="BL29" s="160"/>
      <c r="BM29" s="160"/>
      <c r="BN29" s="160"/>
      <c r="BO29" s="126"/>
      <c r="BP29" s="126"/>
      <c r="BQ29" s="126"/>
      <c r="BR29" s="126"/>
      <c r="BS29" s="126"/>
      <c r="BT29" s="126"/>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7"/>
      <c r="DT29" s="7"/>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row>
    <row r="30" spans="1:177" ht="29.5" thickBot="1" x14ac:dyDescent="0.4">
      <c r="A30" s="169" t="s">
        <v>209</v>
      </c>
      <c r="B30" s="93">
        <v>0</v>
      </c>
      <c r="C30" s="93">
        <f>B30+5.8</f>
        <v>5.8</v>
      </c>
      <c r="D30" s="93">
        <f t="shared" ref="D30:U30" si="27">C30+5.8</f>
        <v>11.6</v>
      </c>
      <c r="E30" s="93">
        <f t="shared" si="27"/>
        <v>17.399999999999999</v>
      </c>
      <c r="F30" s="93">
        <f t="shared" si="27"/>
        <v>23.2</v>
      </c>
      <c r="G30" s="93">
        <f t="shared" si="27"/>
        <v>29</v>
      </c>
      <c r="H30" s="93">
        <f t="shared" si="27"/>
        <v>34.799999999999997</v>
      </c>
      <c r="I30" s="93">
        <f t="shared" si="27"/>
        <v>40.599999999999994</v>
      </c>
      <c r="J30" s="93">
        <f t="shared" si="27"/>
        <v>46.399999999999991</v>
      </c>
      <c r="K30" s="93">
        <f t="shared" si="27"/>
        <v>52.199999999999989</v>
      </c>
      <c r="L30" s="93">
        <f t="shared" si="27"/>
        <v>57.999999999999986</v>
      </c>
      <c r="M30" s="93">
        <f t="shared" si="27"/>
        <v>63.799999999999983</v>
      </c>
      <c r="N30" s="93">
        <f t="shared" si="27"/>
        <v>69.59999999999998</v>
      </c>
      <c r="O30" s="93">
        <f t="shared" si="27"/>
        <v>75.399999999999977</v>
      </c>
      <c r="P30" s="93">
        <f t="shared" si="27"/>
        <v>81.199999999999974</v>
      </c>
      <c r="Q30" s="93">
        <f t="shared" si="27"/>
        <v>86.999999999999972</v>
      </c>
      <c r="R30" s="93">
        <f t="shared" si="27"/>
        <v>92.799999999999969</v>
      </c>
      <c r="S30" s="93">
        <f t="shared" si="27"/>
        <v>98.599999999999966</v>
      </c>
      <c r="T30" s="93">
        <f t="shared" si="27"/>
        <v>104.39999999999996</v>
      </c>
      <c r="U30" s="93">
        <f t="shared" si="27"/>
        <v>110.19999999999996</v>
      </c>
      <c r="V30" s="93">
        <f>U30+5.8-40</f>
        <v>75.999999999999957</v>
      </c>
      <c r="W30" s="93">
        <f>V30+6.5</f>
        <v>82.499999999999957</v>
      </c>
      <c r="X30" s="93">
        <f t="shared" ref="X30:AE30" si="28">W30+6.5</f>
        <v>88.999999999999957</v>
      </c>
      <c r="Y30" s="93">
        <f t="shared" si="28"/>
        <v>95.499999999999957</v>
      </c>
      <c r="Z30" s="93">
        <f t="shared" si="28"/>
        <v>101.99999999999996</v>
      </c>
      <c r="AA30" s="93">
        <f t="shared" si="28"/>
        <v>108.49999999999996</v>
      </c>
      <c r="AB30" s="93">
        <f t="shared" si="28"/>
        <v>114.99999999999996</v>
      </c>
      <c r="AC30" s="93">
        <f t="shared" si="28"/>
        <v>121.49999999999996</v>
      </c>
      <c r="AD30" s="93">
        <f t="shared" si="28"/>
        <v>127.99999999999996</v>
      </c>
      <c r="AE30" s="93">
        <f t="shared" si="28"/>
        <v>134.49999999999994</v>
      </c>
      <c r="AF30" s="93">
        <f>AE30+6.5-50</f>
        <v>90.999999999999943</v>
      </c>
      <c r="AG30" s="93">
        <f>AF30+7</f>
        <v>97.999999999999943</v>
      </c>
      <c r="AH30" s="93">
        <f t="shared" ref="AH30:AY30" si="29">AG30+7</f>
        <v>104.99999999999994</v>
      </c>
      <c r="AI30" s="93">
        <f t="shared" si="29"/>
        <v>111.99999999999994</v>
      </c>
      <c r="AJ30" s="93">
        <f t="shared" si="29"/>
        <v>118.99999999999994</v>
      </c>
      <c r="AK30" s="93">
        <f t="shared" si="29"/>
        <v>125.99999999999994</v>
      </c>
      <c r="AL30" s="93">
        <f t="shared" si="29"/>
        <v>132.99999999999994</v>
      </c>
      <c r="AM30" s="93">
        <f t="shared" si="29"/>
        <v>139.99999999999994</v>
      </c>
      <c r="AN30" s="93">
        <f t="shared" si="29"/>
        <v>146.99999999999994</v>
      </c>
      <c r="AO30" s="93">
        <f t="shared" si="29"/>
        <v>153.99999999999994</v>
      </c>
      <c r="AP30" s="93">
        <f>AO30+7-55</f>
        <v>105.99999999999994</v>
      </c>
      <c r="AQ30" s="93">
        <f t="shared" si="29"/>
        <v>112.99999999999994</v>
      </c>
      <c r="AR30" s="93">
        <f t="shared" si="29"/>
        <v>119.99999999999994</v>
      </c>
      <c r="AS30" s="93">
        <f t="shared" si="29"/>
        <v>126.99999999999994</v>
      </c>
      <c r="AT30" s="93">
        <f t="shared" si="29"/>
        <v>133.99999999999994</v>
      </c>
      <c r="AU30" s="93">
        <f t="shared" si="29"/>
        <v>140.99999999999994</v>
      </c>
      <c r="AV30" s="93">
        <f t="shared" si="29"/>
        <v>147.99999999999994</v>
      </c>
      <c r="AW30" s="93">
        <f t="shared" si="29"/>
        <v>154.99999999999994</v>
      </c>
      <c r="AX30" s="93">
        <f t="shared" si="29"/>
        <v>161.99999999999994</v>
      </c>
      <c r="AY30" s="93">
        <f t="shared" si="29"/>
        <v>168.99999999999994</v>
      </c>
      <c r="AZ30" s="93">
        <f>AY30+7-55</f>
        <v>120.99999999999994</v>
      </c>
      <c r="BA30" s="93">
        <f>AZ30+8</f>
        <v>128.99999999999994</v>
      </c>
      <c r="BB30" s="93">
        <f t="shared" ref="BB30:BJ30" si="30">BA30+8</f>
        <v>136.99999999999994</v>
      </c>
      <c r="BC30" s="93">
        <f t="shared" si="30"/>
        <v>144.99999999999994</v>
      </c>
      <c r="BD30" s="93">
        <f t="shared" si="30"/>
        <v>152.99999999999994</v>
      </c>
      <c r="BE30" s="93">
        <f t="shared" si="30"/>
        <v>160.99999999999994</v>
      </c>
      <c r="BF30" s="93">
        <f t="shared" si="30"/>
        <v>168.99999999999994</v>
      </c>
      <c r="BG30" s="93">
        <f t="shared" si="30"/>
        <v>176.99999999999994</v>
      </c>
      <c r="BH30" s="93">
        <f t="shared" si="30"/>
        <v>184.99999999999994</v>
      </c>
      <c r="BI30" s="93">
        <f t="shared" si="30"/>
        <v>192.99999999999994</v>
      </c>
      <c r="BJ30" s="94">
        <f t="shared" si="30"/>
        <v>200.99999999999994</v>
      </c>
      <c r="BK30" s="161"/>
      <c r="BL30" s="162"/>
      <c r="BM30" s="162"/>
      <c r="BN30" s="162"/>
      <c r="BO30" s="162"/>
      <c r="BP30" s="162"/>
      <c r="BQ30" s="162"/>
      <c r="BR30" s="162"/>
      <c r="BS30" s="162"/>
      <c r="BT30" s="162"/>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7"/>
      <c r="DT30" s="7"/>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row>
    <row r="31" spans="1:177" ht="29.5" thickBot="1" x14ac:dyDescent="0.4">
      <c r="A31" s="3" t="s">
        <v>210</v>
      </c>
      <c r="B31" s="95">
        <v>0</v>
      </c>
      <c r="C31" s="95">
        <f>SUM(C32:C35)</f>
        <v>5.6557668365794056</v>
      </c>
      <c r="D31" s="95">
        <f>SUM(D32:D35)</f>
        <v>10.434739252161711</v>
      </c>
      <c r="E31" s="95">
        <f t="shared" ref="E31:BO31" si="31">SUM(E32:E35)</f>
        <v>14.930551082088646</v>
      </c>
      <c r="F31" s="95">
        <f t="shared" si="31"/>
        <v>19.251816138597555</v>
      </c>
      <c r="G31" s="95">
        <f t="shared" si="31"/>
        <v>23.447761761990634</v>
      </c>
      <c r="H31" s="95">
        <f t="shared" si="31"/>
        <v>28.744122792980363</v>
      </c>
      <c r="I31" s="95">
        <f t="shared" si="31"/>
        <v>33.90442293719034</v>
      </c>
      <c r="J31" s="95">
        <f t="shared" si="31"/>
        <v>38.957677827057068</v>
      </c>
      <c r="K31" s="95">
        <f t="shared" si="31"/>
        <v>43.922692642460675</v>
      </c>
      <c r="L31" s="95">
        <f t="shared" si="31"/>
        <v>48.81270660820531</v>
      </c>
      <c r="M31" s="95">
        <f t="shared" si="31"/>
        <v>53.618454111289914</v>
      </c>
      <c r="N31" s="95">
        <f t="shared" si="31"/>
        <v>58.547752994663107</v>
      </c>
      <c r="O31" s="95">
        <f t="shared" si="31"/>
        <v>63.540003315734438</v>
      </c>
      <c r="P31" s="95">
        <f t="shared" si="31"/>
        <v>68.595409579748463</v>
      </c>
      <c r="Q31" s="95">
        <f t="shared" si="31"/>
        <v>73.713718648522274</v>
      </c>
      <c r="R31" s="95">
        <f t="shared" si="31"/>
        <v>78.751093612475685</v>
      </c>
      <c r="S31" s="95">
        <f t="shared" si="31"/>
        <v>83.90655627928804</v>
      </c>
      <c r="T31" s="95">
        <f t="shared" si="31"/>
        <v>89.176576595366399</v>
      </c>
      <c r="U31" s="95">
        <f t="shared" si="31"/>
        <v>94.558023704245997</v>
      </c>
      <c r="V31" s="95">
        <f t="shared" si="31"/>
        <v>88.576776100425974</v>
      </c>
      <c r="W31" s="95">
        <f t="shared" si="31"/>
        <v>94.092312809181436</v>
      </c>
      <c r="X31" s="95">
        <f t="shared" si="31"/>
        <v>99.758560791040011</v>
      </c>
      <c r="Y31" s="95">
        <f t="shared" si="31"/>
        <v>107.79405336116011</v>
      </c>
      <c r="Z31" s="95">
        <f t="shared" si="31"/>
        <v>115.93373008523423</v>
      </c>
      <c r="AA31" s="95">
        <f t="shared" si="31"/>
        <v>124.22771601300505</v>
      </c>
      <c r="AB31" s="95">
        <f t="shared" si="31"/>
        <v>107.26375880855623</v>
      </c>
      <c r="AC31" s="95">
        <f t="shared" si="31"/>
        <v>113.12985693716539</v>
      </c>
      <c r="AD31" s="95">
        <f t="shared" si="31"/>
        <v>118.94928463381407</v>
      </c>
      <c r="AE31" s="95">
        <f t="shared" si="31"/>
        <v>124.72565747756836</v>
      </c>
      <c r="AF31" s="95">
        <f t="shared" si="31"/>
        <v>126.34496911229022</v>
      </c>
      <c r="AG31" s="95">
        <f t="shared" si="31"/>
        <v>132.03391236581683</v>
      </c>
      <c r="AH31" s="95">
        <f t="shared" si="31"/>
        <v>127.12369283435933</v>
      </c>
      <c r="AI31" s="95">
        <f t="shared" si="31"/>
        <v>132.81627247965898</v>
      </c>
      <c r="AJ31" s="95">
        <f t="shared" si="31"/>
        <v>138.47049940236911</v>
      </c>
      <c r="AK31" s="95">
        <f t="shared" si="31"/>
        <v>144.08889365343762</v>
      </c>
      <c r="AL31" s="132">
        <f t="shared" si="31"/>
        <v>96.013407199392844</v>
      </c>
      <c r="AM31" s="132">
        <f t="shared" si="31"/>
        <v>100.90287713370583</v>
      </c>
      <c r="AN31" s="132">
        <f t="shared" si="31"/>
        <v>105.76128635147042</v>
      </c>
      <c r="AO31" s="132">
        <f t="shared" si="31"/>
        <v>110.5904317088615</v>
      </c>
      <c r="AP31" s="132">
        <f t="shared" si="31"/>
        <v>110.9369726501285</v>
      </c>
      <c r="AQ31" s="132">
        <f t="shared" si="31"/>
        <v>116.11935550659139</v>
      </c>
      <c r="AR31" s="132">
        <f t="shared" si="31"/>
        <v>121.27127602307598</v>
      </c>
      <c r="AS31" s="132">
        <f t="shared" si="31"/>
        <v>126.39437883148982</v>
      </c>
      <c r="AT31" s="132">
        <f t="shared" si="31"/>
        <v>105.43359987318659</v>
      </c>
      <c r="AU31" s="132">
        <f t="shared" si="31"/>
        <v>110.64852651922621</v>
      </c>
      <c r="AV31" s="132">
        <f t="shared" si="31"/>
        <v>115.96754772497891</v>
      </c>
      <c r="AW31" s="132">
        <f t="shared" si="31"/>
        <v>121.25457942148867</v>
      </c>
      <c r="AX31" s="132">
        <f t="shared" si="31"/>
        <v>126.5113782643117</v>
      </c>
      <c r="AY31" s="132">
        <f t="shared" si="31"/>
        <v>131.73952643294632</v>
      </c>
      <c r="AZ31" s="132">
        <f t="shared" si="31"/>
        <v>132.54117817783126</v>
      </c>
      <c r="BA31" s="132">
        <f t="shared" si="31"/>
        <v>137.74169434914742</v>
      </c>
      <c r="BB31" s="132">
        <f t="shared" si="31"/>
        <v>142.91596450181351</v>
      </c>
      <c r="BC31" s="132">
        <f t="shared" si="31"/>
        <v>148.06523535310748</v>
      </c>
      <c r="BD31" s="132">
        <f t="shared" si="31"/>
        <v>153.19064299111287</v>
      </c>
      <c r="BE31" s="132">
        <f t="shared" si="31"/>
        <v>158.29322715729364</v>
      </c>
      <c r="BF31" s="132">
        <f t="shared" si="31"/>
        <v>126.63263286816324</v>
      </c>
      <c r="BG31" s="132">
        <f t="shared" si="31"/>
        <v>131.85833837197606</v>
      </c>
      <c r="BH31" s="132">
        <f t="shared" si="31"/>
        <v>137.05689447979307</v>
      </c>
      <c r="BI31" s="132">
        <f t="shared" si="31"/>
        <v>141.64532631445593</v>
      </c>
      <c r="BJ31" s="132">
        <f t="shared" si="31"/>
        <v>146.21421001593887</v>
      </c>
      <c r="BK31" s="132">
        <f t="shared" si="31"/>
        <v>132.59632085137139</v>
      </c>
      <c r="BL31" s="132">
        <f t="shared" si="31"/>
        <v>136.51524164121153</v>
      </c>
      <c r="BM31" s="132">
        <f t="shared" si="31"/>
        <v>140.41939580492794</v>
      </c>
      <c r="BN31" s="132">
        <f t="shared" si="31"/>
        <v>144.30930034662015</v>
      </c>
      <c r="BO31" s="132">
        <f t="shared" si="31"/>
        <v>148.1854389939478</v>
      </c>
      <c r="BP31" s="132">
        <f t="shared" ref="BP31:BT31" si="32">SUM(BP32:BP35)</f>
        <v>152.04826525927345</v>
      </c>
      <c r="BQ31" s="132">
        <f t="shared" si="32"/>
        <v>154.86590644539717</v>
      </c>
      <c r="BR31" s="132">
        <f t="shared" si="32"/>
        <v>157.6768100825341</v>
      </c>
      <c r="BS31" s="132">
        <f t="shared" si="32"/>
        <v>160.48112759002808</v>
      </c>
      <c r="BT31" s="132">
        <f t="shared" si="32"/>
        <v>163.27900406296743</v>
      </c>
      <c r="BU31" s="158"/>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c r="CV31" s="104"/>
      <c r="CW31" s="104"/>
      <c r="CX31" s="104"/>
      <c r="CY31" s="104"/>
      <c r="CZ31" s="104"/>
      <c r="DA31" s="104"/>
      <c r="DB31" s="104"/>
      <c r="DC31" s="104"/>
      <c r="DD31" s="104"/>
      <c r="DE31" s="104"/>
      <c r="DF31" s="104"/>
      <c r="DG31" s="104"/>
      <c r="DH31" s="104"/>
      <c r="DI31" s="104"/>
      <c r="DJ31" s="104"/>
      <c r="DK31" s="104"/>
      <c r="DL31" s="104"/>
      <c r="DM31" s="104"/>
      <c r="DN31" s="104"/>
      <c r="DO31" s="104"/>
      <c r="DP31" s="104"/>
      <c r="DQ31" s="104"/>
      <c r="DR31" s="104"/>
      <c r="DS31" s="7"/>
      <c r="DT31" s="7"/>
    </row>
    <row r="32" spans="1:177" ht="29.5" thickBot="1" x14ac:dyDescent="0.4">
      <c r="A32" s="167" t="s">
        <v>230</v>
      </c>
      <c r="B32" s="95">
        <v>0</v>
      </c>
      <c r="C32" s="95">
        <f>EXP(-1.0587+0.8836*LN(C23)+0.284)</f>
        <v>1.6553363943597197</v>
      </c>
      <c r="D32" s="95">
        <f t="shared" ref="D32:AJ32" si="33">EXP(-1.0587+0.8836*LN(D23)+0.284)</f>
        <v>3.0540515811298676</v>
      </c>
      <c r="E32" s="95">
        <f t="shared" si="33"/>
        <v>4.3698909994273842</v>
      </c>
      <c r="F32" s="95">
        <f t="shared" si="33"/>
        <v>5.6346438657319515</v>
      </c>
      <c r="G32" s="95">
        <f t="shared" si="33"/>
        <v>6.8627180950715898</v>
      </c>
      <c r="H32" s="95">
        <f t="shared" si="33"/>
        <v>9.2599860742308184</v>
      </c>
      <c r="I32" s="95">
        <f t="shared" si="33"/>
        <v>11.577166952778823</v>
      </c>
      <c r="J32" s="95">
        <f t="shared" si="33"/>
        <v>13.83435748433666</v>
      </c>
      <c r="K32" s="95">
        <f t="shared" si="33"/>
        <v>16.043807359397842</v>
      </c>
      <c r="L32" s="95">
        <f t="shared" si="33"/>
        <v>18.213742550719033</v>
      </c>
      <c r="M32" s="95">
        <f t="shared" si="33"/>
        <v>20.330944864360607</v>
      </c>
      <c r="N32" s="95">
        <f t="shared" si="33"/>
        <v>22.419434598489783</v>
      </c>
      <c r="O32" s="95">
        <f t="shared" si="33"/>
        <v>24.482562419520196</v>
      </c>
      <c r="P32" s="95">
        <f t="shared" si="33"/>
        <v>26.523006943925022</v>
      </c>
      <c r="Q32" s="95">
        <f t="shared" si="33"/>
        <v>28.542956253829932</v>
      </c>
      <c r="R32" s="95">
        <f t="shared" si="33"/>
        <v>30.344897139682754</v>
      </c>
      <c r="S32" s="95">
        <f t="shared" si="33"/>
        <v>32.132841762287477</v>
      </c>
      <c r="T32" s="95">
        <f t="shared" si="33"/>
        <v>33.907768176404524</v>
      </c>
      <c r="U32" s="95">
        <f t="shared" si="33"/>
        <v>35.670532436327882</v>
      </c>
      <c r="V32" s="95">
        <f t="shared" si="33"/>
        <v>34.941923689223401</v>
      </c>
      <c r="W32" s="95">
        <f t="shared" si="33"/>
        <v>36.432583089801881</v>
      </c>
      <c r="X32" s="95">
        <f t="shared" si="33"/>
        <v>37.915248303306306</v>
      </c>
      <c r="Y32" s="95">
        <f t="shared" si="33"/>
        <v>39.390312524298089</v>
      </c>
      <c r="Z32" s="95">
        <f t="shared" si="33"/>
        <v>40.858133822375365</v>
      </c>
      <c r="AA32" s="95">
        <f t="shared" si="33"/>
        <v>42.319039576588736</v>
      </c>
      <c r="AB32" s="132">
        <f t="shared" si="33"/>
        <v>43.514108002944198</v>
      </c>
      <c r="AC32" s="132">
        <f t="shared" si="33"/>
        <v>44.704867694900408</v>
      </c>
      <c r="AD32" s="132">
        <f t="shared" si="33"/>
        <v>45.891463192159272</v>
      </c>
      <c r="AE32" s="132">
        <f t="shared" si="33"/>
        <v>47.074030109530128</v>
      </c>
      <c r="AF32" s="132">
        <f t="shared" si="33"/>
        <v>48.252695925498458</v>
      </c>
      <c r="AG32" s="132">
        <f t="shared" si="33"/>
        <v>49.206509345075865</v>
      </c>
      <c r="AH32" s="132">
        <f t="shared" si="33"/>
        <v>50.157893210111013</v>
      </c>
      <c r="AI32" s="132">
        <f t="shared" si="33"/>
        <v>51.106905608646684</v>
      </c>
      <c r="AJ32" s="132">
        <f t="shared" si="33"/>
        <v>52.053602050909035</v>
      </c>
      <c r="AK32" s="186">
        <f>EXP(-1.0587+0.8836*LN(AK23)+0.284)</f>
        <v>52.99803563430936</v>
      </c>
      <c r="AL32" s="159"/>
      <c r="AM32" s="160"/>
      <c r="AN32" s="160"/>
      <c r="AO32" s="160"/>
      <c r="AP32" s="160"/>
      <c r="AQ32" s="160"/>
      <c r="AR32" s="160"/>
      <c r="AS32" s="160"/>
      <c r="AT32" s="160"/>
      <c r="AU32" s="160"/>
      <c r="AV32" s="160"/>
      <c r="AW32" s="160"/>
      <c r="AX32" s="160"/>
      <c r="AY32" s="160"/>
      <c r="AZ32" s="160"/>
      <c r="BA32" s="160"/>
      <c r="BB32" s="160"/>
      <c r="BC32" s="160"/>
      <c r="BD32" s="160"/>
      <c r="BE32" s="160"/>
      <c r="BF32" s="160"/>
      <c r="BG32" s="160"/>
      <c r="BH32" s="160"/>
      <c r="BI32" s="160"/>
      <c r="BJ32" s="160"/>
      <c r="BK32" s="160"/>
      <c r="BL32" s="160"/>
      <c r="BM32" s="160"/>
      <c r="BN32" s="160"/>
      <c r="BO32" s="160"/>
      <c r="BP32" s="160"/>
      <c r="BQ32" s="160"/>
      <c r="BR32" s="160"/>
      <c r="BS32" s="160"/>
      <c r="BT32" s="160"/>
      <c r="BU32" s="104"/>
      <c r="BV32" s="104"/>
      <c r="BW32" s="104"/>
      <c r="BX32" s="104"/>
      <c r="BY32" s="104"/>
      <c r="BZ32" s="104"/>
      <c r="CA32" s="104"/>
      <c r="CB32" s="104"/>
      <c r="CC32" s="104"/>
      <c r="CD32" s="104"/>
      <c r="CE32" s="104"/>
      <c r="CF32" s="104"/>
      <c r="CG32" s="104"/>
      <c r="CH32" s="104"/>
      <c r="CI32" s="104"/>
      <c r="CJ32" s="104"/>
      <c r="CK32" s="104"/>
      <c r="CL32" s="104"/>
      <c r="CM32" s="104"/>
      <c r="CN32" s="104"/>
      <c r="CO32" s="104"/>
      <c r="CP32" s="104"/>
      <c r="CQ32" s="104"/>
      <c r="CR32" s="104"/>
      <c r="CS32" s="104"/>
      <c r="CT32" s="104"/>
      <c r="CU32" s="104"/>
      <c r="CV32" s="104"/>
      <c r="CW32" s="104"/>
      <c r="CX32" s="104"/>
      <c r="CY32" s="104"/>
      <c r="CZ32" s="104"/>
      <c r="DA32" s="104"/>
      <c r="DB32" s="104"/>
      <c r="DC32" s="104"/>
      <c r="DD32" s="104"/>
      <c r="DE32" s="104"/>
      <c r="DF32" s="104"/>
      <c r="DG32" s="104"/>
      <c r="DH32" s="104"/>
      <c r="DI32" s="104"/>
      <c r="DJ32" s="104"/>
      <c r="DK32" s="104"/>
      <c r="DL32" s="104"/>
      <c r="DM32" s="104"/>
      <c r="DN32" s="104"/>
      <c r="DO32" s="104"/>
      <c r="DP32" s="104"/>
      <c r="DQ32" s="104"/>
      <c r="DR32" s="104"/>
      <c r="DS32" s="7"/>
      <c r="DT32" s="7"/>
    </row>
    <row r="33" spans="1:124" ht="29.5" thickBot="1" x14ac:dyDescent="0.4">
      <c r="A33" s="168" t="s">
        <v>231</v>
      </c>
      <c r="B33" s="95">
        <v>0</v>
      </c>
      <c r="C33" s="95">
        <f>EXP(-1.0587+0.8836*LN(C25)+0.284)</f>
        <v>0.45622782815573704</v>
      </c>
      <c r="D33" s="95">
        <f t="shared" ref="D33:Z33" si="34">EXP(-1.0587+0.8836*LN(D25)+0.284)</f>
        <v>0.84172819777421504</v>
      </c>
      <c r="E33" s="95">
        <f t="shared" si="34"/>
        <v>1.2043871485814843</v>
      </c>
      <c r="F33" s="95">
        <f t="shared" si="34"/>
        <v>1.552966117372335</v>
      </c>
      <c r="G33" s="95">
        <f t="shared" si="34"/>
        <v>1.8914360745210566</v>
      </c>
      <c r="H33" s="95">
        <f t="shared" si="34"/>
        <v>2.2220622273217869</v>
      </c>
      <c r="I33" s="95">
        <f t="shared" si="34"/>
        <v>2.54630486733154</v>
      </c>
      <c r="J33" s="95">
        <f t="shared" si="34"/>
        <v>2.8651811452720519</v>
      </c>
      <c r="K33" s="95">
        <f t="shared" si="34"/>
        <v>3.1794386798629954</v>
      </c>
      <c r="L33" s="95">
        <f t="shared" si="34"/>
        <v>3.489649205853083</v>
      </c>
      <c r="M33" s="95">
        <f t="shared" si="34"/>
        <v>3.7962634940889157</v>
      </c>
      <c r="N33" s="95">
        <f t="shared" si="34"/>
        <v>4.2802504906052956</v>
      </c>
      <c r="O33" s="95">
        <f t="shared" si="34"/>
        <v>4.8753293038817711</v>
      </c>
      <c r="P33" s="95">
        <f t="shared" si="34"/>
        <v>5.5770744105668744</v>
      </c>
      <c r="Q33" s="95">
        <f t="shared" si="34"/>
        <v>6.3813877479916759</v>
      </c>
      <c r="R33" s="95">
        <f t="shared" si="34"/>
        <v>7.340522184111955</v>
      </c>
      <c r="S33" s="95">
        <f t="shared" si="34"/>
        <v>8.4482519193685572</v>
      </c>
      <c r="T33" s="95">
        <f t="shared" si="34"/>
        <v>9.6989869563505877</v>
      </c>
      <c r="U33" s="95">
        <f t="shared" si="34"/>
        <v>11.087785494465123</v>
      </c>
      <c r="V33" s="95">
        <f t="shared" si="34"/>
        <v>12.610301967472539</v>
      </c>
      <c r="W33" s="95">
        <f t="shared" si="34"/>
        <v>14.313930497282259</v>
      </c>
      <c r="X33" s="95">
        <f t="shared" si="34"/>
        <v>16.192874929505255</v>
      </c>
      <c r="Y33" s="95">
        <f t="shared" si="34"/>
        <v>18.241981627260181</v>
      </c>
      <c r="Z33" s="95">
        <f t="shared" si="34"/>
        <v>20.45666907100053</v>
      </c>
      <c r="AA33" s="118">
        <f>EXP(-1.0587+0.8836*LN(AA25)+0.284)</f>
        <v>22.880997266142767</v>
      </c>
      <c r="AB33" s="187"/>
      <c r="AC33" s="188"/>
      <c r="AD33" s="188"/>
      <c r="AE33" s="188"/>
      <c r="AF33" s="188"/>
      <c r="AG33" s="188"/>
      <c r="AH33" s="188"/>
      <c r="AI33" s="188"/>
      <c r="AJ33" s="188"/>
      <c r="AK33" s="188"/>
      <c r="AL33" s="190"/>
      <c r="AM33" s="190"/>
      <c r="AN33" s="190"/>
      <c r="AO33" s="190"/>
      <c r="AP33" s="190"/>
      <c r="AQ33" s="190"/>
      <c r="AR33" s="190"/>
      <c r="AS33" s="190"/>
      <c r="AT33" s="190"/>
      <c r="AU33" s="190"/>
      <c r="AV33" s="190"/>
      <c r="AW33" s="190"/>
      <c r="AX33" s="190"/>
      <c r="AY33" s="190"/>
      <c r="AZ33" s="190"/>
      <c r="BA33" s="190"/>
      <c r="BB33" s="190"/>
      <c r="BC33" s="190"/>
      <c r="BD33" s="190"/>
      <c r="BE33" s="190"/>
      <c r="BF33" s="190"/>
      <c r="BG33" s="190"/>
      <c r="BH33" s="190"/>
      <c r="BI33" s="190"/>
      <c r="BJ33" s="190"/>
      <c r="BK33" s="190"/>
      <c r="BL33" s="190"/>
      <c r="BM33" s="190"/>
      <c r="BN33" s="190"/>
      <c r="BO33" s="190"/>
      <c r="BP33" s="190"/>
      <c r="BQ33" s="190"/>
      <c r="BR33" s="190"/>
      <c r="BS33" s="190"/>
      <c r="BT33" s="190"/>
      <c r="BU33" s="104"/>
      <c r="BV33" s="104"/>
      <c r="BW33" s="104"/>
      <c r="BX33" s="104"/>
      <c r="BY33" s="104"/>
      <c r="BZ33" s="104"/>
      <c r="CA33" s="104"/>
      <c r="CB33" s="104"/>
      <c r="CC33" s="104"/>
      <c r="CD33" s="104"/>
      <c r="CE33" s="104"/>
      <c r="CF33" s="104"/>
      <c r="CG33" s="104"/>
      <c r="CH33" s="104"/>
      <c r="CI33" s="104"/>
      <c r="CJ33" s="104"/>
      <c r="CK33" s="104"/>
      <c r="CL33" s="104"/>
      <c r="CM33" s="104"/>
      <c r="CN33" s="104"/>
      <c r="CO33" s="104"/>
      <c r="CP33" s="104"/>
      <c r="CQ33" s="104"/>
      <c r="CR33" s="104"/>
      <c r="CS33" s="104"/>
      <c r="CT33" s="104"/>
      <c r="CU33" s="104"/>
      <c r="CV33" s="104"/>
      <c r="CW33" s="104"/>
      <c r="CX33" s="104"/>
      <c r="CY33" s="104"/>
      <c r="CZ33" s="104"/>
      <c r="DA33" s="104"/>
      <c r="DB33" s="104"/>
      <c r="DC33" s="104"/>
      <c r="DD33" s="104"/>
      <c r="DE33" s="104"/>
      <c r="DF33" s="104"/>
      <c r="DG33" s="104"/>
      <c r="DH33" s="104"/>
      <c r="DI33" s="104"/>
      <c r="DJ33" s="104"/>
      <c r="DK33" s="104"/>
      <c r="DL33" s="104"/>
      <c r="DM33" s="104"/>
      <c r="DN33" s="104"/>
      <c r="DO33" s="104"/>
      <c r="DP33" s="104"/>
      <c r="DQ33" s="104"/>
      <c r="DR33" s="104"/>
      <c r="DS33" s="7"/>
      <c r="DT33" s="7"/>
    </row>
    <row r="34" spans="1:124" ht="29.5" thickBot="1" x14ac:dyDescent="0.4">
      <c r="A34" s="163" t="s">
        <v>232</v>
      </c>
      <c r="B34" s="95">
        <v>0</v>
      </c>
      <c r="C34" s="95">
        <f>EXP(-1.0587+0.8836*LN(C27)+0.284)</f>
        <v>2.7789747523427502</v>
      </c>
      <c r="D34" s="95">
        <f t="shared" ref="D34:BO34" si="35">EXP(-1.0587+0.8836*LN(D27)+0.284)</f>
        <v>5.127134439399045</v>
      </c>
      <c r="E34" s="95">
        <f t="shared" si="35"/>
        <v>7.3361624859312808</v>
      </c>
      <c r="F34" s="95">
        <f t="shared" si="35"/>
        <v>9.4594265520083134</v>
      </c>
      <c r="G34" s="95">
        <f t="shared" si="35"/>
        <v>11.521114610680943</v>
      </c>
      <c r="H34" s="95">
        <f t="shared" si="35"/>
        <v>13.535024491653401</v>
      </c>
      <c r="I34" s="95">
        <f t="shared" si="35"/>
        <v>15.510051122235168</v>
      </c>
      <c r="J34" s="95">
        <f t="shared" si="35"/>
        <v>17.452390170468799</v>
      </c>
      <c r="K34" s="95">
        <f t="shared" si="35"/>
        <v>19.36659553118082</v>
      </c>
      <c r="L34" s="95">
        <f t="shared" si="35"/>
        <v>21.256149754828794</v>
      </c>
      <c r="M34" s="95">
        <f t="shared" si="35"/>
        <v>23.123798576601377</v>
      </c>
      <c r="N34" s="95">
        <f t="shared" si="35"/>
        <v>24.971759873227743</v>
      </c>
      <c r="O34" s="95">
        <f t="shared" si="35"/>
        <v>26.801860796534143</v>
      </c>
      <c r="P34" s="95">
        <f t="shared" si="35"/>
        <v>28.615631429761084</v>
      </c>
      <c r="Q34" s="95">
        <f t="shared" si="35"/>
        <v>30.414370886867193</v>
      </c>
      <c r="R34" s="95">
        <f t="shared" si="35"/>
        <v>32.199195267033382</v>
      </c>
      <c r="S34" s="95">
        <f t="shared" si="35"/>
        <v>33.971073271776852</v>
      </c>
      <c r="T34" s="95">
        <f t="shared" si="35"/>
        <v>35.730853199770984</v>
      </c>
      <c r="U34" s="95">
        <f t="shared" si="35"/>
        <v>37.479283770834975</v>
      </c>
      <c r="V34" s="95">
        <f t="shared" si="35"/>
        <v>33.592430854688921</v>
      </c>
      <c r="W34" s="95">
        <f t="shared" si="35"/>
        <v>35.354737078992002</v>
      </c>
      <c r="X34" s="95">
        <f t="shared" si="35"/>
        <v>37.105541014216243</v>
      </c>
      <c r="Y34" s="95">
        <f t="shared" si="35"/>
        <v>41.067720924876213</v>
      </c>
      <c r="Z34" s="95">
        <f t="shared" si="35"/>
        <v>44.980084094036968</v>
      </c>
      <c r="AA34" s="95">
        <f t="shared" si="35"/>
        <v>48.848060356022081</v>
      </c>
      <c r="AB34" s="133">
        <f t="shared" si="35"/>
        <v>53.033016507415432</v>
      </c>
      <c r="AC34" s="133">
        <f t="shared" si="35"/>
        <v>57.174862938416943</v>
      </c>
      <c r="AD34" s="133">
        <f t="shared" si="35"/>
        <v>61.277516618677062</v>
      </c>
      <c r="AE34" s="133">
        <f t="shared" si="35"/>
        <v>65.344270052656967</v>
      </c>
      <c r="AF34" s="133">
        <f t="shared" si="35"/>
        <v>69.377927711093733</v>
      </c>
      <c r="AG34" s="133">
        <f t="shared" si="35"/>
        <v>73.523328942555054</v>
      </c>
      <c r="AH34" s="133">
        <f t="shared" si="35"/>
        <v>67.076884173704443</v>
      </c>
      <c r="AI34" s="133">
        <f t="shared" si="35"/>
        <v>71.240134390233408</v>
      </c>
      <c r="AJ34" s="133">
        <f t="shared" si="35"/>
        <v>75.371557219375063</v>
      </c>
      <c r="AK34" s="133">
        <f t="shared" si="35"/>
        <v>79.473343799200705</v>
      </c>
      <c r="AL34" s="133">
        <f t="shared" si="35"/>
        <v>83.827409016646783</v>
      </c>
      <c r="AM34" s="133">
        <f t="shared" si="35"/>
        <v>88.151868747123544</v>
      </c>
      <c r="AN34" s="133">
        <f t="shared" si="35"/>
        <v>92.448548012837435</v>
      </c>
      <c r="AO34" s="133">
        <f t="shared" si="35"/>
        <v>96.719069633380201</v>
      </c>
      <c r="AP34" s="133">
        <f t="shared" si="35"/>
        <v>100.96488558522069</v>
      </c>
      <c r="AQ34" s="133">
        <f t="shared" si="35"/>
        <v>105.56757103740655</v>
      </c>
      <c r="AR34" s="133">
        <f t="shared" si="35"/>
        <v>110.14396190621589</v>
      </c>
      <c r="AS34" s="133">
        <f t="shared" si="35"/>
        <v>114.69543200879292</v>
      </c>
      <c r="AT34" s="133">
        <f t="shared" si="35"/>
        <v>93.16667801140693</v>
      </c>
      <c r="AU34" s="133">
        <f t="shared" si="35"/>
        <v>97.817074420876367</v>
      </c>
      <c r="AV34" s="133">
        <f t="shared" si="35"/>
        <v>102.57481965775942</v>
      </c>
      <c r="AW34" s="133">
        <f t="shared" si="35"/>
        <v>107.30365816033301</v>
      </c>
      <c r="AX34" s="133">
        <f t="shared" si="35"/>
        <v>112.00519145667884</v>
      </c>
      <c r="AY34" s="133">
        <f t="shared" si="35"/>
        <v>116.68086076306122</v>
      </c>
      <c r="AZ34" s="133">
        <f t="shared" si="35"/>
        <v>121.33196955338208</v>
      </c>
      <c r="BA34" s="133">
        <f t="shared" si="35"/>
        <v>125.88010547798623</v>
      </c>
      <c r="BB34" s="133">
        <f t="shared" si="35"/>
        <v>130.40669087905258</v>
      </c>
      <c r="BC34" s="133">
        <f t="shared" si="35"/>
        <v>134.91266704958841</v>
      </c>
      <c r="BD34" s="133">
        <f t="shared" si="35"/>
        <v>139.39890025883082</v>
      </c>
      <c r="BE34" s="133">
        <f t="shared" si="35"/>
        <v>143.86619023942166</v>
      </c>
      <c r="BF34" s="133">
        <f t="shared" si="35"/>
        <v>111.57396719827814</v>
      </c>
      <c r="BG34" s="133">
        <f t="shared" si="35"/>
        <v>116.17151606026489</v>
      </c>
      <c r="BH34" s="133">
        <f t="shared" si="35"/>
        <v>120.7452127764915</v>
      </c>
      <c r="BI34" s="133">
        <f t="shared" si="35"/>
        <v>124.71192358812604</v>
      </c>
      <c r="BJ34" s="133">
        <f t="shared" si="35"/>
        <v>128.662079670243</v>
      </c>
      <c r="BK34" s="189">
        <f>EXP(-1.0587+0.8836*LN(BK27)+0.284)</f>
        <v>132.59632085137139</v>
      </c>
      <c r="BL34" s="189">
        <f t="shared" si="35"/>
        <v>136.51524164121153</v>
      </c>
      <c r="BM34" s="189">
        <f t="shared" si="35"/>
        <v>140.41939580492794</v>
      </c>
      <c r="BN34" s="189">
        <f t="shared" si="35"/>
        <v>144.30930034662015</v>
      </c>
      <c r="BO34" s="189">
        <f t="shared" si="35"/>
        <v>148.1854389939478</v>
      </c>
      <c r="BP34" s="189">
        <f t="shared" ref="BP34:BS34" si="36">EXP(-1.0587+0.8836*LN(BP27)+0.284)</f>
        <v>152.04826525927345</v>
      </c>
      <c r="BQ34" s="189">
        <f t="shared" si="36"/>
        <v>154.86590644539717</v>
      </c>
      <c r="BR34" s="189">
        <f t="shared" si="36"/>
        <v>157.6768100825341</v>
      </c>
      <c r="BS34" s="189">
        <f t="shared" si="36"/>
        <v>160.48112759002808</v>
      </c>
      <c r="BT34" s="189">
        <f>EXP(-1.0587+0.8836*LN(BT27)+0.284)</f>
        <v>163.27900406296743</v>
      </c>
      <c r="BU34" s="158"/>
      <c r="BV34" s="104"/>
      <c r="BW34" s="104"/>
      <c r="BX34" s="104"/>
      <c r="BY34" s="104"/>
      <c r="BZ34" s="104"/>
      <c r="CA34" s="104"/>
      <c r="CB34" s="104"/>
      <c r="CC34" s="104"/>
      <c r="CD34" s="104"/>
      <c r="CE34" s="104"/>
      <c r="CF34" s="104"/>
      <c r="CG34" s="104"/>
      <c r="CH34" s="104"/>
      <c r="CI34" s="104"/>
      <c r="CJ34" s="104"/>
      <c r="CK34" s="104"/>
      <c r="CL34" s="104"/>
      <c r="CM34" s="104"/>
      <c r="CN34" s="104"/>
      <c r="CO34" s="104"/>
      <c r="CP34" s="104"/>
      <c r="CQ34" s="104"/>
      <c r="CR34" s="104"/>
      <c r="CS34" s="104"/>
      <c r="CT34" s="104"/>
      <c r="CU34" s="104"/>
      <c r="CV34" s="104"/>
      <c r="CW34" s="104"/>
      <c r="CX34" s="104"/>
      <c r="CY34" s="104"/>
      <c r="CZ34" s="104"/>
      <c r="DA34" s="104"/>
      <c r="DB34" s="104"/>
      <c r="DC34" s="104"/>
      <c r="DD34" s="104"/>
      <c r="DE34" s="104"/>
      <c r="DF34" s="104"/>
      <c r="DG34" s="104"/>
      <c r="DH34" s="104"/>
      <c r="DI34" s="104"/>
      <c r="DJ34" s="104"/>
      <c r="DK34" s="104"/>
      <c r="DL34" s="104"/>
      <c r="DM34" s="104"/>
      <c r="DN34" s="104"/>
      <c r="DO34" s="104"/>
      <c r="DP34" s="104"/>
      <c r="DQ34" s="104"/>
      <c r="DR34" s="104"/>
      <c r="DS34" s="7"/>
      <c r="DT34" s="7"/>
    </row>
    <row r="35" spans="1:124" ht="29.5" thickBot="1" x14ac:dyDescent="0.4">
      <c r="A35" s="169" t="s">
        <v>233</v>
      </c>
      <c r="B35" s="95">
        <v>0</v>
      </c>
      <c r="C35" s="95">
        <f>EXP(-1.0587+0.8836*LN(C29)+0.284)</f>
        <v>0.76522786172119894</v>
      </c>
      <c r="D35" s="95">
        <f t="shared" ref="D35:BI35" si="37">EXP(-1.0587+0.8836*LN(D29)+0.284)</f>
        <v>1.4118250338585823</v>
      </c>
      <c r="E35" s="95">
        <f t="shared" si="37"/>
        <v>2.0201104481484964</v>
      </c>
      <c r="F35" s="95">
        <f t="shared" si="37"/>
        <v>2.6047796034849582</v>
      </c>
      <c r="G35" s="95">
        <f t="shared" si="37"/>
        <v>3.1724929817170473</v>
      </c>
      <c r="H35" s="95">
        <f t="shared" si="37"/>
        <v>3.7270499997743585</v>
      </c>
      <c r="I35" s="95">
        <f t="shared" si="37"/>
        <v>4.2708999948448074</v>
      </c>
      <c r="J35" s="95">
        <f t="shared" si="37"/>
        <v>4.8057490269795533</v>
      </c>
      <c r="K35" s="95">
        <f t="shared" si="37"/>
        <v>5.332851072019019</v>
      </c>
      <c r="L35" s="95">
        <f t="shared" si="37"/>
        <v>5.8531650968043989</v>
      </c>
      <c r="M35" s="95">
        <f t="shared" si="37"/>
        <v>6.367447176239021</v>
      </c>
      <c r="N35" s="95">
        <f t="shared" si="37"/>
        <v>6.876308032340285</v>
      </c>
      <c r="O35" s="95">
        <f t="shared" si="37"/>
        <v>7.3802507957983323</v>
      </c>
      <c r="P35" s="95">
        <f t="shared" si="37"/>
        <v>7.879696795495474</v>
      </c>
      <c r="Q35" s="95">
        <f t="shared" si="37"/>
        <v>8.3750037598334828</v>
      </c>
      <c r="R35" s="95">
        <f t="shared" si="37"/>
        <v>8.8664790216475886</v>
      </c>
      <c r="S35" s="95">
        <f t="shared" si="37"/>
        <v>9.3543893258551467</v>
      </c>
      <c r="T35" s="95">
        <f t="shared" si="37"/>
        <v>9.8389682628403055</v>
      </c>
      <c r="U35" s="95">
        <f t="shared" si="37"/>
        <v>10.320422002618018</v>
      </c>
      <c r="V35" s="95">
        <f t="shared" si="37"/>
        <v>7.4321195890411209</v>
      </c>
      <c r="W35" s="95">
        <f t="shared" si="37"/>
        <v>7.9910621431052906</v>
      </c>
      <c r="X35" s="95">
        <f t="shared" si="37"/>
        <v>8.5448965440122091</v>
      </c>
      <c r="Y35" s="95">
        <f t="shared" si="37"/>
        <v>9.0940382847256327</v>
      </c>
      <c r="Z35" s="95">
        <f t="shared" si="37"/>
        <v>9.6388430978213631</v>
      </c>
      <c r="AA35" s="95">
        <f t="shared" si="37"/>
        <v>10.179618814251461</v>
      </c>
      <c r="AB35" s="95">
        <f t="shared" si="37"/>
        <v>10.716634298196606</v>
      </c>
      <c r="AC35" s="95">
        <f t="shared" si="37"/>
        <v>11.250126303848042</v>
      </c>
      <c r="AD35" s="95">
        <f t="shared" si="37"/>
        <v>11.780304822977742</v>
      </c>
      <c r="AE35" s="95">
        <f t="shared" si="37"/>
        <v>12.307357315381262</v>
      </c>
      <c r="AF35" s="95">
        <f t="shared" si="37"/>
        <v>8.7143454756980194</v>
      </c>
      <c r="AG35" s="95">
        <f t="shared" si="37"/>
        <v>9.3040740781859128</v>
      </c>
      <c r="AH35" s="95">
        <f t="shared" si="37"/>
        <v>9.8889154505438768</v>
      </c>
      <c r="AI35" s="95">
        <f t="shared" si="37"/>
        <v>10.469232480778887</v>
      </c>
      <c r="AJ35" s="95">
        <f t="shared" si="37"/>
        <v>11.045340132085018</v>
      </c>
      <c r="AK35" s="95">
        <f t="shared" si="37"/>
        <v>11.617514219927569</v>
      </c>
      <c r="AL35" s="95">
        <f t="shared" si="37"/>
        <v>12.185998182746063</v>
      </c>
      <c r="AM35" s="95">
        <f t="shared" si="37"/>
        <v>12.751008386582278</v>
      </c>
      <c r="AN35" s="95">
        <f t="shared" si="37"/>
        <v>13.312738338632977</v>
      </c>
      <c r="AO35" s="95">
        <f t="shared" si="37"/>
        <v>13.871362075481299</v>
      </c>
      <c r="AP35" s="95">
        <f t="shared" si="37"/>
        <v>9.9720870649078091</v>
      </c>
      <c r="AQ35" s="95">
        <f t="shared" si="37"/>
        <v>10.551784469184838</v>
      </c>
      <c r="AR35" s="95">
        <f t="shared" si="37"/>
        <v>11.12731411686009</v>
      </c>
      <c r="AS35" s="95">
        <f t="shared" si="37"/>
        <v>11.698946822696897</v>
      </c>
      <c r="AT35" s="95">
        <f t="shared" si="37"/>
        <v>12.266921861779663</v>
      </c>
      <c r="AU35" s="95">
        <f t="shared" si="37"/>
        <v>12.831452098349848</v>
      </c>
      <c r="AV35" s="95">
        <f t="shared" si="37"/>
        <v>13.392728067219489</v>
      </c>
      <c r="AW35" s="95">
        <f t="shared" si="37"/>
        <v>13.950921261155656</v>
      </c>
      <c r="AX35" s="95">
        <f t="shared" si="37"/>
        <v>14.506186807632853</v>
      </c>
      <c r="AY35" s="95">
        <f t="shared" si="37"/>
        <v>15.058665669885103</v>
      </c>
      <c r="AZ35" s="95">
        <f t="shared" si="37"/>
        <v>11.209208624449174</v>
      </c>
      <c r="BA35" s="95">
        <f t="shared" si="37"/>
        <v>11.861588871161192</v>
      </c>
      <c r="BB35" s="95">
        <f t="shared" si="37"/>
        <v>12.509273622760915</v>
      </c>
      <c r="BC35" s="95">
        <f t="shared" si="37"/>
        <v>13.152568303519065</v>
      </c>
      <c r="BD35" s="95">
        <f t="shared" si="37"/>
        <v>13.791742732282048</v>
      </c>
      <c r="BE35" s="95">
        <f t="shared" si="37"/>
        <v>14.427036917871973</v>
      </c>
      <c r="BF35" s="95">
        <f t="shared" si="37"/>
        <v>15.058665669885103</v>
      </c>
      <c r="BG35" s="95">
        <f t="shared" si="37"/>
        <v>15.686822311711159</v>
      </c>
      <c r="BH35" s="95">
        <f t="shared" si="37"/>
        <v>16.31168170330157</v>
      </c>
      <c r="BI35" s="95">
        <f t="shared" si="37"/>
        <v>16.933402726329884</v>
      </c>
      <c r="BJ35" s="118">
        <f>EXP(-1.0587+0.8836*LN(BJ29)+0.284)</f>
        <v>17.552130345695868</v>
      </c>
      <c r="BK35" s="187"/>
      <c r="BL35" s="188"/>
      <c r="BM35" s="188"/>
      <c r="BN35" s="188"/>
      <c r="BO35" s="188"/>
      <c r="BP35" s="188"/>
      <c r="BQ35" s="188"/>
      <c r="BR35" s="188"/>
      <c r="BS35" s="188"/>
      <c r="BT35" s="188"/>
      <c r="BU35" s="104"/>
      <c r="BV35" s="104"/>
      <c r="BW35" s="104"/>
      <c r="BX35" s="104"/>
      <c r="BY35" s="104"/>
      <c r="BZ35" s="104"/>
      <c r="CA35" s="104"/>
      <c r="CB35" s="104"/>
      <c r="CC35" s="104"/>
      <c r="CD35" s="104"/>
      <c r="CE35" s="104"/>
      <c r="CF35" s="104"/>
      <c r="CG35" s="104"/>
      <c r="CH35" s="104"/>
      <c r="CI35" s="104"/>
      <c r="CJ35" s="104"/>
      <c r="CK35" s="104"/>
      <c r="CL35" s="104"/>
      <c r="CM35" s="104"/>
      <c r="CN35" s="104"/>
      <c r="CO35" s="104"/>
      <c r="CP35" s="104"/>
      <c r="CQ35" s="104"/>
      <c r="CR35" s="104"/>
      <c r="CS35" s="104"/>
      <c r="CT35" s="104"/>
      <c r="CU35" s="104"/>
      <c r="CV35" s="104"/>
      <c r="CW35" s="104"/>
      <c r="CX35" s="104"/>
      <c r="CY35" s="104"/>
      <c r="CZ35" s="104"/>
      <c r="DA35" s="104"/>
      <c r="DB35" s="104"/>
      <c r="DC35" s="104"/>
      <c r="DD35" s="104"/>
      <c r="DE35" s="104"/>
      <c r="DF35" s="104"/>
      <c r="DG35" s="104"/>
      <c r="DH35" s="104"/>
      <c r="DI35" s="104"/>
      <c r="DJ35" s="104"/>
      <c r="DK35" s="104"/>
      <c r="DL35" s="104"/>
      <c r="DM35" s="104"/>
      <c r="DN35" s="104"/>
      <c r="DO35" s="104"/>
      <c r="DP35" s="104"/>
      <c r="DQ35" s="104"/>
      <c r="DR35" s="104"/>
      <c r="DS35" s="7"/>
      <c r="DT35" s="7"/>
    </row>
    <row r="36" spans="1:124" ht="31.5" customHeight="1" x14ac:dyDescent="0.35">
      <c r="A36" s="3" t="s">
        <v>10</v>
      </c>
      <c r="B36" s="95">
        <f>(0.508*(45+25*(1-(EXP(-0.0175*B19)))))+(0.492*$B$51)</f>
        <v>57.3</v>
      </c>
      <c r="C36" s="95">
        <f>(0.508*(45+25*(1-(EXP(-0.0175*C19)))))+(0.492*$B$51)</f>
        <v>57.520316607053566</v>
      </c>
      <c r="D36" s="95">
        <f t="shared" ref="D36:BN36" si="38">(0.508*(45+25*(1-(EXP(-0.0175*D19)))))+(0.492*$B$51)</f>
        <v>57.736811213528902</v>
      </c>
      <c r="E36" s="95">
        <f t="shared" si="38"/>
        <v>57.949550122591319</v>
      </c>
      <c r="F36" s="95">
        <f t="shared" si="38"/>
        <v>58.158598487194453</v>
      </c>
      <c r="G36" s="95">
        <f t="shared" si="38"/>
        <v>58.364020330033853</v>
      </c>
      <c r="H36" s="95">
        <f t="shared" si="38"/>
        <v>58.565878563154428</v>
      </c>
      <c r="I36" s="95">
        <f t="shared" si="38"/>
        <v>58.764235007217756</v>
      </c>
      <c r="J36" s="95">
        <f t="shared" si="38"/>
        <v>58.959150410435164</v>
      </c>
      <c r="K36" s="95">
        <f t="shared" si="38"/>
        <v>59.150684467172312</v>
      </c>
      <c r="L36" s="95">
        <f t="shared" si="38"/>
        <v>59.338895836231067</v>
      </c>
      <c r="M36" s="95">
        <f t="shared" si="38"/>
        <v>59.523842158814233</v>
      </c>
      <c r="N36" s="95">
        <f t="shared" si="38"/>
        <v>59.70558007617862</v>
      </c>
      <c r="O36" s="95">
        <f t="shared" si="38"/>
        <v>59.884165246981851</v>
      </c>
      <c r="P36" s="95">
        <f t="shared" si="38"/>
        <v>60.059652364328272</v>
      </c>
      <c r="Q36" s="95">
        <f t="shared" si="38"/>
        <v>60.232095172519152</v>
      </c>
      <c r="R36" s="95">
        <f t="shared" si="38"/>
        <v>60.401546483512284</v>
      </c>
      <c r="S36" s="95">
        <f t="shared" si="38"/>
        <v>60.568058193096064</v>
      </c>
      <c r="T36" s="95">
        <f t="shared" si="38"/>
        <v>60.73168129678298</v>
      </c>
      <c r="U36" s="95">
        <f t="shared" si="38"/>
        <v>60.892465905427386</v>
      </c>
      <c r="V36" s="95">
        <f t="shared" si="38"/>
        <v>61.050461260572334</v>
      </c>
      <c r="W36" s="95">
        <f t="shared" si="38"/>
        <v>61.205715749530228</v>
      </c>
      <c r="X36" s="95">
        <f t="shared" si="38"/>
        <v>61.358276920201732</v>
      </c>
      <c r="Y36" s="95">
        <f t="shared" si="38"/>
        <v>61.508191495637774</v>
      </c>
      <c r="Z36" s="95">
        <f t="shared" si="38"/>
        <v>61.655505388348779</v>
      </c>
      <c r="AA36" s="95">
        <f t="shared" si="38"/>
        <v>61.800263714365769</v>
      </c>
      <c r="AB36" s="95">
        <f t="shared" si="38"/>
        <v>61.942510807057502</v>
      </c>
      <c r="AC36" s="95">
        <f t="shared" si="38"/>
        <v>62.082290230707883</v>
      </c>
      <c r="AD36" s="95">
        <f t="shared" si="38"/>
        <v>62.21964479385791</v>
      </c>
      <c r="AE36" s="95">
        <f t="shared" si="38"/>
        <v>62.354616562416091</v>
      </c>
      <c r="AF36" s="95">
        <f t="shared" si="38"/>
        <v>62.487246872541448</v>
      </c>
      <c r="AG36" s="95">
        <f t="shared" si="38"/>
        <v>62.617576343303085</v>
      </c>
      <c r="AH36" s="95">
        <f t="shared" si="38"/>
        <v>62.745644889120044</v>
      </c>
      <c r="AI36" s="95">
        <f t="shared" si="38"/>
        <v>62.871491731985465</v>
      </c>
      <c r="AJ36" s="95">
        <f t="shared" si="38"/>
        <v>62.995155413478557</v>
      </c>
      <c r="AK36" s="95">
        <f t="shared" si="38"/>
        <v>63.116673806568315</v>
      </c>
      <c r="AL36" s="95">
        <f t="shared" si="38"/>
        <v>63.236084127212408</v>
      </c>
      <c r="AM36" s="95">
        <f t="shared" si="38"/>
        <v>63.353422945754794</v>
      </c>
      <c r="AN36" s="95">
        <f t="shared" si="38"/>
        <v>63.468726198125772</v>
      </c>
      <c r="AO36" s="95">
        <f t="shared" si="38"/>
        <v>63.582029196847571</v>
      </c>
      <c r="AP36" s="95">
        <f t="shared" si="38"/>
        <v>63.693366641849096</v>
      </c>
      <c r="AQ36" s="95">
        <f t="shared" si="38"/>
        <v>63.802772631093092</v>
      </c>
      <c r="AR36" s="95">
        <f t="shared" si="38"/>
        <v>63.910280671018839</v>
      </c>
      <c r="AS36" s="95">
        <f t="shared" si="38"/>
        <v>64.015923686803859</v>
      </c>
      <c r="AT36" s="95">
        <f t="shared" si="38"/>
        <v>64.119734032447397</v>
      </c>
      <c r="AU36" s="95">
        <f t="shared" si="38"/>
        <v>64.221743500679196</v>
      </c>
      <c r="AV36" s="95">
        <f t="shared" si="38"/>
        <v>64.321983332696163</v>
      </c>
      <c r="AW36" s="95">
        <f t="shared" si="38"/>
        <v>64.420484227730341</v>
      </c>
      <c r="AX36" s="95">
        <f t="shared" si="38"/>
        <v>64.517276352450693</v>
      </c>
      <c r="AY36" s="95">
        <f t="shared" si="38"/>
        <v>64.612389350201909</v>
      </c>
      <c r="AZ36" s="95">
        <f t="shared" si="38"/>
        <v>64.705852350082949</v>
      </c>
      <c r="BA36" s="95">
        <f t="shared" si="38"/>
        <v>64.797693975868015</v>
      </c>
      <c r="BB36" s="95">
        <f t="shared" si="38"/>
        <v>64.887942354772818</v>
      </c>
      <c r="BC36" s="95">
        <f t="shared" si="38"/>
        <v>64.976625126068782</v>
      </c>
      <c r="BD36" s="95">
        <f t="shared" si="38"/>
        <v>65.063769449547735</v>
      </c>
      <c r="BE36" s="95">
        <f t="shared" si="38"/>
        <v>65.149402013839847</v>
      </c>
      <c r="BF36" s="95">
        <f t="shared" si="38"/>
        <v>65.233549044587221</v>
      </c>
      <c r="BG36" s="95">
        <f t="shared" si="38"/>
        <v>65.316236312475709</v>
      </c>
      <c r="BH36" s="95">
        <f t="shared" si="38"/>
        <v>65.397489141127366</v>
      </c>
      <c r="BI36" s="95">
        <f t="shared" si="38"/>
        <v>65.477332414856036</v>
      </c>
      <c r="BJ36" s="95">
        <f t="shared" si="38"/>
        <v>65.555790586288325</v>
      </c>
      <c r="BK36" s="133">
        <f t="shared" si="38"/>
        <v>65.632887683852459</v>
      </c>
      <c r="BL36" s="133">
        <f t="shared" si="38"/>
        <v>65.708647319137143</v>
      </c>
      <c r="BM36" s="133">
        <f t="shared" si="38"/>
        <v>65.783092694122814</v>
      </c>
      <c r="BN36" s="133">
        <f t="shared" si="38"/>
        <v>65.856246608287393</v>
      </c>
      <c r="BO36" s="133">
        <f t="shared" ref="BO36:BT36" si="39">(0.508*(45+25*(1-(EXP(-0.0175*BO19)))))+(0.492*$B$51)</f>
        <v>65.928131465588876</v>
      </c>
      <c r="BP36" s="133">
        <f t="shared" si="39"/>
        <v>65.998769281326645</v>
      </c>
      <c r="BQ36" s="133">
        <f t="shared" si="39"/>
        <v>66.068181688883868</v>
      </c>
      <c r="BR36" s="133">
        <f t="shared" si="39"/>
        <v>66.136389946352864</v>
      </c>
      <c r="BS36" s="133">
        <f>(0.508*(45+25*(1-(EXP(-0.0175*BS19)))))+(0.492*$B$51)</f>
        <v>66.203414943045587</v>
      </c>
      <c r="BT36" s="156">
        <f t="shared" si="39"/>
        <v>66.269277205891129</v>
      </c>
      <c r="BU36" s="158"/>
      <c r="BV36" s="104"/>
      <c r="BW36" s="104"/>
      <c r="BX36" s="104"/>
      <c r="BY36" s="104"/>
      <c r="BZ36" s="104"/>
      <c r="CA36" s="104"/>
      <c r="CB36" s="104"/>
      <c r="CC36" s="104"/>
      <c r="CD36" s="104"/>
      <c r="CE36" s="104"/>
      <c r="CF36" s="104"/>
      <c r="CG36" s="104"/>
      <c r="CH36" s="104"/>
      <c r="CI36" s="104"/>
      <c r="CJ36" s="104"/>
      <c r="CK36" s="104"/>
      <c r="CL36" s="104"/>
      <c r="CM36" s="104"/>
      <c r="CN36" s="104"/>
      <c r="CO36" s="104"/>
      <c r="CP36" s="104"/>
      <c r="CQ36" s="104"/>
      <c r="CR36" s="104"/>
      <c r="CS36" s="104"/>
      <c r="CT36" s="104"/>
      <c r="CU36" s="104"/>
      <c r="CV36" s="104"/>
      <c r="CW36" s="104"/>
      <c r="CX36" s="104"/>
      <c r="CY36" s="104"/>
      <c r="CZ36" s="104"/>
      <c r="DA36" s="104"/>
      <c r="DB36" s="104"/>
      <c r="DC36" s="104"/>
      <c r="DD36" s="104"/>
      <c r="DE36" s="104"/>
      <c r="DF36" s="104"/>
      <c r="DG36" s="104"/>
      <c r="DH36" s="104"/>
      <c r="DI36" s="104"/>
      <c r="DJ36" s="104"/>
      <c r="DK36" s="104"/>
      <c r="DL36" s="104"/>
      <c r="DM36" s="104"/>
      <c r="DN36" s="104"/>
      <c r="DO36" s="104"/>
      <c r="DP36" s="104"/>
      <c r="DQ36" s="104"/>
      <c r="DR36" s="104"/>
      <c r="DS36" s="7"/>
      <c r="DT36" s="7"/>
    </row>
    <row r="37" spans="1:124" x14ac:dyDescent="0.35">
      <c r="A37" s="3" t="s">
        <v>182</v>
      </c>
      <c r="B37" s="95">
        <f>B19*(($B$47-$B$46)/30)</f>
        <v>0</v>
      </c>
      <c r="C37" s="95">
        <f>C19*(($B$47-$B$46)/30)</f>
        <v>0.33333333333333331</v>
      </c>
      <c r="D37" s="95">
        <f t="shared" ref="D37:AF37" si="40">D19*(($B$47-$B$46)/30)</f>
        <v>0.66666666666666663</v>
      </c>
      <c r="E37" s="95">
        <f t="shared" si="40"/>
        <v>1</v>
      </c>
      <c r="F37" s="95">
        <f t="shared" si="40"/>
        <v>1.3333333333333333</v>
      </c>
      <c r="G37" s="95">
        <f t="shared" si="40"/>
        <v>1.6666666666666665</v>
      </c>
      <c r="H37" s="95">
        <f t="shared" si="40"/>
        <v>2</v>
      </c>
      <c r="I37" s="95">
        <f t="shared" si="40"/>
        <v>2.333333333333333</v>
      </c>
      <c r="J37" s="95">
        <f t="shared" si="40"/>
        <v>2.6666666666666665</v>
      </c>
      <c r="K37" s="95">
        <f t="shared" si="40"/>
        <v>3</v>
      </c>
      <c r="L37" s="95">
        <f t="shared" si="40"/>
        <v>3.333333333333333</v>
      </c>
      <c r="M37" s="95">
        <f t="shared" si="40"/>
        <v>3.6666666666666665</v>
      </c>
      <c r="N37" s="95">
        <f t="shared" si="40"/>
        <v>4</v>
      </c>
      <c r="O37" s="95">
        <f t="shared" si="40"/>
        <v>4.333333333333333</v>
      </c>
      <c r="P37" s="95">
        <f t="shared" si="40"/>
        <v>4.6666666666666661</v>
      </c>
      <c r="Q37" s="95">
        <f t="shared" si="40"/>
        <v>5</v>
      </c>
      <c r="R37" s="95">
        <f t="shared" si="40"/>
        <v>5.333333333333333</v>
      </c>
      <c r="S37" s="95">
        <f t="shared" si="40"/>
        <v>5.6666666666666661</v>
      </c>
      <c r="T37" s="95">
        <f t="shared" si="40"/>
        <v>6</v>
      </c>
      <c r="U37" s="95">
        <f t="shared" si="40"/>
        <v>6.333333333333333</v>
      </c>
      <c r="V37" s="95">
        <f t="shared" si="40"/>
        <v>6.6666666666666661</v>
      </c>
      <c r="W37" s="95">
        <f t="shared" si="40"/>
        <v>7</v>
      </c>
      <c r="X37" s="95">
        <f t="shared" si="40"/>
        <v>7.333333333333333</v>
      </c>
      <c r="Y37" s="95">
        <f t="shared" si="40"/>
        <v>7.6666666666666661</v>
      </c>
      <c r="Z37" s="95">
        <f t="shared" si="40"/>
        <v>8</v>
      </c>
      <c r="AA37" s="95">
        <f t="shared" si="40"/>
        <v>8.3333333333333321</v>
      </c>
      <c r="AB37" s="95">
        <f t="shared" si="40"/>
        <v>8.6666666666666661</v>
      </c>
      <c r="AC37" s="95">
        <f t="shared" si="40"/>
        <v>9</v>
      </c>
      <c r="AD37" s="95">
        <f t="shared" si="40"/>
        <v>9.3333333333333321</v>
      </c>
      <c r="AE37" s="95">
        <f t="shared" si="40"/>
        <v>9.6666666666666661</v>
      </c>
      <c r="AF37" s="95">
        <f t="shared" si="40"/>
        <v>10</v>
      </c>
      <c r="AG37" s="95">
        <v>10</v>
      </c>
      <c r="AH37" s="95">
        <v>10</v>
      </c>
      <c r="AI37" s="95">
        <v>10</v>
      </c>
      <c r="AJ37" s="95">
        <v>10</v>
      </c>
      <c r="AK37" s="95">
        <v>10</v>
      </c>
      <c r="AL37" s="95">
        <v>10</v>
      </c>
      <c r="AM37" s="95">
        <v>10</v>
      </c>
      <c r="AN37" s="95">
        <v>10</v>
      </c>
      <c r="AO37" s="95">
        <v>10</v>
      </c>
      <c r="AP37" s="95">
        <v>10</v>
      </c>
      <c r="AQ37" s="95">
        <v>10</v>
      </c>
      <c r="AR37" s="95">
        <v>10</v>
      </c>
      <c r="AS37" s="95">
        <v>10</v>
      </c>
      <c r="AT37" s="95">
        <v>10</v>
      </c>
      <c r="AU37" s="95">
        <v>10</v>
      </c>
      <c r="AV37" s="95">
        <v>10</v>
      </c>
      <c r="AW37" s="95">
        <v>10</v>
      </c>
      <c r="AX37" s="95">
        <v>10</v>
      </c>
      <c r="AY37" s="95">
        <v>10</v>
      </c>
      <c r="AZ37" s="95">
        <v>10</v>
      </c>
      <c r="BA37" s="95">
        <v>10</v>
      </c>
      <c r="BB37" s="95">
        <v>10</v>
      </c>
      <c r="BC37" s="95">
        <v>10</v>
      </c>
      <c r="BD37" s="95">
        <v>10</v>
      </c>
      <c r="BE37" s="95">
        <v>10</v>
      </c>
      <c r="BF37" s="95">
        <v>10</v>
      </c>
      <c r="BG37" s="95">
        <v>10</v>
      </c>
      <c r="BH37" s="95">
        <v>10</v>
      </c>
      <c r="BI37" s="95">
        <v>10</v>
      </c>
      <c r="BJ37" s="95">
        <v>10</v>
      </c>
      <c r="BK37" s="95">
        <v>10</v>
      </c>
      <c r="BL37" s="95">
        <v>10</v>
      </c>
      <c r="BM37" s="95">
        <v>10</v>
      </c>
      <c r="BN37" s="95">
        <v>10</v>
      </c>
      <c r="BO37" s="95">
        <v>10</v>
      </c>
      <c r="BP37" s="95">
        <v>10</v>
      </c>
      <c r="BQ37" s="95">
        <v>10</v>
      </c>
      <c r="BR37" s="95">
        <v>10</v>
      </c>
      <c r="BS37" s="95">
        <v>10</v>
      </c>
      <c r="BT37" s="118">
        <v>10</v>
      </c>
      <c r="BU37" s="158"/>
      <c r="BV37" s="104"/>
      <c r="BW37" s="104"/>
      <c r="BX37" s="104"/>
      <c r="BY37" s="104"/>
      <c r="BZ37" s="104"/>
      <c r="CA37" s="104"/>
      <c r="CB37" s="104"/>
      <c r="CC37" s="104"/>
      <c r="CD37" s="104"/>
      <c r="CE37" s="104"/>
      <c r="CF37" s="104"/>
      <c r="CG37" s="104"/>
      <c r="CH37" s="104"/>
      <c r="CI37" s="104"/>
      <c r="CJ37" s="104"/>
      <c r="CK37" s="104"/>
      <c r="CL37" s="104"/>
      <c r="CM37" s="104"/>
      <c r="CN37" s="104"/>
      <c r="CO37" s="104"/>
      <c r="CP37" s="104"/>
      <c r="CQ37" s="104"/>
      <c r="CR37" s="104"/>
      <c r="CS37" s="104"/>
      <c r="CT37" s="104"/>
      <c r="CU37" s="104"/>
      <c r="CV37" s="104"/>
      <c r="CW37" s="104"/>
      <c r="CX37" s="104"/>
      <c r="CY37" s="104"/>
      <c r="CZ37" s="104"/>
      <c r="DA37" s="104"/>
      <c r="DB37" s="104"/>
      <c r="DC37" s="104"/>
      <c r="DD37" s="104"/>
      <c r="DE37" s="104"/>
      <c r="DF37" s="104"/>
      <c r="DG37" s="104"/>
      <c r="DH37" s="104"/>
      <c r="DI37" s="104"/>
      <c r="DJ37" s="104"/>
      <c r="DK37" s="104"/>
      <c r="DL37" s="104"/>
      <c r="DM37" s="104"/>
      <c r="DN37" s="104"/>
      <c r="DO37" s="104"/>
      <c r="DP37" s="104"/>
      <c r="DQ37" s="104"/>
      <c r="DR37" s="104"/>
      <c r="DS37" s="7"/>
      <c r="DT37" s="7"/>
    </row>
    <row r="38" spans="1:124" ht="32" customHeight="1" x14ac:dyDescent="0.35">
      <c r="A38" s="199" t="s">
        <v>213</v>
      </c>
      <c r="B38" s="200"/>
      <c r="C38" s="200"/>
      <c r="D38" s="200"/>
      <c r="E38" s="200"/>
      <c r="F38" s="200"/>
      <c r="G38" s="200"/>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57"/>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7"/>
      <c r="DT38" s="7"/>
    </row>
    <row r="39" spans="1:124" ht="29" x14ac:dyDescent="0.35">
      <c r="A39" s="3" t="s">
        <v>215</v>
      </c>
      <c r="B39" s="95">
        <f>((($B$48*0.508)+B40)*$B$10)*(44/12)</f>
        <v>1777.2479999999998</v>
      </c>
      <c r="C39" s="95">
        <f t="shared" ref="C39:BN39" si="41">((($B$48*0.508)+C40)*$B$10)*(44/12)</f>
        <v>1777.2479999999998</v>
      </c>
      <c r="D39" s="95">
        <f t="shared" si="41"/>
        <v>1777.2479999999998</v>
      </c>
      <c r="E39" s="95">
        <f t="shared" si="41"/>
        <v>1777.2479999999998</v>
      </c>
      <c r="F39" s="95">
        <f>((($B$48*0.508)+F40)*$B$10)*(44/12)</f>
        <v>1777.2479999999998</v>
      </c>
      <c r="G39" s="95">
        <f t="shared" si="41"/>
        <v>1777.2479999999998</v>
      </c>
      <c r="H39" s="95">
        <f t="shared" si="41"/>
        <v>1777.2479999999998</v>
      </c>
      <c r="I39" s="95">
        <f t="shared" si="41"/>
        <v>1777.2479999999998</v>
      </c>
      <c r="J39" s="95">
        <f t="shared" si="41"/>
        <v>1777.2479999999998</v>
      </c>
      <c r="K39" s="95">
        <f t="shared" si="41"/>
        <v>1777.2479999999998</v>
      </c>
      <c r="L39" s="95">
        <f t="shared" si="41"/>
        <v>1777.2479999999998</v>
      </c>
      <c r="M39" s="95">
        <f t="shared" si="41"/>
        <v>1777.2479999999998</v>
      </c>
      <c r="N39" s="95">
        <f t="shared" si="41"/>
        <v>1777.2479999999998</v>
      </c>
      <c r="O39" s="95">
        <f t="shared" si="41"/>
        <v>1777.2479999999998</v>
      </c>
      <c r="P39" s="95">
        <f t="shared" si="41"/>
        <v>1777.2479999999998</v>
      </c>
      <c r="Q39" s="95">
        <f t="shared" si="41"/>
        <v>1777.2479999999998</v>
      </c>
      <c r="R39" s="95">
        <f t="shared" si="41"/>
        <v>1777.2479999999998</v>
      </c>
      <c r="S39" s="95">
        <f t="shared" si="41"/>
        <v>1777.2479999999998</v>
      </c>
      <c r="T39" s="95">
        <f t="shared" si="41"/>
        <v>1777.2479999999998</v>
      </c>
      <c r="U39" s="95">
        <f t="shared" si="41"/>
        <v>1777.2479999999998</v>
      </c>
      <c r="V39" s="95">
        <f t="shared" si="41"/>
        <v>1777.2479999999998</v>
      </c>
      <c r="W39" s="95">
        <f t="shared" si="41"/>
        <v>1777.2479999999998</v>
      </c>
      <c r="X39" s="95">
        <f t="shared" si="41"/>
        <v>1777.2479999999998</v>
      </c>
      <c r="Y39" s="95">
        <f t="shared" si="41"/>
        <v>1777.2479999999998</v>
      </c>
      <c r="Z39" s="95">
        <f t="shared" si="41"/>
        <v>1777.2479999999998</v>
      </c>
      <c r="AA39" s="95">
        <f t="shared" si="41"/>
        <v>1777.2479999999998</v>
      </c>
      <c r="AB39" s="95">
        <f t="shared" si="41"/>
        <v>1777.2479999999998</v>
      </c>
      <c r="AC39" s="95">
        <f t="shared" si="41"/>
        <v>1777.2479999999998</v>
      </c>
      <c r="AD39" s="95">
        <f t="shared" si="41"/>
        <v>1777.2479999999998</v>
      </c>
      <c r="AE39" s="95">
        <f t="shared" si="41"/>
        <v>1777.2479999999998</v>
      </c>
      <c r="AF39" s="95">
        <f t="shared" si="41"/>
        <v>1777.2479999999998</v>
      </c>
      <c r="AG39" s="95">
        <f t="shared" si="41"/>
        <v>1777.2479999999998</v>
      </c>
      <c r="AH39" s="95">
        <f t="shared" si="41"/>
        <v>1777.2479999999998</v>
      </c>
      <c r="AI39" s="95">
        <f t="shared" si="41"/>
        <v>1777.2479999999998</v>
      </c>
      <c r="AJ39" s="95">
        <f t="shared" si="41"/>
        <v>1777.2479999999998</v>
      </c>
      <c r="AK39" s="95">
        <f t="shared" si="41"/>
        <v>1777.2479999999998</v>
      </c>
      <c r="AL39" s="95">
        <f t="shared" si="41"/>
        <v>1777.2479999999998</v>
      </c>
      <c r="AM39" s="95">
        <f t="shared" si="41"/>
        <v>1777.2479999999998</v>
      </c>
      <c r="AN39" s="95">
        <f t="shared" si="41"/>
        <v>1777.2479999999998</v>
      </c>
      <c r="AO39" s="95">
        <f t="shared" si="41"/>
        <v>1777.2479999999998</v>
      </c>
      <c r="AP39" s="95">
        <f t="shared" si="41"/>
        <v>1777.2479999999998</v>
      </c>
      <c r="AQ39" s="95">
        <f t="shared" si="41"/>
        <v>1777.2479999999998</v>
      </c>
      <c r="AR39" s="95">
        <f t="shared" si="41"/>
        <v>1777.2479999999998</v>
      </c>
      <c r="AS39" s="95">
        <f t="shared" si="41"/>
        <v>1777.2479999999998</v>
      </c>
      <c r="AT39" s="95">
        <f t="shared" si="41"/>
        <v>1777.2479999999998</v>
      </c>
      <c r="AU39" s="95">
        <f t="shared" si="41"/>
        <v>1777.2479999999998</v>
      </c>
      <c r="AV39" s="95">
        <f t="shared" si="41"/>
        <v>1777.2479999999998</v>
      </c>
      <c r="AW39" s="95">
        <f t="shared" si="41"/>
        <v>1777.2479999999998</v>
      </c>
      <c r="AX39" s="95">
        <f t="shared" si="41"/>
        <v>1777.2479999999998</v>
      </c>
      <c r="AY39" s="95">
        <f t="shared" si="41"/>
        <v>1777.2479999999998</v>
      </c>
      <c r="AZ39" s="95">
        <f t="shared" si="41"/>
        <v>1777.2479999999998</v>
      </c>
      <c r="BA39" s="95">
        <f t="shared" si="41"/>
        <v>1777.2479999999998</v>
      </c>
      <c r="BB39" s="95">
        <f t="shared" si="41"/>
        <v>1777.2479999999998</v>
      </c>
      <c r="BC39" s="95">
        <f t="shared" si="41"/>
        <v>1777.2479999999998</v>
      </c>
      <c r="BD39" s="95">
        <f t="shared" si="41"/>
        <v>1777.2479999999998</v>
      </c>
      <c r="BE39" s="95">
        <f t="shared" si="41"/>
        <v>1777.2479999999998</v>
      </c>
      <c r="BF39" s="95">
        <f t="shared" si="41"/>
        <v>1777.2479999999998</v>
      </c>
      <c r="BG39" s="95">
        <f t="shared" si="41"/>
        <v>1777.2479999999998</v>
      </c>
      <c r="BH39" s="95">
        <f t="shared" si="41"/>
        <v>1777.2479999999998</v>
      </c>
      <c r="BI39" s="95">
        <f t="shared" si="41"/>
        <v>1777.2479999999998</v>
      </c>
      <c r="BJ39" s="95">
        <f t="shared" si="41"/>
        <v>1777.2479999999998</v>
      </c>
      <c r="BK39" s="95">
        <f t="shared" si="41"/>
        <v>1777.2479999999998</v>
      </c>
      <c r="BL39" s="95">
        <f t="shared" si="41"/>
        <v>1777.2479999999998</v>
      </c>
      <c r="BM39" s="95">
        <f t="shared" si="41"/>
        <v>1777.2479999999998</v>
      </c>
      <c r="BN39" s="95">
        <f t="shared" si="41"/>
        <v>1777.2479999999998</v>
      </c>
      <c r="BO39" s="95">
        <f t="shared" ref="BO39:BT39" si="42">((($B$48*0.508)+BO40)*$B$10)*(44/12)</f>
        <v>1777.2479999999998</v>
      </c>
      <c r="BP39" s="95">
        <f t="shared" si="42"/>
        <v>1777.2479999999998</v>
      </c>
      <c r="BQ39" s="95">
        <f t="shared" si="42"/>
        <v>1777.2479999999998</v>
      </c>
      <c r="BR39" s="95">
        <f t="shared" si="42"/>
        <v>1777.2479999999998</v>
      </c>
      <c r="BS39" s="95">
        <f t="shared" si="42"/>
        <v>1777.2479999999998</v>
      </c>
      <c r="BT39" s="118">
        <f t="shared" si="42"/>
        <v>1777.2479999999998</v>
      </c>
      <c r="BU39" s="158"/>
      <c r="BV39" s="104"/>
      <c r="BW39" s="104"/>
      <c r="BX39" s="104"/>
      <c r="BY39" s="104"/>
      <c r="BZ39" s="104"/>
      <c r="CA39" s="104"/>
      <c r="CB39" s="104"/>
      <c r="CC39" s="104"/>
      <c r="CD39" s="104"/>
      <c r="CE39" s="104"/>
      <c r="CF39" s="104"/>
      <c r="CG39" s="104"/>
      <c r="CH39" s="104"/>
      <c r="CI39" s="104"/>
      <c r="CJ39" s="104"/>
      <c r="CK39" s="104"/>
      <c r="CL39" s="104"/>
      <c r="CM39" s="104"/>
      <c r="CN39" s="104"/>
      <c r="CO39" s="104"/>
      <c r="CP39" s="104"/>
      <c r="CQ39" s="104"/>
      <c r="CR39" s="104"/>
      <c r="CS39" s="104"/>
      <c r="CT39" s="104"/>
      <c r="CU39" s="104"/>
      <c r="CV39" s="104"/>
      <c r="CW39" s="104"/>
      <c r="CX39" s="104"/>
      <c r="CY39" s="104"/>
      <c r="CZ39" s="104"/>
      <c r="DA39" s="104"/>
      <c r="DB39" s="104"/>
      <c r="DC39" s="104"/>
      <c r="DD39" s="104"/>
      <c r="DE39" s="104"/>
      <c r="DF39" s="104"/>
      <c r="DG39" s="104"/>
      <c r="DH39" s="104"/>
      <c r="DI39" s="104"/>
      <c r="DJ39" s="104"/>
      <c r="DK39" s="104"/>
      <c r="DL39" s="104"/>
      <c r="DM39" s="104"/>
      <c r="DN39" s="104"/>
      <c r="DO39" s="104"/>
      <c r="DP39" s="104"/>
      <c r="DQ39" s="104"/>
      <c r="DR39" s="104"/>
      <c r="DS39" s="7"/>
      <c r="DT39" s="7"/>
    </row>
    <row r="40" spans="1:124" ht="29" x14ac:dyDescent="0.35">
      <c r="A40" s="3" t="s">
        <v>10</v>
      </c>
      <c r="B40" s="12">
        <f>($B$50*0.508)+($B$51*0.492)</f>
        <v>57.3</v>
      </c>
      <c r="C40" s="12">
        <f t="shared" ref="C40:BN40" si="43">($B$50*0.508)+($B$51*0.492)</f>
        <v>57.3</v>
      </c>
      <c r="D40" s="12">
        <f t="shared" si="43"/>
        <v>57.3</v>
      </c>
      <c r="E40" s="12">
        <f t="shared" si="43"/>
        <v>57.3</v>
      </c>
      <c r="F40" s="12">
        <f t="shared" si="43"/>
        <v>57.3</v>
      </c>
      <c r="G40" s="12">
        <f t="shared" si="43"/>
        <v>57.3</v>
      </c>
      <c r="H40" s="12">
        <f t="shared" si="43"/>
        <v>57.3</v>
      </c>
      <c r="I40" s="12">
        <f t="shared" si="43"/>
        <v>57.3</v>
      </c>
      <c r="J40" s="12">
        <f t="shared" si="43"/>
        <v>57.3</v>
      </c>
      <c r="K40" s="12">
        <f t="shared" si="43"/>
        <v>57.3</v>
      </c>
      <c r="L40" s="12">
        <f t="shared" si="43"/>
        <v>57.3</v>
      </c>
      <c r="M40" s="12">
        <f t="shared" si="43"/>
        <v>57.3</v>
      </c>
      <c r="N40" s="12">
        <f t="shared" si="43"/>
        <v>57.3</v>
      </c>
      <c r="O40" s="12">
        <f t="shared" si="43"/>
        <v>57.3</v>
      </c>
      <c r="P40" s="12">
        <f t="shared" si="43"/>
        <v>57.3</v>
      </c>
      <c r="Q40" s="12">
        <f t="shared" si="43"/>
        <v>57.3</v>
      </c>
      <c r="R40" s="12">
        <f t="shared" si="43"/>
        <v>57.3</v>
      </c>
      <c r="S40" s="12">
        <f t="shared" si="43"/>
        <v>57.3</v>
      </c>
      <c r="T40" s="12">
        <f t="shared" si="43"/>
        <v>57.3</v>
      </c>
      <c r="U40" s="12">
        <f t="shared" si="43"/>
        <v>57.3</v>
      </c>
      <c r="V40" s="12">
        <f t="shared" si="43"/>
        <v>57.3</v>
      </c>
      <c r="W40" s="12">
        <f t="shared" si="43"/>
        <v>57.3</v>
      </c>
      <c r="X40" s="12">
        <f t="shared" si="43"/>
        <v>57.3</v>
      </c>
      <c r="Y40" s="12">
        <f t="shared" si="43"/>
        <v>57.3</v>
      </c>
      <c r="Z40" s="12">
        <f t="shared" si="43"/>
        <v>57.3</v>
      </c>
      <c r="AA40" s="12">
        <f t="shared" si="43"/>
        <v>57.3</v>
      </c>
      <c r="AB40" s="12">
        <f t="shared" si="43"/>
        <v>57.3</v>
      </c>
      <c r="AC40" s="12">
        <f t="shared" si="43"/>
        <v>57.3</v>
      </c>
      <c r="AD40" s="12">
        <f t="shared" si="43"/>
        <v>57.3</v>
      </c>
      <c r="AE40" s="12">
        <f t="shared" si="43"/>
        <v>57.3</v>
      </c>
      <c r="AF40" s="12">
        <f t="shared" si="43"/>
        <v>57.3</v>
      </c>
      <c r="AG40" s="12">
        <f t="shared" si="43"/>
        <v>57.3</v>
      </c>
      <c r="AH40" s="12">
        <f t="shared" si="43"/>
        <v>57.3</v>
      </c>
      <c r="AI40" s="12">
        <f t="shared" si="43"/>
        <v>57.3</v>
      </c>
      <c r="AJ40" s="12">
        <f t="shared" si="43"/>
        <v>57.3</v>
      </c>
      <c r="AK40" s="12">
        <f t="shared" si="43"/>
        <v>57.3</v>
      </c>
      <c r="AL40" s="12">
        <f t="shared" si="43"/>
        <v>57.3</v>
      </c>
      <c r="AM40" s="12">
        <f t="shared" si="43"/>
        <v>57.3</v>
      </c>
      <c r="AN40" s="12">
        <f t="shared" si="43"/>
        <v>57.3</v>
      </c>
      <c r="AO40" s="12">
        <f t="shared" si="43"/>
        <v>57.3</v>
      </c>
      <c r="AP40" s="12">
        <f t="shared" si="43"/>
        <v>57.3</v>
      </c>
      <c r="AQ40" s="12">
        <f t="shared" si="43"/>
        <v>57.3</v>
      </c>
      <c r="AR40" s="12">
        <f t="shared" si="43"/>
        <v>57.3</v>
      </c>
      <c r="AS40" s="12">
        <f t="shared" si="43"/>
        <v>57.3</v>
      </c>
      <c r="AT40" s="12">
        <f t="shared" si="43"/>
        <v>57.3</v>
      </c>
      <c r="AU40" s="12">
        <f t="shared" si="43"/>
        <v>57.3</v>
      </c>
      <c r="AV40" s="12">
        <f t="shared" si="43"/>
        <v>57.3</v>
      </c>
      <c r="AW40" s="12">
        <f t="shared" si="43"/>
        <v>57.3</v>
      </c>
      <c r="AX40" s="12">
        <f t="shared" si="43"/>
        <v>57.3</v>
      </c>
      <c r="AY40" s="12">
        <f t="shared" si="43"/>
        <v>57.3</v>
      </c>
      <c r="AZ40" s="12">
        <f t="shared" si="43"/>
        <v>57.3</v>
      </c>
      <c r="BA40" s="12">
        <f t="shared" si="43"/>
        <v>57.3</v>
      </c>
      <c r="BB40" s="12">
        <f t="shared" si="43"/>
        <v>57.3</v>
      </c>
      <c r="BC40" s="12">
        <f t="shared" si="43"/>
        <v>57.3</v>
      </c>
      <c r="BD40" s="12">
        <f t="shared" si="43"/>
        <v>57.3</v>
      </c>
      <c r="BE40" s="12">
        <f t="shared" si="43"/>
        <v>57.3</v>
      </c>
      <c r="BF40" s="12">
        <f t="shared" si="43"/>
        <v>57.3</v>
      </c>
      <c r="BG40" s="12">
        <f t="shared" si="43"/>
        <v>57.3</v>
      </c>
      <c r="BH40" s="12">
        <f t="shared" si="43"/>
        <v>57.3</v>
      </c>
      <c r="BI40" s="12">
        <f t="shared" si="43"/>
        <v>57.3</v>
      </c>
      <c r="BJ40" s="12">
        <f t="shared" si="43"/>
        <v>57.3</v>
      </c>
      <c r="BK40" s="12">
        <f t="shared" si="43"/>
        <v>57.3</v>
      </c>
      <c r="BL40" s="12">
        <f t="shared" si="43"/>
        <v>57.3</v>
      </c>
      <c r="BM40" s="12">
        <f t="shared" si="43"/>
        <v>57.3</v>
      </c>
      <c r="BN40" s="12">
        <f t="shared" si="43"/>
        <v>57.3</v>
      </c>
      <c r="BO40" s="12">
        <f t="shared" ref="BO40:BT40" si="44">($B$50*0.508)+($B$51*0.492)</f>
        <v>57.3</v>
      </c>
      <c r="BP40" s="12">
        <f t="shared" si="44"/>
        <v>57.3</v>
      </c>
      <c r="BQ40" s="12">
        <f t="shared" si="44"/>
        <v>57.3</v>
      </c>
      <c r="BR40" s="12">
        <f t="shared" si="44"/>
        <v>57.3</v>
      </c>
      <c r="BS40" s="12">
        <f t="shared" si="44"/>
        <v>57.3</v>
      </c>
      <c r="BT40" s="13">
        <f t="shared" si="44"/>
        <v>57.3</v>
      </c>
      <c r="BU40" s="57"/>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7"/>
      <c r="DT40" s="7"/>
    </row>
    <row r="41" spans="1:124" ht="15" thickBot="1" x14ac:dyDescent="0.4">
      <c r="A41" s="99" t="s">
        <v>214</v>
      </c>
      <c r="B41" s="95">
        <f>B21-B39</f>
        <v>-75.438000000000102</v>
      </c>
      <c r="C41" s="107">
        <f t="shared" ref="C41:AG41" si="45">C21-C39</f>
        <v>-23.619123504133313</v>
      </c>
      <c r="D41" s="107">
        <f t="shared" si="45"/>
        <v>26.559155957990015</v>
      </c>
      <c r="E41" s="107">
        <f t="shared" si="45"/>
        <v>76.132719853600065</v>
      </c>
      <c r="F41" s="107">
        <f t="shared" si="45"/>
        <v>125.29267228173239</v>
      </c>
      <c r="G41" s="107">
        <f t="shared" si="45"/>
        <v>174.12665233413918</v>
      </c>
      <c r="H41" s="107">
        <f t="shared" si="45"/>
        <v>232.30977937279408</v>
      </c>
      <c r="I41" s="107">
        <f t="shared" si="45"/>
        <v>290.15193056530711</v>
      </c>
      <c r="J41" s="107">
        <f t="shared" si="45"/>
        <v>347.70544569338222</v>
      </c>
      <c r="K41" s="107">
        <f t="shared" si="45"/>
        <v>405.00485003463677</v>
      </c>
      <c r="L41" s="107">
        <f t="shared" si="45"/>
        <v>462.07494407202034</v>
      </c>
      <c r="M41" s="107">
        <f t="shared" si="45"/>
        <v>518.76668732994608</v>
      </c>
      <c r="N41" s="107">
        <f t="shared" si="45"/>
        <v>576.6114926935436</v>
      </c>
      <c r="O41" s="107">
        <f t="shared" si="45"/>
        <v>635.1610795182653</v>
      </c>
      <c r="P41" s="107">
        <f t="shared" si="45"/>
        <v>694.41742836927847</v>
      </c>
      <c r="Q41" s="107">
        <f t="shared" si="45"/>
        <v>754.38169456999481</v>
      </c>
      <c r="R41" s="107">
        <f t="shared" si="45"/>
        <v>813.66855658137661</v>
      </c>
      <c r="S41" s="107">
        <f t="shared" si="45"/>
        <v>874.10694826671329</v>
      </c>
      <c r="T41" s="107">
        <f t="shared" si="45"/>
        <v>935.69223601605086</v>
      </c>
      <c r="U41" s="107">
        <f t="shared" si="45"/>
        <v>998.42045521342175</v>
      </c>
      <c r="V41" s="107">
        <f t="shared" si="45"/>
        <v>959.36604429724025</v>
      </c>
      <c r="W41" s="107">
        <f t="shared" si="45"/>
        <v>1022.9282106030389</v>
      </c>
      <c r="X41" s="107">
        <f t="shared" si="45"/>
        <v>1088.0504293830525</v>
      </c>
      <c r="Y41" s="107">
        <f t="shared" si="45"/>
        <v>1175.7075697077955</v>
      </c>
      <c r="Z41" s="107">
        <f t="shared" si="45"/>
        <v>1264.8464790504083</v>
      </c>
      <c r="AA41" s="107">
        <f t="shared" si="45"/>
        <v>1355.90018729198</v>
      </c>
      <c r="AB41" s="107">
        <f t="shared" si="45"/>
        <v>1241.8580223105103</v>
      </c>
      <c r="AC41" s="107">
        <f t="shared" si="45"/>
        <v>1312.1482127302536</v>
      </c>
      <c r="AD41" s="107">
        <f t="shared" si="45"/>
        <v>1382.2851004574725</v>
      </c>
      <c r="AE41" s="107">
        <f t="shared" si="45"/>
        <v>1452.2762319831893</v>
      </c>
      <c r="AF41" s="107">
        <f t="shared" si="45"/>
        <v>1488.3038372543863</v>
      </c>
      <c r="AG41" s="107">
        <f t="shared" si="45"/>
        <v>1547.809526715899</v>
      </c>
      <c r="AH41" s="107">
        <f t="shared" ref="AH41:BM41" si="46">AH21-AH39</f>
        <v>1500.8638544027078</v>
      </c>
      <c r="AI41" s="107">
        <f t="shared" si="46"/>
        <v>1560.2427431980407</v>
      </c>
      <c r="AJ41" s="107">
        <f t="shared" si="46"/>
        <v>1619.4899944421061</v>
      </c>
      <c r="AK41" s="107">
        <f t="shared" si="46"/>
        <v>1678.6111220508162</v>
      </c>
      <c r="AL41" s="107">
        <f t="shared" si="46"/>
        <v>1264.7615209464846</v>
      </c>
      <c r="AM41" s="107">
        <f t="shared" si="46"/>
        <v>1317.3268670727882</v>
      </c>
      <c r="AN41" s="107">
        <f t="shared" si="46"/>
        <v>1369.7776594691466</v>
      </c>
      <c r="AO41" s="107">
        <f t="shared" si="46"/>
        <v>1422.1180764419735</v>
      </c>
      <c r="AP41" s="107">
        <f t="shared" si="46"/>
        <v>1437.2737667778918</v>
      </c>
      <c r="AQ41" s="107">
        <f t="shared" si="46"/>
        <v>1493.4405187441114</v>
      </c>
      <c r="AR41" s="107">
        <f t="shared" si="46"/>
        <v>1549.4978463734494</v>
      </c>
      <c r="AS41" s="107">
        <f t="shared" si="46"/>
        <v>1605.4495919442522</v>
      </c>
      <c r="AT41" s="107">
        <f t="shared" si="46"/>
        <v>1387.7903348414868</v>
      </c>
      <c r="AU41" s="107">
        <f t="shared" si="46"/>
        <v>1443.7940905671569</v>
      </c>
      <c r="AV41" s="107">
        <f t="shared" si="46"/>
        <v>1501.1147483354137</v>
      </c>
      <c r="AW41" s="107">
        <f t="shared" si="46"/>
        <v>1558.3280446133501</v>
      </c>
      <c r="AX41" s="107">
        <f t="shared" si="46"/>
        <v>1615.4379348594609</v>
      </c>
      <c r="AY41" s="107">
        <f t="shared" si="46"/>
        <v>1672.4480551103777</v>
      </c>
      <c r="AZ41" s="107">
        <f t="shared" si="46"/>
        <v>1692.3805421531854</v>
      </c>
      <c r="BA41" s="107">
        <f t="shared" si="46"/>
        <v>1749.0655550000445</v>
      </c>
      <c r="BB41" s="107">
        <f t="shared" si="46"/>
        <v>1805.6575365987439</v>
      </c>
      <c r="BC41" s="107">
        <f t="shared" si="46"/>
        <v>1862.1594792015715</v>
      </c>
      <c r="BD41" s="107">
        <f t="shared" si="46"/>
        <v>1918.5741681410884</v>
      </c>
      <c r="BE41" s="107">
        <f t="shared" si="46"/>
        <v>1974.9042069526629</v>
      </c>
      <c r="BF41" s="107">
        <f t="shared" si="46"/>
        <v>1636.8518276349571</v>
      </c>
      <c r="BG41" s="107">
        <f t="shared" si="46"/>
        <v>1693.3088274730533</v>
      </c>
      <c r="BH41" s="107">
        <f t="shared" si="46"/>
        <v>1749.6759392677889</v>
      </c>
      <c r="BI41" s="107">
        <f t="shared" si="46"/>
        <v>1799.710640433568</v>
      </c>
      <c r="BJ41" s="107">
        <f t="shared" si="46"/>
        <v>1849.6701577291904</v>
      </c>
      <c r="BK41" s="107">
        <f t="shared" si="46"/>
        <v>1756.5011964558892</v>
      </c>
      <c r="BL41" s="107">
        <f t="shared" si="46"/>
        <v>1800.9839452901504</v>
      </c>
      <c r="BM41" s="107">
        <f t="shared" si="46"/>
        <v>1845.4019420530296</v>
      </c>
      <c r="BN41" s="107">
        <f t="shared" ref="BN41:BT41" si="47">BN21-BN39</f>
        <v>1889.7567643378318</v>
      </c>
      <c r="BO41" s="107">
        <f t="shared" si="47"/>
        <v>1934.0499200344482</v>
      </c>
      <c r="BP41" s="107">
        <f t="shared" si="47"/>
        <v>1978.2828528646353</v>
      </c>
      <c r="BQ41" s="107">
        <f t="shared" si="47"/>
        <v>2011.1537293522504</v>
      </c>
      <c r="BR41" s="107">
        <f t="shared" si="47"/>
        <v>2043.9771080177595</v>
      </c>
      <c r="BS41" s="107">
        <f t="shared" si="47"/>
        <v>2076.7538729957523</v>
      </c>
      <c r="BT41" s="131">
        <f t="shared" si="47"/>
        <v>2109.4848866433013</v>
      </c>
      <c r="BU41" s="158"/>
      <c r="BV41" s="104"/>
      <c r="BW41" s="104"/>
      <c r="BX41" s="104"/>
      <c r="BY41" s="104"/>
      <c r="BZ41" s="104"/>
      <c r="CA41" s="104"/>
      <c r="CB41" s="104"/>
      <c r="CC41" s="104"/>
      <c r="CD41" s="104"/>
      <c r="CE41" s="104"/>
      <c r="CF41" s="104"/>
      <c r="CG41" s="104"/>
      <c r="CH41" s="104"/>
      <c r="CI41" s="104"/>
      <c r="CJ41" s="104"/>
      <c r="CK41" s="104"/>
      <c r="CL41" s="104"/>
      <c r="CM41" s="104"/>
      <c r="CN41" s="104"/>
      <c r="CO41" s="104"/>
      <c r="CP41" s="104"/>
      <c r="CQ41" s="104"/>
      <c r="CR41" s="104"/>
      <c r="CS41" s="104"/>
      <c r="CT41" s="104"/>
      <c r="CU41" s="104"/>
      <c r="CV41" s="104"/>
      <c r="CW41" s="104"/>
      <c r="CX41" s="104"/>
      <c r="CY41" s="104"/>
      <c r="CZ41" s="104"/>
      <c r="DA41" s="104"/>
      <c r="DB41" s="104"/>
      <c r="DC41" s="104"/>
      <c r="DD41" s="104"/>
      <c r="DE41" s="104"/>
      <c r="DF41" s="104"/>
      <c r="DG41" s="104"/>
      <c r="DH41" s="104"/>
      <c r="DI41" s="104"/>
      <c r="DJ41" s="104"/>
      <c r="DK41" s="104"/>
      <c r="DL41" s="104"/>
      <c r="DM41" s="104"/>
      <c r="DN41" s="104"/>
      <c r="DO41" s="104"/>
      <c r="DP41" s="104"/>
      <c r="DQ41" s="104"/>
      <c r="DR41" s="104"/>
      <c r="DS41" s="7"/>
      <c r="DT41" s="7"/>
    </row>
    <row r="42" spans="1:124" x14ac:dyDescent="0.35">
      <c r="A42" s="197" t="s">
        <v>9</v>
      </c>
      <c r="B42" s="198"/>
      <c r="C42" s="5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row>
    <row r="43" spans="1:124" ht="29" x14ac:dyDescent="0.35">
      <c r="A43" s="3" t="s">
        <v>3</v>
      </c>
      <c r="B43" s="13">
        <v>0.47499999999999998</v>
      </c>
      <c r="C43" s="55"/>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row>
    <row r="44" spans="1:124" ht="15" thickBot="1" x14ac:dyDescent="0.4">
      <c r="A44" s="3" t="s">
        <v>4</v>
      </c>
      <c r="B44" s="14">
        <f>IF(B12="Conifères",1.3,1.56)</f>
        <v>1.56</v>
      </c>
      <c r="C44" s="57"/>
      <c r="D44" s="15"/>
      <c r="E44" s="15"/>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row>
    <row r="45" spans="1:124" ht="87.5" customHeight="1" thickBot="1" x14ac:dyDescent="0.4">
      <c r="A45" s="11" t="s">
        <v>147</v>
      </c>
      <c r="B45" s="17"/>
      <c r="C45" s="58" t="str">
        <f>IF(B45="Alisier torminal",0.62,IF(B45="Arbousier",0.64,IF(B45="Aulne vert",0.42,IF(B45="Grands aulnes",0.42,IF(B45="Bouleaux",0.52,IF(B45="Cèdre de l’Atlas",0.36,IF(B45="Charme",0.61,IF(B45="Charme-houblon",0.66,IF(B45="Châtaignier",0.47,IF(B45="Chêne chevelu",0.67,IF(B45="Chêne-liège",0.7,IF(B45="Chêne pédonculé",0.54,IF(B45="Chêne pubescent",0.65,IF(B45="Chêne rouge d’Amérique",0.56,IF(B45="Chêne rouvre (sessile)",0.58,IF(B45="Chêne tauzin",0.64,IF(B45="Chêne vert",0.73,IF(B45="Chênes indifférenciés",0.56,IF(B45="Cornouiller mâle",0.74,IF(B45="Cyprès",0.4,IF(B45="Cytise aubour",0.6,IF(B45="Douglas",0.43,IF(B45="Epicéa commun",0.37,IF(B45="Epicéa de Sitka",0.36,IF(B45="Grands érables",0.51,IF(B45="Petits érables",0.56,IF(B45="Eucalyptus",0.56,IF(B45="Genévrier thurifère",0.48,IF(B45="Hêtre",0.55,IF(B45="Frênes",0.56,IF(B45="Fruitiers",0.58,IF(B45="If",0.58,IF(B45="Mélèze d’Europe",0.48,IF(B45="Mélèze du Japon",0.42,IF(B45="Merisier",0.5,IF(B45="Micocoulier",0.55,IF(B45="Mûrier",0.53,IF(B45="Noisetier",0.52,IF(B45="Noyer",0.52,IF(B45="Olivier",0.75,IF(B45="Ormes",0.52,IF(B45="Peupliers cultivés",0.35,IF(B45="Peupliers non cultivés",0.37,IF(B45="Pin d'Alep",0.45,IF(B45="Pin cembro",0.39,IF(B45="Pin à crochets",0.44,IF(B45="Pin laricio",0.46,IF(B45="Pin maritime",0.46,IF(B45="Pin mugho",0.44,IF(B45="Pin noir d'Autriche",0.46,IF(B45="Pin pignon",0.48,IF(B45="Pin sylvestre",0.44,IF(B45="Pin Weymouth",0.34,IF(B45="Platanes",0.5,IF(B45="Robinier faux acacia",0.58,IF(B45="Sapin méditerranéen",0.37,IF(B45="Sapin de Nordmann",0.37,IF(B45="Sapin pectiné",0.38,IF(B45="Sapin de Vancouver",0.36,IF(B45="Saules",0.37,IF(B45="Tamaris",0.53,IF(B45="Tilleuls",0.43,IF(B45="Tremble",0.38,IF(B45="Conifères (moyenne)",0.42,IF(B45="Feuillus (moyenne)",0.57,"")))))))))))))))))))))))))))))))))))))))))))))))))))))))))))))))))</f>
        <v/>
      </c>
      <c r="D45" s="25"/>
      <c r="E45" s="26" t="str">
        <f>IF(D45="Conifères (moyenne)",0.42,IF(D45="Feuillus (moyenne)",0.57,IF(D45="Moyenne",0.54,"")))</f>
        <v/>
      </c>
      <c r="F45" s="201" t="s">
        <v>195</v>
      </c>
      <c r="G45" s="202"/>
      <c r="H45" s="7"/>
      <c r="I45" s="7"/>
      <c r="J45" s="7"/>
      <c r="K45" s="7"/>
      <c r="L45" s="7"/>
      <c r="M45" s="7"/>
      <c r="N45" s="7"/>
      <c r="O45" s="7"/>
      <c r="P45" s="7"/>
      <c r="Q45" s="7"/>
      <c r="R45" s="7"/>
      <c r="S45" s="7"/>
      <c r="T45" s="7"/>
      <c r="U45" s="7"/>
      <c r="V45" s="7"/>
      <c r="W45" s="7"/>
      <c r="X45" s="7"/>
      <c r="Y45" s="7"/>
      <c r="Z45" s="7"/>
      <c r="AA45" s="7"/>
      <c r="AB45" s="7"/>
      <c r="AC45" s="7"/>
      <c r="AD45" s="7"/>
      <c r="AE45" s="7"/>
      <c r="AF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row>
    <row r="46" spans="1:124" ht="29" x14ac:dyDescent="0.35">
      <c r="A46" s="3" t="s">
        <v>177</v>
      </c>
      <c r="B46" s="27">
        <v>0</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row>
    <row r="47" spans="1:124" x14ac:dyDescent="0.35">
      <c r="A47" s="3" t="s">
        <v>7</v>
      </c>
      <c r="B47" s="27">
        <v>10</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row>
    <row r="48" spans="1:124" ht="56.5" x14ac:dyDescent="0.35">
      <c r="A48" s="3" t="s">
        <v>144</v>
      </c>
      <c r="B48" s="27">
        <v>5</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row>
    <row r="49" spans="1:32" ht="43.5" x14ac:dyDescent="0.35">
      <c r="A49" s="3" t="s">
        <v>145</v>
      </c>
      <c r="B49" s="27">
        <v>0</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ht="29" x14ac:dyDescent="0.35">
      <c r="A50" s="3" t="s">
        <v>186</v>
      </c>
      <c r="B50" s="27">
        <v>45</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ht="58" x14ac:dyDescent="0.35">
      <c r="A51" s="3" t="s">
        <v>146</v>
      </c>
      <c r="B51" s="27">
        <v>70</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ht="15" thickBot="1" x14ac:dyDescent="0.4">
      <c r="A52" s="193"/>
      <c r="B52" s="194"/>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row>
    <row r="53" spans="1:32" ht="44" thickBot="1" x14ac:dyDescent="0.4">
      <c r="A53" s="2" t="s">
        <v>139</v>
      </c>
      <c r="B53" s="120">
        <f>AF21-AF39</f>
        <v>1488.3038372543863</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ht="44" thickBot="1" x14ac:dyDescent="0.4">
      <c r="A54" s="2" t="s">
        <v>179</v>
      </c>
      <c r="B54" s="96">
        <f>(1/B11)*(SUM(B21:BT21))</f>
        <v>3092.7669617975303</v>
      </c>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row>
    <row r="55" spans="1:32" ht="44" thickBot="1" x14ac:dyDescent="0.4">
      <c r="A55" s="2" t="s">
        <v>180</v>
      </c>
      <c r="B55" s="96">
        <f>((1/70)*(SUM(B39:BT39)))</f>
        <v>1802.6372571428603</v>
      </c>
      <c r="C55" s="98"/>
      <c r="D55" s="98"/>
      <c r="E55" s="98"/>
      <c r="F55" s="98"/>
      <c r="G55" s="98"/>
      <c r="H55" s="98"/>
      <c r="I55" s="98"/>
      <c r="J55" s="98"/>
      <c r="K55" s="98"/>
      <c r="L55" s="98"/>
      <c r="M55" s="98"/>
      <c r="N55" s="98"/>
      <c r="O55" s="98"/>
      <c r="P55" s="98"/>
      <c r="Q55" s="98"/>
      <c r="R55" s="98"/>
      <c r="S55" s="98"/>
      <c r="T55" s="98"/>
      <c r="U55" s="98"/>
      <c r="V55" s="98"/>
      <c r="W55" s="98"/>
      <c r="X55" s="98"/>
      <c r="Y55" s="98"/>
      <c r="Z55" s="98"/>
      <c r="AA55" s="98"/>
      <c r="AB55" s="98"/>
      <c r="AC55" s="98"/>
      <c r="AD55" s="98"/>
      <c r="AE55" s="98"/>
      <c r="AF55" s="98"/>
    </row>
    <row r="56" spans="1:32" ht="58.5" thickBot="1" x14ac:dyDescent="0.4">
      <c r="A56" s="121" t="s">
        <v>181</v>
      </c>
      <c r="B56" s="122">
        <f>B54-B55</f>
        <v>1290.1297046546699</v>
      </c>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row>
  </sheetData>
  <mergeCells count="5">
    <mergeCell ref="A52:B52"/>
    <mergeCell ref="A9:B9"/>
    <mergeCell ref="A42:B42"/>
    <mergeCell ref="A38:G38"/>
    <mergeCell ref="F45:G45"/>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prompt="Choisir l'essence pour avoir la di pour le scénario de référence">
          <x14:formula1>
            <xm:f>'Listes choix'!$C$65:$C$67</xm:f>
          </x14:formula1>
          <xm:sqref>D45</xm:sqref>
        </x14:dataValidation>
        <x14:dataValidation type="list" showInputMessage="1" showErrorMessage="1" prompt="Choisir l'essence pour avoir la di pour le scénario de projet">
          <x14:formula1>
            <xm:f>'Listes choix'!$C$2:$C$66</xm:f>
          </x14:formula1>
          <xm:sqref>B45</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une de trois options">
          <x14:formula1>
            <xm:f>'Listes choix'!$A$71:$A$73</xm:f>
          </x14:formula1>
          <xm:sqref>B15</xm:sqref>
        </x14:dataValidation>
        <x14:dataValidation type="list" showInputMessage="1" showErrorMessage="1" prompt="Information nécessaire pour le scénario de référence">
          <x14:formula1>
            <xm:f>'Listes choix'!$T$2:$T$3</xm:f>
          </x14:formula1>
          <xm:sqref>B16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8"/>
  <sheetViews>
    <sheetView zoomScale="67" workbookViewId="0">
      <selection activeCell="V26" sqref="V26"/>
    </sheetView>
  </sheetViews>
  <sheetFormatPr baseColWidth="10" defaultRowHeight="14.5" x14ac:dyDescent="0.35"/>
  <cols>
    <col min="1" max="1" width="35.453125" customWidth="1"/>
  </cols>
  <sheetData>
    <row r="1" spans="1:33" x14ac:dyDescent="0.35">
      <c r="A1" s="1"/>
      <c r="D1" s="105"/>
    </row>
    <row r="2" spans="1:33" x14ac:dyDescent="0.35">
      <c r="A2" s="1"/>
    </row>
    <row r="3" spans="1:33" x14ac:dyDescent="0.35">
      <c r="A3" s="1"/>
    </row>
    <row r="4" spans="1:33" ht="16" thickBot="1" x14ac:dyDescent="0.4">
      <c r="A4" s="19"/>
      <c r="B4" s="7"/>
    </row>
    <row r="5" spans="1:33" ht="37.5" customHeight="1" thickBot="1" x14ac:dyDescent="0.4">
      <c r="A5" s="20" t="s">
        <v>216</v>
      </c>
      <c r="B5" s="101">
        <f>(SUM(B14:AF14)/30)*(44/12)</f>
        <v>21.946897489328318</v>
      </c>
    </row>
    <row r="6" spans="1:33" x14ac:dyDescent="0.35">
      <c r="A6" s="1"/>
    </row>
    <row r="7" spans="1:33" ht="15" thickBot="1" x14ac:dyDescent="0.4">
      <c r="A7" s="1"/>
    </row>
    <row r="8" spans="1:33" x14ac:dyDescent="0.35">
      <c r="A8" s="195" t="s">
        <v>11</v>
      </c>
      <c r="B8" s="196"/>
    </row>
    <row r="9" spans="1:33" ht="15" thickBot="1" x14ac:dyDescent="0.4">
      <c r="A9" s="4" t="s">
        <v>13</v>
      </c>
      <c r="B9" s="21">
        <v>30</v>
      </c>
    </row>
    <row r="10" spans="1:33" ht="15" thickBot="1" x14ac:dyDescent="0.4">
      <c r="A10" s="1"/>
    </row>
    <row r="11" spans="1:33" ht="15.5" x14ac:dyDescent="0.35">
      <c r="A11" s="206" t="s">
        <v>1</v>
      </c>
      <c r="B11" s="207"/>
      <c r="C11" s="207"/>
      <c r="D11" s="207"/>
      <c r="E11" s="207"/>
      <c r="F11" s="207"/>
      <c r="G11" s="207"/>
      <c r="H11" s="207"/>
      <c r="I11" s="207"/>
      <c r="J11" s="207"/>
      <c r="K11" s="207"/>
      <c r="L11" s="207"/>
      <c r="M11" s="207"/>
      <c r="N11" s="207"/>
      <c r="O11" s="207"/>
      <c r="P11" s="207"/>
      <c r="Q11" s="207"/>
      <c r="R11" s="207"/>
      <c r="S11" s="207"/>
      <c r="T11" s="207"/>
      <c r="U11" s="207"/>
      <c r="V11" s="207"/>
      <c r="W11" s="207"/>
      <c r="X11" s="207"/>
      <c r="Y11" s="207"/>
      <c r="Z11" s="207"/>
      <c r="AA11" s="207"/>
      <c r="AB11" s="207"/>
      <c r="AC11" s="207"/>
      <c r="AD11" s="207"/>
      <c r="AE11" s="207"/>
      <c r="AF11" s="207"/>
      <c r="AG11" s="181"/>
    </row>
    <row r="12" spans="1:33" ht="38" customHeight="1" x14ac:dyDescent="0.35">
      <c r="A12" s="3" t="s">
        <v>159</v>
      </c>
      <c r="B12" s="12">
        <v>0</v>
      </c>
      <c r="C12" s="12">
        <v>1</v>
      </c>
      <c r="D12" s="12">
        <v>2</v>
      </c>
      <c r="E12" s="12">
        <v>3</v>
      </c>
      <c r="F12" s="12">
        <v>4</v>
      </c>
      <c r="G12" s="12">
        <v>5</v>
      </c>
      <c r="H12" s="12">
        <v>6</v>
      </c>
      <c r="I12" s="12">
        <v>7</v>
      </c>
      <c r="J12" s="12">
        <v>8</v>
      </c>
      <c r="K12" s="12">
        <v>9</v>
      </c>
      <c r="L12" s="12">
        <v>10</v>
      </c>
      <c r="M12" s="12">
        <v>11</v>
      </c>
      <c r="N12" s="12">
        <v>12</v>
      </c>
      <c r="O12" s="12">
        <v>13</v>
      </c>
      <c r="P12" s="12">
        <v>14</v>
      </c>
      <c r="Q12" s="12">
        <v>15</v>
      </c>
      <c r="R12" s="12">
        <v>16</v>
      </c>
      <c r="S12" s="12">
        <v>17</v>
      </c>
      <c r="T12" s="12">
        <v>18</v>
      </c>
      <c r="U12" s="12">
        <v>19</v>
      </c>
      <c r="V12" s="171">
        <v>20</v>
      </c>
      <c r="W12" s="12">
        <v>21</v>
      </c>
      <c r="X12" s="12">
        <v>22</v>
      </c>
      <c r="Y12" s="12">
        <v>23</v>
      </c>
      <c r="Z12" s="12">
        <v>24</v>
      </c>
      <c r="AA12" s="12">
        <v>25</v>
      </c>
      <c r="AB12" s="12">
        <v>26</v>
      </c>
      <c r="AC12" s="12">
        <v>27</v>
      </c>
      <c r="AD12" s="12">
        <v>28</v>
      </c>
      <c r="AE12" s="12">
        <v>29</v>
      </c>
      <c r="AF12" s="13">
        <v>30</v>
      </c>
      <c r="AG12" s="181"/>
    </row>
    <row r="13" spans="1:33" x14ac:dyDescent="0.35">
      <c r="A13" s="208" t="s">
        <v>2</v>
      </c>
      <c r="B13" s="209"/>
      <c r="C13" s="209"/>
      <c r="D13" s="209"/>
      <c r="E13" s="209"/>
      <c r="F13" s="209"/>
      <c r="G13" s="209"/>
      <c r="H13" s="209"/>
      <c r="I13" s="209"/>
      <c r="J13" s="209"/>
      <c r="K13" s="209"/>
      <c r="L13" s="209"/>
      <c r="M13" s="209"/>
      <c r="N13" s="209"/>
      <c r="O13" s="209"/>
      <c r="P13" s="209"/>
      <c r="Q13" s="209"/>
      <c r="R13" s="209"/>
      <c r="S13" s="209"/>
      <c r="T13" s="209"/>
      <c r="U13" s="209"/>
      <c r="V13" s="209"/>
      <c r="W13" s="209"/>
      <c r="X13" s="209"/>
      <c r="Y13" s="209"/>
      <c r="Z13" s="209"/>
      <c r="AA13" s="209"/>
      <c r="AB13" s="209"/>
      <c r="AC13" s="209"/>
      <c r="AD13" s="209"/>
      <c r="AE13" s="209"/>
      <c r="AF13" s="209"/>
      <c r="AG13" s="181"/>
    </row>
    <row r="14" spans="1:33" ht="29" x14ac:dyDescent="0.35">
      <c r="A14" s="3" t="s">
        <v>229</v>
      </c>
      <c r="B14" s="12">
        <f>SUM(B15*2.9356,B18*2.9356,B21*1.3326)</f>
        <v>0</v>
      </c>
      <c r="C14" s="12">
        <f t="shared" ref="C14:AF14" si="0">SUM(C15*2.9356,C18*2.9356,C21*1.3326)</f>
        <v>0</v>
      </c>
      <c r="D14" s="12">
        <f t="shared" si="0"/>
        <v>0</v>
      </c>
      <c r="E14" s="12">
        <f t="shared" si="0"/>
        <v>0</v>
      </c>
      <c r="F14" s="12">
        <f t="shared" si="0"/>
        <v>0</v>
      </c>
      <c r="G14" s="12">
        <f t="shared" si="0"/>
        <v>0</v>
      </c>
      <c r="H14" s="12">
        <f t="shared" si="0"/>
        <v>0</v>
      </c>
      <c r="I14" s="12">
        <f t="shared" si="0"/>
        <v>0</v>
      </c>
      <c r="J14" s="12">
        <f t="shared" si="0"/>
        <v>0</v>
      </c>
      <c r="K14" s="12">
        <f t="shared" si="0"/>
        <v>0</v>
      </c>
      <c r="L14" s="12">
        <f t="shared" si="0"/>
        <v>0</v>
      </c>
      <c r="M14" s="12">
        <f t="shared" si="0"/>
        <v>0</v>
      </c>
      <c r="N14" s="12">
        <f t="shared" si="0"/>
        <v>0</v>
      </c>
      <c r="O14" s="12">
        <f t="shared" si="0"/>
        <v>0</v>
      </c>
      <c r="P14" s="12">
        <f t="shared" si="0"/>
        <v>0</v>
      </c>
      <c r="Q14" s="12">
        <f t="shared" si="0"/>
        <v>0</v>
      </c>
      <c r="R14" s="12">
        <f t="shared" si="0"/>
        <v>0</v>
      </c>
      <c r="S14" s="12">
        <f t="shared" si="0"/>
        <v>0</v>
      </c>
      <c r="T14" s="12">
        <f t="shared" si="0"/>
        <v>0</v>
      </c>
      <c r="U14" s="12">
        <f t="shared" si="0"/>
        <v>0</v>
      </c>
      <c r="V14" s="12">
        <f t="shared" si="0"/>
        <v>0</v>
      </c>
      <c r="W14" s="12">
        <f>SUM(W15*2.9356,W18*2.9356,W21*1.3326)</f>
        <v>34.226732259878986</v>
      </c>
      <c r="X14" s="12">
        <f t="shared" si="0"/>
        <v>27.59171441344407</v>
      </c>
      <c r="Y14" s="12">
        <f t="shared" si="0"/>
        <v>22.727259852558998</v>
      </c>
      <c r="Z14" s="12">
        <f t="shared" si="0"/>
        <v>19.129875796101292</v>
      </c>
      <c r="AA14" s="12">
        <f t="shared" si="0"/>
        <v>16.441784190714962</v>
      </c>
      <c r="AB14" s="12">
        <f t="shared" si="0"/>
        <v>14.408464585874031</v>
      </c>
      <c r="AC14" s="12">
        <f t="shared" si="0"/>
        <v>12.848603858752293</v>
      </c>
      <c r="AD14" s="12">
        <f t="shared" si="0"/>
        <v>11.632822598979216</v>
      </c>
      <c r="AE14" s="12">
        <f t="shared" si="0"/>
        <v>10.668610743523491</v>
      </c>
      <c r="AF14" s="13">
        <f t="shared" si="0"/>
        <v>9.8896566128589072</v>
      </c>
      <c r="AG14" s="181"/>
    </row>
    <row r="15" spans="1:33" x14ac:dyDescent="0.35">
      <c r="A15" s="164" t="s">
        <v>217</v>
      </c>
      <c r="B15" s="12">
        <v>0</v>
      </c>
      <c r="C15" s="31">
        <f>C16+B17</f>
        <v>0</v>
      </c>
      <c r="D15" s="31">
        <f>D16+C17</f>
        <v>0</v>
      </c>
      <c r="E15" s="31">
        <f>E16+D17</f>
        <v>0</v>
      </c>
      <c r="F15" s="31">
        <f t="shared" ref="F15:AF15" si="1">F16+E17</f>
        <v>0</v>
      </c>
      <c r="G15" s="31">
        <f t="shared" si="1"/>
        <v>0</v>
      </c>
      <c r="H15" s="31">
        <f t="shared" si="1"/>
        <v>0</v>
      </c>
      <c r="I15" s="31">
        <f t="shared" si="1"/>
        <v>0</v>
      </c>
      <c r="J15" s="31">
        <f t="shared" si="1"/>
        <v>0</v>
      </c>
      <c r="K15" s="31">
        <f t="shared" si="1"/>
        <v>0</v>
      </c>
      <c r="L15" s="31">
        <f t="shared" si="1"/>
        <v>0</v>
      </c>
      <c r="M15" s="31">
        <f t="shared" si="1"/>
        <v>0</v>
      </c>
      <c r="N15" s="31">
        <f t="shared" si="1"/>
        <v>0</v>
      </c>
      <c r="O15" s="31">
        <f t="shared" si="1"/>
        <v>0</v>
      </c>
      <c r="P15" s="31">
        <f t="shared" si="1"/>
        <v>0</v>
      </c>
      <c r="Q15" s="31">
        <f t="shared" si="1"/>
        <v>0</v>
      </c>
      <c r="R15" s="31">
        <f t="shared" si="1"/>
        <v>0</v>
      </c>
      <c r="S15" s="31">
        <f t="shared" si="1"/>
        <v>0</v>
      </c>
      <c r="T15" s="31">
        <f t="shared" si="1"/>
        <v>0</v>
      </c>
      <c r="U15" s="31">
        <f t="shared" si="1"/>
        <v>0</v>
      </c>
      <c r="V15" s="31">
        <f t="shared" si="1"/>
        <v>0</v>
      </c>
      <c r="W15" s="31">
        <f t="shared" si="1"/>
        <v>3.3421044999599792</v>
      </c>
      <c r="X15" s="31">
        <f t="shared" si="1"/>
        <v>3.2507144766549363</v>
      </c>
      <c r="Y15" s="31">
        <f t="shared" si="1"/>
        <v>3.1618235183431622</v>
      </c>
      <c r="Z15" s="31">
        <f t="shared" si="1"/>
        <v>3.0753632879609962</v>
      </c>
      <c r="AA15" s="31">
        <f t="shared" si="1"/>
        <v>2.9912673171253763</v>
      </c>
      <c r="AB15" s="31">
        <f t="shared" si="1"/>
        <v>2.9094709550346711</v>
      </c>
      <c r="AC15" s="31">
        <f t="shared" si="1"/>
        <v>2.8299113187668201</v>
      </c>
      <c r="AD15" s="31">
        <f t="shared" si="1"/>
        <v>2.752527244936573</v>
      </c>
      <c r="AE15" s="31">
        <f>AE16+AD17</f>
        <v>2.6772592426746655</v>
      </c>
      <c r="AF15" s="179">
        <f t="shared" si="1"/>
        <v>2.6040494478927823</v>
      </c>
      <c r="AG15" s="181"/>
    </row>
    <row r="16" spans="1:33" ht="29" x14ac:dyDescent="0.35">
      <c r="A16" s="164" t="s">
        <v>218</v>
      </c>
      <c r="B16" s="12">
        <v>0</v>
      </c>
      <c r="C16" s="31">
        <f t="shared" ref="C16:AF16" si="2">(EXP(-$C$35))*B15</f>
        <v>0</v>
      </c>
      <c r="D16" s="31">
        <f t="shared" si="2"/>
        <v>0</v>
      </c>
      <c r="E16" s="31">
        <f t="shared" si="2"/>
        <v>0</v>
      </c>
      <c r="F16" s="31">
        <f t="shared" si="2"/>
        <v>0</v>
      </c>
      <c r="G16" s="31">
        <f t="shared" si="2"/>
        <v>0</v>
      </c>
      <c r="H16" s="31">
        <f t="shared" si="2"/>
        <v>0</v>
      </c>
      <c r="I16" s="31">
        <f t="shared" si="2"/>
        <v>0</v>
      </c>
      <c r="J16" s="31">
        <f t="shared" si="2"/>
        <v>0</v>
      </c>
      <c r="K16" s="31">
        <f t="shared" si="2"/>
        <v>0</v>
      </c>
      <c r="L16" s="31">
        <f t="shared" si="2"/>
        <v>0</v>
      </c>
      <c r="M16" s="31">
        <f t="shared" si="2"/>
        <v>0</v>
      </c>
      <c r="N16" s="31">
        <f t="shared" si="2"/>
        <v>0</v>
      </c>
      <c r="O16" s="31">
        <f t="shared" si="2"/>
        <v>0</v>
      </c>
      <c r="P16" s="31">
        <f t="shared" si="2"/>
        <v>0</v>
      </c>
      <c r="Q16" s="31">
        <f t="shared" si="2"/>
        <v>0</v>
      </c>
      <c r="R16" s="31">
        <f t="shared" si="2"/>
        <v>0</v>
      </c>
      <c r="S16" s="31">
        <f t="shared" si="2"/>
        <v>0</v>
      </c>
      <c r="T16" s="31">
        <f t="shared" si="2"/>
        <v>0</v>
      </c>
      <c r="U16" s="31">
        <f t="shared" si="2"/>
        <v>0</v>
      </c>
      <c r="V16" s="31">
        <f t="shared" si="2"/>
        <v>0</v>
      </c>
      <c r="W16" s="31">
        <f t="shared" si="2"/>
        <v>0</v>
      </c>
      <c r="X16" s="31">
        <f t="shared" si="2"/>
        <v>3.2507144766549363</v>
      </c>
      <c r="Y16" s="31">
        <f t="shared" si="2"/>
        <v>3.1618235183431622</v>
      </c>
      <c r="Z16" s="31">
        <f t="shared" si="2"/>
        <v>3.0753632879609962</v>
      </c>
      <c r="AA16" s="31">
        <f t="shared" si="2"/>
        <v>2.9912673171253763</v>
      </c>
      <c r="AB16" s="31">
        <f t="shared" si="2"/>
        <v>2.9094709550346711</v>
      </c>
      <c r="AC16" s="31">
        <f t="shared" si="2"/>
        <v>2.8299113187668201</v>
      </c>
      <c r="AD16" s="31">
        <f t="shared" si="2"/>
        <v>2.752527244936573</v>
      </c>
      <c r="AE16" s="31">
        <f t="shared" si="2"/>
        <v>2.6772592426746655</v>
      </c>
      <c r="AF16" s="179">
        <f t="shared" si="2"/>
        <v>2.6040494478927823</v>
      </c>
      <c r="AG16" s="181"/>
    </row>
    <row r="17" spans="1:33" ht="43.5" x14ac:dyDescent="0.35">
      <c r="A17" s="164" t="s">
        <v>219</v>
      </c>
      <c r="B17" s="12">
        <f t="shared" ref="B17:U17" si="3">((1-EXP(-$C$35))/$C$35)*(B24*0.46*$B$28)</f>
        <v>0</v>
      </c>
      <c r="C17" s="12">
        <f t="shared" si="3"/>
        <v>0</v>
      </c>
      <c r="D17" s="12">
        <f t="shared" si="3"/>
        <v>0</v>
      </c>
      <c r="E17" s="12">
        <f t="shared" si="3"/>
        <v>0</v>
      </c>
      <c r="F17" s="12">
        <f t="shared" si="3"/>
        <v>0</v>
      </c>
      <c r="G17" s="12">
        <f t="shared" si="3"/>
        <v>0</v>
      </c>
      <c r="H17" s="12">
        <f t="shared" si="3"/>
        <v>0</v>
      </c>
      <c r="I17" s="12">
        <f t="shared" si="3"/>
        <v>0</v>
      </c>
      <c r="J17" s="12">
        <f t="shared" si="3"/>
        <v>0</v>
      </c>
      <c r="K17" s="12">
        <f t="shared" si="3"/>
        <v>0</v>
      </c>
      <c r="L17" s="12">
        <f t="shared" si="3"/>
        <v>0</v>
      </c>
      <c r="M17" s="12">
        <f t="shared" si="3"/>
        <v>0</v>
      </c>
      <c r="N17" s="12">
        <f t="shared" si="3"/>
        <v>0</v>
      </c>
      <c r="O17" s="12">
        <f t="shared" si="3"/>
        <v>0</v>
      </c>
      <c r="P17" s="12">
        <f t="shared" si="3"/>
        <v>0</v>
      </c>
      <c r="Q17" s="12">
        <f t="shared" si="3"/>
        <v>0</v>
      </c>
      <c r="R17" s="12">
        <f t="shared" si="3"/>
        <v>0</v>
      </c>
      <c r="S17" s="12">
        <f t="shared" si="3"/>
        <v>0</v>
      </c>
      <c r="T17" s="12">
        <f t="shared" si="3"/>
        <v>0</v>
      </c>
      <c r="U17" s="12">
        <f t="shared" si="3"/>
        <v>0</v>
      </c>
      <c r="V17" s="12">
        <f>((1-EXP(-$C$35))/$C$35)*(V24*0.41*$B$28)</f>
        <v>3.3421044999599792</v>
      </c>
      <c r="W17" s="12">
        <f t="shared" ref="W17:AF17" si="4">((1-EXP(-$C$35))/$C$35)*(W24*0.46*$B$28)</f>
        <v>0</v>
      </c>
      <c r="X17" s="12">
        <f t="shared" si="4"/>
        <v>0</v>
      </c>
      <c r="Y17" s="12">
        <f t="shared" si="4"/>
        <v>0</v>
      </c>
      <c r="Z17" s="12">
        <f t="shared" si="4"/>
        <v>0</v>
      </c>
      <c r="AA17" s="12">
        <f t="shared" si="4"/>
        <v>0</v>
      </c>
      <c r="AB17" s="12">
        <f t="shared" si="4"/>
        <v>0</v>
      </c>
      <c r="AC17" s="12">
        <f t="shared" si="4"/>
        <v>0</v>
      </c>
      <c r="AD17" s="12">
        <f t="shared" si="4"/>
        <v>0</v>
      </c>
      <c r="AE17" s="12">
        <f t="shared" si="4"/>
        <v>0</v>
      </c>
      <c r="AF17" s="13">
        <f t="shared" si="4"/>
        <v>0</v>
      </c>
      <c r="AG17" s="181"/>
    </row>
    <row r="18" spans="1:33" x14ac:dyDescent="0.35">
      <c r="A18" s="165" t="s">
        <v>220</v>
      </c>
      <c r="B18" s="12">
        <v>0</v>
      </c>
      <c r="C18" s="31">
        <f>C19+B20</f>
        <v>0</v>
      </c>
      <c r="D18" s="31">
        <f>D19+C20</f>
        <v>0</v>
      </c>
      <c r="E18" s="31">
        <f t="shared" ref="E18:AF18" si="5">E19+D20</f>
        <v>0</v>
      </c>
      <c r="F18" s="31">
        <f>F19+E20</f>
        <v>0</v>
      </c>
      <c r="G18" s="31">
        <f t="shared" si="5"/>
        <v>0</v>
      </c>
      <c r="H18" s="31">
        <f t="shared" si="5"/>
        <v>0</v>
      </c>
      <c r="I18" s="31">
        <f t="shared" si="5"/>
        <v>0</v>
      </c>
      <c r="J18" s="31">
        <f t="shared" si="5"/>
        <v>0</v>
      </c>
      <c r="K18" s="31">
        <f t="shared" si="5"/>
        <v>0</v>
      </c>
      <c r="L18" s="31">
        <f t="shared" si="5"/>
        <v>0</v>
      </c>
      <c r="M18" s="31">
        <f>M19+L20</f>
        <v>0</v>
      </c>
      <c r="N18" s="31">
        <f t="shared" si="5"/>
        <v>0</v>
      </c>
      <c r="O18" s="31">
        <f t="shared" si="5"/>
        <v>0</v>
      </c>
      <c r="P18" s="31">
        <f t="shared" si="5"/>
        <v>0</v>
      </c>
      <c r="Q18" s="31">
        <f t="shared" si="5"/>
        <v>0</v>
      </c>
      <c r="R18" s="31">
        <f t="shared" si="5"/>
        <v>0</v>
      </c>
      <c r="S18" s="31">
        <f t="shared" si="5"/>
        <v>0</v>
      </c>
      <c r="T18" s="31">
        <f t="shared" si="5"/>
        <v>0</v>
      </c>
      <c r="U18" s="31">
        <f t="shared" si="5"/>
        <v>0</v>
      </c>
      <c r="V18" s="31">
        <f t="shared" si="5"/>
        <v>0</v>
      </c>
      <c r="W18" s="31">
        <f t="shared" si="5"/>
        <v>6.68216740145815</v>
      </c>
      <c r="X18" s="31">
        <f t="shared" si="5"/>
        <v>4.7250058825947496</v>
      </c>
      <c r="Y18" s="31">
        <f t="shared" si="5"/>
        <v>3.3410837007290759</v>
      </c>
      <c r="Z18" s="31">
        <f t="shared" si="5"/>
        <v>2.3625029412973753</v>
      </c>
      <c r="AA18" s="31">
        <f t="shared" si="5"/>
        <v>1.6705418503645382</v>
      </c>
      <c r="AB18" s="31">
        <f t="shared" si="5"/>
        <v>1.1812514706486879</v>
      </c>
      <c r="AC18" s="31">
        <f t="shared" si="5"/>
        <v>0.8352709251822692</v>
      </c>
      <c r="AD18" s="31">
        <f t="shared" si="5"/>
        <v>0.59062573532434393</v>
      </c>
      <c r="AE18" s="31">
        <f t="shared" si="5"/>
        <v>0.4176354625911346</v>
      </c>
      <c r="AF18" s="179">
        <f t="shared" si="5"/>
        <v>0.29531286766217196</v>
      </c>
      <c r="AG18" s="181"/>
    </row>
    <row r="19" spans="1:33" ht="29" x14ac:dyDescent="0.35">
      <c r="A19" s="165" t="s">
        <v>221</v>
      </c>
      <c r="B19" s="12">
        <v>0</v>
      </c>
      <c r="C19" s="31">
        <f t="shared" ref="C19:AF19" si="6">(EXP(-$C$36))*B18</f>
        <v>0</v>
      </c>
      <c r="D19" s="31">
        <f t="shared" si="6"/>
        <v>0</v>
      </c>
      <c r="E19" s="31">
        <f t="shared" si="6"/>
        <v>0</v>
      </c>
      <c r="F19" s="31">
        <f t="shared" si="6"/>
        <v>0</v>
      </c>
      <c r="G19" s="31">
        <f t="shared" si="6"/>
        <v>0</v>
      </c>
      <c r="H19" s="31">
        <f t="shared" si="6"/>
        <v>0</v>
      </c>
      <c r="I19" s="31">
        <f t="shared" si="6"/>
        <v>0</v>
      </c>
      <c r="J19" s="31">
        <f t="shared" si="6"/>
        <v>0</v>
      </c>
      <c r="K19" s="31">
        <f t="shared" si="6"/>
        <v>0</v>
      </c>
      <c r="L19" s="31">
        <f t="shared" si="6"/>
        <v>0</v>
      </c>
      <c r="M19" s="31">
        <f t="shared" si="6"/>
        <v>0</v>
      </c>
      <c r="N19" s="31">
        <f t="shared" si="6"/>
        <v>0</v>
      </c>
      <c r="O19" s="31">
        <f t="shared" si="6"/>
        <v>0</v>
      </c>
      <c r="P19" s="31">
        <f t="shared" si="6"/>
        <v>0</v>
      </c>
      <c r="Q19" s="31">
        <f t="shared" si="6"/>
        <v>0</v>
      </c>
      <c r="R19" s="31">
        <f t="shared" si="6"/>
        <v>0</v>
      </c>
      <c r="S19" s="31">
        <f t="shared" si="6"/>
        <v>0</v>
      </c>
      <c r="T19" s="31">
        <f t="shared" si="6"/>
        <v>0</v>
      </c>
      <c r="U19" s="31">
        <f t="shared" si="6"/>
        <v>0</v>
      </c>
      <c r="V19" s="31">
        <f t="shared" si="6"/>
        <v>0</v>
      </c>
      <c r="W19" s="31">
        <f t="shared" si="6"/>
        <v>0</v>
      </c>
      <c r="X19" s="31">
        <f t="shared" si="6"/>
        <v>4.7250058825947496</v>
      </c>
      <c r="Y19" s="31">
        <f t="shared" si="6"/>
        <v>3.3410837007290759</v>
      </c>
      <c r="Z19" s="31">
        <f t="shared" si="6"/>
        <v>2.3625029412973753</v>
      </c>
      <c r="AA19" s="31">
        <f t="shared" si="6"/>
        <v>1.6705418503645382</v>
      </c>
      <c r="AB19" s="31">
        <f t="shared" si="6"/>
        <v>1.1812514706486879</v>
      </c>
      <c r="AC19" s="31">
        <f t="shared" si="6"/>
        <v>0.8352709251822692</v>
      </c>
      <c r="AD19" s="31">
        <f t="shared" si="6"/>
        <v>0.59062573532434393</v>
      </c>
      <c r="AE19" s="31">
        <f t="shared" si="6"/>
        <v>0.4176354625911346</v>
      </c>
      <c r="AF19" s="179">
        <f t="shared" si="6"/>
        <v>0.29531286766217196</v>
      </c>
      <c r="AG19" s="181"/>
    </row>
    <row r="20" spans="1:33" ht="43.5" x14ac:dyDescent="0.35">
      <c r="A20" s="165" t="s">
        <v>222</v>
      </c>
      <c r="B20" s="12">
        <f t="shared" ref="B20:U20" si="7">((1-EXP(-$C$36))/$C$36)*(B25*0.46*$B$28)</f>
        <v>0</v>
      </c>
      <c r="C20" s="12">
        <f t="shared" si="7"/>
        <v>0</v>
      </c>
      <c r="D20" s="12">
        <f t="shared" si="7"/>
        <v>0</v>
      </c>
      <c r="E20" s="12">
        <f t="shared" si="7"/>
        <v>0</v>
      </c>
      <c r="F20" s="12">
        <f t="shared" si="7"/>
        <v>0</v>
      </c>
      <c r="G20" s="12">
        <f t="shared" si="7"/>
        <v>0</v>
      </c>
      <c r="H20" s="12">
        <f t="shared" si="7"/>
        <v>0</v>
      </c>
      <c r="I20" s="12">
        <f t="shared" si="7"/>
        <v>0</v>
      </c>
      <c r="J20" s="12">
        <f t="shared" si="7"/>
        <v>0</v>
      </c>
      <c r="K20" s="12">
        <f t="shared" si="7"/>
        <v>0</v>
      </c>
      <c r="L20" s="12">
        <f t="shared" si="7"/>
        <v>0</v>
      </c>
      <c r="M20" s="12">
        <f t="shared" si="7"/>
        <v>0</v>
      </c>
      <c r="N20" s="12">
        <f t="shared" si="7"/>
        <v>0</v>
      </c>
      <c r="O20" s="12">
        <f t="shared" si="7"/>
        <v>0</v>
      </c>
      <c r="P20" s="12">
        <f t="shared" si="7"/>
        <v>0</v>
      </c>
      <c r="Q20" s="12">
        <f t="shared" si="7"/>
        <v>0</v>
      </c>
      <c r="R20" s="12">
        <f t="shared" si="7"/>
        <v>0</v>
      </c>
      <c r="S20" s="12">
        <f t="shared" si="7"/>
        <v>0</v>
      </c>
      <c r="T20" s="12">
        <f t="shared" si="7"/>
        <v>0</v>
      </c>
      <c r="U20" s="12">
        <f t="shared" si="7"/>
        <v>0</v>
      </c>
      <c r="V20" s="12">
        <f>((1-EXP(-$C$36))/$C$36)*(V25*0.41*$B$28)</f>
        <v>6.68216740145815</v>
      </c>
      <c r="W20" s="12">
        <f t="shared" ref="W20:AF20" si="8">((1-EXP(-$C$36))/$C$36)*(W25*0.46*$B$28)</f>
        <v>0</v>
      </c>
      <c r="X20" s="12">
        <f t="shared" si="8"/>
        <v>0</v>
      </c>
      <c r="Y20" s="12">
        <f t="shared" si="8"/>
        <v>0</v>
      </c>
      <c r="Z20" s="12">
        <f t="shared" si="8"/>
        <v>0</v>
      </c>
      <c r="AA20" s="12">
        <f t="shared" si="8"/>
        <v>0</v>
      </c>
      <c r="AB20" s="12">
        <f t="shared" si="8"/>
        <v>0</v>
      </c>
      <c r="AC20" s="12">
        <f t="shared" si="8"/>
        <v>0</v>
      </c>
      <c r="AD20" s="12">
        <f t="shared" si="8"/>
        <v>0</v>
      </c>
      <c r="AE20" s="12">
        <f t="shared" si="8"/>
        <v>0</v>
      </c>
      <c r="AF20" s="13">
        <f t="shared" si="8"/>
        <v>0</v>
      </c>
      <c r="AG20" s="181"/>
    </row>
    <row r="21" spans="1:33" x14ac:dyDescent="0.35">
      <c r="A21" s="92" t="s">
        <v>183</v>
      </c>
      <c r="B21" s="12">
        <v>0</v>
      </c>
      <c r="C21" s="31">
        <f>C22+B23</f>
        <v>0</v>
      </c>
      <c r="D21" s="31">
        <f>D22+C23</f>
        <v>0</v>
      </c>
      <c r="E21" s="31">
        <f t="shared" ref="E21:AF21" si="9">E22+D23</f>
        <v>0</v>
      </c>
      <c r="F21" s="31">
        <f>F22+E23</f>
        <v>0</v>
      </c>
      <c r="G21" s="31">
        <f t="shared" si="9"/>
        <v>0</v>
      </c>
      <c r="H21" s="31">
        <f t="shared" si="9"/>
        <v>0</v>
      </c>
      <c r="I21" s="31">
        <f t="shared" si="9"/>
        <v>0</v>
      </c>
      <c r="J21" s="31">
        <f t="shared" si="9"/>
        <v>0</v>
      </c>
      <c r="K21" s="31">
        <f>K22+J23</f>
        <v>0</v>
      </c>
      <c r="L21" s="31">
        <f t="shared" si="9"/>
        <v>0</v>
      </c>
      <c r="M21" s="31">
        <f t="shared" si="9"/>
        <v>0</v>
      </c>
      <c r="N21" s="31">
        <f t="shared" si="9"/>
        <v>0</v>
      </c>
      <c r="O21" s="31">
        <f t="shared" si="9"/>
        <v>0</v>
      </c>
      <c r="P21" s="31">
        <f t="shared" si="9"/>
        <v>0</v>
      </c>
      <c r="Q21" s="31">
        <f t="shared" si="9"/>
        <v>0</v>
      </c>
      <c r="R21" s="31">
        <f t="shared" si="9"/>
        <v>0</v>
      </c>
      <c r="S21" s="31">
        <f t="shared" si="9"/>
        <v>0</v>
      </c>
      <c r="T21" s="31">
        <f t="shared" si="9"/>
        <v>0</v>
      </c>
      <c r="U21" s="31">
        <f t="shared" si="9"/>
        <v>0</v>
      </c>
      <c r="V21" s="31">
        <f>V22+U23</f>
        <v>0</v>
      </c>
      <c r="W21" s="31">
        <f t="shared" si="9"/>
        <v>3.601590624400365</v>
      </c>
      <c r="X21" s="31">
        <f t="shared" si="9"/>
        <v>3.1353667468337774</v>
      </c>
      <c r="Y21" s="31">
        <f t="shared" si="9"/>
        <v>2.7294952875960812</v>
      </c>
      <c r="Z21" s="31">
        <f t="shared" si="9"/>
        <v>2.3761636601308846</v>
      </c>
      <c r="AA21" s="31">
        <f t="shared" si="9"/>
        <v>2.0685706128107215</v>
      </c>
      <c r="AB21" s="31">
        <f t="shared" si="9"/>
        <v>1.8007953122001823</v>
      </c>
      <c r="AC21" s="31">
        <f t="shared" si="9"/>
        <v>1.5676833734168885</v>
      </c>
      <c r="AD21" s="31">
        <f t="shared" si="9"/>
        <v>1.3647476437980404</v>
      </c>
      <c r="AE21" s="31">
        <f t="shared" si="9"/>
        <v>1.1880818300654421</v>
      </c>
      <c r="AF21" s="179">
        <f t="shared" si="9"/>
        <v>1.0342853064053605</v>
      </c>
      <c r="AG21" s="181"/>
    </row>
    <row r="22" spans="1:33" ht="29" x14ac:dyDescent="0.35">
      <c r="A22" s="92" t="s">
        <v>184</v>
      </c>
      <c r="B22" s="12">
        <v>0</v>
      </c>
      <c r="C22" s="31">
        <f t="shared" ref="C22:AF22" si="10">(EXP(-$C$37))*B21</f>
        <v>0</v>
      </c>
      <c r="D22" s="31">
        <f t="shared" si="10"/>
        <v>0</v>
      </c>
      <c r="E22" s="31">
        <f t="shared" si="10"/>
        <v>0</v>
      </c>
      <c r="F22" s="31">
        <f t="shared" si="10"/>
        <v>0</v>
      </c>
      <c r="G22" s="31">
        <f t="shared" si="10"/>
        <v>0</v>
      </c>
      <c r="H22" s="31">
        <f t="shared" si="10"/>
        <v>0</v>
      </c>
      <c r="I22" s="31">
        <f t="shared" si="10"/>
        <v>0</v>
      </c>
      <c r="J22" s="31">
        <f t="shared" si="10"/>
        <v>0</v>
      </c>
      <c r="K22" s="31">
        <f t="shared" si="10"/>
        <v>0</v>
      </c>
      <c r="L22" s="31">
        <f t="shared" si="10"/>
        <v>0</v>
      </c>
      <c r="M22" s="31">
        <f t="shared" si="10"/>
        <v>0</v>
      </c>
      <c r="N22" s="31">
        <f t="shared" si="10"/>
        <v>0</v>
      </c>
      <c r="O22" s="31">
        <f t="shared" si="10"/>
        <v>0</v>
      </c>
      <c r="P22" s="31">
        <f t="shared" si="10"/>
        <v>0</v>
      </c>
      <c r="Q22" s="31">
        <f t="shared" si="10"/>
        <v>0</v>
      </c>
      <c r="R22" s="31">
        <f t="shared" si="10"/>
        <v>0</v>
      </c>
      <c r="S22" s="31">
        <f t="shared" si="10"/>
        <v>0</v>
      </c>
      <c r="T22" s="31">
        <f t="shared" si="10"/>
        <v>0</v>
      </c>
      <c r="U22" s="31">
        <f t="shared" si="10"/>
        <v>0</v>
      </c>
      <c r="V22" s="31">
        <f t="shared" si="10"/>
        <v>0</v>
      </c>
      <c r="W22" s="31">
        <f t="shared" si="10"/>
        <v>0</v>
      </c>
      <c r="X22" s="31">
        <f t="shared" si="10"/>
        <v>3.1353667468337774</v>
      </c>
      <c r="Y22" s="31">
        <f t="shared" si="10"/>
        <v>2.7294952875960812</v>
      </c>
      <c r="Z22" s="31">
        <f t="shared" si="10"/>
        <v>2.3761636601308846</v>
      </c>
      <c r="AA22" s="31">
        <f t="shared" si="10"/>
        <v>2.0685706128107215</v>
      </c>
      <c r="AB22" s="31">
        <f t="shared" si="10"/>
        <v>1.8007953122001823</v>
      </c>
      <c r="AC22" s="31">
        <f t="shared" si="10"/>
        <v>1.5676833734168885</v>
      </c>
      <c r="AD22" s="31">
        <f t="shared" si="10"/>
        <v>1.3647476437980404</v>
      </c>
      <c r="AE22" s="31">
        <f t="shared" si="10"/>
        <v>1.1880818300654421</v>
      </c>
      <c r="AF22" s="179">
        <f t="shared" si="10"/>
        <v>1.0342853064053605</v>
      </c>
      <c r="AG22" s="181"/>
    </row>
    <row r="23" spans="1:33" ht="43.5" x14ac:dyDescent="0.35">
      <c r="A23" s="92" t="s">
        <v>185</v>
      </c>
      <c r="B23" s="12">
        <f>((1-EXP(-$C$37))/$C$37)*(B26*0.58*$B$28)</f>
        <v>0</v>
      </c>
      <c r="C23" s="12">
        <f>((1-EXP(-$C$37))/$C$37)*(C26*0.58*$B$28)</f>
        <v>0</v>
      </c>
      <c r="D23" s="12">
        <f t="shared" ref="D23:AF23" si="11">((1-EXP(-$C$37))/$C$37)*(D26*0.58*$B$28)</f>
        <v>0</v>
      </c>
      <c r="E23" s="12">
        <f t="shared" si="11"/>
        <v>0</v>
      </c>
      <c r="F23" s="12">
        <f t="shared" si="11"/>
        <v>0</v>
      </c>
      <c r="G23" s="12">
        <f t="shared" si="11"/>
        <v>0</v>
      </c>
      <c r="H23" s="12">
        <f t="shared" si="11"/>
        <v>0</v>
      </c>
      <c r="I23" s="12">
        <f t="shared" si="11"/>
        <v>0</v>
      </c>
      <c r="J23" s="12">
        <f t="shared" si="11"/>
        <v>0</v>
      </c>
      <c r="K23" s="12">
        <f t="shared" si="11"/>
        <v>0</v>
      </c>
      <c r="L23" s="12">
        <f t="shared" si="11"/>
        <v>0</v>
      </c>
      <c r="M23" s="12">
        <f t="shared" si="11"/>
        <v>0</v>
      </c>
      <c r="N23" s="12">
        <f t="shared" si="11"/>
        <v>0</v>
      </c>
      <c r="O23" s="12">
        <f t="shared" si="11"/>
        <v>0</v>
      </c>
      <c r="P23" s="12">
        <f t="shared" si="11"/>
        <v>0</v>
      </c>
      <c r="Q23" s="12">
        <f t="shared" si="11"/>
        <v>0</v>
      </c>
      <c r="R23" s="12">
        <f t="shared" si="11"/>
        <v>0</v>
      </c>
      <c r="S23" s="12">
        <f t="shared" si="11"/>
        <v>0</v>
      </c>
      <c r="T23" s="12">
        <f t="shared" si="11"/>
        <v>0</v>
      </c>
      <c r="U23" s="12">
        <f t="shared" si="11"/>
        <v>0</v>
      </c>
      <c r="V23" s="12">
        <f>((1-EXP(-$C$37))/$C$37)*(V26*0.58*$B$28)</f>
        <v>3.601590624400365</v>
      </c>
      <c r="W23" s="12">
        <f t="shared" si="11"/>
        <v>0</v>
      </c>
      <c r="X23" s="12">
        <f t="shared" si="11"/>
        <v>0</v>
      </c>
      <c r="Y23" s="12">
        <f t="shared" si="11"/>
        <v>0</v>
      </c>
      <c r="Z23" s="12">
        <f t="shared" si="11"/>
        <v>0</v>
      </c>
      <c r="AA23" s="12">
        <f t="shared" si="11"/>
        <v>0</v>
      </c>
      <c r="AB23" s="12">
        <f t="shared" si="11"/>
        <v>0</v>
      </c>
      <c r="AC23" s="12">
        <f t="shared" si="11"/>
        <v>0</v>
      </c>
      <c r="AD23" s="12">
        <f t="shared" si="11"/>
        <v>0</v>
      </c>
      <c r="AE23" s="12">
        <f t="shared" si="11"/>
        <v>0</v>
      </c>
      <c r="AF23" s="13">
        <f t="shared" si="11"/>
        <v>0</v>
      </c>
      <c r="AG23" s="181"/>
    </row>
    <row r="24" spans="1:33" ht="29" x14ac:dyDescent="0.35">
      <c r="A24" s="18" t="s">
        <v>223</v>
      </c>
      <c r="B24" s="17"/>
      <c r="C24" s="17"/>
      <c r="D24" s="17"/>
      <c r="E24" s="17"/>
      <c r="F24" s="17"/>
      <c r="G24" s="17"/>
      <c r="H24" s="17"/>
      <c r="I24" s="17"/>
      <c r="J24" s="17"/>
      <c r="K24" s="17"/>
      <c r="L24" s="17"/>
      <c r="M24" s="17"/>
      <c r="N24" s="17"/>
      <c r="O24" s="17"/>
      <c r="P24" s="17"/>
      <c r="Q24" s="17"/>
      <c r="R24" s="17"/>
      <c r="S24" s="17"/>
      <c r="T24" s="17"/>
      <c r="U24" s="17"/>
      <c r="V24" s="17">
        <f>((30*18)/100)+((30*40)/100)</f>
        <v>17.399999999999999</v>
      </c>
      <c r="W24" s="17"/>
      <c r="X24" s="17"/>
      <c r="Y24" s="17"/>
      <c r="Z24" s="17"/>
      <c r="AA24" s="17"/>
      <c r="AB24" s="17"/>
      <c r="AC24" s="17"/>
      <c r="AD24" s="17"/>
      <c r="AE24" s="17"/>
      <c r="AF24" s="173"/>
      <c r="AG24" s="181"/>
    </row>
    <row r="25" spans="1:33" x14ac:dyDescent="0.35">
      <c r="A25" s="18" t="s">
        <v>224</v>
      </c>
      <c r="B25" s="17"/>
      <c r="C25" s="17"/>
      <c r="D25" s="17"/>
      <c r="E25" s="17"/>
      <c r="F25" s="17"/>
      <c r="G25" s="17"/>
      <c r="H25" s="17"/>
      <c r="I25" s="17"/>
      <c r="J25" s="17"/>
      <c r="K25" s="17"/>
      <c r="L25" s="17"/>
      <c r="M25" s="17"/>
      <c r="N25" s="17"/>
      <c r="O25" s="17"/>
      <c r="P25" s="17"/>
      <c r="Q25" s="17"/>
      <c r="R25" s="17"/>
      <c r="S25" s="17"/>
      <c r="T25" s="17"/>
      <c r="U25" s="17"/>
      <c r="V25" s="17">
        <f>((70*18)/100)+((70*40)/100)</f>
        <v>40.6</v>
      </c>
      <c r="W25" s="17"/>
      <c r="X25" s="17"/>
      <c r="Y25" s="17"/>
      <c r="Z25" s="17"/>
      <c r="AA25" s="17"/>
      <c r="AB25" s="17"/>
      <c r="AC25" s="17"/>
      <c r="AD25" s="17"/>
      <c r="AE25" s="17"/>
      <c r="AF25" s="173"/>
      <c r="AG25" s="181"/>
    </row>
    <row r="26" spans="1:33" ht="15" thickBot="1" x14ac:dyDescent="0.4">
      <c r="A26" s="18" t="s">
        <v>225</v>
      </c>
      <c r="B26" s="17"/>
      <c r="C26" s="23"/>
      <c r="D26" s="23"/>
      <c r="E26" s="23"/>
      <c r="F26" s="23"/>
      <c r="G26" s="23"/>
      <c r="H26" s="23"/>
      <c r="I26" s="23"/>
      <c r="J26" s="23"/>
      <c r="K26" s="23"/>
      <c r="L26" s="23"/>
      <c r="M26" s="23"/>
      <c r="N26" s="23"/>
      <c r="O26" s="23"/>
      <c r="P26" s="23"/>
      <c r="Q26" s="23"/>
      <c r="R26" s="23"/>
      <c r="S26" s="23"/>
      <c r="T26" s="23"/>
      <c r="U26" s="23"/>
      <c r="V26" s="23">
        <f>14</f>
        <v>14</v>
      </c>
      <c r="W26" s="23"/>
      <c r="X26" s="23"/>
      <c r="Y26" s="23"/>
      <c r="Z26" s="23"/>
      <c r="AA26" s="23"/>
      <c r="AB26" s="23"/>
      <c r="AC26" s="23"/>
      <c r="AD26" s="23"/>
      <c r="AE26" s="23"/>
      <c r="AF26" s="180"/>
      <c r="AG26" s="181"/>
    </row>
    <row r="27" spans="1:33" x14ac:dyDescent="0.35">
      <c r="A27" s="210" t="s">
        <v>9</v>
      </c>
      <c r="B27" s="211"/>
      <c r="C27" s="56"/>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row>
    <row r="28" spans="1:33" ht="29.5" thickBot="1" x14ac:dyDescent="0.4">
      <c r="A28" s="3" t="s">
        <v>3</v>
      </c>
      <c r="B28" s="172">
        <v>0.47499999999999998</v>
      </c>
      <c r="C28" s="127"/>
      <c r="D28" s="128"/>
      <c r="E28" s="128"/>
      <c r="F28" s="128"/>
      <c r="G28" s="128"/>
      <c r="H28" s="7"/>
      <c r="I28" s="7"/>
      <c r="J28" s="7"/>
      <c r="K28" s="7"/>
      <c r="L28" s="7"/>
      <c r="M28" s="7"/>
      <c r="N28" s="7"/>
      <c r="O28" s="7"/>
      <c r="P28" s="7"/>
      <c r="Q28" s="7"/>
      <c r="R28" s="7"/>
      <c r="S28" s="7"/>
      <c r="T28" s="7"/>
      <c r="U28" s="7"/>
      <c r="V28" s="7"/>
      <c r="W28" s="7"/>
      <c r="X28" s="7"/>
      <c r="Y28" s="7"/>
      <c r="Z28" s="7"/>
      <c r="AA28" s="7"/>
      <c r="AB28" s="7"/>
      <c r="AC28" s="7"/>
      <c r="AD28" s="7"/>
      <c r="AE28" s="7"/>
      <c r="AF28" s="7"/>
    </row>
    <row r="29" spans="1:33" ht="29.5" thickBot="1" x14ac:dyDescent="0.4">
      <c r="A29" s="11" t="s">
        <v>5</v>
      </c>
      <c r="B29" s="173" t="s">
        <v>226</v>
      </c>
      <c r="C29" s="174">
        <v>0.36</v>
      </c>
      <c r="D29" s="175" t="s">
        <v>227</v>
      </c>
      <c r="E29" s="176">
        <v>0.46</v>
      </c>
      <c r="F29" s="175" t="s">
        <v>228</v>
      </c>
      <c r="G29" s="15">
        <v>0.57999999999999996</v>
      </c>
      <c r="H29" s="55"/>
      <c r="I29" s="7"/>
      <c r="J29" s="7"/>
      <c r="K29" s="7"/>
      <c r="L29" s="7"/>
      <c r="M29" s="7"/>
      <c r="N29" s="7"/>
      <c r="O29" s="7"/>
      <c r="P29" s="7"/>
      <c r="Q29" s="7"/>
      <c r="R29" s="7"/>
      <c r="S29" s="7"/>
      <c r="T29" s="7"/>
      <c r="U29" s="7"/>
      <c r="V29" s="7"/>
      <c r="W29" s="7"/>
      <c r="X29" s="7"/>
      <c r="Y29" s="7"/>
      <c r="Z29" s="7"/>
      <c r="AA29" s="7"/>
      <c r="AB29" s="7"/>
      <c r="AC29" s="7"/>
      <c r="AD29" s="7"/>
      <c r="AE29" s="7"/>
      <c r="AF29" s="7"/>
    </row>
    <row r="30" spans="1:33" x14ac:dyDescent="0.35">
      <c r="A30" s="203" t="s">
        <v>85</v>
      </c>
      <c r="B30" s="28" t="s">
        <v>88</v>
      </c>
      <c r="C30" s="60">
        <v>35</v>
      </c>
      <c r="D30" s="125"/>
      <c r="E30" s="126"/>
      <c r="F30" s="177"/>
      <c r="G30" s="177"/>
      <c r="H30" s="7"/>
      <c r="I30" s="7"/>
      <c r="J30" s="7"/>
      <c r="K30" s="7"/>
      <c r="L30" s="7"/>
      <c r="M30" s="7"/>
      <c r="N30" s="7"/>
      <c r="O30" s="7"/>
      <c r="P30" s="7"/>
      <c r="Q30" s="7"/>
      <c r="R30" s="7"/>
      <c r="S30" s="7"/>
      <c r="T30" s="7"/>
      <c r="U30" s="7"/>
      <c r="V30" s="7"/>
      <c r="W30" s="7"/>
      <c r="X30" s="7"/>
      <c r="Y30" s="7"/>
      <c r="Z30" s="7"/>
      <c r="AA30" s="7"/>
      <c r="AB30" s="7"/>
      <c r="AC30" s="7"/>
      <c r="AD30" s="7"/>
      <c r="AE30" s="7"/>
      <c r="AF30" s="7"/>
    </row>
    <row r="31" spans="1:33" x14ac:dyDescent="0.35">
      <c r="A31" s="204"/>
      <c r="B31" s="12" t="s">
        <v>89</v>
      </c>
      <c r="C31" s="27">
        <v>25</v>
      </c>
      <c r="D31" s="57"/>
      <c r="E31" s="15"/>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1:33" x14ac:dyDescent="0.35">
      <c r="A32" s="204"/>
      <c r="B32" s="12" t="s">
        <v>90</v>
      </c>
      <c r="C32" s="27">
        <v>2</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spans="1:32" x14ac:dyDescent="0.35">
      <c r="A33" s="212"/>
      <c r="B33" s="28" t="s">
        <v>148</v>
      </c>
      <c r="C33" s="60">
        <v>5</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row>
    <row r="34" spans="1:32" x14ac:dyDescent="0.35">
      <c r="A34" s="203" t="s">
        <v>91</v>
      </c>
      <c r="B34" s="28" t="s">
        <v>88</v>
      </c>
      <c r="C34" s="29">
        <f>LN(2)/C30</f>
        <v>1.980420515885558E-2</v>
      </c>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row>
    <row r="35" spans="1:32" x14ac:dyDescent="0.35">
      <c r="A35" s="204"/>
      <c r="B35" s="12" t="s">
        <v>89</v>
      </c>
      <c r="C35" s="29">
        <f>LN(2)/C31</f>
        <v>2.7725887222397813E-2</v>
      </c>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row>
    <row r="36" spans="1:32" x14ac:dyDescent="0.35">
      <c r="A36" s="204"/>
      <c r="B36" s="61" t="s">
        <v>90</v>
      </c>
      <c r="C36" s="62">
        <f>LN(2)/C32</f>
        <v>0.34657359027997264</v>
      </c>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row>
    <row r="37" spans="1:32" ht="15" thickBot="1" x14ac:dyDescent="0.4">
      <c r="A37" s="205"/>
      <c r="B37" s="24" t="s">
        <v>148</v>
      </c>
      <c r="C37" s="30">
        <f>LN(2)/C33</f>
        <v>0.13862943611198905</v>
      </c>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row>
    <row r="38" spans="1:32" x14ac:dyDescent="0.35">
      <c r="A38" s="8"/>
      <c r="B38" s="104"/>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row>
  </sheetData>
  <mergeCells count="6">
    <mergeCell ref="A34:A37"/>
    <mergeCell ref="A8:B8"/>
    <mergeCell ref="A11:AF11"/>
    <mergeCell ref="A13:AF13"/>
    <mergeCell ref="A27:B27"/>
    <mergeCell ref="A30:A33"/>
  </mergeCells>
  <conditionalFormatting sqref="B14:AF26">
    <cfRule type="cellIs" dxfId="0" priority="2" operator="greaterThan">
      <formula>0</formula>
    </cfRule>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U26"/>
  <sheetViews>
    <sheetView zoomScale="86" zoomScaleNormal="60" workbookViewId="0">
      <selection activeCell="AE18" sqref="AE18"/>
    </sheetView>
  </sheetViews>
  <sheetFormatPr baseColWidth="10" defaultRowHeight="14.5" x14ac:dyDescent="0.35"/>
  <cols>
    <col min="1" max="1" width="38.08984375" style="1" customWidth="1"/>
    <col min="2" max="2" width="27.08984375" customWidth="1"/>
    <col min="4" max="4" width="13.1796875" customWidth="1"/>
    <col min="21" max="21" width="14.1796875" bestFit="1" customWidth="1"/>
    <col min="22" max="25" width="13.08984375" bestFit="1" customWidth="1"/>
    <col min="26" max="26" width="13.6328125" bestFit="1" customWidth="1"/>
    <col min="27" max="30" width="13.08984375" bestFit="1" customWidth="1"/>
    <col min="31" max="31" width="14.1796875" bestFit="1" customWidth="1"/>
  </cols>
  <sheetData>
    <row r="4" spans="1:177" ht="16" thickBot="1" x14ac:dyDescent="0.4">
      <c r="A4" s="19"/>
      <c r="B4" s="7"/>
    </row>
    <row r="5" spans="1:177" ht="16" thickBot="1" x14ac:dyDescent="0.4">
      <c r="A5" s="20" t="s">
        <v>92</v>
      </c>
      <c r="B5" s="101">
        <f>SUM(B16:AE16)</f>
        <v>40.318967999999998</v>
      </c>
    </row>
    <row r="7" spans="1:177" ht="15" thickBot="1" x14ac:dyDescent="0.4"/>
    <row r="8" spans="1:177" x14ac:dyDescent="0.35">
      <c r="A8" s="215" t="s">
        <v>11</v>
      </c>
      <c r="B8" s="216"/>
    </row>
    <row r="9" spans="1:177" x14ac:dyDescent="0.35">
      <c r="A9" s="97" t="s">
        <v>13</v>
      </c>
      <c r="B9" s="100">
        <v>30</v>
      </c>
    </row>
    <row r="10" spans="1:177" x14ac:dyDescent="0.35">
      <c r="A10" s="3" t="s">
        <v>105</v>
      </c>
      <c r="B10" s="36"/>
      <c r="C10" s="148" t="s">
        <v>201</v>
      </c>
    </row>
    <row r="11" spans="1:177" ht="36" customHeight="1" thickBot="1" x14ac:dyDescent="0.4">
      <c r="A11" s="4" t="s">
        <v>160</v>
      </c>
      <c r="B11" s="40">
        <f>(0.25+0.43)/2</f>
        <v>0.33999999999999997</v>
      </c>
    </row>
    <row r="12" spans="1:177" ht="15" thickBot="1" x14ac:dyDescent="0.4">
      <c r="AF12" s="7"/>
    </row>
    <row r="13" spans="1:177" s="5" customFormat="1" ht="15.5" x14ac:dyDescent="0.35">
      <c r="A13" s="206" t="s">
        <v>93</v>
      </c>
      <c r="B13" s="207"/>
      <c r="C13" s="207"/>
      <c r="D13" s="207"/>
      <c r="E13" s="207"/>
      <c r="F13" s="207"/>
      <c r="G13" s="207"/>
      <c r="H13" s="207"/>
      <c r="I13" s="207"/>
      <c r="J13" s="207"/>
      <c r="K13" s="207"/>
      <c r="L13" s="207"/>
      <c r="M13" s="207"/>
      <c r="N13" s="207"/>
      <c r="O13" s="207"/>
      <c r="P13" s="207"/>
      <c r="Q13" s="207"/>
      <c r="R13" s="207"/>
      <c r="S13" s="207"/>
      <c r="T13" s="207"/>
      <c r="U13" s="207"/>
      <c r="V13" s="207"/>
      <c r="W13" s="207"/>
      <c r="X13" s="207"/>
      <c r="Y13" s="207"/>
      <c r="Z13" s="207"/>
      <c r="AA13" s="207"/>
      <c r="AB13" s="207"/>
      <c r="AC13" s="207"/>
      <c r="AD13" s="207"/>
      <c r="AE13" s="217"/>
      <c r="AF13" s="19"/>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row>
    <row r="14" spans="1:177" x14ac:dyDescent="0.35">
      <c r="A14" s="3" t="s">
        <v>14</v>
      </c>
      <c r="B14" s="12">
        <v>1</v>
      </c>
      <c r="C14" s="12">
        <v>2</v>
      </c>
      <c r="D14" s="12">
        <v>3</v>
      </c>
      <c r="E14" s="12">
        <v>4</v>
      </c>
      <c r="F14" s="12">
        <v>5</v>
      </c>
      <c r="G14" s="12">
        <v>6</v>
      </c>
      <c r="H14" s="12">
        <v>7</v>
      </c>
      <c r="I14" s="12">
        <v>8</v>
      </c>
      <c r="J14" s="12">
        <v>9</v>
      </c>
      <c r="K14" s="12">
        <v>10</v>
      </c>
      <c r="L14" s="12">
        <v>11</v>
      </c>
      <c r="M14" s="12">
        <v>12</v>
      </c>
      <c r="N14" s="12">
        <v>13</v>
      </c>
      <c r="O14" s="12">
        <v>14</v>
      </c>
      <c r="P14" s="12">
        <v>15</v>
      </c>
      <c r="Q14" s="12">
        <v>16</v>
      </c>
      <c r="R14" s="12">
        <v>17</v>
      </c>
      <c r="S14" s="12">
        <v>18</v>
      </c>
      <c r="T14" s="12">
        <v>19</v>
      </c>
      <c r="U14" s="170">
        <v>20</v>
      </c>
      <c r="V14" s="12">
        <v>21</v>
      </c>
      <c r="W14" s="12">
        <v>22</v>
      </c>
      <c r="X14" s="12">
        <v>23</v>
      </c>
      <c r="Y14" s="12">
        <v>24</v>
      </c>
      <c r="Z14" s="12">
        <v>25</v>
      </c>
      <c r="AA14" s="12">
        <v>26</v>
      </c>
      <c r="AB14" s="12">
        <v>27</v>
      </c>
      <c r="AC14" s="12">
        <v>28</v>
      </c>
      <c r="AD14" s="12">
        <v>29</v>
      </c>
      <c r="AE14" s="182">
        <v>30</v>
      </c>
      <c r="AF14" s="15"/>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row>
    <row r="15" spans="1:177" s="5" customFormat="1" x14ac:dyDescent="0.35">
      <c r="A15" s="199" t="s">
        <v>2</v>
      </c>
      <c r="B15" s="200"/>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18"/>
      <c r="AF15" s="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row>
    <row r="16" spans="1:177" s="5" customFormat="1" x14ac:dyDescent="0.35">
      <c r="A16" s="66" t="s">
        <v>196</v>
      </c>
      <c r="B16" s="65">
        <f t="shared" ref="B16:AE16" si="0">$B$11*B17</f>
        <v>0</v>
      </c>
      <c r="C16" s="65">
        <f t="shared" si="0"/>
        <v>0</v>
      </c>
      <c r="D16" s="65">
        <f t="shared" si="0"/>
        <v>0</v>
      </c>
      <c r="E16" s="65">
        <f t="shared" si="0"/>
        <v>0</v>
      </c>
      <c r="F16" s="65">
        <f t="shared" si="0"/>
        <v>0</v>
      </c>
      <c r="G16" s="65">
        <f t="shared" si="0"/>
        <v>0</v>
      </c>
      <c r="H16" s="65">
        <f t="shared" si="0"/>
        <v>0</v>
      </c>
      <c r="I16" s="65">
        <f t="shared" si="0"/>
        <v>0</v>
      </c>
      <c r="J16" s="65">
        <f t="shared" si="0"/>
        <v>0</v>
      </c>
      <c r="K16" s="65">
        <f t="shared" si="0"/>
        <v>0</v>
      </c>
      <c r="L16" s="65">
        <f t="shared" si="0"/>
        <v>0</v>
      </c>
      <c r="M16" s="65">
        <f t="shared" si="0"/>
        <v>0</v>
      </c>
      <c r="N16" s="65">
        <f t="shared" si="0"/>
        <v>0</v>
      </c>
      <c r="O16" s="65">
        <f t="shared" si="0"/>
        <v>0</v>
      </c>
      <c r="P16" s="65">
        <f t="shared" si="0"/>
        <v>0</v>
      </c>
      <c r="Q16" s="65">
        <f t="shared" si="0"/>
        <v>0</v>
      </c>
      <c r="R16" s="137">
        <f t="shared" si="0"/>
        <v>0</v>
      </c>
      <c r="S16" s="65">
        <f t="shared" si="0"/>
        <v>0</v>
      </c>
      <c r="T16" s="65">
        <f t="shared" si="0"/>
        <v>0</v>
      </c>
      <c r="U16" s="137">
        <f t="shared" si="0"/>
        <v>29.200967999999996</v>
      </c>
      <c r="V16" s="137">
        <f t="shared" si="0"/>
        <v>0</v>
      </c>
      <c r="W16" s="137">
        <f t="shared" si="0"/>
        <v>0</v>
      </c>
      <c r="X16" s="137">
        <f t="shared" si="0"/>
        <v>0</v>
      </c>
      <c r="Y16" s="137">
        <f t="shared" si="0"/>
        <v>0</v>
      </c>
      <c r="Z16" s="137">
        <f t="shared" si="0"/>
        <v>0</v>
      </c>
      <c r="AA16" s="137">
        <f t="shared" si="0"/>
        <v>0</v>
      </c>
      <c r="AB16" s="137">
        <f t="shared" si="0"/>
        <v>0</v>
      </c>
      <c r="AC16" s="137">
        <f t="shared" si="0"/>
        <v>0</v>
      </c>
      <c r="AD16" s="137">
        <f t="shared" si="0"/>
        <v>0</v>
      </c>
      <c r="AE16" s="183">
        <f t="shared" si="0"/>
        <v>11.118</v>
      </c>
      <c r="AF16" s="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ht="15" thickBot="1" x14ac:dyDescent="0.4">
      <c r="A17" s="3" t="s">
        <v>197</v>
      </c>
      <c r="B17" s="17"/>
      <c r="C17" s="59"/>
      <c r="D17" s="134"/>
      <c r="E17" s="134"/>
      <c r="F17" s="134"/>
      <c r="G17" s="134"/>
      <c r="H17" s="134"/>
      <c r="I17" s="134"/>
      <c r="J17" s="134"/>
      <c r="K17" s="134"/>
      <c r="L17" s="134"/>
      <c r="M17" s="134"/>
      <c r="N17" s="134"/>
      <c r="O17" s="134"/>
      <c r="P17" s="134"/>
      <c r="Q17" s="134"/>
      <c r="R17" s="138"/>
      <c r="S17" s="134"/>
      <c r="T17" s="134"/>
      <c r="U17" s="135">
        <f>(14*1.3326)+(18*2.2816)+(40*0.654)</f>
        <v>85.885199999999998</v>
      </c>
      <c r="V17" s="135"/>
      <c r="W17" s="135"/>
      <c r="X17" s="135"/>
      <c r="Y17" s="135"/>
      <c r="Z17" s="135"/>
      <c r="AA17" s="135"/>
      <c r="AB17" s="135"/>
      <c r="AC17" s="135"/>
      <c r="AD17" s="135"/>
      <c r="AE17" s="136">
        <f>50*0.654</f>
        <v>32.700000000000003</v>
      </c>
      <c r="AF17" s="39"/>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ht="15" thickBot="1" x14ac:dyDescent="0.4">
      <c r="A18" s="210" t="s">
        <v>9</v>
      </c>
      <c r="B18" s="211"/>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row>
    <row r="19" spans="1:177" x14ac:dyDescent="0.35">
      <c r="A19" s="203" t="s">
        <v>95</v>
      </c>
      <c r="B19" s="12" t="s">
        <v>96</v>
      </c>
      <c r="C19" s="34">
        <v>1.52</v>
      </c>
      <c r="D19" s="15"/>
      <c r="E19" s="15"/>
      <c r="F19" s="7"/>
      <c r="G19" s="7"/>
      <c r="H19" s="7"/>
      <c r="I19" s="7"/>
      <c r="J19" s="7"/>
      <c r="K19" s="7"/>
      <c r="L19" s="7"/>
      <c r="M19" s="7"/>
      <c r="N19" s="7"/>
      <c r="O19" s="7"/>
      <c r="P19" s="7"/>
      <c r="Q19" s="7"/>
      <c r="R19" s="7"/>
      <c r="S19" s="7"/>
      <c r="T19" s="7"/>
      <c r="U19" s="7"/>
      <c r="V19" s="7"/>
      <c r="W19" s="7"/>
      <c r="X19" s="7"/>
      <c r="Y19" s="7"/>
      <c r="Z19" s="7"/>
      <c r="AA19" s="7"/>
      <c r="AB19" s="7"/>
      <c r="AC19" s="7"/>
      <c r="AD19" s="7"/>
      <c r="AE19" s="7"/>
      <c r="AF19" s="7"/>
    </row>
    <row r="20" spans="1:177" x14ac:dyDescent="0.35">
      <c r="A20" s="204"/>
      <c r="B20" s="12" t="s">
        <v>98</v>
      </c>
      <c r="C20" s="27">
        <v>0</v>
      </c>
      <c r="D20" s="15"/>
      <c r="E20" s="15"/>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1:177" x14ac:dyDescent="0.35">
      <c r="A21" s="204"/>
      <c r="B21" s="12" t="s">
        <v>99</v>
      </c>
      <c r="C21" s="27">
        <v>0.77</v>
      </c>
      <c r="D21" s="15"/>
      <c r="E21" s="15"/>
      <c r="F21" s="7"/>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1:177" x14ac:dyDescent="0.35">
      <c r="A22" s="204"/>
      <c r="B22" s="12" t="s">
        <v>97</v>
      </c>
      <c r="C22" s="27">
        <v>0.25</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row>
    <row r="23" spans="1:177" x14ac:dyDescent="0.35">
      <c r="A23" s="213" t="s">
        <v>100</v>
      </c>
      <c r="B23" s="28" t="s">
        <v>101</v>
      </c>
      <c r="C23" s="37">
        <v>0.25</v>
      </c>
      <c r="D23" s="98"/>
      <c r="E23" s="98"/>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row>
    <row r="24" spans="1:177" x14ac:dyDescent="0.35">
      <c r="A24" s="213"/>
      <c r="B24" s="28" t="s">
        <v>102</v>
      </c>
      <c r="C24" s="37">
        <v>1.03</v>
      </c>
      <c r="D24" s="98"/>
      <c r="E24" s="98"/>
      <c r="F24" s="98"/>
      <c r="G24" s="98"/>
      <c r="H24" s="98"/>
      <c r="I24" s="98"/>
      <c r="J24" s="98"/>
      <c r="K24" s="98"/>
      <c r="L24" s="98"/>
      <c r="M24" s="98"/>
      <c r="N24" s="98"/>
      <c r="O24" s="98"/>
      <c r="P24" s="98"/>
      <c r="Q24" s="98"/>
      <c r="R24" s="98"/>
      <c r="S24" s="98"/>
      <c r="T24" s="98"/>
      <c r="U24" s="98"/>
      <c r="V24" s="98"/>
      <c r="W24" s="98"/>
      <c r="X24" s="98"/>
      <c r="Y24" s="98"/>
      <c r="Z24" s="98"/>
      <c r="AA24" s="98"/>
      <c r="AB24" s="98"/>
      <c r="AC24" s="98"/>
      <c r="AD24" s="98"/>
      <c r="AE24" s="98"/>
    </row>
    <row r="25" spans="1:177" ht="29" x14ac:dyDescent="0.35">
      <c r="A25" s="213"/>
      <c r="B25" s="35" t="s">
        <v>103</v>
      </c>
      <c r="C25" s="37">
        <v>0.59</v>
      </c>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row>
    <row r="26" spans="1:177" ht="15" thickBot="1" x14ac:dyDescent="0.4">
      <c r="A26" s="214"/>
      <c r="B26" s="24" t="s">
        <v>104</v>
      </c>
      <c r="C26" s="38">
        <v>0.43</v>
      </c>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row>
  </sheetData>
  <mergeCells count="6">
    <mergeCell ref="A23:A26"/>
    <mergeCell ref="A8:B8"/>
    <mergeCell ref="A18:B18"/>
    <mergeCell ref="A19:A22"/>
    <mergeCell ref="A13:AE13"/>
    <mergeCell ref="A15:AE15"/>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D19:D21</xm:sqref>
        </x14:dataValidation>
        <x14:dataValidation type="list" showInputMessage="1" showErrorMessage="1" prompt="Choisir un type de reboisement pour le calcul du CS projet">
          <x14:formula1>
            <xm:f>'Listes choix'!$G$2:$G$5</xm:f>
          </x14:formula1>
          <xm:sqref>B10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abSelected="1" zoomScale="131" workbookViewId="0">
      <selection activeCell="B25" sqref="B25"/>
    </sheetView>
  </sheetViews>
  <sheetFormatPr baseColWidth="10" defaultRowHeight="14.5" x14ac:dyDescent="0.35"/>
  <cols>
    <col min="1" max="1" width="55.90625" customWidth="1"/>
    <col min="2" max="2" width="29.7265625" customWidth="1"/>
    <col min="3" max="3" width="22.54296875" customWidth="1"/>
  </cols>
  <sheetData>
    <row r="1" spans="1:4" ht="15" thickBot="1" x14ac:dyDescent="0.4"/>
    <row r="2" spans="1:4" ht="16" thickBot="1" x14ac:dyDescent="0.4">
      <c r="A2" s="41" t="s">
        <v>111</v>
      </c>
      <c r="B2" s="139" t="s">
        <v>110</v>
      </c>
      <c r="C2" s="142"/>
      <c r="D2" s="140"/>
    </row>
    <row r="3" spans="1:4" ht="15.5" x14ac:dyDescent="0.35">
      <c r="A3" s="32" t="s">
        <v>112</v>
      </c>
      <c r="B3" s="143">
        <f>SUM(B4,B6)</f>
        <v>1312.0766021439983</v>
      </c>
      <c r="C3" s="142"/>
      <c r="D3" s="140"/>
    </row>
    <row r="4" spans="1:4" ht="15.5" x14ac:dyDescent="0.35">
      <c r="A4" s="42" t="s">
        <v>113</v>
      </c>
      <c r="B4" s="144">
        <f>REAforêtMBoisement!B6</f>
        <v>1290.1297046546699</v>
      </c>
      <c r="C4" s="142"/>
      <c r="D4" s="140"/>
    </row>
    <row r="5" spans="1:4" ht="15.5" x14ac:dyDescent="0.35">
      <c r="A5" s="102" t="s">
        <v>117</v>
      </c>
      <c r="B5" s="144">
        <f>B4*(1-C15)*(1-C16)*(1-C17)*(1-C18)</f>
        <v>928.89338735136232</v>
      </c>
      <c r="C5" s="142"/>
      <c r="D5" s="140"/>
    </row>
    <row r="6" spans="1:4" ht="15.5" x14ac:dyDescent="0.35">
      <c r="A6" s="42" t="s">
        <v>114</v>
      </c>
      <c r="B6" s="144">
        <f>REAproduitsMBoisement!B5</f>
        <v>21.946897489328318</v>
      </c>
      <c r="C6" s="142"/>
      <c r="D6" s="140"/>
    </row>
    <row r="7" spans="1:4" ht="15.5" x14ac:dyDescent="0.35">
      <c r="A7" s="102" t="s">
        <v>118</v>
      </c>
      <c r="B7" s="144">
        <f>B6*(1-C15)*(1-C16)*(1-C17)*(1-C18)</f>
        <v>15.801766192316391</v>
      </c>
      <c r="C7" s="142"/>
      <c r="D7" s="140"/>
    </row>
    <row r="8" spans="1:4" ht="15.5" x14ac:dyDescent="0.35">
      <c r="A8" s="42" t="s">
        <v>115</v>
      </c>
      <c r="B8" s="144">
        <f>REEsubsMBoisement!B5</f>
        <v>40.318967999999998</v>
      </c>
      <c r="C8" s="142"/>
      <c r="D8" s="140"/>
    </row>
    <row r="9" spans="1:4" ht="16" thickBot="1" x14ac:dyDescent="0.4">
      <c r="A9" s="103" t="s">
        <v>119</v>
      </c>
      <c r="B9" s="145">
        <f>B8*(1-C15)*(1-C16)*(1-C17)*(1-C18)</f>
        <v>29.029656960000001</v>
      </c>
      <c r="C9" s="142"/>
      <c r="D9" s="140"/>
    </row>
    <row r="10" spans="1:4" ht="15.5" x14ac:dyDescent="0.35">
      <c r="A10" s="43" t="s">
        <v>116</v>
      </c>
      <c r="B10" s="146">
        <f>SUM(B3,B8)</f>
        <v>1352.3955701439984</v>
      </c>
      <c r="C10" s="57"/>
      <c r="D10" s="15"/>
    </row>
    <row r="11" spans="1:4" ht="16" thickBot="1" x14ac:dyDescent="0.4">
      <c r="A11" s="44" t="s">
        <v>120</v>
      </c>
      <c r="B11" s="147">
        <f>SUM(B5,B7,B9)</f>
        <v>973.72481050367867</v>
      </c>
      <c r="C11" s="57"/>
      <c r="D11" s="15"/>
    </row>
    <row r="13" spans="1:4" ht="15" thickBot="1" x14ac:dyDescent="0.4"/>
    <row r="14" spans="1:4" ht="16" thickBot="1" x14ac:dyDescent="0.4">
      <c r="A14" s="46" t="s">
        <v>121</v>
      </c>
      <c r="B14" s="67" t="s">
        <v>122</v>
      </c>
      <c r="C14" s="91" t="s">
        <v>129</v>
      </c>
    </row>
    <row r="15" spans="1:4" x14ac:dyDescent="0.35">
      <c r="A15" s="109" t="s">
        <v>198</v>
      </c>
      <c r="B15" s="49" t="s">
        <v>176</v>
      </c>
      <c r="C15" s="51">
        <f>IF(B15="Réalisée",0,IF(B15="Pas réalisée",0.2,""))</f>
        <v>0.2</v>
      </c>
    </row>
    <row r="16" spans="1:4" x14ac:dyDescent="0.35">
      <c r="A16" s="22" t="s">
        <v>199</v>
      </c>
      <c r="B16" s="48" t="s">
        <v>126</v>
      </c>
      <c r="C16" s="52">
        <v>0.1</v>
      </c>
      <c r="D16" s="45"/>
    </row>
    <row r="17" spans="1:5" ht="29" x14ac:dyDescent="0.35">
      <c r="A17" s="184" t="s">
        <v>152</v>
      </c>
      <c r="B17" s="50" t="s">
        <v>137</v>
      </c>
      <c r="C17" s="52">
        <f>IF(B17="Départements sans risque ou risque négligeable",0,IF(B17="Départements avec risque très faible ou faible",0.05,IF(B17="Départements avec risque moyen",0.1,IF(B17="Départements avec risque fort ou très fort", 0.15,""))))</f>
        <v>0</v>
      </c>
      <c r="D17" s="45"/>
    </row>
    <row r="18" spans="1:5" ht="15" thickBot="1" x14ac:dyDescent="0.4">
      <c r="A18" s="185" t="s">
        <v>128</v>
      </c>
      <c r="B18" s="191" t="s">
        <v>135</v>
      </c>
      <c r="C18" s="192">
        <f>IF(B18="Démontrée",0,IF(B18="Non démontrée",0.1,""))</f>
        <v>0</v>
      </c>
    </row>
    <row r="19" spans="1:5" x14ac:dyDescent="0.35">
      <c r="A19" s="53"/>
      <c r="B19" s="15"/>
      <c r="C19" s="15"/>
      <c r="D19" s="53"/>
      <c r="E19" s="89"/>
    </row>
    <row r="20" spans="1:5" x14ac:dyDescent="0.35">
      <c r="A20" s="53"/>
      <c r="B20" s="15"/>
      <c r="C20" s="15"/>
      <c r="D20" s="53"/>
      <c r="E20" s="89"/>
    </row>
    <row r="21" spans="1:5" x14ac:dyDescent="0.35">
      <c r="A21" s="53"/>
      <c r="B21" s="15"/>
      <c r="C21" s="15"/>
      <c r="D21" s="53"/>
      <c r="E21" s="89"/>
    </row>
    <row r="22" spans="1:5" x14ac:dyDescent="0.35">
      <c r="A22" s="53"/>
      <c r="B22" s="15"/>
      <c r="C22" s="54"/>
      <c r="D22" s="53"/>
    </row>
    <row r="23" spans="1:5" x14ac:dyDescent="0.35">
      <c r="A23" s="53"/>
      <c r="B23" s="53"/>
      <c r="C23" s="53"/>
      <c r="D23" s="53"/>
    </row>
    <row r="24" spans="1:5" x14ac:dyDescent="0.35">
      <c r="A24" s="53"/>
      <c r="B24" s="53"/>
      <c r="C24" s="53"/>
      <c r="D24" s="53"/>
    </row>
    <row r="25" spans="1:5" x14ac:dyDescent="0.35">
      <c r="A25" s="53"/>
      <c r="B25" s="53"/>
      <c r="C25" s="53"/>
      <c r="D25" s="53"/>
    </row>
    <row r="26" spans="1:5" x14ac:dyDescent="0.35">
      <c r="A26" s="53"/>
      <c r="B26" s="53"/>
      <c r="C26" s="53"/>
      <c r="D26" s="53"/>
    </row>
  </sheetData>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showInputMessage="1" showErrorMessage="1" prompt="Choisir une des deux options (Méthode Reboisement et Boisement)">
          <x14:formula1>
            <xm:f>'Listes choix'!$J$2:$K$2</xm:f>
          </x14:formula1>
          <xm:sqref>B15</xm:sqref>
        </x14:dataValidation>
        <x14:dataValidation type="list" showInputMessage="1" showErrorMessage="1" prompt="Choisir une des deux options">
          <x14:formula1>
            <xm:f>'Listes choix'!$J$9:$K$9</xm:f>
          </x14:formula1>
          <xm:sqref>B18</xm:sqref>
        </x14:dataValidation>
        <x14:dataValidation type="list" showInputMessage="1" showErrorMessage="1" prompt="Choisir une des quatre options (Méthodes Reboisement et Boisement)">
          <x14:formula1>
            <xm:f>'Listes choix'!$K$5:$K$8</xm:f>
          </x14:formula1>
          <xm:sqref>B17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60"/>
  <sheetViews>
    <sheetView topLeftCell="H1" zoomScale="66" workbookViewId="0">
      <selection activeCell="W2" sqref="W2"/>
    </sheetView>
  </sheetViews>
  <sheetFormatPr baseColWidth="10" defaultRowHeight="14.5" x14ac:dyDescent="0.35"/>
  <cols>
    <col min="1" max="1" width="23.1796875" style="45" customWidth="1"/>
    <col min="2" max="2" width="10.90625" style="45"/>
    <col min="3" max="3" width="22.08984375" style="45" customWidth="1"/>
    <col min="4" max="6" width="10.90625" style="45"/>
    <col min="7" max="7" width="14.90625" style="45" customWidth="1"/>
    <col min="8" max="8" width="16.7265625" style="45" customWidth="1"/>
    <col min="9" max="9" width="22.26953125" style="45" customWidth="1"/>
    <col min="10" max="10" width="25" style="45" customWidth="1"/>
    <col min="11" max="11" width="26.90625" style="45" customWidth="1"/>
    <col min="12" max="15" width="10.90625" style="45"/>
    <col min="16" max="16" width="13.6328125" style="45" customWidth="1"/>
    <col min="17" max="16384" width="10.90625" style="45"/>
  </cols>
  <sheetData>
    <row r="1" spans="1:20" ht="44" thickBot="1" x14ac:dyDescent="0.4">
      <c r="A1" s="71" t="s">
        <v>8</v>
      </c>
      <c r="B1" s="71" t="s">
        <v>15</v>
      </c>
      <c r="C1" s="75" t="s">
        <v>53</v>
      </c>
      <c r="D1" s="76" t="s">
        <v>18</v>
      </c>
      <c r="E1" s="75" t="s">
        <v>86</v>
      </c>
      <c r="F1" s="75" t="s">
        <v>87</v>
      </c>
      <c r="G1" s="75" t="s">
        <v>106</v>
      </c>
      <c r="H1" s="75" t="s">
        <v>108</v>
      </c>
      <c r="I1" s="84" t="s">
        <v>121</v>
      </c>
      <c r="J1" s="219" t="s">
        <v>122</v>
      </c>
      <c r="K1" s="220"/>
      <c r="L1" s="10"/>
      <c r="M1" s="10"/>
      <c r="N1" s="75" t="s">
        <v>53</v>
      </c>
      <c r="O1" s="75" t="s">
        <v>149</v>
      </c>
      <c r="P1" s="76" t="s">
        <v>152</v>
      </c>
      <c r="Q1" s="221" t="s">
        <v>162</v>
      </c>
      <c r="R1" s="222"/>
      <c r="S1" s="223"/>
      <c r="T1" s="75" t="s">
        <v>189</v>
      </c>
    </row>
    <row r="2" spans="1:20" ht="87.5" thickBot="1" x14ac:dyDescent="0.4">
      <c r="A2" s="68" t="s">
        <v>155</v>
      </c>
      <c r="B2" s="73" t="s">
        <v>17</v>
      </c>
      <c r="C2" s="77" t="s">
        <v>19</v>
      </c>
      <c r="D2" s="80">
        <v>0.62</v>
      </c>
      <c r="E2" s="77" t="s">
        <v>88</v>
      </c>
      <c r="F2" s="80">
        <v>35</v>
      </c>
      <c r="G2" s="73" t="s">
        <v>16</v>
      </c>
      <c r="H2" s="73" t="s">
        <v>16</v>
      </c>
      <c r="I2" s="77" t="s">
        <v>123</v>
      </c>
      <c r="J2" s="85" t="s">
        <v>130</v>
      </c>
      <c r="K2" s="85" t="s">
        <v>176</v>
      </c>
      <c r="L2" s="88" t="s">
        <v>130</v>
      </c>
      <c r="M2" s="87" t="s">
        <v>176</v>
      </c>
      <c r="N2" s="73" t="s">
        <v>19</v>
      </c>
      <c r="O2" s="73" t="s">
        <v>150</v>
      </c>
      <c r="P2" s="72" t="s">
        <v>153</v>
      </c>
      <c r="Q2" s="75" t="s">
        <v>161</v>
      </c>
      <c r="R2" s="75" t="s">
        <v>163</v>
      </c>
      <c r="S2" s="108" t="s">
        <v>164</v>
      </c>
      <c r="T2" s="47" t="s">
        <v>190</v>
      </c>
    </row>
    <row r="3" spans="1:20" ht="102" thickBot="1" x14ac:dyDescent="0.4">
      <c r="A3" s="69" t="s">
        <v>156</v>
      </c>
      <c r="B3" s="74" t="s">
        <v>16</v>
      </c>
      <c r="C3" s="63" t="s">
        <v>75</v>
      </c>
      <c r="D3" s="81">
        <v>0.64</v>
      </c>
      <c r="E3" s="63" t="s">
        <v>89</v>
      </c>
      <c r="F3" s="81">
        <v>25</v>
      </c>
      <c r="G3" s="83" t="s">
        <v>102</v>
      </c>
      <c r="H3" s="74" t="s">
        <v>109</v>
      </c>
      <c r="I3" s="63" t="s">
        <v>124</v>
      </c>
      <c r="J3" s="47" t="s">
        <v>136</v>
      </c>
      <c r="K3" s="78" t="s">
        <v>138</v>
      </c>
      <c r="L3" s="10"/>
      <c r="M3" s="10"/>
      <c r="N3" s="83" t="s">
        <v>20</v>
      </c>
      <c r="O3" s="83" t="s">
        <v>24</v>
      </c>
      <c r="P3" s="74" t="s">
        <v>133</v>
      </c>
      <c r="Q3" s="73" t="s">
        <v>165</v>
      </c>
      <c r="R3" s="73" t="s">
        <v>174</v>
      </c>
      <c r="S3" s="73" t="s">
        <v>168</v>
      </c>
      <c r="T3" s="47" t="s">
        <v>191</v>
      </c>
    </row>
    <row r="4" spans="1:20" ht="87.5" thickBot="1" x14ac:dyDescent="0.4">
      <c r="A4" s="69" t="s">
        <v>157</v>
      </c>
      <c r="B4" s="10"/>
      <c r="C4" s="63" t="s">
        <v>20</v>
      </c>
      <c r="D4" s="81">
        <v>0.42</v>
      </c>
      <c r="E4" s="64" t="s">
        <v>90</v>
      </c>
      <c r="F4" s="82">
        <v>2</v>
      </c>
      <c r="G4" s="69" t="s">
        <v>104</v>
      </c>
      <c r="H4" s="10"/>
      <c r="I4" s="63" t="s">
        <v>125</v>
      </c>
      <c r="J4" s="47" t="s">
        <v>126</v>
      </c>
      <c r="K4" s="78" t="s">
        <v>126</v>
      </c>
      <c r="L4" s="10"/>
      <c r="M4" s="10"/>
      <c r="N4" s="83" t="s">
        <v>76</v>
      </c>
      <c r="O4" s="70" t="s">
        <v>151</v>
      </c>
      <c r="P4" s="10"/>
      <c r="Q4" s="83" t="s">
        <v>166</v>
      </c>
      <c r="R4" s="74" t="s">
        <v>167</v>
      </c>
      <c r="S4" s="69" t="s">
        <v>169</v>
      </c>
    </row>
    <row r="5" spans="1:20" ht="87.5" thickBot="1" x14ac:dyDescent="0.4">
      <c r="A5" s="70" t="s">
        <v>158</v>
      </c>
      <c r="B5" s="10"/>
      <c r="C5" s="63" t="s">
        <v>76</v>
      </c>
      <c r="D5" s="78">
        <v>0.42</v>
      </c>
      <c r="E5" s="10"/>
      <c r="F5" s="10"/>
      <c r="G5" s="70" t="s">
        <v>107</v>
      </c>
      <c r="H5" s="10"/>
      <c r="I5" s="203" t="s">
        <v>127</v>
      </c>
      <c r="J5" s="47"/>
      <c r="K5" s="78" t="s">
        <v>137</v>
      </c>
      <c r="L5" s="10"/>
      <c r="M5" s="10"/>
      <c r="N5" s="69" t="s">
        <v>22</v>
      </c>
      <c r="O5" s="10"/>
      <c r="P5" s="10"/>
      <c r="Q5" s="70" t="s">
        <v>173</v>
      </c>
      <c r="S5" s="69" t="s">
        <v>170</v>
      </c>
    </row>
    <row r="6" spans="1:20" ht="72.5" x14ac:dyDescent="0.35">
      <c r="A6" s="10"/>
      <c r="B6" s="10"/>
      <c r="C6" s="63" t="s">
        <v>77</v>
      </c>
      <c r="D6" s="78">
        <v>0.52</v>
      </c>
      <c r="E6" s="10"/>
      <c r="F6" s="10"/>
      <c r="G6" s="10"/>
      <c r="H6" s="10"/>
      <c r="I6" s="204"/>
      <c r="J6" s="47"/>
      <c r="K6" s="78" t="s">
        <v>131</v>
      </c>
      <c r="L6" s="10"/>
      <c r="M6" s="10"/>
      <c r="N6" s="69" t="s">
        <v>23</v>
      </c>
      <c r="O6" s="10"/>
      <c r="P6" s="10"/>
      <c r="S6" s="69" t="s">
        <v>171</v>
      </c>
    </row>
    <row r="7" spans="1:20" ht="101.5" x14ac:dyDescent="0.35">
      <c r="A7" s="10"/>
      <c r="B7" s="10"/>
      <c r="C7" s="63" t="s">
        <v>21</v>
      </c>
      <c r="D7" s="78">
        <v>0.36</v>
      </c>
      <c r="E7" s="10"/>
      <c r="F7" s="10"/>
      <c r="G7" s="10"/>
      <c r="H7" s="10"/>
      <c r="I7" s="204"/>
      <c r="J7" s="47"/>
      <c r="K7" s="78" t="s">
        <v>132</v>
      </c>
      <c r="L7" s="10"/>
      <c r="M7" s="10"/>
      <c r="N7" s="69" t="s">
        <v>24</v>
      </c>
      <c r="O7" s="10"/>
      <c r="P7" s="10"/>
      <c r="S7" s="90" t="s">
        <v>172</v>
      </c>
    </row>
    <row r="8" spans="1:20" ht="29.5" thickBot="1" x14ac:dyDescent="0.4">
      <c r="A8" s="10"/>
      <c r="B8" s="10"/>
      <c r="C8" s="63" t="s">
        <v>22</v>
      </c>
      <c r="D8" s="78">
        <v>0.61</v>
      </c>
      <c r="E8" s="10"/>
      <c r="F8" s="10"/>
      <c r="G8" s="10"/>
      <c r="H8" s="10"/>
      <c r="I8" s="212"/>
      <c r="J8" s="47"/>
      <c r="K8" s="78" t="s">
        <v>133</v>
      </c>
      <c r="L8" s="10"/>
      <c r="M8" s="10"/>
      <c r="N8" s="69" t="s">
        <v>25</v>
      </c>
      <c r="O8" s="10"/>
      <c r="P8" s="10"/>
      <c r="S8" s="70" t="s">
        <v>175</v>
      </c>
    </row>
    <row r="9" spans="1:20" ht="29.5" thickBot="1" x14ac:dyDescent="0.4">
      <c r="A9" s="10"/>
      <c r="B9" s="10"/>
      <c r="C9" s="63" t="s">
        <v>23</v>
      </c>
      <c r="D9" s="78">
        <v>0.66</v>
      </c>
      <c r="E9" s="10"/>
      <c r="F9" s="10"/>
      <c r="G9" s="10"/>
      <c r="H9" s="10"/>
      <c r="I9" s="64" t="s">
        <v>128</v>
      </c>
      <c r="J9" s="86" t="s">
        <v>135</v>
      </c>
      <c r="K9" s="79" t="s">
        <v>134</v>
      </c>
      <c r="L9" s="10"/>
      <c r="M9" s="10"/>
      <c r="N9" s="69" t="s">
        <v>26</v>
      </c>
      <c r="O9" s="10"/>
      <c r="P9" s="10"/>
    </row>
    <row r="10" spans="1:20" ht="29" x14ac:dyDescent="0.35">
      <c r="A10" s="10"/>
      <c r="B10" s="10"/>
      <c r="C10" s="63" t="s">
        <v>24</v>
      </c>
      <c r="D10" s="78">
        <v>0.47</v>
      </c>
      <c r="E10" s="10"/>
      <c r="F10" s="10"/>
      <c r="G10" s="10"/>
      <c r="H10" s="10"/>
      <c r="I10" s="10"/>
      <c r="J10" s="10"/>
      <c r="K10" s="10"/>
      <c r="L10" s="10"/>
      <c r="M10" s="10"/>
      <c r="N10" s="69" t="s">
        <v>27</v>
      </c>
      <c r="O10" s="10"/>
      <c r="P10" s="10"/>
    </row>
    <row r="11" spans="1:20" ht="29" x14ac:dyDescent="0.35">
      <c r="A11" s="10"/>
      <c r="B11" s="10"/>
      <c r="C11" s="63" t="s">
        <v>25</v>
      </c>
      <c r="D11" s="78">
        <v>0.67</v>
      </c>
      <c r="E11" s="10"/>
      <c r="F11" s="10"/>
      <c r="G11" s="10"/>
      <c r="H11" s="10"/>
      <c r="I11" s="10"/>
      <c r="J11" s="10"/>
      <c r="K11" s="10"/>
      <c r="L11" s="10"/>
      <c r="M11" s="10"/>
      <c r="N11" s="69" t="s">
        <v>28</v>
      </c>
      <c r="O11" s="10"/>
      <c r="P11" s="10"/>
    </row>
    <row r="12" spans="1:20" ht="43.5" x14ac:dyDescent="0.35">
      <c r="A12" s="10"/>
      <c r="B12" s="10"/>
      <c r="C12" s="63" t="s">
        <v>26</v>
      </c>
      <c r="D12" s="78">
        <v>0.7</v>
      </c>
      <c r="E12" s="10"/>
      <c r="F12" s="10"/>
      <c r="G12" s="10"/>
      <c r="H12" s="10"/>
      <c r="I12" s="10"/>
      <c r="J12" s="10"/>
      <c r="K12" s="10"/>
      <c r="L12" s="10"/>
      <c r="M12" s="10"/>
      <c r="N12" s="69" t="s">
        <v>29</v>
      </c>
      <c r="O12" s="10"/>
      <c r="P12" s="10"/>
    </row>
    <row r="13" spans="1:20" ht="29" x14ac:dyDescent="0.35">
      <c r="A13" s="10"/>
      <c r="B13" s="10"/>
      <c r="C13" s="63" t="s">
        <v>27</v>
      </c>
      <c r="D13" s="78">
        <v>0.54</v>
      </c>
      <c r="E13" s="10"/>
      <c r="F13" s="10"/>
      <c r="G13" s="10"/>
      <c r="H13" s="10"/>
      <c r="I13" s="10"/>
      <c r="J13" s="10"/>
      <c r="K13" s="10"/>
      <c r="L13" s="10"/>
      <c r="M13" s="10"/>
      <c r="N13" s="69" t="s">
        <v>30</v>
      </c>
      <c r="O13" s="10"/>
      <c r="P13" s="10"/>
    </row>
    <row r="14" spans="1:20" x14ac:dyDescent="0.35">
      <c r="A14" s="10"/>
      <c r="B14" s="10"/>
      <c r="C14" s="63" t="s">
        <v>28</v>
      </c>
      <c r="D14" s="78">
        <v>0.65</v>
      </c>
      <c r="E14" s="10"/>
      <c r="F14" s="10"/>
      <c r="G14" s="10"/>
      <c r="H14" s="10"/>
      <c r="I14" s="10"/>
      <c r="J14" s="10"/>
      <c r="K14" s="10"/>
      <c r="L14" s="10"/>
      <c r="M14" s="10"/>
      <c r="N14" s="69" t="s">
        <v>31</v>
      </c>
      <c r="O14" s="10"/>
      <c r="P14" s="10"/>
    </row>
    <row r="15" spans="1:20" ht="43.5" x14ac:dyDescent="0.35">
      <c r="A15" s="10"/>
      <c r="B15" s="10"/>
      <c r="C15" s="63" t="s">
        <v>78</v>
      </c>
      <c r="D15" s="78">
        <v>0.56000000000000005</v>
      </c>
      <c r="E15" s="10"/>
      <c r="F15" s="10"/>
      <c r="G15" s="10"/>
      <c r="H15" s="10"/>
      <c r="I15" s="10"/>
      <c r="J15" s="10"/>
      <c r="K15" s="10"/>
      <c r="L15" s="10"/>
      <c r="M15" s="10"/>
      <c r="N15" s="69" t="s">
        <v>32</v>
      </c>
      <c r="O15" s="10"/>
      <c r="P15" s="10"/>
    </row>
    <row r="16" spans="1:20" ht="29" x14ac:dyDescent="0.35">
      <c r="A16" s="10"/>
      <c r="B16" s="10"/>
      <c r="C16" s="63" t="s">
        <v>29</v>
      </c>
      <c r="D16" s="78">
        <v>0.57999999999999996</v>
      </c>
      <c r="E16" s="10"/>
      <c r="F16" s="10"/>
      <c r="G16" s="10"/>
      <c r="H16" s="10"/>
      <c r="I16" s="10"/>
      <c r="J16" s="10"/>
      <c r="K16" s="10"/>
      <c r="L16" s="10"/>
      <c r="M16" s="10"/>
      <c r="N16" s="69" t="s">
        <v>39</v>
      </c>
      <c r="O16" s="10"/>
      <c r="P16" s="10"/>
    </row>
    <row r="17" spans="1:16" ht="29" x14ac:dyDescent="0.35">
      <c r="A17" s="10"/>
      <c r="B17" s="10"/>
      <c r="C17" s="63" t="s">
        <v>30</v>
      </c>
      <c r="D17" s="78">
        <v>0.64</v>
      </c>
      <c r="E17" s="10"/>
      <c r="F17" s="10"/>
      <c r="G17" s="10"/>
      <c r="H17" s="10"/>
      <c r="I17" s="10"/>
      <c r="J17" s="10"/>
      <c r="K17" s="10"/>
      <c r="L17" s="10"/>
      <c r="M17" s="10"/>
      <c r="N17" s="69" t="s">
        <v>40</v>
      </c>
      <c r="O17" s="10"/>
      <c r="P17" s="10"/>
    </row>
    <row r="18" spans="1:16" x14ac:dyDescent="0.35">
      <c r="A18" s="10"/>
      <c r="B18" s="10"/>
      <c r="C18" s="63" t="s">
        <v>31</v>
      </c>
      <c r="D18" s="78">
        <v>0.73</v>
      </c>
      <c r="E18" s="10"/>
      <c r="F18" s="10"/>
      <c r="G18" s="10"/>
      <c r="H18" s="10"/>
      <c r="I18" s="10"/>
      <c r="J18" s="10"/>
      <c r="K18" s="10"/>
      <c r="L18" s="10"/>
      <c r="M18" s="10"/>
      <c r="N18" s="69" t="s">
        <v>42</v>
      </c>
      <c r="O18" s="10"/>
      <c r="P18" s="10"/>
    </row>
    <row r="19" spans="1:16" x14ac:dyDescent="0.35">
      <c r="A19" s="10"/>
      <c r="B19" s="10"/>
      <c r="C19" s="63" t="s">
        <v>32</v>
      </c>
      <c r="D19" s="78">
        <v>0.56000000000000005</v>
      </c>
      <c r="E19" s="10"/>
      <c r="F19" s="10"/>
      <c r="G19" s="10"/>
      <c r="H19" s="10"/>
      <c r="I19" s="10"/>
      <c r="J19" s="10"/>
      <c r="K19" s="10"/>
      <c r="L19" s="10"/>
      <c r="M19" s="10"/>
      <c r="N19" s="69" t="s">
        <v>80</v>
      </c>
      <c r="O19" s="10"/>
      <c r="P19" s="10"/>
    </row>
    <row r="20" spans="1:16" x14ac:dyDescent="0.35">
      <c r="A20" s="10"/>
      <c r="B20" s="10"/>
      <c r="C20" s="63" t="s">
        <v>33</v>
      </c>
      <c r="D20" s="78">
        <v>0.74</v>
      </c>
      <c r="E20" s="10"/>
      <c r="F20" s="10"/>
      <c r="G20" s="10"/>
      <c r="H20" s="10"/>
      <c r="I20" s="10"/>
      <c r="J20" s="10"/>
      <c r="K20" s="10"/>
      <c r="L20" s="10"/>
      <c r="M20" s="10"/>
      <c r="N20" s="69" t="s">
        <v>83</v>
      </c>
      <c r="O20" s="10"/>
      <c r="P20" s="10"/>
    </row>
    <row r="21" spans="1:16" x14ac:dyDescent="0.35">
      <c r="A21" s="10"/>
      <c r="B21" s="10"/>
      <c r="C21" s="63" t="s">
        <v>34</v>
      </c>
      <c r="D21" s="78">
        <v>0.4</v>
      </c>
      <c r="E21" s="10"/>
      <c r="F21" s="10"/>
      <c r="G21" s="10"/>
      <c r="H21" s="10"/>
      <c r="I21" s="10"/>
      <c r="J21" s="10"/>
      <c r="K21" s="10"/>
      <c r="L21" s="10"/>
      <c r="M21" s="10"/>
      <c r="N21" s="69" t="s">
        <v>50</v>
      </c>
      <c r="O21" s="10"/>
      <c r="P21" s="10"/>
    </row>
    <row r="22" spans="1:16" x14ac:dyDescent="0.35">
      <c r="A22" s="10"/>
      <c r="B22" s="10"/>
      <c r="C22" s="63" t="s">
        <v>35</v>
      </c>
      <c r="D22" s="78">
        <v>0.6</v>
      </c>
      <c r="E22" s="10"/>
      <c r="F22" s="10"/>
      <c r="G22" s="10"/>
      <c r="H22" s="10"/>
      <c r="I22" s="10"/>
      <c r="J22" s="10"/>
      <c r="K22" s="10"/>
      <c r="L22" s="10"/>
      <c r="M22" s="10"/>
      <c r="N22" s="69" t="s">
        <v>63</v>
      </c>
      <c r="O22" s="10"/>
      <c r="P22" s="10"/>
    </row>
    <row r="23" spans="1:16" ht="29" x14ac:dyDescent="0.35">
      <c r="A23" s="10"/>
      <c r="B23" s="10"/>
      <c r="C23" s="63" t="s">
        <v>36</v>
      </c>
      <c r="D23" s="78">
        <v>0.43</v>
      </c>
      <c r="E23" s="10"/>
      <c r="F23" s="10"/>
      <c r="G23" s="10"/>
      <c r="H23" s="10"/>
      <c r="I23" s="10"/>
      <c r="J23" s="10"/>
      <c r="K23" s="10"/>
      <c r="L23" s="10"/>
      <c r="M23" s="10"/>
      <c r="N23" s="69" t="s">
        <v>84</v>
      </c>
      <c r="O23" s="10"/>
      <c r="P23" s="10"/>
    </row>
    <row r="24" spans="1:16" x14ac:dyDescent="0.35">
      <c r="A24" s="10"/>
      <c r="B24" s="10"/>
      <c r="C24" s="63" t="s">
        <v>37</v>
      </c>
      <c r="D24" s="78">
        <v>0.37</v>
      </c>
      <c r="E24" s="10"/>
      <c r="F24" s="10"/>
      <c r="G24" s="10"/>
      <c r="H24" s="10"/>
      <c r="I24" s="10"/>
      <c r="J24" s="10"/>
      <c r="K24" s="10"/>
      <c r="L24" s="10"/>
      <c r="M24" s="10"/>
      <c r="N24" s="69" t="s">
        <v>70</v>
      </c>
      <c r="O24" s="10"/>
      <c r="P24" s="10"/>
    </row>
    <row r="25" spans="1:16" ht="29.5" thickBot="1" x14ac:dyDescent="0.4">
      <c r="A25" s="10"/>
      <c r="B25" s="10"/>
      <c r="C25" s="63" t="s">
        <v>38</v>
      </c>
      <c r="D25" s="78">
        <v>0.36</v>
      </c>
      <c r="E25" s="10"/>
      <c r="F25" s="10"/>
      <c r="G25" s="10"/>
      <c r="H25" s="10"/>
      <c r="I25" s="10"/>
      <c r="J25" s="10"/>
      <c r="K25" s="10"/>
      <c r="L25" s="10"/>
      <c r="M25" s="10"/>
      <c r="N25" s="70" t="s">
        <v>73</v>
      </c>
      <c r="O25" s="10"/>
      <c r="P25" s="10"/>
    </row>
    <row r="26" spans="1:16" x14ac:dyDescent="0.35">
      <c r="A26" s="10"/>
      <c r="B26" s="10"/>
      <c r="C26" s="63" t="s">
        <v>39</v>
      </c>
      <c r="D26" s="78">
        <v>0.51</v>
      </c>
      <c r="E26" s="10"/>
      <c r="F26" s="10"/>
      <c r="G26" s="10"/>
      <c r="H26" s="10"/>
      <c r="I26" s="10"/>
      <c r="J26" s="10"/>
      <c r="K26" s="10"/>
      <c r="L26" s="10"/>
      <c r="M26" s="10"/>
      <c r="N26" s="10"/>
      <c r="O26" s="10"/>
      <c r="P26" s="10"/>
    </row>
    <row r="27" spans="1:16" x14ac:dyDescent="0.35">
      <c r="A27" s="10"/>
      <c r="B27" s="10"/>
      <c r="C27" s="63" t="s">
        <v>40</v>
      </c>
      <c r="D27" s="78">
        <v>0.56000000000000005</v>
      </c>
      <c r="E27" s="10"/>
      <c r="F27" s="10"/>
      <c r="G27" s="10"/>
      <c r="H27" s="10"/>
      <c r="I27" s="10"/>
      <c r="J27" s="10"/>
      <c r="K27" s="10"/>
      <c r="L27" s="10"/>
      <c r="M27" s="10"/>
      <c r="N27" s="10"/>
      <c r="O27" s="10"/>
      <c r="P27" s="10"/>
    </row>
    <row r="28" spans="1:16" x14ac:dyDescent="0.35">
      <c r="A28" s="10"/>
      <c r="B28" s="10"/>
      <c r="C28" s="63" t="s">
        <v>41</v>
      </c>
      <c r="D28" s="78">
        <v>0.56000000000000005</v>
      </c>
      <c r="E28" s="10"/>
      <c r="F28" s="10"/>
      <c r="G28" s="10"/>
      <c r="H28" s="10"/>
      <c r="I28" s="10"/>
      <c r="J28" s="10"/>
      <c r="K28" s="10"/>
      <c r="L28" s="10"/>
      <c r="M28" s="10"/>
      <c r="N28" s="10"/>
      <c r="O28" s="10"/>
      <c r="P28" s="10"/>
    </row>
    <row r="29" spans="1:16" x14ac:dyDescent="0.35">
      <c r="A29" s="10"/>
      <c r="B29" s="10"/>
      <c r="C29" s="63" t="s">
        <v>79</v>
      </c>
      <c r="D29" s="78">
        <v>0.48</v>
      </c>
      <c r="E29" s="10"/>
      <c r="F29" s="10"/>
      <c r="G29" s="10"/>
      <c r="H29" s="10"/>
      <c r="I29" s="10"/>
      <c r="J29" s="10"/>
      <c r="K29" s="10"/>
      <c r="L29" s="10"/>
      <c r="M29" s="10"/>
      <c r="N29" s="10"/>
      <c r="O29" s="10"/>
      <c r="P29" s="10"/>
    </row>
    <row r="30" spans="1:16" x14ac:dyDescent="0.35">
      <c r="A30" s="10"/>
      <c r="B30" s="10"/>
      <c r="C30" s="63" t="s">
        <v>42</v>
      </c>
      <c r="D30" s="78">
        <v>0.55000000000000004</v>
      </c>
      <c r="E30" s="10"/>
      <c r="F30" s="10"/>
      <c r="G30" s="10"/>
      <c r="H30" s="10"/>
      <c r="I30" s="10"/>
      <c r="J30" s="10"/>
      <c r="K30" s="10"/>
      <c r="L30" s="10"/>
      <c r="M30" s="10"/>
      <c r="N30" s="10"/>
      <c r="O30" s="10"/>
      <c r="P30" s="10"/>
    </row>
    <row r="31" spans="1:16" x14ac:dyDescent="0.35">
      <c r="A31" s="10"/>
      <c r="B31" s="10"/>
      <c r="C31" s="63" t="s">
        <v>80</v>
      </c>
      <c r="D31" s="78">
        <v>0.56000000000000005</v>
      </c>
      <c r="E31" s="10"/>
      <c r="F31" s="10"/>
      <c r="G31" s="10"/>
      <c r="H31" s="10"/>
      <c r="I31" s="10"/>
      <c r="J31" s="10"/>
      <c r="K31" s="10"/>
      <c r="L31" s="10"/>
      <c r="M31" s="10"/>
      <c r="N31" s="10"/>
      <c r="O31" s="10"/>
      <c r="P31" s="10"/>
    </row>
    <row r="32" spans="1:16" x14ac:dyDescent="0.35">
      <c r="A32" s="10"/>
      <c r="B32" s="10"/>
      <c r="C32" s="63" t="s">
        <v>43</v>
      </c>
      <c r="D32" s="78">
        <v>0.57999999999999996</v>
      </c>
      <c r="E32" s="10"/>
      <c r="F32" s="10"/>
      <c r="G32" s="10"/>
      <c r="H32" s="10"/>
      <c r="I32" s="10"/>
      <c r="J32" s="10"/>
      <c r="K32" s="10"/>
      <c r="L32" s="10"/>
      <c r="M32" s="10"/>
      <c r="N32" s="10"/>
      <c r="O32" s="10"/>
      <c r="P32" s="10"/>
    </row>
    <row r="33" spans="1:16" x14ac:dyDescent="0.35">
      <c r="A33" s="10"/>
      <c r="B33" s="10"/>
      <c r="C33" s="63" t="s">
        <v>44</v>
      </c>
      <c r="D33" s="78">
        <v>0.57999999999999996</v>
      </c>
      <c r="E33" s="10"/>
      <c r="F33" s="10"/>
      <c r="G33" s="10"/>
      <c r="H33" s="10"/>
      <c r="I33" s="10"/>
      <c r="J33" s="10"/>
      <c r="K33" s="10"/>
      <c r="L33" s="10"/>
      <c r="M33" s="10"/>
      <c r="N33" s="10"/>
      <c r="O33" s="10"/>
      <c r="P33" s="10"/>
    </row>
    <row r="34" spans="1:16" x14ac:dyDescent="0.35">
      <c r="A34" s="10"/>
      <c r="B34" s="10"/>
      <c r="C34" s="63" t="s">
        <v>45</v>
      </c>
      <c r="D34" s="78">
        <v>0.48</v>
      </c>
      <c r="E34" s="10"/>
      <c r="F34" s="10"/>
      <c r="G34" s="10"/>
      <c r="H34" s="10"/>
      <c r="I34" s="10"/>
      <c r="J34" s="10"/>
      <c r="K34" s="10"/>
      <c r="L34" s="10"/>
      <c r="M34" s="10"/>
      <c r="N34" s="10"/>
      <c r="O34" s="10"/>
      <c r="P34" s="10"/>
    </row>
    <row r="35" spans="1:16" x14ac:dyDescent="0.35">
      <c r="A35" s="10"/>
      <c r="B35" s="10"/>
      <c r="C35" s="63" t="s">
        <v>46</v>
      </c>
      <c r="D35" s="78">
        <v>0.42</v>
      </c>
      <c r="E35" s="10"/>
      <c r="F35" s="10"/>
      <c r="G35" s="10"/>
      <c r="H35" s="10"/>
      <c r="I35" s="10"/>
      <c r="J35" s="10"/>
      <c r="K35" s="10"/>
      <c r="L35" s="10"/>
      <c r="M35" s="10"/>
      <c r="N35" s="10"/>
      <c r="O35" s="10"/>
      <c r="P35" s="10"/>
    </row>
    <row r="36" spans="1:16" x14ac:dyDescent="0.35">
      <c r="A36" s="10"/>
      <c r="B36" s="10"/>
      <c r="C36" s="63" t="s">
        <v>81</v>
      </c>
      <c r="D36" s="78">
        <v>0.5</v>
      </c>
      <c r="E36" s="10"/>
      <c r="F36" s="10"/>
      <c r="G36" s="10"/>
      <c r="H36" s="10"/>
      <c r="I36" s="10"/>
      <c r="J36" s="10"/>
      <c r="K36" s="10"/>
      <c r="L36" s="10"/>
      <c r="M36" s="10"/>
      <c r="N36" s="10"/>
      <c r="O36" s="10"/>
      <c r="P36" s="10"/>
    </row>
    <row r="37" spans="1:16" x14ac:dyDescent="0.35">
      <c r="A37" s="10"/>
      <c r="B37" s="10"/>
      <c r="C37" s="63" t="s">
        <v>47</v>
      </c>
      <c r="D37" s="78">
        <v>0.55000000000000004</v>
      </c>
      <c r="E37" s="10"/>
      <c r="F37" s="10"/>
      <c r="G37" s="10"/>
      <c r="H37" s="10"/>
      <c r="I37" s="10"/>
      <c r="J37" s="10"/>
      <c r="K37" s="10"/>
      <c r="L37" s="10"/>
      <c r="M37" s="10"/>
      <c r="N37" s="10"/>
      <c r="O37" s="10"/>
      <c r="P37" s="10"/>
    </row>
    <row r="38" spans="1:16" x14ac:dyDescent="0.35">
      <c r="A38" s="10"/>
      <c r="B38" s="10"/>
      <c r="C38" s="63" t="s">
        <v>82</v>
      </c>
      <c r="D38" s="78">
        <v>0.53</v>
      </c>
      <c r="E38" s="10"/>
      <c r="F38" s="10"/>
      <c r="G38" s="10"/>
      <c r="H38" s="10"/>
      <c r="I38" s="10"/>
      <c r="J38" s="10"/>
      <c r="K38" s="10"/>
      <c r="L38" s="10"/>
      <c r="M38" s="10"/>
      <c r="N38" s="10"/>
      <c r="O38" s="10"/>
      <c r="P38" s="10"/>
    </row>
    <row r="39" spans="1:16" x14ac:dyDescent="0.35">
      <c r="A39" s="10"/>
      <c r="B39" s="10"/>
      <c r="C39" s="63" t="s">
        <v>83</v>
      </c>
      <c r="D39" s="78">
        <v>0.52</v>
      </c>
      <c r="E39" s="10"/>
      <c r="F39" s="10"/>
      <c r="G39" s="10"/>
      <c r="H39" s="10"/>
      <c r="I39" s="10"/>
      <c r="J39" s="10"/>
      <c r="K39" s="10"/>
      <c r="L39" s="10"/>
      <c r="M39" s="10"/>
      <c r="N39" s="10"/>
      <c r="O39" s="10"/>
      <c r="P39" s="10"/>
    </row>
    <row r="40" spans="1:16" x14ac:dyDescent="0.35">
      <c r="A40" s="10"/>
      <c r="B40" s="10"/>
      <c r="C40" s="63" t="s">
        <v>48</v>
      </c>
      <c r="D40" s="78">
        <v>0.52</v>
      </c>
      <c r="E40" s="10"/>
      <c r="F40" s="10"/>
      <c r="G40" s="10"/>
      <c r="H40" s="10"/>
      <c r="I40" s="10"/>
      <c r="J40" s="10"/>
      <c r="K40" s="10"/>
      <c r="L40" s="10"/>
      <c r="M40" s="10"/>
      <c r="N40" s="10"/>
      <c r="O40" s="10"/>
      <c r="P40" s="10"/>
    </row>
    <row r="41" spans="1:16" x14ac:dyDescent="0.35">
      <c r="A41" s="10"/>
      <c r="B41" s="10"/>
      <c r="C41" s="63" t="s">
        <v>49</v>
      </c>
      <c r="D41" s="78">
        <v>0.75</v>
      </c>
      <c r="E41" s="10"/>
      <c r="F41" s="10"/>
      <c r="G41" s="10"/>
      <c r="H41" s="10"/>
      <c r="I41" s="10"/>
      <c r="J41" s="10"/>
      <c r="K41" s="10"/>
      <c r="L41" s="10"/>
      <c r="M41" s="10"/>
      <c r="N41" s="10"/>
      <c r="O41" s="10"/>
      <c r="P41" s="10"/>
    </row>
    <row r="42" spans="1:16" x14ac:dyDescent="0.35">
      <c r="A42" s="10"/>
      <c r="B42" s="10"/>
      <c r="C42" s="63" t="s">
        <v>50</v>
      </c>
      <c r="D42" s="78">
        <v>0.52</v>
      </c>
      <c r="E42" s="10"/>
      <c r="F42" s="10"/>
      <c r="G42" s="10"/>
      <c r="H42" s="10"/>
      <c r="I42" s="10"/>
      <c r="J42" s="10"/>
      <c r="K42" s="10"/>
      <c r="L42" s="10"/>
      <c r="M42" s="10"/>
      <c r="N42" s="10"/>
      <c r="O42" s="10"/>
      <c r="P42" s="10"/>
    </row>
    <row r="43" spans="1:16" x14ac:dyDescent="0.35">
      <c r="A43" s="10"/>
      <c r="B43" s="10"/>
      <c r="C43" s="63" t="s">
        <v>51</v>
      </c>
      <c r="D43" s="78">
        <v>0.35</v>
      </c>
      <c r="E43" s="10"/>
      <c r="F43" s="10"/>
      <c r="G43" s="10"/>
      <c r="H43" s="10"/>
      <c r="I43" s="10"/>
      <c r="J43" s="10"/>
      <c r="K43" s="10"/>
      <c r="L43" s="10"/>
      <c r="M43" s="10"/>
      <c r="N43" s="10"/>
      <c r="O43" s="10"/>
      <c r="P43" s="10"/>
    </row>
    <row r="44" spans="1:16" x14ac:dyDescent="0.35">
      <c r="A44" s="10"/>
      <c r="B44" s="10"/>
      <c r="C44" s="63" t="s">
        <v>52</v>
      </c>
      <c r="D44" s="78">
        <v>0.37</v>
      </c>
      <c r="E44" s="10"/>
      <c r="F44" s="10"/>
      <c r="G44" s="10"/>
      <c r="H44" s="10"/>
      <c r="I44" s="10"/>
      <c r="J44" s="10"/>
      <c r="K44" s="10"/>
      <c r="L44" s="10"/>
      <c r="M44" s="10"/>
      <c r="N44" s="10"/>
      <c r="O44" s="10"/>
      <c r="P44" s="10"/>
    </row>
    <row r="45" spans="1:16" x14ac:dyDescent="0.35">
      <c r="A45" s="10"/>
      <c r="B45" s="10"/>
      <c r="C45" s="63" t="s">
        <v>54</v>
      </c>
      <c r="D45" s="78">
        <v>0.45</v>
      </c>
      <c r="E45" s="10"/>
      <c r="F45" s="10"/>
      <c r="G45" s="10"/>
      <c r="H45" s="10"/>
      <c r="I45" s="10"/>
      <c r="J45" s="10"/>
      <c r="K45" s="10"/>
      <c r="L45" s="10"/>
      <c r="M45" s="10"/>
      <c r="N45" s="10"/>
      <c r="O45" s="10"/>
      <c r="P45" s="10"/>
    </row>
    <row r="46" spans="1:16" x14ac:dyDescent="0.35">
      <c r="A46" s="10"/>
      <c r="B46" s="10"/>
      <c r="C46" s="63" t="s">
        <v>55</v>
      </c>
      <c r="D46" s="78">
        <v>0.39</v>
      </c>
      <c r="E46" s="10"/>
      <c r="F46" s="10"/>
      <c r="G46" s="10"/>
      <c r="H46" s="10"/>
      <c r="I46" s="10"/>
      <c r="J46" s="10"/>
      <c r="K46" s="10"/>
      <c r="L46" s="10"/>
      <c r="M46" s="10"/>
      <c r="N46" s="10"/>
      <c r="O46" s="10"/>
      <c r="P46" s="10"/>
    </row>
    <row r="47" spans="1:16" x14ac:dyDescent="0.35">
      <c r="A47" s="10"/>
      <c r="B47" s="10"/>
      <c r="C47" s="63" t="s">
        <v>56</v>
      </c>
      <c r="D47" s="78">
        <v>0.44</v>
      </c>
      <c r="E47" s="10"/>
      <c r="F47" s="10"/>
      <c r="G47" s="10"/>
      <c r="H47" s="10"/>
      <c r="I47" s="10"/>
      <c r="J47" s="10"/>
      <c r="K47" s="10"/>
      <c r="L47" s="10"/>
      <c r="M47" s="10"/>
      <c r="N47" s="10"/>
      <c r="O47" s="10"/>
      <c r="P47" s="10"/>
    </row>
    <row r="48" spans="1:16" x14ac:dyDescent="0.35">
      <c r="A48" s="10"/>
      <c r="B48" s="10"/>
      <c r="C48" s="63" t="s">
        <v>57</v>
      </c>
      <c r="D48" s="78">
        <v>0.46</v>
      </c>
      <c r="E48" s="10"/>
      <c r="F48" s="10"/>
      <c r="G48" s="10"/>
      <c r="H48" s="10"/>
      <c r="I48" s="10"/>
      <c r="J48" s="10"/>
      <c r="K48" s="10"/>
      <c r="L48" s="10"/>
      <c r="M48" s="10"/>
      <c r="N48" s="10"/>
      <c r="O48" s="10"/>
      <c r="P48" s="10"/>
    </row>
    <row r="49" spans="1:16" x14ac:dyDescent="0.35">
      <c r="A49" s="10"/>
      <c r="B49" s="10"/>
      <c r="C49" s="63" t="s">
        <v>58</v>
      </c>
      <c r="D49" s="78">
        <v>0.46</v>
      </c>
      <c r="E49" s="10"/>
      <c r="F49" s="10"/>
      <c r="G49" s="10"/>
      <c r="H49" s="10"/>
      <c r="I49" s="10"/>
      <c r="J49" s="10"/>
      <c r="K49" s="10"/>
      <c r="L49" s="10"/>
      <c r="M49" s="10"/>
      <c r="N49" s="10"/>
      <c r="O49" s="10"/>
      <c r="P49" s="10"/>
    </row>
    <row r="50" spans="1:16" x14ac:dyDescent="0.35">
      <c r="A50" s="10"/>
      <c r="B50" s="10"/>
      <c r="C50" s="63" t="s">
        <v>59</v>
      </c>
      <c r="D50" s="78">
        <v>0.44</v>
      </c>
      <c r="E50" s="10"/>
      <c r="F50" s="10"/>
      <c r="G50" s="10"/>
      <c r="H50" s="10"/>
      <c r="I50" s="10"/>
      <c r="J50" s="10"/>
      <c r="K50" s="10"/>
      <c r="L50" s="10"/>
      <c r="M50" s="10"/>
      <c r="N50" s="10"/>
      <c r="O50" s="10"/>
      <c r="P50" s="10"/>
    </row>
    <row r="51" spans="1:16" x14ac:dyDescent="0.35">
      <c r="A51" s="10"/>
      <c r="B51" s="10"/>
      <c r="C51" s="63" t="s">
        <v>60</v>
      </c>
      <c r="D51" s="78">
        <v>0.46</v>
      </c>
      <c r="E51" s="10"/>
      <c r="F51" s="10"/>
      <c r="G51" s="10"/>
      <c r="H51" s="10"/>
      <c r="I51" s="10"/>
      <c r="J51" s="10"/>
      <c r="K51" s="10"/>
      <c r="L51" s="10"/>
      <c r="M51" s="10"/>
      <c r="N51" s="10"/>
      <c r="O51" s="10"/>
      <c r="P51" s="10"/>
    </row>
    <row r="52" spans="1:16" x14ac:dyDescent="0.35">
      <c r="A52" s="10"/>
      <c r="B52" s="10"/>
      <c r="C52" s="63" t="s">
        <v>74</v>
      </c>
      <c r="D52" s="78">
        <v>0.48</v>
      </c>
      <c r="E52" s="10"/>
      <c r="F52" s="10"/>
      <c r="G52" s="10"/>
      <c r="H52" s="10"/>
      <c r="I52" s="10"/>
      <c r="J52" s="10"/>
      <c r="K52" s="10"/>
      <c r="L52" s="10"/>
      <c r="M52" s="10"/>
      <c r="N52" s="10"/>
      <c r="O52" s="10"/>
      <c r="P52" s="10"/>
    </row>
    <row r="53" spans="1:16" x14ac:dyDescent="0.35">
      <c r="A53" s="10"/>
      <c r="B53" s="10"/>
      <c r="C53" s="63" t="s">
        <v>61</v>
      </c>
      <c r="D53" s="78">
        <v>0.44</v>
      </c>
      <c r="E53" s="10"/>
      <c r="F53" s="10"/>
      <c r="G53" s="10"/>
      <c r="H53" s="10"/>
      <c r="I53" s="10"/>
      <c r="J53" s="10"/>
      <c r="K53" s="10"/>
      <c r="L53" s="10"/>
      <c r="M53" s="10"/>
      <c r="N53" s="10"/>
      <c r="O53" s="10"/>
      <c r="P53" s="10"/>
    </row>
    <row r="54" spans="1:16" x14ac:dyDescent="0.35">
      <c r="A54" s="10"/>
      <c r="B54" s="10"/>
      <c r="C54" s="63" t="s">
        <v>62</v>
      </c>
      <c r="D54" s="78">
        <v>0.34</v>
      </c>
      <c r="E54" s="10"/>
      <c r="F54" s="10"/>
      <c r="G54" s="10"/>
      <c r="H54" s="10"/>
      <c r="I54" s="10"/>
      <c r="J54" s="10"/>
      <c r="K54" s="10"/>
      <c r="L54" s="10"/>
      <c r="M54" s="10"/>
      <c r="N54" s="10"/>
      <c r="O54" s="10"/>
      <c r="P54" s="10"/>
    </row>
    <row r="55" spans="1:16" x14ac:dyDescent="0.35">
      <c r="A55" s="10"/>
      <c r="B55" s="10"/>
      <c r="C55" s="63" t="s">
        <v>63</v>
      </c>
      <c r="D55" s="78">
        <v>0.5</v>
      </c>
      <c r="E55" s="10"/>
      <c r="F55" s="10"/>
      <c r="G55" s="10"/>
      <c r="H55" s="10"/>
      <c r="I55" s="10"/>
      <c r="J55" s="10"/>
      <c r="K55" s="10"/>
      <c r="L55" s="10"/>
      <c r="M55" s="10"/>
      <c r="N55" s="10"/>
      <c r="O55" s="10"/>
      <c r="P55" s="10"/>
    </row>
    <row r="56" spans="1:16" x14ac:dyDescent="0.35">
      <c r="A56" s="10"/>
      <c r="B56" s="10"/>
      <c r="C56" s="63" t="s">
        <v>84</v>
      </c>
      <c r="D56" s="78">
        <v>0.57999999999999996</v>
      </c>
      <c r="E56" s="10"/>
      <c r="F56" s="10"/>
      <c r="G56" s="10"/>
      <c r="H56" s="10"/>
      <c r="I56" s="10"/>
      <c r="J56" s="10"/>
      <c r="K56" s="10"/>
      <c r="L56" s="10"/>
      <c r="M56" s="10"/>
      <c r="N56" s="10"/>
      <c r="O56" s="10"/>
      <c r="P56" s="10"/>
    </row>
    <row r="57" spans="1:16" x14ac:dyDescent="0.35">
      <c r="A57" s="10"/>
      <c r="B57" s="10"/>
      <c r="C57" s="63" t="s">
        <v>64</v>
      </c>
      <c r="D57" s="78">
        <v>0.37</v>
      </c>
      <c r="E57" s="10"/>
      <c r="F57" s="10"/>
      <c r="G57" s="10"/>
      <c r="H57" s="10"/>
      <c r="I57" s="10"/>
      <c r="J57" s="10"/>
      <c r="K57" s="10"/>
      <c r="L57" s="10"/>
      <c r="M57" s="10"/>
      <c r="N57" s="10"/>
      <c r="O57" s="10"/>
      <c r="P57" s="10"/>
    </row>
    <row r="58" spans="1:16" x14ac:dyDescent="0.35">
      <c r="A58" s="10"/>
      <c r="B58" s="10"/>
      <c r="C58" s="63" t="s">
        <v>65</v>
      </c>
      <c r="D58" s="78">
        <v>0.37</v>
      </c>
      <c r="E58" s="10"/>
      <c r="F58" s="10"/>
      <c r="G58" s="10"/>
      <c r="H58" s="10"/>
      <c r="I58" s="10"/>
      <c r="J58" s="10"/>
      <c r="K58" s="10"/>
      <c r="L58" s="10"/>
      <c r="M58" s="10"/>
      <c r="N58" s="10"/>
      <c r="O58" s="10"/>
      <c r="P58" s="10"/>
    </row>
    <row r="59" spans="1:16" x14ac:dyDescent="0.35">
      <c r="A59" s="10"/>
      <c r="B59" s="10"/>
      <c r="C59" s="63" t="s">
        <v>66</v>
      </c>
      <c r="D59" s="78">
        <v>0.38</v>
      </c>
      <c r="E59" s="10"/>
      <c r="F59" s="10"/>
      <c r="G59" s="10"/>
      <c r="H59" s="10"/>
      <c r="I59" s="10"/>
      <c r="J59" s="10"/>
      <c r="K59" s="10"/>
      <c r="L59" s="10"/>
      <c r="M59" s="10"/>
      <c r="N59" s="10"/>
      <c r="O59" s="10"/>
      <c r="P59" s="10"/>
    </row>
    <row r="60" spans="1:16" x14ac:dyDescent="0.35">
      <c r="A60" s="10"/>
      <c r="B60" s="10"/>
      <c r="C60" s="63" t="s">
        <v>67</v>
      </c>
      <c r="D60" s="78">
        <v>0.36</v>
      </c>
      <c r="E60" s="10"/>
      <c r="F60" s="10"/>
      <c r="G60" s="10"/>
      <c r="H60" s="10"/>
      <c r="I60" s="10"/>
      <c r="J60" s="10"/>
      <c r="K60" s="10"/>
      <c r="L60" s="10"/>
      <c r="M60" s="10"/>
      <c r="N60" s="10"/>
      <c r="O60" s="10"/>
      <c r="P60" s="10"/>
    </row>
    <row r="61" spans="1:16" x14ac:dyDescent="0.35">
      <c r="A61" s="10"/>
      <c r="B61" s="10"/>
      <c r="C61" s="63" t="s">
        <v>68</v>
      </c>
      <c r="D61" s="78">
        <v>0.37</v>
      </c>
      <c r="E61" s="10"/>
      <c r="F61" s="10"/>
      <c r="G61" s="10"/>
      <c r="H61" s="10"/>
      <c r="I61" s="10"/>
      <c r="J61" s="10"/>
      <c r="K61" s="10"/>
      <c r="L61" s="10"/>
      <c r="M61" s="10"/>
      <c r="N61" s="10"/>
      <c r="O61" s="10"/>
      <c r="P61" s="10"/>
    </row>
    <row r="62" spans="1:16" x14ac:dyDescent="0.35">
      <c r="A62" s="10"/>
      <c r="B62" s="10"/>
      <c r="C62" s="63" t="s">
        <v>69</v>
      </c>
      <c r="D62" s="78">
        <v>0.53</v>
      </c>
      <c r="E62" s="10"/>
      <c r="F62" s="10"/>
      <c r="G62" s="10"/>
      <c r="H62" s="10"/>
      <c r="I62" s="10"/>
      <c r="J62" s="10"/>
      <c r="K62" s="10"/>
      <c r="L62" s="10"/>
      <c r="M62" s="10"/>
      <c r="N62" s="10"/>
      <c r="O62" s="10"/>
      <c r="P62" s="10"/>
    </row>
    <row r="63" spans="1:16" x14ac:dyDescent="0.35">
      <c r="A63" s="10"/>
      <c r="B63" s="10"/>
      <c r="C63" s="63" t="s">
        <v>70</v>
      </c>
      <c r="D63" s="78">
        <v>0.43</v>
      </c>
      <c r="E63" s="10"/>
      <c r="F63" s="10"/>
      <c r="G63" s="10"/>
      <c r="H63" s="10"/>
      <c r="I63" s="10"/>
      <c r="J63" s="10"/>
      <c r="K63" s="10"/>
      <c r="L63" s="10"/>
      <c r="M63" s="10"/>
      <c r="N63" s="10"/>
      <c r="O63" s="10"/>
      <c r="P63" s="10"/>
    </row>
    <row r="64" spans="1:16" x14ac:dyDescent="0.35">
      <c r="A64" s="10"/>
      <c r="B64" s="10"/>
      <c r="C64" s="63" t="s">
        <v>71</v>
      </c>
      <c r="D64" s="78">
        <v>0.38</v>
      </c>
      <c r="E64" s="10"/>
      <c r="F64" s="10"/>
      <c r="G64" s="10"/>
      <c r="H64" s="10"/>
      <c r="I64" s="10"/>
      <c r="J64" s="10"/>
      <c r="K64" s="10"/>
      <c r="L64" s="10"/>
      <c r="M64" s="10"/>
      <c r="N64" s="10"/>
      <c r="O64" s="10"/>
      <c r="P64" s="10"/>
    </row>
    <row r="65" spans="1:16" x14ac:dyDescent="0.35">
      <c r="A65" s="10"/>
      <c r="B65" s="10"/>
      <c r="C65" s="63" t="s">
        <v>72</v>
      </c>
      <c r="D65" s="78">
        <v>0.42</v>
      </c>
      <c r="E65" s="10"/>
      <c r="F65" s="10"/>
      <c r="G65" s="10"/>
      <c r="H65" s="10"/>
      <c r="I65" s="10"/>
      <c r="J65" s="10"/>
      <c r="K65" s="10"/>
      <c r="L65" s="10"/>
      <c r="M65" s="10"/>
      <c r="N65" s="10"/>
      <c r="O65" s="10"/>
      <c r="P65" s="10"/>
    </row>
    <row r="66" spans="1:16" ht="15" thickBot="1" x14ac:dyDescent="0.4">
      <c r="A66" s="10"/>
      <c r="B66" s="10"/>
      <c r="C66" s="64" t="s">
        <v>73</v>
      </c>
      <c r="D66" s="79">
        <v>0.56999999999999995</v>
      </c>
      <c r="E66" s="10"/>
      <c r="F66" s="10"/>
      <c r="G66" s="10"/>
      <c r="H66" s="10"/>
      <c r="I66" s="10"/>
      <c r="J66" s="10"/>
      <c r="K66" s="10"/>
      <c r="L66" s="10"/>
      <c r="M66" s="10"/>
      <c r="N66" s="10"/>
      <c r="O66" s="10"/>
      <c r="P66" s="10"/>
    </row>
    <row r="67" spans="1:16" ht="15" thickBot="1" x14ac:dyDescent="0.4">
      <c r="A67" s="10"/>
      <c r="B67" s="10"/>
      <c r="C67" s="106" t="s">
        <v>187</v>
      </c>
      <c r="D67" s="79">
        <v>0.54</v>
      </c>
      <c r="E67" s="10"/>
      <c r="F67" s="10"/>
      <c r="G67" s="10"/>
      <c r="H67" s="10"/>
      <c r="I67" s="10"/>
      <c r="J67" s="10"/>
      <c r="K67" s="10"/>
      <c r="L67" s="10"/>
      <c r="M67" s="10"/>
      <c r="N67" s="10"/>
      <c r="O67" s="10"/>
      <c r="P67" s="10"/>
    </row>
    <row r="68" spans="1:16" x14ac:dyDescent="0.35">
      <c r="A68" s="10"/>
      <c r="B68" s="10"/>
      <c r="C68" s="10"/>
      <c r="D68" s="10"/>
      <c r="E68" s="10"/>
      <c r="F68" s="10"/>
      <c r="G68" s="10"/>
      <c r="H68" s="10"/>
      <c r="I68" s="10"/>
      <c r="J68" s="10"/>
      <c r="K68" s="10"/>
      <c r="L68" s="10"/>
      <c r="M68" s="10"/>
      <c r="N68" s="10"/>
      <c r="O68" s="10"/>
      <c r="P68" s="10"/>
    </row>
    <row r="69" spans="1:16" ht="15" thickBot="1" x14ac:dyDescent="0.4">
      <c r="A69" s="10"/>
      <c r="B69" s="10"/>
      <c r="C69" s="10"/>
      <c r="D69" s="10"/>
      <c r="E69" s="10"/>
      <c r="F69" s="10"/>
      <c r="G69" s="10"/>
      <c r="H69" s="10"/>
      <c r="I69" s="10"/>
      <c r="J69" s="10"/>
      <c r="K69" s="10"/>
      <c r="L69" s="10"/>
      <c r="M69" s="10"/>
      <c r="N69" s="10"/>
      <c r="O69" s="10"/>
      <c r="P69" s="10"/>
    </row>
    <row r="70" spans="1:16" ht="15" thickBot="1" x14ac:dyDescent="0.4">
      <c r="A70" s="75" t="s">
        <v>140</v>
      </c>
      <c r="B70" s="10"/>
      <c r="C70" s="10"/>
      <c r="D70" s="10"/>
      <c r="E70" s="10"/>
      <c r="F70" s="10"/>
      <c r="G70" s="10"/>
      <c r="H70" s="10"/>
      <c r="I70" s="10"/>
      <c r="J70" s="10"/>
      <c r="K70" s="10"/>
      <c r="L70" s="10"/>
      <c r="M70" s="10"/>
      <c r="N70" s="10"/>
      <c r="O70" s="10"/>
      <c r="P70" s="10"/>
    </row>
    <row r="71" spans="1:16" x14ac:dyDescent="0.35">
      <c r="A71" s="72" t="s">
        <v>141</v>
      </c>
      <c r="B71" s="10"/>
      <c r="C71" s="10"/>
      <c r="D71" s="10"/>
      <c r="E71" s="10"/>
      <c r="F71" s="10"/>
      <c r="G71" s="10"/>
      <c r="H71" s="10"/>
      <c r="I71" s="10"/>
      <c r="J71" s="10"/>
      <c r="K71" s="10"/>
      <c r="L71" s="10"/>
      <c r="M71" s="10"/>
      <c r="N71" s="10"/>
      <c r="O71" s="10"/>
      <c r="P71" s="10"/>
    </row>
    <row r="72" spans="1:16" x14ac:dyDescent="0.35">
      <c r="A72" s="69" t="s">
        <v>142</v>
      </c>
      <c r="B72" s="10"/>
      <c r="C72" s="10"/>
      <c r="D72" s="10"/>
      <c r="E72" s="10"/>
      <c r="F72" s="10"/>
      <c r="G72" s="10"/>
      <c r="H72" s="10"/>
      <c r="I72" s="10"/>
      <c r="J72" s="10"/>
      <c r="K72" s="10"/>
      <c r="L72" s="10"/>
      <c r="M72" s="10"/>
      <c r="N72" s="10"/>
      <c r="O72" s="10"/>
      <c r="P72" s="10"/>
    </row>
    <row r="73" spans="1:16" ht="29.5" thickBot="1" x14ac:dyDescent="0.4">
      <c r="A73" s="70" t="s">
        <v>143</v>
      </c>
      <c r="B73" s="10"/>
      <c r="C73" s="10"/>
      <c r="D73" s="10"/>
      <c r="E73" s="10"/>
      <c r="F73" s="10"/>
      <c r="G73" s="10"/>
      <c r="H73" s="10"/>
      <c r="I73" s="10"/>
      <c r="J73" s="10"/>
      <c r="K73" s="10"/>
      <c r="L73" s="10"/>
      <c r="M73" s="10"/>
      <c r="N73" s="10"/>
      <c r="O73" s="10"/>
      <c r="P73" s="10"/>
    </row>
    <row r="74" spans="1:16" x14ac:dyDescent="0.35">
      <c r="A74" s="10"/>
      <c r="B74" s="10"/>
      <c r="C74" s="10"/>
      <c r="D74" s="10"/>
      <c r="E74" s="10"/>
      <c r="F74" s="10"/>
      <c r="G74" s="10"/>
      <c r="H74" s="10"/>
      <c r="I74" s="10"/>
      <c r="J74" s="10"/>
      <c r="K74" s="10"/>
      <c r="L74" s="10"/>
      <c r="M74" s="10"/>
      <c r="N74" s="10"/>
      <c r="O74" s="10"/>
      <c r="P74" s="10"/>
    </row>
    <row r="75" spans="1:16" x14ac:dyDescent="0.35">
      <c r="A75" s="10"/>
      <c r="B75" s="10"/>
      <c r="C75" s="10"/>
      <c r="D75" s="10"/>
      <c r="E75" s="10"/>
      <c r="F75" s="10"/>
      <c r="G75" s="10"/>
      <c r="H75" s="10"/>
      <c r="I75" s="10"/>
      <c r="J75" s="10"/>
      <c r="K75" s="10"/>
      <c r="L75" s="10"/>
      <c r="M75" s="10"/>
      <c r="N75" s="10"/>
      <c r="O75" s="10"/>
      <c r="P75" s="10"/>
    </row>
    <row r="76" spans="1:16" x14ac:dyDescent="0.35">
      <c r="A76" s="10"/>
      <c r="B76" s="10"/>
      <c r="C76" s="10"/>
      <c r="D76" s="10"/>
      <c r="E76" s="10"/>
      <c r="F76" s="10"/>
      <c r="G76" s="10"/>
      <c r="H76" s="10"/>
      <c r="I76" s="10"/>
      <c r="J76" s="10"/>
      <c r="K76" s="10"/>
      <c r="L76" s="10"/>
      <c r="M76" s="10"/>
      <c r="N76" s="10"/>
      <c r="O76" s="10"/>
      <c r="P76" s="10"/>
    </row>
    <row r="77" spans="1:16" x14ac:dyDescent="0.35">
      <c r="A77" s="10"/>
      <c r="B77" s="10"/>
      <c r="C77" s="10"/>
      <c r="D77" s="10"/>
      <c r="E77" s="10"/>
      <c r="F77" s="10"/>
      <c r="G77" s="10"/>
      <c r="H77" s="10"/>
      <c r="I77" s="10"/>
      <c r="J77" s="10"/>
      <c r="K77" s="10"/>
      <c r="L77" s="10"/>
      <c r="M77" s="10"/>
      <c r="N77" s="10"/>
      <c r="O77" s="10"/>
      <c r="P77" s="10"/>
    </row>
    <row r="78" spans="1:16" x14ac:dyDescent="0.35">
      <c r="A78" s="10"/>
      <c r="B78" s="10"/>
      <c r="C78" s="10"/>
      <c r="D78" s="10"/>
      <c r="E78" s="10"/>
      <c r="F78" s="10"/>
      <c r="G78" s="10"/>
      <c r="H78" s="10"/>
      <c r="I78" s="10"/>
      <c r="J78" s="10"/>
      <c r="K78" s="10"/>
      <c r="L78" s="10"/>
      <c r="M78" s="10"/>
      <c r="N78" s="10"/>
      <c r="O78" s="10"/>
      <c r="P78" s="10"/>
    </row>
    <row r="79" spans="1:16" x14ac:dyDescent="0.35">
      <c r="A79" s="10"/>
      <c r="B79" s="10"/>
      <c r="C79" s="10"/>
      <c r="D79" s="10"/>
      <c r="E79" s="10"/>
      <c r="F79" s="10"/>
      <c r="G79" s="10"/>
      <c r="H79" s="10"/>
      <c r="I79" s="10"/>
      <c r="J79" s="10"/>
      <c r="K79" s="10"/>
      <c r="L79" s="10"/>
      <c r="M79" s="10"/>
      <c r="N79" s="10"/>
      <c r="O79" s="10"/>
      <c r="P79" s="10"/>
    </row>
    <row r="80" spans="1:16" x14ac:dyDescent="0.35">
      <c r="A80" s="10"/>
      <c r="B80" s="10"/>
      <c r="C80" s="10"/>
      <c r="D80" s="10"/>
      <c r="E80" s="10"/>
      <c r="F80" s="10"/>
      <c r="G80" s="10"/>
      <c r="H80" s="10"/>
      <c r="I80" s="10"/>
      <c r="J80" s="10"/>
      <c r="K80" s="10"/>
      <c r="L80" s="10"/>
      <c r="M80" s="10"/>
      <c r="N80" s="10"/>
      <c r="O80" s="10"/>
      <c r="P80" s="10"/>
    </row>
    <row r="81" spans="1:16" x14ac:dyDescent="0.35">
      <c r="A81" s="10"/>
      <c r="B81" s="10"/>
      <c r="C81" s="10"/>
      <c r="D81" s="10"/>
      <c r="E81" s="10"/>
      <c r="F81" s="10"/>
      <c r="G81" s="10"/>
      <c r="H81" s="10"/>
      <c r="I81" s="10"/>
      <c r="J81" s="10"/>
      <c r="K81" s="10"/>
      <c r="L81" s="10"/>
      <c r="M81" s="10"/>
      <c r="N81" s="10"/>
      <c r="O81" s="10"/>
      <c r="P81" s="10"/>
    </row>
    <row r="82" spans="1:16" x14ac:dyDescent="0.35">
      <c r="A82" s="10"/>
      <c r="B82" s="10"/>
      <c r="C82" s="10"/>
      <c r="D82" s="10"/>
      <c r="E82" s="10"/>
      <c r="F82" s="10"/>
      <c r="G82" s="10"/>
      <c r="H82" s="10"/>
      <c r="I82" s="10"/>
      <c r="J82" s="10"/>
      <c r="K82" s="10"/>
      <c r="L82" s="10"/>
      <c r="M82" s="10"/>
      <c r="N82" s="10"/>
      <c r="O82" s="10"/>
      <c r="P82" s="10"/>
    </row>
    <row r="83" spans="1:16" x14ac:dyDescent="0.35">
      <c r="A83" s="10"/>
      <c r="B83" s="10"/>
      <c r="C83" s="10"/>
      <c r="D83" s="10"/>
      <c r="E83" s="10"/>
      <c r="F83" s="10"/>
      <c r="G83" s="10"/>
      <c r="H83" s="10"/>
      <c r="I83" s="10"/>
      <c r="J83" s="10"/>
      <c r="K83" s="10"/>
      <c r="L83" s="10"/>
      <c r="M83" s="10"/>
      <c r="N83" s="10"/>
      <c r="O83" s="10"/>
      <c r="P83" s="10"/>
    </row>
    <row r="84" spans="1:16" x14ac:dyDescent="0.35">
      <c r="A84" s="10"/>
      <c r="B84" s="10"/>
      <c r="C84" s="10"/>
      <c r="D84" s="10"/>
      <c r="E84" s="10"/>
      <c r="F84" s="10"/>
      <c r="G84" s="10"/>
      <c r="H84" s="10"/>
      <c r="I84" s="10"/>
      <c r="J84" s="10"/>
      <c r="K84" s="10"/>
      <c r="L84" s="10"/>
      <c r="M84" s="10"/>
      <c r="N84" s="10"/>
      <c r="O84" s="10"/>
      <c r="P84" s="10"/>
    </row>
    <row r="85" spans="1:16" x14ac:dyDescent="0.35">
      <c r="A85" s="10"/>
      <c r="B85" s="10"/>
      <c r="C85" s="10"/>
      <c r="D85" s="10"/>
      <c r="E85" s="10"/>
      <c r="F85" s="10"/>
      <c r="G85" s="10"/>
      <c r="H85" s="10"/>
      <c r="I85" s="10"/>
      <c r="J85" s="10"/>
      <c r="K85" s="10"/>
      <c r="L85" s="10"/>
      <c r="M85" s="10"/>
      <c r="N85" s="10"/>
      <c r="O85" s="10"/>
      <c r="P85" s="10"/>
    </row>
    <row r="86" spans="1:16" x14ac:dyDescent="0.35">
      <c r="A86" s="10"/>
      <c r="B86" s="10"/>
      <c r="C86" s="10"/>
      <c r="D86" s="10"/>
      <c r="E86" s="10"/>
      <c r="F86" s="10"/>
      <c r="G86" s="10"/>
      <c r="H86" s="10"/>
      <c r="I86" s="10"/>
      <c r="J86" s="10"/>
      <c r="K86" s="10"/>
      <c r="L86" s="10"/>
      <c r="M86" s="10"/>
      <c r="N86" s="10"/>
      <c r="O86" s="10"/>
      <c r="P86" s="10"/>
    </row>
    <row r="87" spans="1:16" x14ac:dyDescent="0.35">
      <c r="A87" s="10"/>
      <c r="B87" s="10"/>
      <c r="C87" s="10"/>
      <c r="D87" s="10"/>
      <c r="E87" s="10"/>
      <c r="F87" s="10"/>
      <c r="G87" s="10"/>
      <c r="H87" s="10"/>
      <c r="I87" s="10"/>
      <c r="J87" s="10"/>
      <c r="K87" s="10"/>
      <c r="L87" s="10"/>
      <c r="M87" s="10"/>
      <c r="N87" s="10"/>
      <c r="O87" s="10"/>
      <c r="P87" s="10"/>
    </row>
    <row r="88" spans="1:16" x14ac:dyDescent="0.35">
      <c r="A88" s="10"/>
      <c r="B88" s="10"/>
      <c r="C88" s="10"/>
      <c r="D88" s="10"/>
      <c r="E88" s="10"/>
      <c r="F88" s="10"/>
      <c r="G88" s="10"/>
      <c r="H88" s="10"/>
      <c r="I88" s="10"/>
      <c r="J88" s="10"/>
      <c r="K88" s="10"/>
      <c r="L88" s="10"/>
      <c r="M88" s="10"/>
      <c r="N88" s="10"/>
      <c r="O88" s="10"/>
      <c r="P88" s="10"/>
    </row>
    <row r="89" spans="1:16" x14ac:dyDescent="0.35">
      <c r="A89" s="10"/>
      <c r="B89" s="10"/>
      <c r="C89" s="10"/>
      <c r="D89" s="10"/>
      <c r="E89" s="10"/>
      <c r="F89" s="10"/>
      <c r="G89" s="10"/>
      <c r="H89" s="10"/>
      <c r="I89" s="10"/>
      <c r="J89" s="10"/>
      <c r="K89" s="10"/>
      <c r="L89" s="10"/>
      <c r="M89" s="10"/>
      <c r="N89" s="10"/>
      <c r="O89" s="10"/>
      <c r="P89" s="10"/>
    </row>
    <row r="90" spans="1:16" x14ac:dyDescent="0.35">
      <c r="A90" s="10"/>
      <c r="B90" s="10"/>
      <c r="C90" s="10"/>
      <c r="D90" s="10"/>
      <c r="E90" s="10"/>
      <c r="F90" s="10"/>
      <c r="G90" s="10"/>
      <c r="H90" s="10"/>
      <c r="I90" s="10"/>
      <c r="J90" s="10"/>
      <c r="K90" s="10"/>
      <c r="L90" s="10"/>
      <c r="M90" s="10"/>
      <c r="N90" s="10"/>
      <c r="O90" s="10"/>
      <c r="P90" s="10"/>
    </row>
    <row r="91" spans="1:16" x14ac:dyDescent="0.35">
      <c r="A91" s="10"/>
      <c r="B91" s="10"/>
      <c r="C91" s="10"/>
      <c r="D91" s="10"/>
      <c r="E91" s="10"/>
      <c r="F91" s="10"/>
      <c r="G91" s="10"/>
      <c r="H91" s="10"/>
      <c r="I91" s="10"/>
      <c r="J91" s="10"/>
      <c r="K91" s="10"/>
      <c r="L91" s="10"/>
      <c r="M91" s="10"/>
      <c r="N91" s="10"/>
      <c r="O91" s="10"/>
      <c r="P91" s="10"/>
    </row>
    <row r="92" spans="1:16" x14ac:dyDescent="0.35">
      <c r="A92" s="10"/>
      <c r="B92" s="10"/>
      <c r="C92" s="10"/>
      <c r="D92" s="10"/>
      <c r="E92" s="10"/>
      <c r="F92" s="10"/>
      <c r="G92" s="10"/>
      <c r="H92" s="10"/>
      <c r="I92" s="10"/>
      <c r="J92" s="10"/>
      <c r="K92" s="10"/>
      <c r="L92" s="10"/>
      <c r="M92" s="10"/>
      <c r="N92" s="10"/>
      <c r="O92" s="10"/>
      <c r="P92" s="10"/>
    </row>
    <row r="93" spans="1:16" x14ac:dyDescent="0.35">
      <c r="A93" s="10"/>
      <c r="B93" s="10"/>
      <c r="C93" s="10"/>
      <c r="D93" s="10"/>
      <c r="E93" s="10"/>
      <c r="F93" s="10"/>
      <c r="G93" s="10"/>
      <c r="H93" s="10"/>
      <c r="I93" s="10"/>
      <c r="J93" s="10"/>
      <c r="K93" s="10"/>
      <c r="L93" s="10"/>
      <c r="M93" s="10"/>
      <c r="N93" s="10"/>
      <c r="O93" s="10"/>
      <c r="P93" s="10"/>
    </row>
    <row r="94" spans="1:16" x14ac:dyDescent="0.35">
      <c r="A94" s="10"/>
      <c r="B94" s="10"/>
      <c r="C94" s="10"/>
      <c r="D94" s="10"/>
      <c r="E94" s="10"/>
      <c r="F94" s="10"/>
      <c r="G94" s="10"/>
      <c r="H94" s="10"/>
      <c r="I94" s="10"/>
      <c r="J94" s="10"/>
      <c r="K94" s="10"/>
      <c r="L94" s="10"/>
      <c r="M94" s="10"/>
      <c r="N94" s="10"/>
      <c r="O94" s="10"/>
      <c r="P94" s="10"/>
    </row>
    <row r="95" spans="1:16" x14ac:dyDescent="0.35">
      <c r="A95" s="10"/>
      <c r="B95" s="10"/>
      <c r="C95" s="10"/>
      <c r="D95" s="10"/>
      <c r="E95" s="10"/>
      <c r="F95" s="10"/>
      <c r="G95" s="10"/>
      <c r="H95" s="10"/>
      <c r="I95" s="10"/>
      <c r="J95" s="10"/>
      <c r="K95" s="10"/>
      <c r="L95" s="10"/>
      <c r="M95" s="10"/>
      <c r="N95" s="10"/>
      <c r="O95" s="10"/>
      <c r="P95" s="10"/>
    </row>
    <row r="96" spans="1:16" x14ac:dyDescent="0.35">
      <c r="A96" s="10"/>
      <c r="B96" s="10"/>
      <c r="C96" s="10"/>
      <c r="D96" s="10"/>
      <c r="E96" s="10"/>
      <c r="F96" s="10"/>
      <c r="G96" s="10"/>
      <c r="H96" s="10"/>
      <c r="I96" s="10"/>
      <c r="J96" s="10"/>
      <c r="K96" s="10"/>
      <c r="L96" s="10"/>
      <c r="M96" s="10"/>
      <c r="N96" s="10"/>
      <c r="O96" s="10"/>
      <c r="P96" s="10"/>
    </row>
    <row r="97" spans="1:16" x14ac:dyDescent="0.35">
      <c r="A97" s="10"/>
      <c r="B97" s="10"/>
      <c r="C97" s="10"/>
      <c r="D97" s="10"/>
      <c r="E97" s="10"/>
      <c r="F97" s="10"/>
      <c r="G97" s="10"/>
      <c r="H97" s="10"/>
      <c r="I97" s="10"/>
      <c r="J97" s="10"/>
      <c r="K97" s="10"/>
      <c r="L97" s="10"/>
      <c r="M97" s="10"/>
      <c r="N97" s="10"/>
      <c r="O97" s="10"/>
      <c r="P97" s="10"/>
    </row>
    <row r="98" spans="1:16" x14ac:dyDescent="0.35">
      <c r="A98" s="10"/>
      <c r="B98" s="10"/>
      <c r="C98" s="10"/>
      <c r="D98" s="10"/>
      <c r="E98" s="10"/>
      <c r="F98" s="10"/>
      <c r="G98" s="10"/>
      <c r="H98" s="10"/>
      <c r="I98" s="10"/>
      <c r="J98" s="10"/>
      <c r="K98" s="10"/>
      <c r="L98" s="10"/>
      <c r="M98" s="10"/>
      <c r="N98" s="10"/>
      <c r="O98" s="10"/>
      <c r="P98" s="10"/>
    </row>
    <row r="99" spans="1:16" x14ac:dyDescent="0.35">
      <c r="A99" s="10"/>
      <c r="B99" s="10"/>
      <c r="C99" s="10"/>
      <c r="D99" s="10"/>
      <c r="E99" s="10"/>
      <c r="F99" s="10"/>
      <c r="G99" s="10"/>
      <c r="H99" s="10"/>
      <c r="I99" s="10"/>
      <c r="J99" s="10"/>
      <c r="K99" s="10"/>
      <c r="L99" s="10"/>
      <c r="M99" s="10"/>
      <c r="N99" s="10"/>
      <c r="O99" s="10"/>
      <c r="P99" s="10"/>
    </row>
    <row r="100" spans="1:16" x14ac:dyDescent="0.35">
      <c r="A100" s="10"/>
      <c r="B100" s="10"/>
      <c r="C100" s="10"/>
      <c r="D100" s="10"/>
      <c r="E100" s="10"/>
      <c r="F100" s="10"/>
      <c r="G100" s="10"/>
      <c r="H100" s="10"/>
      <c r="I100" s="10"/>
      <c r="J100" s="10"/>
      <c r="K100" s="10"/>
      <c r="L100" s="10"/>
      <c r="M100" s="10"/>
      <c r="N100" s="10"/>
      <c r="O100" s="10"/>
      <c r="P100" s="10"/>
    </row>
    <row r="101" spans="1:16" x14ac:dyDescent="0.35">
      <c r="A101" s="10"/>
      <c r="B101" s="10"/>
      <c r="C101" s="10"/>
      <c r="D101" s="10"/>
      <c r="E101" s="10"/>
      <c r="F101" s="10"/>
      <c r="G101" s="10"/>
      <c r="H101" s="10"/>
      <c r="I101" s="10"/>
      <c r="J101" s="10"/>
      <c r="K101" s="10"/>
      <c r="L101" s="10"/>
      <c r="M101" s="10"/>
      <c r="N101" s="10"/>
      <c r="O101" s="10"/>
      <c r="P101" s="10"/>
    </row>
    <row r="102" spans="1:16" x14ac:dyDescent="0.35">
      <c r="A102" s="10"/>
      <c r="B102" s="10"/>
      <c r="C102" s="10"/>
      <c r="D102" s="10"/>
      <c r="E102" s="10"/>
      <c r="F102" s="10"/>
      <c r="G102" s="10"/>
      <c r="H102" s="10"/>
      <c r="I102" s="10"/>
      <c r="J102" s="10"/>
      <c r="K102" s="10"/>
      <c r="L102" s="10"/>
      <c r="M102" s="10"/>
      <c r="N102" s="10"/>
      <c r="O102" s="10"/>
      <c r="P102" s="10"/>
    </row>
    <row r="103" spans="1:16" x14ac:dyDescent="0.35">
      <c r="A103" s="10"/>
      <c r="B103" s="10"/>
      <c r="C103" s="10"/>
      <c r="D103" s="10"/>
      <c r="E103" s="10"/>
      <c r="F103" s="10"/>
      <c r="G103" s="10"/>
      <c r="H103" s="10"/>
      <c r="I103" s="10"/>
      <c r="J103" s="10"/>
      <c r="K103" s="10"/>
      <c r="L103" s="10"/>
      <c r="M103" s="10"/>
      <c r="N103" s="10"/>
      <c r="O103" s="10"/>
      <c r="P103" s="10"/>
    </row>
    <row r="104" spans="1:16" x14ac:dyDescent="0.35">
      <c r="A104" s="10"/>
      <c r="B104" s="10"/>
      <c r="C104" s="10"/>
      <c r="D104" s="10"/>
      <c r="E104" s="10"/>
      <c r="F104" s="10"/>
      <c r="G104" s="10"/>
      <c r="H104" s="10"/>
      <c r="I104" s="10"/>
      <c r="J104" s="10"/>
      <c r="K104" s="10"/>
      <c r="L104" s="10"/>
      <c r="M104" s="10"/>
      <c r="N104" s="10"/>
      <c r="O104" s="10"/>
      <c r="P104" s="10"/>
    </row>
    <row r="105" spans="1:16" x14ac:dyDescent="0.35">
      <c r="A105" s="10"/>
      <c r="B105" s="10"/>
      <c r="C105" s="10"/>
      <c r="D105" s="10"/>
      <c r="E105" s="10"/>
      <c r="F105" s="10"/>
      <c r="G105" s="10"/>
      <c r="H105" s="10"/>
      <c r="I105" s="10"/>
      <c r="J105" s="10"/>
      <c r="K105" s="10"/>
      <c r="L105" s="10"/>
      <c r="M105" s="10"/>
      <c r="N105" s="10"/>
      <c r="O105" s="10"/>
      <c r="P105" s="10"/>
    </row>
    <row r="106" spans="1:16" x14ac:dyDescent="0.35">
      <c r="A106" s="10"/>
      <c r="B106" s="10"/>
      <c r="C106" s="10"/>
      <c r="D106" s="10"/>
      <c r="E106" s="10"/>
      <c r="F106" s="10"/>
      <c r="G106" s="10"/>
      <c r="H106" s="10"/>
      <c r="I106" s="10"/>
      <c r="J106" s="10"/>
      <c r="K106" s="10"/>
      <c r="L106" s="10"/>
      <c r="M106" s="10"/>
      <c r="N106" s="10"/>
      <c r="O106" s="10"/>
      <c r="P106" s="10"/>
    </row>
    <row r="107" spans="1:16" x14ac:dyDescent="0.35">
      <c r="A107" s="10"/>
      <c r="B107" s="10"/>
      <c r="C107" s="10"/>
      <c r="D107" s="10"/>
      <c r="E107" s="10"/>
      <c r="F107" s="10"/>
      <c r="G107" s="10"/>
      <c r="H107" s="10"/>
      <c r="I107" s="10"/>
      <c r="J107" s="10"/>
      <c r="K107" s="10"/>
      <c r="L107" s="10"/>
      <c r="M107" s="10"/>
      <c r="N107" s="10"/>
      <c r="O107" s="10"/>
      <c r="P107" s="10"/>
    </row>
    <row r="108" spans="1:16" x14ac:dyDescent="0.35">
      <c r="A108" s="10"/>
      <c r="B108" s="10"/>
      <c r="C108" s="10"/>
      <c r="D108" s="10"/>
      <c r="E108" s="10"/>
      <c r="F108" s="10"/>
      <c r="G108" s="10"/>
      <c r="H108" s="10"/>
      <c r="I108" s="10"/>
      <c r="J108" s="10"/>
      <c r="K108" s="10"/>
      <c r="L108" s="10"/>
      <c r="M108" s="10"/>
      <c r="N108" s="10"/>
      <c r="O108" s="10"/>
      <c r="P108" s="10"/>
    </row>
    <row r="109" spans="1:16" x14ac:dyDescent="0.35">
      <c r="A109" s="10"/>
      <c r="B109" s="10"/>
      <c r="C109" s="10"/>
      <c r="D109" s="10"/>
      <c r="E109" s="10"/>
      <c r="F109" s="10"/>
      <c r="G109" s="10"/>
      <c r="H109" s="10"/>
      <c r="I109" s="10"/>
      <c r="J109" s="10"/>
      <c r="K109" s="10"/>
      <c r="L109" s="10"/>
      <c r="M109" s="10"/>
      <c r="N109" s="10"/>
      <c r="O109" s="10"/>
      <c r="P109" s="10"/>
    </row>
    <row r="110" spans="1:16" x14ac:dyDescent="0.35">
      <c r="A110" s="10"/>
      <c r="B110" s="10"/>
      <c r="C110" s="10"/>
      <c r="D110" s="10"/>
      <c r="E110" s="10"/>
      <c r="F110" s="10"/>
      <c r="G110" s="10"/>
      <c r="H110" s="10"/>
      <c r="I110" s="10"/>
      <c r="J110" s="10"/>
      <c r="K110" s="10"/>
      <c r="L110" s="10"/>
      <c r="M110" s="10"/>
      <c r="N110" s="10"/>
      <c r="O110" s="10"/>
      <c r="P110" s="10"/>
    </row>
    <row r="111" spans="1:16" x14ac:dyDescent="0.35">
      <c r="A111" s="10"/>
      <c r="B111" s="10"/>
      <c r="C111" s="10"/>
      <c r="D111" s="10"/>
      <c r="E111" s="10"/>
      <c r="F111" s="10"/>
      <c r="G111" s="10"/>
      <c r="H111" s="10"/>
      <c r="I111" s="10"/>
      <c r="J111" s="10"/>
      <c r="K111" s="10"/>
      <c r="L111" s="10"/>
      <c r="M111" s="10"/>
      <c r="N111" s="10"/>
      <c r="O111" s="10"/>
      <c r="P111" s="10"/>
    </row>
    <row r="112" spans="1:16" x14ac:dyDescent="0.35">
      <c r="A112" s="10"/>
      <c r="B112" s="10"/>
      <c r="C112" s="10"/>
      <c r="D112" s="10"/>
      <c r="E112" s="10"/>
      <c r="F112" s="10"/>
      <c r="G112" s="10"/>
      <c r="H112" s="10"/>
      <c r="I112" s="10"/>
      <c r="J112" s="10"/>
      <c r="K112" s="10"/>
      <c r="L112" s="10"/>
      <c r="M112" s="10"/>
      <c r="N112" s="10"/>
      <c r="O112" s="10"/>
      <c r="P112" s="10"/>
    </row>
    <row r="113" spans="1:16" x14ac:dyDescent="0.35">
      <c r="A113" s="10"/>
      <c r="B113" s="10"/>
      <c r="C113" s="10"/>
      <c r="D113" s="10"/>
      <c r="E113" s="10"/>
      <c r="F113" s="10"/>
      <c r="G113" s="10"/>
      <c r="H113" s="10"/>
      <c r="I113" s="10"/>
      <c r="J113" s="10"/>
      <c r="K113" s="10"/>
      <c r="L113" s="10"/>
      <c r="M113" s="10"/>
      <c r="N113" s="10"/>
      <c r="O113" s="10"/>
      <c r="P113" s="10"/>
    </row>
    <row r="114" spans="1:16" x14ac:dyDescent="0.35">
      <c r="A114" s="10"/>
      <c r="B114" s="10"/>
      <c r="C114" s="10"/>
      <c r="D114" s="10"/>
      <c r="E114" s="10"/>
      <c r="F114" s="10"/>
      <c r="G114" s="10"/>
      <c r="H114" s="10"/>
      <c r="I114" s="10"/>
      <c r="J114" s="10"/>
      <c r="K114" s="10"/>
      <c r="L114" s="10"/>
      <c r="M114" s="10"/>
      <c r="N114" s="10"/>
      <c r="O114" s="10"/>
      <c r="P114" s="10"/>
    </row>
    <row r="115" spans="1:16" x14ac:dyDescent="0.35">
      <c r="A115" s="10"/>
      <c r="B115" s="10"/>
      <c r="C115" s="10"/>
      <c r="D115" s="10"/>
      <c r="E115" s="10"/>
      <c r="F115" s="10"/>
      <c r="G115" s="10"/>
      <c r="H115" s="10"/>
      <c r="I115" s="10"/>
      <c r="J115" s="10"/>
      <c r="K115" s="10"/>
      <c r="L115" s="10"/>
      <c r="M115" s="10"/>
      <c r="N115" s="10"/>
      <c r="O115" s="10"/>
      <c r="P115" s="10"/>
    </row>
    <row r="116" spans="1:16" x14ac:dyDescent="0.35">
      <c r="A116" s="10"/>
      <c r="B116" s="10"/>
      <c r="C116" s="10"/>
      <c r="D116" s="10"/>
      <c r="E116" s="10"/>
      <c r="F116" s="10"/>
      <c r="G116" s="10"/>
      <c r="H116" s="10"/>
      <c r="I116" s="10"/>
      <c r="J116" s="10"/>
      <c r="K116" s="10"/>
      <c r="L116" s="10"/>
      <c r="M116" s="10"/>
      <c r="N116" s="10"/>
      <c r="O116" s="10"/>
      <c r="P116" s="10"/>
    </row>
    <row r="117" spans="1:16" x14ac:dyDescent="0.35">
      <c r="A117" s="10"/>
      <c r="B117" s="10"/>
      <c r="C117" s="10"/>
      <c r="D117" s="10"/>
      <c r="E117" s="10"/>
      <c r="F117" s="10"/>
      <c r="G117" s="10"/>
      <c r="H117" s="10"/>
      <c r="I117" s="10"/>
      <c r="J117" s="10"/>
      <c r="K117" s="10"/>
      <c r="L117" s="10"/>
      <c r="M117" s="10"/>
      <c r="N117" s="10"/>
      <c r="O117" s="10"/>
      <c r="P117" s="10"/>
    </row>
    <row r="118" spans="1:16" x14ac:dyDescent="0.35">
      <c r="A118" s="10"/>
      <c r="B118" s="10"/>
      <c r="C118" s="10"/>
      <c r="D118" s="10"/>
      <c r="E118" s="10"/>
      <c r="F118" s="10"/>
      <c r="G118" s="10"/>
      <c r="H118" s="10"/>
      <c r="I118" s="10"/>
      <c r="J118" s="10"/>
      <c r="K118" s="10"/>
      <c r="L118" s="10"/>
      <c r="M118" s="10"/>
      <c r="N118" s="10"/>
      <c r="O118" s="10"/>
      <c r="P118" s="10"/>
    </row>
    <row r="119" spans="1:16" x14ac:dyDescent="0.35">
      <c r="A119" s="10"/>
      <c r="B119" s="10"/>
      <c r="C119" s="10"/>
      <c r="D119" s="10"/>
      <c r="E119" s="10"/>
      <c r="F119" s="10"/>
      <c r="G119" s="10"/>
      <c r="H119" s="10"/>
      <c r="I119" s="10"/>
      <c r="J119" s="10"/>
      <c r="K119" s="10"/>
      <c r="L119" s="10"/>
      <c r="M119" s="10"/>
      <c r="N119" s="10"/>
      <c r="O119" s="10"/>
      <c r="P119" s="10"/>
    </row>
    <row r="120" spans="1:16" x14ac:dyDescent="0.35">
      <c r="A120" s="10"/>
      <c r="B120" s="10"/>
      <c r="C120" s="10"/>
      <c r="D120" s="10"/>
      <c r="E120" s="10"/>
      <c r="F120" s="10"/>
      <c r="G120" s="10"/>
      <c r="H120" s="10"/>
      <c r="I120" s="10"/>
      <c r="J120" s="10"/>
      <c r="K120" s="10"/>
      <c r="L120" s="10"/>
      <c r="M120" s="10"/>
      <c r="N120" s="10"/>
      <c r="O120" s="10"/>
      <c r="P120" s="10"/>
    </row>
    <row r="121" spans="1:16" x14ac:dyDescent="0.35">
      <c r="A121" s="10"/>
      <c r="B121" s="10"/>
      <c r="C121" s="10"/>
      <c r="D121" s="10"/>
      <c r="E121" s="10"/>
      <c r="F121" s="10"/>
      <c r="G121" s="10"/>
      <c r="H121" s="10"/>
      <c r="I121" s="10"/>
      <c r="J121" s="10"/>
      <c r="K121" s="10"/>
      <c r="L121" s="10"/>
      <c r="M121" s="10"/>
      <c r="N121" s="10"/>
      <c r="O121" s="10"/>
      <c r="P121" s="10"/>
    </row>
    <row r="122" spans="1:16" x14ac:dyDescent="0.35">
      <c r="A122" s="10"/>
      <c r="B122" s="10"/>
      <c r="C122" s="10"/>
      <c r="D122" s="10"/>
      <c r="E122" s="10"/>
      <c r="F122" s="10"/>
      <c r="G122" s="10"/>
      <c r="H122" s="10"/>
      <c r="I122" s="10"/>
      <c r="J122" s="10"/>
      <c r="K122" s="10"/>
      <c r="L122" s="10"/>
      <c r="M122" s="10"/>
      <c r="N122" s="10"/>
      <c r="O122" s="10"/>
      <c r="P122" s="10"/>
    </row>
    <row r="123" spans="1:16" x14ac:dyDescent="0.35">
      <c r="A123" s="10"/>
      <c r="B123" s="10"/>
      <c r="C123" s="10"/>
      <c r="D123" s="10"/>
      <c r="E123" s="10"/>
      <c r="F123" s="10"/>
      <c r="G123" s="10"/>
      <c r="H123" s="10"/>
      <c r="I123" s="10"/>
      <c r="J123" s="10"/>
      <c r="K123" s="10"/>
      <c r="L123" s="10"/>
      <c r="M123" s="10"/>
      <c r="N123" s="10"/>
      <c r="O123" s="10"/>
      <c r="P123" s="10"/>
    </row>
    <row r="124" spans="1:16" x14ac:dyDescent="0.35">
      <c r="A124" s="10"/>
      <c r="B124" s="10"/>
      <c r="C124" s="10"/>
      <c r="D124" s="10"/>
      <c r="E124" s="10"/>
      <c r="F124" s="10"/>
      <c r="G124" s="10"/>
      <c r="H124" s="10"/>
      <c r="I124" s="10"/>
      <c r="J124" s="10"/>
      <c r="K124" s="10"/>
      <c r="L124" s="10"/>
      <c r="M124" s="10"/>
      <c r="N124" s="10"/>
      <c r="O124" s="10"/>
      <c r="P124" s="10"/>
    </row>
    <row r="125" spans="1:16" x14ac:dyDescent="0.35">
      <c r="A125" s="10"/>
      <c r="B125" s="10"/>
      <c r="C125" s="10"/>
      <c r="D125" s="10"/>
      <c r="E125" s="10"/>
      <c r="F125" s="10"/>
      <c r="G125" s="10"/>
      <c r="H125" s="10"/>
      <c r="I125" s="10"/>
      <c r="J125" s="10"/>
      <c r="K125" s="10"/>
      <c r="L125" s="10"/>
      <c r="M125" s="10"/>
      <c r="N125" s="10"/>
      <c r="O125" s="10"/>
      <c r="P125" s="10"/>
    </row>
    <row r="126" spans="1:16" x14ac:dyDescent="0.35">
      <c r="A126" s="10"/>
      <c r="B126" s="10"/>
      <c r="C126" s="10"/>
      <c r="D126" s="10"/>
      <c r="E126" s="10"/>
      <c r="F126" s="10"/>
      <c r="G126" s="10"/>
      <c r="H126" s="10"/>
      <c r="I126" s="10"/>
      <c r="J126" s="10"/>
      <c r="K126" s="10"/>
      <c r="L126" s="10"/>
      <c r="M126" s="10"/>
      <c r="N126" s="10"/>
      <c r="O126" s="10"/>
      <c r="P126" s="10"/>
    </row>
    <row r="127" spans="1:16" x14ac:dyDescent="0.35">
      <c r="A127" s="10"/>
      <c r="B127" s="10"/>
      <c r="C127" s="10"/>
      <c r="D127" s="10"/>
      <c r="E127" s="10"/>
      <c r="F127" s="10"/>
      <c r="G127" s="10"/>
      <c r="H127" s="10"/>
      <c r="I127" s="10"/>
      <c r="J127" s="10"/>
      <c r="K127" s="10"/>
      <c r="L127" s="10"/>
      <c r="M127" s="10"/>
      <c r="N127" s="10"/>
      <c r="O127" s="10"/>
      <c r="P127" s="10"/>
    </row>
    <row r="128" spans="1:16" x14ac:dyDescent="0.35">
      <c r="A128" s="10"/>
      <c r="B128" s="10"/>
      <c r="C128" s="10"/>
      <c r="D128" s="10"/>
      <c r="E128" s="10"/>
      <c r="F128" s="10"/>
      <c r="G128" s="10"/>
      <c r="H128" s="10"/>
      <c r="I128" s="10"/>
      <c r="J128" s="10"/>
      <c r="K128" s="10"/>
      <c r="L128" s="10"/>
      <c r="M128" s="10"/>
      <c r="N128" s="10"/>
      <c r="O128" s="10"/>
      <c r="P128" s="10"/>
    </row>
    <row r="129" spans="1:16" x14ac:dyDescent="0.35">
      <c r="A129" s="10"/>
      <c r="B129" s="10"/>
      <c r="C129" s="10"/>
      <c r="D129" s="10"/>
      <c r="E129" s="10"/>
      <c r="F129" s="10"/>
      <c r="G129" s="10"/>
      <c r="H129" s="10"/>
      <c r="I129" s="10"/>
      <c r="J129" s="10"/>
      <c r="K129" s="10"/>
      <c r="L129" s="10"/>
      <c r="M129" s="10"/>
      <c r="N129" s="10"/>
      <c r="O129" s="10"/>
      <c r="P129" s="10"/>
    </row>
    <row r="130" spans="1:16" x14ac:dyDescent="0.35">
      <c r="A130" s="10"/>
      <c r="B130" s="10"/>
      <c r="C130" s="10"/>
      <c r="D130" s="10"/>
      <c r="E130" s="10"/>
      <c r="F130" s="10"/>
      <c r="G130" s="10"/>
      <c r="H130" s="10"/>
      <c r="I130" s="10"/>
      <c r="J130" s="10"/>
      <c r="K130" s="10"/>
      <c r="L130" s="10"/>
      <c r="M130" s="10"/>
      <c r="N130" s="10"/>
      <c r="O130" s="10"/>
      <c r="P130" s="10"/>
    </row>
    <row r="131" spans="1:16" x14ac:dyDescent="0.35">
      <c r="A131" s="10"/>
      <c r="B131" s="10"/>
      <c r="C131" s="10"/>
      <c r="D131" s="10"/>
      <c r="E131" s="10"/>
      <c r="F131" s="10"/>
      <c r="G131" s="10"/>
      <c r="H131" s="10"/>
      <c r="I131" s="10"/>
      <c r="J131" s="10"/>
      <c r="K131" s="10"/>
      <c r="L131" s="10"/>
      <c r="M131" s="10"/>
      <c r="N131" s="10"/>
      <c r="O131" s="10"/>
      <c r="P131" s="10"/>
    </row>
    <row r="132" spans="1:16" x14ac:dyDescent="0.35">
      <c r="A132" s="10"/>
      <c r="B132" s="10"/>
      <c r="C132" s="10"/>
      <c r="D132" s="10"/>
      <c r="E132" s="10"/>
      <c r="F132" s="10"/>
      <c r="G132" s="10"/>
      <c r="H132" s="10"/>
      <c r="I132" s="10"/>
      <c r="J132" s="10"/>
      <c r="K132" s="10"/>
      <c r="L132" s="10"/>
      <c r="M132" s="10"/>
      <c r="N132" s="10"/>
      <c r="O132" s="10"/>
      <c r="P132" s="10"/>
    </row>
    <row r="133" spans="1:16" x14ac:dyDescent="0.35">
      <c r="A133" s="10"/>
      <c r="B133" s="10"/>
      <c r="C133" s="10"/>
      <c r="D133" s="10"/>
      <c r="E133" s="10"/>
      <c r="F133" s="10"/>
      <c r="G133" s="10"/>
      <c r="H133" s="10"/>
      <c r="I133" s="10"/>
      <c r="J133" s="10"/>
      <c r="K133" s="10"/>
      <c r="L133" s="10"/>
      <c r="M133" s="10"/>
      <c r="N133" s="10"/>
      <c r="O133" s="10"/>
      <c r="P133" s="10"/>
    </row>
    <row r="134" spans="1:16" x14ac:dyDescent="0.35">
      <c r="A134" s="10"/>
      <c r="B134" s="10"/>
      <c r="C134" s="10"/>
      <c r="D134" s="10"/>
      <c r="E134" s="10"/>
      <c r="F134" s="10"/>
      <c r="G134" s="10"/>
      <c r="H134" s="10"/>
      <c r="I134" s="10"/>
      <c r="J134" s="10"/>
      <c r="K134" s="10"/>
      <c r="L134" s="10"/>
      <c r="M134" s="10"/>
      <c r="N134" s="10"/>
      <c r="O134" s="10"/>
      <c r="P134" s="10"/>
    </row>
    <row r="135" spans="1:16" x14ac:dyDescent="0.35">
      <c r="A135" s="10"/>
      <c r="B135" s="10"/>
      <c r="C135" s="10"/>
      <c r="D135" s="10"/>
      <c r="E135" s="10"/>
      <c r="F135" s="10"/>
      <c r="G135" s="10"/>
      <c r="H135" s="10"/>
      <c r="I135" s="10"/>
      <c r="J135" s="10"/>
      <c r="K135" s="10"/>
      <c r="L135" s="10"/>
      <c r="M135" s="10"/>
      <c r="N135" s="10"/>
      <c r="O135" s="10"/>
      <c r="P135" s="10"/>
    </row>
    <row r="136" spans="1:16" x14ac:dyDescent="0.35">
      <c r="A136" s="10"/>
      <c r="B136" s="10"/>
      <c r="C136" s="10"/>
      <c r="D136" s="10"/>
      <c r="E136" s="10"/>
      <c r="F136" s="10"/>
      <c r="G136" s="10"/>
      <c r="H136" s="10"/>
      <c r="I136" s="10"/>
      <c r="J136" s="10"/>
      <c r="K136" s="10"/>
      <c r="L136" s="10"/>
      <c r="M136" s="10"/>
      <c r="N136" s="10"/>
      <c r="O136" s="10"/>
      <c r="P136" s="10"/>
    </row>
    <row r="137" spans="1:16" x14ac:dyDescent="0.35">
      <c r="A137" s="10"/>
      <c r="B137" s="10"/>
      <c r="C137" s="10"/>
      <c r="D137" s="10"/>
      <c r="E137" s="10"/>
      <c r="F137" s="10"/>
      <c r="G137" s="10"/>
      <c r="H137" s="10"/>
      <c r="I137" s="10"/>
      <c r="J137" s="10"/>
      <c r="K137" s="10"/>
      <c r="L137" s="10"/>
      <c r="M137" s="10"/>
      <c r="N137" s="10"/>
      <c r="O137" s="10"/>
      <c r="P137" s="10"/>
    </row>
    <row r="138" spans="1:16" x14ac:dyDescent="0.35">
      <c r="A138" s="10"/>
      <c r="B138" s="10"/>
      <c r="C138" s="10"/>
      <c r="D138" s="10"/>
      <c r="E138" s="10"/>
      <c r="F138" s="10"/>
      <c r="G138" s="10"/>
      <c r="H138" s="10"/>
      <c r="I138" s="10"/>
      <c r="J138" s="10"/>
      <c r="K138" s="10"/>
      <c r="L138" s="10"/>
      <c r="M138" s="10"/>
      <c r="N138" s="10"/>
      <c r="O138" s="10"/>
      <c r="P138" s="10"/>
    </row>
    <row r="139" spans="1:16" x14ac:dyDescent="0.35">
      <c r="A139" s="10"/>
      <c r="B139" s="10"/>
      <c r="C139" s="10"/>
      <c r="D139" s="10"/>
      <c r="E139" s="10"/>
      <c r="F139" s="10"/>
      <c r="G139" s="10"/>
      <c r="H139" s="10"/>
      <c r="I139" s="10"/>
      <c r="J139" s="10"/>
      <c r="K139" s="10"/>
      <c r="L139" s="10"/>
      <c r="M139" s="10"/>
      <c r="N139" s="10"/>
      <c r="O139" s="10"/>
      <c r="P139" s="10"/>
    </row>
    <row r="140" spans="1:16" x14ac:dyDescent="0.35">
      <c r="A140" s="10"/>
      <c r="B140" s="10"/>
      <c r="C140" s="10"/>
      <c r="D140" s="10"/>
      <c r="E140" s="10"/>
      <c r="F140" s="10"/>
      <c r="G140" s="10"/>
      <c r="H140" s="10"/>
      <c r="I140" s="10"/>
      <c r="J140" s="10"/>
      <c r="K140" s="10"/>
      <c r="L140" s="10"/>
      <c r="M140" s="10"/>
      <c r="N140" s="10"/>
      <c r="O140" s="10"/>
      <c r="P140" s="10"/>
    </row>
    <row r="141" spans="1:16" x14ac:dyDescent="0.35">
      <c r="A141" s="10"/>
      <c r="B141" s="10"/>
      <c r="C141" s="10"/>
      <c r="D141" s="10"/>
      <c r="E141" s="10"/>
      <c r="F141" s="10"/>
      <c r="G141" s="10"/>
      <c r="H141" s="10"/>
      <c r="I141" s="10"/>
      <c r="J141" s="10"/>
      <c r="K141" s="10"/>
      <c r="L141" s="10"/>
      <c r="M141" s="10"/>
      <c r="N141" s="10"/>
      <c r="O141" s="10"/>
      <c r="P141" s="10"/>
    </row>
    <row r="142" spans="1:16" x14ac:dyDescent="0.35">
      <c r="A142" s="10"/>
      <c r="B142" s="10"/>
      <c r="C142" s="10"/>
      <c r="D142" s="10"/>
      <c r="E142" s="10"/>
      <c r="F142" s="10"/>
      <c r="G142" s="10"/>
      <c r="H142" s="10"/>
      <c r="I142" s="10"/>
      <c r="J142" s="10"/>
      <c r="K142" s="10"/>
      <c r="L142" s="10"/>
      <c r="M142" s="10"/>
      <c r="N142" s="10"/>
      <c r="O142" s="10"/>
      <c r="P142" s="10"/>
    </row>
    <row r="143" spans="1:16" x14ac:dyDescent="0.35">
      <c r="A143" s="10"/>
      <c r="B143" s="10"/>
      <c r="C143" s="10"/>
      <c r="D143" s="10"/>
      <c r="E143" s="10"/>
      <c r="F143" s="10"/>
      <c r="G143" s="10"/>
      <c r="H143" s="10"/>
      <c r="I143" s="10"/>
      <c r="J143" s="10"/>
      <c r="K143" s="10"/>
      <c r="L143" s="10"/>
      <c r="M143" s="10"/>
      <c r="N143" s="10"/>
      <c r="O143" s="10"/>
      <c r="P143" s="10"/>
    </row>
    <row r="144" spans="1:16" x14ac:dyDescent="0.35">
      <c r="A144" s="10"/>
      <c r="B144" s="10"/>
      <c r="C144" s="10"/>
      <c r="D144" s="10"/>
      <c r="E144" s="10"/>
      <c r="F144" s="10"/>
      <c r="G144" s="10"/>
      <c r="H144" s="10"/>
      <c r="I144" s="10"/>
      <c r="J144" s="10"/>
      <c r="K144" s="10"/>
      <c r="L144" s="10"/>
      <c r="M144" s="10"/>
      <c r="N144" s="10"/>
      <c r="O144" s="10"/>
      <c r="P144" s="10"/>
    </row>
    <row r="145" spans="1:16" x14ac:dyDescent="0.35">
      <c r="A145" s="10"/>
      <c r="B145" s="10"/>
      <c r="C145" s="10"/>
      <c r="D145" s="10"/>
      <c r="E145" s="10"/>
      <c r="F145" s="10"/>
      <c r="G145" s="10"/>
      <c r="H145" s="10"/>
      <c r="I145" s="10"/>
      <c r="J145" s="10"/>
      <c r="K145" s="10"/>
      <c r="L145" s="10"/>
      <c r="M145" s="10"/>
      <c r="N145" s="10"/>
      <c r="O145" s="10"/>
      <c r="P145" s="10"/>
    </row>
    <row r="146" spans="1:16" x14ac:dyDescent="0.35">
      <c r="A146" s="10"/>
      <c r="B146" s="10"/>
      <c r="C146" s="10"/>
      <c r="D146" s="10"/>
      <c r="E146" s="10"/>
      <c r="F146" s="10"/>
      <c r="G146" s="10"/>
      <c r="H146" s="10"/>
      <c r="I146" s="10"/>
      <c r="J146" s="10"/>
      <c r="K146" s="10"/>
      <c r="L146" s="10"/>
      <c r="M146" s="10"/>
      <c r="N146" s="10"/>
      <c r="O146" s="10"/>
      <c r="P146" s="10"/>
    </row>
    <row r="147" spans="1:16" x14ac:dyDescent="0.35">
      <c r="A147" s="10"/>
      <c r="B147" s="10"/>
      <c r="C147" s="10"/>
      <c r="D147" s="10"/>
      <c r="E147" s="10"/>
      <c r="F147" s="10"/>
      <c r="G147" s="10"/>
      <c r="H147" s="10"/>
      <c r="I147" s="10"/>
      <c r="J147" s="10"/>
      <c r="K147" s="10"/>
      <c r="L147" s="10"/>
      <c r="M147" s="10"/>
      <c r="N147" s="10"/>
      <c r="O147" s="10"/>
      <c r="P147" s="10"/>
    </row>
    <row r="148" spans="1:16" x14ac:dyDescent="0.35">
      <c r="A148" s="10"/>
      <c r="B148" s="10"/>
      <c r="C148" s="10"/>
      <c r="D148" s="10"/>
      <c r="E148" s="10"/>
      <c r="F148" s="10"/>
      <c r="G148" s="10"/>
      <c r="H148" s="10"/>
      <c r="I148" s="10"/>
      <c r="J148" s="10"/>
      <c r="K148" s="10"/>
      <c r="L148" s="10"/>
      <c r="M148" s="10"/>
      <c r="N148" s="10"/>
      <c r="O148" s="10"/>
      <c r="P148" s="10"/>
    </row>
    <row r="149" spans="1:16" x14ac:dyDescent="0.35">
      <c r="A149" s="10"/>
      <c r="B149" s="10"/>
      <c r="C149" s="10"/>
      <c r="D149" s="10"/>
      <c r="E149" s="10"/>
      <c r="F149" s="10"/>
      <c r="G149" s="10"/>
      <c r="H149" s="10"/>
      <c r="I149" s="10"/>
      <c r="J149" s="10"/>
      <c r="K149" s="10"/>
      <c r="L149" s="10"/>
      <c r="M149" s="10"/>
      <c r="N149" s="10"/>
      <c r="O149" s="10"/>
      <c r="P149" s="10"/>
    </row>
    <row r="150" spans="1:16" x14ac:dyDescent="0.35">
      <c r="A150" s="10"/>
      <c r="B150" s="10"/>
      <c r="C150" s="10"/>
      <c r="D150" s="10"/>
      <c r="E150" s="10"/>
      <c r="F150" s="10"/>
      <c r="G150" s="10"/>
      <c r="H150" s="10"/>
      <c r="I150" s="10"/>
      <c r="J150" s="10"/>
      <c r="K150" s="10"/>
      <c r="L150" s="10"/>
      <c r="M150" s="10"/>
      <c r="N150" s="10"/>
      <c r="O150" s="10"/>
      <c r="P150" s="10"/>
    </row>
    <row r="151" spans="1:16" x14ac:dyDescent="0.35">
      <c r="A151" s="10"/>
      <c r="B151" s="10"/>
      <c r="C151" s="10"/>
      <c r="D151" s="10"/>
      <c r="E151" s="10"/>
      <c r="F151" s="10"/>
      <c r="G151" s="10"/>
      <c r="H151" s="10"/>
      <c r="I151" s="10"/>
      <c r="J151" s="10"/>
      <c r="K151" s="10"/>
      <c r="L151" s="10"/>
      <c r="M151" s="10"/>
      <c r="N151" s="10"/>
      <c r="O151" s="10"/>
      <c r="P151" s="10"/>
    </row>
    <row r="152" spans="1:16" x14ac:dyDescent="0.35">
      <c r="A152" s="10"/>
      <c r="B152" s="10"/>
      <c r="C152" s="10"/>
      <c r="D152" s="10"/>
      <c r="E152" s="10"/>
      <c r="F152" s="10"/>
      <c r="G152" s="10"/>
      <c r="H152" s="10"/>
      <c r="I152" s="10"/>
      <c r="J152" s="10"/>
      <c r="K152" s="10"/>
      <c r="L152" s="10"/>
      <c r="M152" s="10"/>
      <c r="N152" s="10"/>
      <c r="O152" s="10"/>
      <c r="P152" s="10"/>
    </row>
    <row r="153" spans="1:16" x14ac:dyDescent="0.35">
      <c r="A153" s="10"/>
      <c r="B153" s="10"/>
      <c r="C153" s="10"/>
      <c r="D153" s="10"/>
      <c r="E153" s="10"/>
      <c r="F153" s="10"/>
      <c r="G153" s="10"/>
      <c r="H153" s="10"/>
      <c r="I153" s="10"/>
      <c r="J153" s="10"/>
      <c r="K153" s="10"/>
      <c r="L153" s="10"/>
      <c r="M153" s="10"/>
      <c r="N153" s="10"/>
      <c r="O153" s="10"/>
      <c r="P153" s="10"/>
    </row>
    <row r="154" spans="1:16" x14ac:dyDescent="0.35">
      <c r="A154" s="10"/>
      <c r="B154" s="10"/>
      <c r="C154" s="10"/>
      <c r="D154" s="10"/>
      <c r="E154" s="10"/>
      <c r="F154" s="10"/>
      <c r="G154" s="10"/>
      <c r="H154" s="10"/>
      <c r="I154" s="10"/>
      <c r="J154" s="10"/>
      <c r="K154" s="10"/>
      <c r="L154" s="10"/>
      <c r="M154" s="10"/>
      <c r="N154" s="10"/>
      <c r="O154" s="10"/>
      <c r="P154" s="10"/>
    </row>
    <row r="155" spans="1:16" x14ac:dyDescent="0.35">
      <c r="A155" s="10"/>
      <c r="B155" s="10"/>
      <c r="C155" s="10"/>
      <c r="D155" s="10"/>
      <c r="E155" s="10"/>
      <c r="F155" s="10"/>
      <c r="G155" s="10"/>
      <c r="H155" s="10"/>
      <c r="I155" s="10"/>
      <c r="J155" s="10"/>
      <c r="K155" s="10"/>
      <c r="L155" s="10"/>
      <c r="M155" s="10"/>
      <c r="N155" s="10"/>
      <c r="O155" s="10"/>
      <c r="P155" s="10"/>
    </row>
    <row r="156" spans="1:16" x14ac:dyDescent="0.35">
      <c r="A156" s="10"/>
      <c r="B156" s="10"/>
      <c r="C156" s="10"/>
      <c r="D156" s="10"/>
      <c r="E156" s="10"/>
      <c r="F156" s="10"/>
      <c r="G156" s="10"/>
      <c r="H156" s="10"/>
      <c r="I156" s="10"/>
      <c r="J156" s="10"/>
      <c r="K156" s="10"/>
      <c r="L156" s="10"/>
      <c r="M156" s="10"/>
      <c r="N156" s="10"/>
      <c r="O156" s="10"/>
      <c r="P156" s="10"/>
    </row>
    <row r="157" spans="1:16" x14ac:dyDescent="0.35">
      <c r="A157" s="10"/>
      <c r="B157" s="10"/>
      <c r="C157" s="10"/>
      <c r="D157" s="10"/>
      <c r="E157" s="10"/>
      <c r="F157" s="10"/>
      <c r="G157" s="10"/>
      <c r="H157" s="10"/>
      <c r="I157" s="10"/>
      <c r="J157" s="10"/>
      <c r="K157" s="10"/>
      <c r="L157" s="10"/>
      <c r="M157" s="10"/>
      <c r="N157" s="10"/>
      <c r="O157" s="10"/>
      <c r="P157" s="10"/>
    </row>
    <row r="158" spans="1:16" x14ac:dyDescent="0.35">
      <c r="A158" s="10"/>
      <c r="B158" s="10"/>
      <c r="C158" s="10"/>
      <c r="D158" s="10"/>
      <c r="E158" s="10"/>
      <c r="F158" s="10"/>
      <c r="G158" s="10"/>
      <c r="H158" s="10"/>
      <c r="I158" s="10"/>
      <c r="J158" s="10"/>
      <c r="K158" s="10"/>
      <c r="L158" s="10"/>
      <c r="M158" s="10"/>
      <c r="N158" s="10"/>
      <c r="O158" s="10"/>
      <c r="P158" s="10"/>
    </row>
    <row r="159" spans="1:16" x14ac:dyDescent="0.35">
      <c r="A159" s="10"/>
      <c r="B159" s="10"/>
      <c r="C159" s="10"/>
      <c r="D159" s="10"/>
      <c r="E159" s="10"/>
      <c r="F159" s="10"/>
      <c r="G159" s="10"/>
      <c r="H159" s="10"/>
      <c r="I159" s="10"/>
      <c r="J159" s="10"/>
      <c r="K159" s="10"/>
      <c r="L159" s="10"/>
      <c r="M159" s="10"/>
      <c r="N159" s="10"/>
      <c r="O159" s="10"/>
      <c r="P159" s="10"/>
    </row>
    <row r="160" spans="1:16" x14ac:dyDescent="0.3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REAforêtMBoisement</vt:lpstr>
      <vt:lpstr>REAproduitsMBoisement</vt:lpstr>
      <vt:lpstr>REEsubsMBoisement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2021-05-21T08:56:12Z</dcterms:modified>
</cp:coreProperties>
</file>