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P:\Bureau\PARTAGE\Solutions_Forets\Projets LBC\Bois couillet\"/>
    </mc:Choice>
  </mc:AlternateContent>
  <xr:revisionPtr revIDLastSave="0" documentId="13_ncr:1_{DD4A4549-D53D-4DE7-877E-CC35E7DB3CFA}" xr6:coauthVersionLast="46" xr6:coauthVersionMax="46" xr10:uidLastSave="{00000000-0000-0000-0000-000000000000}"/>
  <bookViews>
    <workbookView xWindow="-120" yWindow="-120" windowWidth="29040" windowHeight="15840" tabRatio="873" xr2:uid="{B266244D-1EAC-43FB-B964-2C2D868866A8}"/>
  </bookViews>
  <sheets>
    <sheet name="Fiche_signalétique_projet" sheetId="1" r:id="rId1"/>
    <sheet name="Annexe_îlots_boisements" sheetId="4" r:id="rId2"/>
    <sheet name="listes déroulantes" sheetId="2" state="hidden" r:id="rId3"/>
    <sheet name="VAN_PROJET" sheetId="7" r:id="rId4"/>
    <sheet name="VAN_Accrus" sheetId="11" r:id="rId5"/>
    <sheet name="Chêne Rouge" sheetId="9" state="hidden" r:id="rId6"/>
    <sheet name="Chêne" sheetId="8" r:id="rId7"/>
    <sheet name="Peuplier" sheetId="10" state="hidden" r:id="rId8"/>
    <sheet name="Mélèze" sheetId="12" state="hidden" r:id="rId9"/>
    <sheet name="Cèdre" sheetId="13" state="hidden" r:id="rId10"/>
    <sheet name="Douglas" sheetId="14" state="hidden" r:id="rId11"/>
    <sheet name="Pin laricio" sheetId="15" state="hidden" r:id="rId12"/>
    <sheet name="Pin maritime" sheetId="16" state="hidden" r:id="rId13"/>
    <sheet name="Sapin" sheetId="29" state="hidden" r:id="rId14"/>
    <sheet name="Recapitulatif REE" sheetId="28" state="hidden" r:id="rId15"/>
    <sheet name="REE Chêne sessile" sheetId="20" state="hidden" r:id="rId16"/>
    <sheet name="table Chêne sessile" sheetId="21" state="hidden" r:id="rId17"/>
    <sheet name="REE Tilleul" sheetId="22" state="hidden" r:id="rId18"/>
    <sheet name="table Tilleul" sheetId="23" state="hidden" r:id="rId19"/>
    <sheet name="REE Chêne rouge" sheetId="24" state="hidden" r:id="rId20"/>
    <sheet name="table Chêne rouge" sheetId="25" state="hidden" r:id="rId21"/>
    <sheet name="REE peuliers Koster" sheetId="26" state="hidden" r:id="rId22"/>
    <sheet name="table peuplier Koster" sheetId="27" state="hidden" r:id="rId23"/>
  </sheets>
  <externalReferences>
    <externalReference r:id="rId24"/>
    <externalReference r:id="rId25"/>
    <externalReference r:id="rId26"/>
    <externalReference r:id="rId27"/>
  </externalReferences>
  <definedNames>
    <definedName name="_xlnm._FilterDatabase" localSheetId="1" hidden="1">Annexe_îlots_boisements!#REF!</definedName>
    <definedName name="_xlnm.Criteria" localSheetId="1">Annexe_îlots_boisements!$B$13</definedName>
    <definedName name="distance">'listes déroulantes'!$H$2:$H$4</definedName>
    <definedName name="essences">'listes déroulantes'!$C$2:$C$89</definedName>
    <definedName name="essences_projets">'listes déroulantes'!$D$2:$D$40</definedName>
    <definedName name="incendie">'listes déroulantes'!$G$2:$G$6</definedName>
    <definedName name="methode_LBC">'listes déroulantes'!$B$2:$B$6</definedName>
    <definedName name="oui_non">'listes déroulantes'!$A$2:$A$3</definedName>
    <definedName name="sol">'listes déroulantes'!$E$2:$E$4</definedName>
    <definedName name="surface">'listes déroulantes'!$F$2:$F$3</definedName>
    <definedName name="_xlnm.Print_Area" localSheetId="1">Annexe_îlots_boisements!$A$1:$R$80</definedName>
    <definedName name="_xlnm.Print_Area" localSheetId="0">Fiche_signalétique_projet!$B$3:$G$53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4" l="1"/>
  <c r="U8" i="4"/>
  <c r="U9" i="4"/>
  <c r="U10" i="4"/>
  <c r="U11" i="4"/>
  <c r="U12" i="4" s="1"/>
  <c r="U13" i="4"/>
  <c r="U14" i="4"/>
  <c r="U15" i="4"/>
  <c r="U16" i="4"/>
  <c r="U18" i="4"/>
  <c r="U19" i="4"/>
  <c r="U20" i="4"/>
  <c r="U21" i="4"/>
  <c r="U23" i="4"/>
  <c r="U24" i="4"/>
  <c r="U25" i="4"/>
  <c r="U26" i="4"/>
  <c r="U28" i="4"/>
  <c r="U29" i="4"/>
  <c r="U30" i="4"/>
  <c r="U31" i="4"/>
  <c r="U33" i="4"/>
  <c r="U34" i="4"/>
  <c r="U35" i="4"/>
  <c r="U36" i="4"/>
  <c r="U38" i="4"/>
  <c r="U39" i="4"/>
  <c r="U40" i="4"/>
  <c r="U41" i="4"/>
  <c r="U43" i="4"/>
  <c r="U44" i="4"/>
  <c r="U45" i="4"/>
  <c r="U46" i="4"/>
  <c r="U48" i="4"/>
  <c r="U49" i="4"/>
  <c r="U50" i="4"/>
  <c r="U51" i="4"/>
  <c r="U53" i="4"/>
  <c r="U54" i="4"/>
  <c r="U55" i="4"/>
  <c r="U56" i="4"/>
  <c r="U58" i="4"/>
  <c r="U59" i="4"/>
  <c r="U60" i="4"/>
  <c r="U61" i="4"/>
  <c r="U63" i="4"/>
  <c r="U64" i="4"/>
  <c r="U65" i="4"/>
  <c r="U66" i="4"/>
  <c r="U68" i="4"/>
  <c r="U69" i="4"/>
  <c r="U70" i="4"/>
  <c r="U71" i="4"/>
  <c r="U73" i="4"/>
  <c r="U74" i="4"/>
  <c r="U75" i="4"/>
  <c r="U76" i="4"/>
  <c r="U78" i="4"/>
  <c r="U79" i="4"/>
  <c r="U80" i="4"/>
  <c r="U81" i="4"/>
  <c r="U83" i="4"/>
  <c r="U84" i="4"/>
  <c r="U85" i="4"/>
  <c r="U86" i="4"/>
  <c r="U88" i="4"/>
  <c r="U89" i="4"/>
  <c r="U90" i="4"/>
  <c r="U91" i="4"/>
  <c r="U93" i="4"/>
  <c r="U94" i="4"/>
  <c r="U95" i="4"/>
  <c r="U96" i="4"/>
  <c r="I161" i="4" l="1"/>
  <c r="H161" i="4"/>
  <c r="T12" i="4"/>
  <c r="G22" i="1"/>
  <c r="N11" i="4"/>
  <c r="N10" i="4"/>
  <c r="N9" i="4"/>
  <c r="N8" i="4"/>
  <c r="T98" i="4" l="1"/>
  <c r="A93" i="4"/>
  <c r="A88" i="4"/>
  <c r="A83" i="4"/>
  <c r="A78" i="4"/>
  <c r="A73" i="4"/>
  <c r="A68" i="4"/>
  <c r="A63" i="4"/>
  <c r="A58" i="4"/>
  <c r="A53" i="4"/>
  <c r="A48" i="4"/>
  <c r="A38" i="4"/>
  <c r="A33" i="4"/>
  <c r="A28" i="4"/>
  <c r="A23" i="4"/>
  <c r="A18" i="4"/>
  <c r="A13" i="4"/>
  <c r="W9" i="4"/>
  <c r="Y9" i="4"/>
  <c r="W10" i="4"/>
  <c r="Y10" i="4"/>
  <c r="W11" i="4"/>
  <c r="Y11" i="4"/>
  <c r="Y96" i="4"/>
  <c r="Y95" i="4"/>
  <c r="Y94" i="4"/>
  <c r="Y93" i="4"/>
  <c r="Y91" i="4"/>
  <c r="Y90" i="4"/>
  <c r="Y89" i="4"/>
  <c r="Y88" i="4"/>
  <c r="Y86" i="4"/>
  <c r="Y85" i="4"/>
  <c r="Y84" i="4"/>
  <c r="Y83" i="4"/>
  <c r="Y81" i="4"/>
  <c r="Y80" i="4"/>
  <c r="Y79" i="4"/>
  <c r="Y78" i="4"/>
  <c r="Y76" i="4"/>
  <c r="Y75" i="4"/>
  <c r="Y74" i="4"/>
  <c r="Y73" i="4"/>
  <c r="Y71" i="4"/>
  <c r="Y70" i="4"/>
  <c r="Y69" i="4"/>
  <c r="Y68" i="4"/>
  <c r="Y66" i="4"/>
  <c r="Y65" i="4"/>
  <c r="Y64" i="4"/>
  <c r="Y63" i="4"/>
  <c r="Y61" i="4"/>
  <c r="Y60" i="4"/>
  <c r="Y59" i="4"/>
  <c r="Y58" i="4"/>
  <c r="Y56" i="4"/>
  <c r="Y55" i="4"/>
  <c r="Y54" i="4"/>
  <c r="Y53" i="4"/>
  <c r="Y51" i="4"/>
  <c r="Y50" i="4"/>
  <c r="Y49" i="4"/>
  <c r="Y48" i="4"/>
  <c r="Y46" i="4"/>
  <c r="Y45" i="4"/>
  <c r="Y44" i="4"/>
  <c r="Y43" i="4"/>
  <c r="Y41" i="4"/>
  <c r="Y40" i="4"/>
  <c r="Y39" i="4"/>
  <c r="Y38" i="4"/>
  <c r="Y36" i="4"/>
  <c r="Y35" i="4"/>
  <c r="Y34" i="4"/>
  <c r="Y33" i="4"/>
  <c r="Y31" i="4"/>
  <c r="Y30" i="4"/>
  <c r="Y29" i="4"/>
  <c r="Y28" i="4"/>
  <c r="Y26" i="4"/>
  <c r="Y25" i="4"/>
  <c r="Y24" i="4"/>
  <c r="Y23" i="4"/>
  <c r="Y21" i="4"/>
  <c r="Y20" i="4"/>
  <c r="Y19" i="4"/>
  <c r="Y18" i="4"/>
  <c r="Y16" i="4"/>
  <c r="Y15" i="4"/>
  <c r="Y14" i="4"/>
  <c r="Y13" i="4"/>
  <c r="W96" i="4"/>
  <c r="W95" i="4"/>
  <c r="W94" i="4"/>
  <c r="W93" i="4"/>
  <c r="W91" i="4"/>
  <c r="W90" i="4"/>
  <c r="W89" i="4"/>
  <c r="W88" i="4"/>
  <c r="W86" i="4"/>
  <c r="W85" i="4"/>
  <c r="W84" i="4"/>
  <c r="W83" i="4"/>
  <c r="W81" i="4"/>
  <c r="W80" i="4"/>
  <c r="W79" i="4"/>
  <c r="W78" i="4"/>
  <c r="W76" i="4"/>
  <c r="W75" i="4"/>
  <c r="W74" i="4"/>
  <c r="W73" i="4"/>
  <c r="W71" i="4"/>
  <c r="W70" i="4"/>
  <c r="W69" i="4"/>
  <c r="W68" i="4"/>
  <c r="W66" i="4"/>
  <c r="W65" i="4"/>
  <c r="W64" i="4"/>
  <c r="W63" i="4"/>
  <c r="W61" i="4"/>
  <c r="W60" i="4"/>
  <c r="W59" i="4"/>
  <c r="W58" i="4"/>
  <c r="W56" i="4"/>
  <c r="W55" i="4"/>
  <c r="W54" i="4"/>
  <c r="W53" i="4"/>
  <c r="W51" i="4"/>
  <c r="W50" i="4"/>
  <c r="W49" i="4"/>
  <c r="W48" i="4"/>
  <c r="W46" i="4"/>
  <c r="W45" i="4"/>
  <c r="W44" i="4"/>
  <c r="W43" i="4"/>
  <c r="W41" i="4"/>
  <c r="W40" i="4"/>
  <c r="W39" i="4"/>
  <c r="W38" i="4"/>
  <c r="W36" i="4"/>
  <c r="W35" i="4"/>
  <c r="W34" i="4"/>
  <c r="W33" i="4"/>
  <c r="W31" i="4"/>
  <c r="W30" i="4"/>
  <c r="W29" i="4"/>
  <c r="W28" i="4"/>
  <c r="W26" i="4"/>
  <c r="W25" i="4"/>
  <c r="W24" i="4"/>
  <c r="W23" i="4"/>
  <c r="W21" i="4"/>
  <c r="W20" i="4"/>
  <c r="W19" i="4"/>
  <c r="W18" i="4"/>
  <c r="W16" i="4"/>
  <c r="W15" i="4"/>
  <c r="W14" i="4"/>
  <c r="W13" i="4"/>
  <c r="S8" i="4"/>
  <c r="S12" i="4" s="1"/>
  <c r="S98" i="4" s="1"/>
  <c r="S9" i="4"/>
  <c r="S10" i="4"/>
  <c r="S11" i="4"/>
  <c r="S13" i="4"/>
  <c r="S14" i="4"/>
  <c r="S15" i="4"/>
  <c r="S16" i="4"/>
  <c r="S18" i="4"/>
  <c r="S19" i="4"/>
  <c r="S20" i="4"/>
  <c r="S21" i="4"/>
  <c r="S23" i="4"/>
  <c r="S24" i="4"/>
  <c r="S25" i="4"/>
  <c r="S26" i="4"/>
  <c r="S28" i="4"/>
  <c r="S29" i="4"/>
  <c r="S30" i="4"/>
  <c r="S31" i="4"/>
  <c r="S33" i="4"/>
  <c r="S34" i="4"/>
  <c r="S35" i="4"/>
  <c r="S36" i="4"/>
  <c r="S38" i="4"/>
  <c r="S39" i="4"/>
  <c r="S40" i="4"/>
  <c r="S41" i="4"/>
  <c r="S43" i="4"/>
  <c r="S44" i="4"/>
  <c r="S45" i="4"/>
  <c r="S46" i="4"/>
  <c r="S48" i="4"/>
  <c r="S49" i="4"/>
  <c r="S50" i="4"/>
  <c r="S51" i="4"/>
  <c r="S53" i="4"/>
  <c r="S54" i="4"/>
  <c r="S55" i="4"/>
  <c r="S56" i="4"/>
  <c r="S58" i="4"/>
  <c r="S59" i="4"/>
  <c r="S60" i="4"/>
  <c r="S61" i="4"/>
  <c r="S63" i="4"/>
  <c r="S64" i="4"/>
  <c r="S65" i="4"/>
  <c r="S66" i="4"/>
  <c r="S68" i="4"/>
  <c r="S69" i="4"/>
  <c r="S70" i="4"/>
  <c r="S71" i="4"/>
  <c r="S73" i="4"/>
  <c r="S74" i="4"/>
  <c r="S75" i="4"/>
  <c r="S76" i="4"/>
  <c r="S78" i="4"/>
  <c r="S79" i="4"/>
  <c r="S80" i="4"/>
  <c r="S81" i="4"/>
  <c r="S83" i="4"/>
  <c r="S84" i="4"/>
  <c r="S85" i="4"/>
  <c r="S86" i="4"/>
  <c r="S88" i="4"/>
  <c r="S89" i="4"/>
  <c r="S90" i="4"/>
  <c r="S91" i="4"/>
  <c r="S93" i="4"/>
  <c r="S94" i="4"/>
  <c r="S95" i="4"/>
  <c r="S96" i="4"/>
  <c r="D29" i="1" l="1"/>
  <c r="D32" i="1"/>
  <c r="D25" i="1"/>
  <c r="D24" i="1"/>
  <c r="B15" i="14"/>
  <c r="B15" i="9"/>
  <c r="D28" i="7" l="1"/>
  <c r="D31" i="7"/>
  <c r="D33" i="7"/>
  <c r="D34" i="7"/>
  <c r="D36" i="7"/>
  <c r="D39" i="7"/>
  <c r="D40" i="7"/>
  <c r="D41" i="7"/>
  <c r="D44" i="7"/>
  <c r="D47" i="7"/>
  <c r="D48" i="7"/>
  <c r="D49" i="7"/>
  <c r="D50" i="7"/>
  <c r="D55" i="7"/>
  <c r="D56" i="7"/>
  <c r="D57" i="7"/>
  <c r="D59" i="7"/>
  <c r="D60" i="7"/>
  <c r="D63" i="7"/>
  <c r="D64" i="7"/>
  <c r="D65" i="7"/>
  <c r="D66" i="7"/>
  <c r="D68" i="7"/>
  <c r="D70" i="7"/>
  <c r="D73" i="7"/>
  <c r="D74" i="7"/>
  <c r="D75" i="7"/>
  <c r="D76" i="7"/>
  <c r="D78" i="7"/>
  <c r="D79" i="7"/>
  <c r="D80" i="7"/>
  <c r="D81" i="7"/>
  <c r="D82" i="7"/>
  <c r="D83" i="7"/>
  <c r="D85" i="7"/>
  <c r="D86" i="7"/>
  <c r="D88" i="7"/>
  <c r="D89" i="7"/>
  <c r="D90" i="7"/>
  <c r="D91" i="7"/>
  <c r="D92" i="7"/>
  <c r="D93" i="7"/>
  <c r="D94" i="7"/>
  <c r="D95" i="7"/>
  <c r="D96" i="7"/>
  <c r="D98" i="7"/>
  <c r="D99" i="7"/>
  <c r="D100" i="7"/>
  <c r="D101" i="7"/>
  <c r="D102" i="7"/>
  <c r="D103" i="7"/>
  <c r="D104" i="7"/>
  <c r="D105" i="7"/>
  <c r="D106" i="7"/>
  <c r="D107" i="7"/>
  <c r="D108" i="7"/>
  <c r="D109" i="7"/>
  <c r="D111" i="7"/>
  <c r="D112" i="7"/>
  <c r="D113" i="7"/>
  <c r="D114" i="7"/>
  <c r="D115" i="7"/>
  <c r="D116" i="7"/>
  <c r="D117" i="7"/>
  <c r="D118" i="7"/>
  <c r="D119" i="7"/>
  <c r="D120" i="7"/>
  <c r="D121" i="7"/>
  <c r="D122" i="7"/>
  <c r="D123" i="7"/>
  <c r="D124" i="7"/>
  <c r="D125" i="7"/>
  <c r="D126" i="7"/>
  <c r="K22" i="29"/>
  <c r="K14" i="29"/>
  <c r="K16" i="29"/>
  <c r="K17" i="29"/>
  <c r="K18" i="29"/>
  <c r="K19" i="29"/>
  <c r="K20" i="29"/>
  <c r="K21" i="29"/>
  <c r="K23" i="29"/>
  <c r="K24" i="29"/>
  <c r="K25" i="29"/>
  <c r="K26" i="29"/>
  <c r="K27" i="29"/>
  <c r="K28" i="29"/>
  <c r="K29" i="29"/>
  <c r="K30" i="29"/>
  <c r="K31" i="29"/>
  <c r="K32" i="29"/>
  <c r="K33" i="29"/>
  <c r="K34" i="29"/>
  <c r="K35" i="29"/>
  <c r="K37" i="29"/>
  <c r="K38" i="29"/>
  <c r="K39" i="29"/>
  <c r="K40" i="29"/>
  <c r="K41" i="29"/>
  <c r="K42" i="29"/>
  <c r="K43" i="29"/>
  <c r="K45" i="29"/>
  <c r="K46" i="29"/>
  <c r="K47" i="29"/>
  <c r="K48" i="29"/>
  <c r="K49" i="29"/>
  <c r="K50" i="29"/>
  <c r="K51" i="29"/>
  <c r="K53" i="29"/>
  <c r="K54" i="29"/>
  <c r="K55" i="29"/>
  <c r="K56" i="29"/>
  <c r="K57" i="29"/>
  <c r="K58" i="29"/>
  <c r="K59" i="29"/>
  <c r="K61" i="29"/>
  <c r="K62" i="29"/>
  <c r="K63" i="29"/>
  <c r="K64" i="29"/>
  <c r="K65" i="29"/>
  <c r="K66" i="29"/>
  <c r="K67" i="29"/>
  <c r="K68" i="29"/>
  <c r="K69" i="29"/>
  <c r="K70" i="29"/>
  <c r="K71" i="29"/>
  <c r="K72" i="29"/>
  <c r="K73" i="29"/>
  <c r="K74" i="29"/>
  <c r="K75" i="29"/>
  <c r="H51" i="29"/>
  <c r="H76" i="29"/>
  <c r="H52" i="29"/>
  <c r="H50" i="29"/>
  <c r="H44" i="29"/>
  <c r="H32" i="29"/>
  <c r="H24" i="29"/>
  <c r="B15" i="29"/>
  <c r="B8" i="29"/>
  <c r="A43" i="4" l="1"/>
  <c r="F82" i="4"/>
  <c r="I82" i="4"/>
  <c r="J82" i="4"/>
  <c r="K78" i="4" s="1"/>
  <c r="F87" i="4"/>
  <c r="I87" i="4"/>
  <c r="J87" i="4"/>
  <c r="K84" i="4" s="1"/>
  <c r="F92" i="4"/>
  <c r="I92" i="4"/>
  <c r="J92" i="4"/>
  <c r="K90" i="4" s="1"/>
  <c r="F97" i="4"/>
  <c r="I97" i="4"/>
  <c r="J97" i="4"/>
  <c r="K94" i="4" s="1"/>
  <c r="F72" i="4"/>
  <c r="I72" i="4"/>
  <c r="J72" i="4"/>
  <c r="K71" i="4" s="1"/>
  <c r="F77" i="4"/>
  <c r="I77" i="4"/>
  <c r="J77" i="4"/>
  <c r="K75" i="4" s="1"/>
  <c r="F52" i="4"/>
  <c r="I52" i="4"/>
  <c r="J52" i="4"/>
  <c r="K48" i="4" s="1"/>
  <c r="F57" i="4"/>
  <c r="I57" i="4"/>
  <c r="J57" i="4"/>
  <c r="K54" i="4" s="1"/>
  <c r="F62" i="4"/>
  <c r="I62" i="4"/>
  <c r="J62" i="4"/>
  <c r="K58" i="4" s="1"/>
  <c r="F67" i="4"/>
  <c r="I67" i="4"/>
  <c r="J67" i="4"/>
  <c r="K64" i="4" s="1"/>
  <c r="K74" i="4" l="1"/>
  <c r="K66" i="4"/>
  <c r="K80" i="4"/>
  <c r="K96" i="4"/>
  <c r="K86" i="4"/>
  <c r="K93" i="4"/>
  <c r="K83" i="4"/>
  <c r="K89" i="4"/>
  <c r="K79" i="4"/>
  <c r="K95" i="4"/>
  <c r="K85" i="4"/>
  <c r="K91" i="4"/>
  <c r="K81" i="4"/>
  <c r="K88" i="4"/>
  <c r="K73" i="4"/>
  <c r="K76" i="4"/>
  <c r="K68" i="4"/>
  <c r="K56" i="4"/>
  <c r="K70" i="4"/>
  <c r="K69" i="4"/>
  <c r="K50" i="4"/>
  <c r="K63" i="4"/>
  <c r="K53" i="4"/>
  <c r="K60" i="4"/>
  <c r="K59" i="4"/>
  <c r="K49" i="4"/>
  <c r="K65" i="4"/>
  <c r="K55" i="4"/>
  <c r="K61" i="4"/>
  <c r="K51" i="4"/>
  <c r="C4" i="28"/>
  <c r="D4" i="28"/>
  <c r="E4" i="28"/>
  <c r="F4" i="28"/>
  <c r="G4" i="28"/>
  <c r="H4" i="28"/>
  <c r="I4" i="28"/>
  <c r="J4" i="28"/>
  <c r="L4" i="28"/>
  <c r="M4" i="28"/>
  <c r="N4" i="28"/>
  <c r="O4" i="28"/>
  <c r="P4" i="28"/>
  <c r="Q4" i="28"/>
  <c r="R4" i="28"/>
  <c r="K77" i="4" l="1"/>
  <c r="K82" i="4"/>
  <c r="K87" i="4"/>
  <c r="K92" i="4"/>
  <c r="K97" i="4"/>
  <c r="K72" i="4"/>
  <c r="K57" i="4"/>
  <c r="K67" i="4"/>
  <c r="K52" i="4"/>
  <c r="K62" i="4"/>
  <c r="R2" i="28"/>
  <c r="C2" i="28"/>
  <c r="D2" i="28"/>
  <c r="E2" i="28"/>
  <c r="F2" i="28"/>
  <c r="G2" i="28"/>
  <c r="H2" i="28"/>
  <c r="I2" i="28"/>
  <c r="J2" i="28"/>
  <c r="K2" i="28"/>
  <c r="L2" i="28"/>
  <c r="M2" i="28"/>
  <c r="N2" i="28"/>
  <c r="O2" i="28"/>
  <c r="P2" i="28"/>
  <c r="Q2" i="28"/>
  <c r="C10" i="28"/>
  <c r="D10" i="28"/>
  <c r="E10" i="28"/>
  <c r="F10" i="28"/>
  <c r="G10" i="28"/>
  <c r="H10" i="28"/>
  <c r="I10" i="28"/>
  <c r="J10" i="28"/>
  <c r="K10" i="28"/>
  <c r="L10" i="28"/>
  <c r="M10" i="28"/>
  <c r="N10" i="28"/>
  <c r="O10" i="28"/>
  <c r="P10" i="28"/>
  <c r="Q10" i="28"/>
  <c r="R10" i="28"/>
  <c r="C3" i="28"/>
  <c r="D3" i="28"/>
  <c r="E3" i="28"/>
  <c r="F3" i="28"/>
  <c r="G3" i="28"/>
  <c r="H3" i="28"/>
  <c r="I3" i="28"/>
  <c r="J3" i="28"/>
  <c r="K3" i="28"/>
  <c r="L3" i="28"/>
  <c r="U98" i="4" s="1"/>
  <c r="C69" i="1" s="1"/>
  <c r="M3" i="28"/>
  <c r="N3" i="28"/>
  <c r="O3" i="28"/>
  <c r="Y8" i="4" s="1"/>
  <c r="Y12" i="4" s="1"/>
  <c r="Y98" i="4" s="1"/>
  <c r="C71" i="1" s="1"/>
  <c r="P3" i="28"/>
  <c r="W8" i="4" s="1"/>
  <c r="W12" i="4" s="1"/>
  <c r="W98" i="4" s="1"/>
  <c r="C70" i="1" s="1"/>
  <c r="Q3" i="28"/>
  <c r="R3" i="28"/>
  <c r="B15" i="10" l="1"/>
  <c r="B15" i="12"/>
  <c r="B15" i="16"/>
  <c r="B38" i="1"/>
  <c r="I28" i="26" l="1"/>
  <c r="K28" i="26" s="1"/>
  <c r="Q27" i="26"/>
  <c r="O27" i="26"/>
  <c r="N27" i="26"/>
  <c r="J27" i="26"/>
  <c r="I27" i="26"/>
  <c r="I26" i="26"/>
  <c r="J25" i="26"/>
  <c r="I25" i="26"/>
  <c r="K25" i="26" s="1"/>
  <c r="I24" i="26"/>
  <c r="I23" i="26"/>
  <c r="I22" i="26"/>
  <c r="J22" i="26" s="1"/>
  <c r="I21" i="26"/>
  <c r="J21" i="26" s="1"/>
  <c r="K21" i="26" s="1"/>
  <c r="K20" i="26"/>
  <c r="J20" i="26"/>
  <c r="I20" i="26"/>
  <c r="J19" i="26"/>
  <c r="I19" i="26"/>
  <c r="I18" i="26"/>
  <c r="J17" i="26"/>
  <c r="I17" i="26"/>
  <c r="K17" i="26" s="1"/>
  <c r="G17" i="26"/>
  <c r="G18" i="26" s="1"/>
  <c r="G19" i="26" s="1"/>
  <c r="G20" i="26" s="1"/>
  <c r="G21" i="26" s="1"/>
  <c r="G22" i="26" s="1"/>
  <c r="G23" i="26" s="1"/>
  <c r="G24" i="26" s="1"/>
  <c r="G25" i="26" s="1"/>
  <c r="G26" i="26" s="1"/>
  <c r="G27" i="26" s="1"/>
  <c r="I16" i="26"/>
  <c r="I15" i="26"/>
  <c r="I14" i="26"/>
  <c r="I13" i="26"/>
  <c r="I12" i="26"/>
  <c r="M11" i="26"/>
  <c r="M12" i="26" s="1"/>
  <c r="M13" i="26" s="1"/>
  <c r="M14" i="26" s="1"/>
  <c r="M15" i="26" s="1"/>
  <c r="M16" i="26" s="1"/>
  <c r="M17" i="26" s="1"/>
  <c r="M18" i="26" s="1"/>
  <c r="M19" i="26" s="1"/>
  <c r="M20" i="26" s="1"/>
  <c r="M21" i="26" s="1"/>
  <c r="M22" i="26" s="1"/>
  <c r="M23" i="26" s="1"/>
  <c r="M24" i="26" s="1"/>
  <c r="M25" i="26" s="1"/>
  <c r="M26" i="26" s="1"/>
  <c r="M27" i="26" s="1"/>
  <c r="M28" i="26" s="1"/>
  <c r="M29" i="26" s="1"/>
  <c r="M30" i="26" s="1"/>
  <c r="M31" i="26" s="1"/>
  <c r="M32" i="26" s="1"/>
  <c r="I11" i="26"/>
  <c r="J11" i="26" s="1"/>
  <c r="Y10" i="26"/>
  <c r="Y12" i="26" s="1"/>
  <c r="J10" i="26"/>
  <c r="I10" i="26"/>
  <c r="K10" i="26" s="1"/>
  <c r="J9" i="26"/>
  <c r="I9" i="26"/>
  <c r="K9" i="26" s="1"/>
  <c r="I8" i="26"/>
  <c r="J8" i="26" s="1"/>
  <c r="K8" i="26" s="1"/>
  <c r="K7" i="26"/>
  <c r="J7" i="26"/>
  <c r="I7" i="26"/>
  <c r="J6" i="26"/>
  <c r="I6" i="26"/>
  <c r="J5" i="26"/>
  <c r="I5" i="26"/>
  <c r="K5" i="26" s="1"/>
  <c r="J4" i="26"/>
  <c r="I4" i="26"/>
  <c r="U3" i="26"/>
  <c r="T3" i="26"/>
  <c r="T4" i="26" s="1"/>
  <c r="T5" i="26" s="1"/>
  <c r="T6" i="26" s="1"/>
  <c r="T7" i="26" s="1"/>
  <c r="T8" i="26" s="1"/>
  <c r="T9" i="26" s="1"/>
  <c r="T10" i="26" s="1"/>
  <c r="T11" i="26" s="1"/>
  <c r="T12" i="26" s="1"/>
  <c r="T13" i="26" s="1"/>
  <c r="T14" i="26" s="1"/>
  <c r="T15" i="26" s="1"/>
  <c r="T16" i="26" s="1"/>
  <c r="T17" i="26" s="1"/>
  <c r="T18" i="26" s="1"/>
  <c r="T19" i="26" s="1"/>
  <c r="T20" i="26" s="1"/>
  <c r="T21" i="26" s="1"/>
  <c r="T22" i="26" s="1"/>
  <c r="T23" i="26" s="1"/>
  <c r="T24" i="26" s="1"/>
  <c r="T25" i="26" s="1"/>
  <c r="T26" i="26" s="1"/>
  <c r="T27" i="26" s="1"/>
  <c r="T28" i="26" s="1"/>
  <c r="T29" i="26" s="1"/>
  <c r="T30" i="26" s="1"/>
  <c r="T31" i="26" s="1"/>
  <c r="T32" i="26" s="1"/>
  <c r="S3" i="26"/>
  <c r="S4" i="26" s="1"/>
  <c r="S5" i="26" s="1"/>
  <c r="S6" i="26" s="1"/>
  <c r="S7" i="26" s="1"/>
  <c r="S8" i="26" s="1"/>
  <c r="S9" i="26" s="1"/>
  <c r="S10" i="26" s="1"/>
  <c r="S11" i="26" s="1"/>
  <c r="S12" i="26" s="1"/>
  <c r="S13" i="26" s="1"/>
  <c r="S14" i="26" s="1"/>
  <c r="S15" i="26" s="1"/>
  <c r="S16" i="26" s="1"/>
  <c r="S17" i="26" s="1"/>
  <c r="S18" i="26" s="1"/>
  <c r="S19" i="26" s="1"/>
  <c r="S20" i="26" s="1"/>
  <c r="S21" i="26" s="1"/>
  <c r="S22" i="26" s="1"/>
  <c r="S23" i="26" s="1"/>
  <c r="S24" i="26" s="1"/>
  <c r="S25" i="26" s="1"/>
  <c r="S26" i="26" s="1"/>
  <c r="S27" i="26" s="1"/>
  <c r="S28" i="26" s="1"/>
  <c r="S29" i="26" s="1"/>
  <c r="S30" i="26" s="1"/>
  <c r="S31" i="26" s="1"/>
  <c r="S32" i="26" s="1"/>
  <c r="R3" i="26"/>
  <c r="R4" i="26" s="1"/>
  <c r="M3" i="26"/>
  <c r="M4" i="26" s="1"/>
  <c r="M5" i="26" s="1"/>
  <c r="M6" i="26" s="1"/>
  <c r="M7" i="26" s="1"/>
  <c r="M8" i="26" s="1"/>
  <c r="M9" i="26" s="1"/>
  <c r="M10" i="26" s="1"/>
  <c r="J3" i="26"/>
  <c r="I3" i="26"/>
  <c r="G3" i="26"/>
  <c r="G4" i="26" s="1"/>
  <c r="G5" i="26" s="1"/>
  <c r="G6" i="26" s="1"/>
  <c r="G7" i="26" s="1"/>
  <c r="G8" i="26" s="1"/>
  <c r="G9" i="26" s="1"/>
  <c r="G10" i="26" s="1"/>
  <c r="G11" i="26" s="1"/>
  <c r="G12" i="26" s="1"/>
  <c r="G13" i="26" s="1"/>
  <c r="G14" i="26" s="1"/>
  <c r="G15" i="26" s="1"/>
  <c r="G16" i="26" s="1"/>
  <c r="C3" i="26"/>
  <c r="B3" i="26"/>
  <c r="B4" i="26" s="1"/>
  <c r="U2" i="26"/>
  <c r="I2" i="26"/>
  <c r="C2" i="26"/>
  <c r="E2" i="26" s="1"/>
  <c r="J78" i="24"/>
  <c r="H78" i="24"/>
  <c r="G77" i="24"/>
  <c r="H77" i="24" s="1"/>
  <c r="H72" i="24"/>
  <c r="I72" i="24" s="1"/>
  <c r="J72" i="24" s="1"/>
  <c r="F68" i="24"/>
  <c r="F69" i="24" s="1"/>
  <c r="I67" i="24"/>
  <c r="H67" i="24"/>
  <c r="J67" i="24" s="1"/>
  <c r="I66" i="24"/>
  <c r="H66" i="24"/>
  <c r="J66" i="24" s="1"/>
  <c r="G66" i="24"/>
  <c r="H61" i="24"/>
  <c r="F57" i="24"/>
  <c r="F58" i="24" s="1"/>
  <c r="I56" i="24"/>
  <c r="H56" i="24"/>
  <c r="J56" i="24" s="1"/>
  <c r="G55" i="24"/>
  <c r="H55" i="24" s="1"/>
  <c r="I50" i="24"/>
  <c r="H50" i="24"/>
  <c r="F46" i="24"/>
  <c r="F47" i="24" s="1"/>
  <c r="F48" i="24" s="1"/>
  <c r="H45" i="24"/>
  <c r="I45" i="24" s="1"/>
  <c r="J45" i="24" s="1"/>
  <c r="G44" i="24"/>
  <c r="H44" i="24" s="1"/>
  <c r="H39" i="24"/>
  <c r="F36" i="24"/>
  <c r="F35" i="24"/>
  <c r="J34" i="24"/>
  <c r="I34" i="24"/>
  <c r="H34" i="24"/>
  <c r="I33" i="24"/>
  <c r="H33" i="24"/>
  <c r="G33" i="24"/>
  <c r="L32" i="24"/>
  <c r="H28" i="24"/>
  <c r="F24" i="24"/>
  <c r="J23" i="24"/>
  <c r="I23" i="24"/>
  <c r="H23" i="24"/>
  <c r="G22" i="24"/>
  <c r="H17" i="24"/>
  <c r="K9" i="24"/>
  <c r="K10" i="24" s="1"/>
  <c r="K11" i="24" s="1"/>
  <c r="K12" i="24" s="1"/>
  <c r="K13" i="24" s="1"/>
  <c r="K14" i="24" s="1"/>
  <c r="K15" i="24" s="1"/>
  <c r="K16" i="24" s="1"/>
  <c r="K17" i="24" s="1"/>
  <c r="K18" i="24" s="1"/>
  <c r="K19" i="24" s="1"/>
  <c r="K20" i="24" s="1"/>
  <c r="K21" i="24" s="1"/>
  <c r="K22" i="24" s="1"/>
  <c r="K23" i="24" s="1"/>
  <c r="K24" i="24" s="1"/>
  <c r="K25" i="24" s="1"/>
  <c r="K26" i="24" s="1"/>
  <c r="K27" i="24" s="1"/>
  <c r="K28" i="24" s="1"/>
  <c r="K29" i="24" s="1"/>
  <c r="K30" i="24" s="1"/>
  <c r="K31" i="24" s="1"/>
  <c r="K32" i="24" s="1"/>
  <c r="K33" i="24" s="1"/>
  <c r="K34" i="24" s="1"/>
  <c r="K35" i="24" s="1"/>
  <c r="K36" i="24" s="1"/>
  <c r="K37" i="24" s="1"/>
  <c r="K38" i="24" s="1"/>
  <c r="K39" i="24" s="1"/>
  <c r="K40" i="24" s="1"/>
  <c r="K41" i="24" s="1"/>
  <c r="K42" i="24" s="1"/>
  <c r="K43" i="24" s="1"/>
  <c r="K44" i="24" s="1"/>
  <c r="K45" i="24" s="1"/>
  <c r="K46" i="24" s="1"/>
  <c r="K47" i="24" s="1"/>
  <c r="K48" i="24" s="1"/>
  <c r="K49" i="24" s="1"/>
  <c r="K50" i="24" s="1"/>
  <c r="K51" i="24" s="1"/>
  <c r="K52" i="24" s="1"/>
  <c r="K53" i="24" s="1"/>
  <c r="K54" i="24" s="1"/>
  <c r="K55" i="24" s="1"/>
  <c r="K56" i="24" s="1"/>
  <c r="K57" i="24" s="1"/>
  <c r="K58" i="24" s="1"/>
  <c r="K59" i="24" s="1"/>
  <c r="K60" i="24" s="1"/>
  <c r="K61" i="24" s="1"/>
  <c r="K62" i="24" s="1"/>
  <c r="K63" i="24" s="1"/>
  <c r="K64" i="24" s="1"/>
  <c r="K65" i="24" s="1"/>
  <c r="K66" i="24" s="1"/>
  <c r="K67" i="24" s="1"/>
  <c r="K68" i="24" s="1"/>
  <c r="K69" i="24" s="1"/>
  <c r="K70" i="24" s="1"/>
  <c r="K71" i="24" s="1"/>
  <c r="K72" i="24" s="1"/>
  <c r="K73" i="24" s="1"/>
  <c r="K74" i="24" s="1"/>
  <c r="K75" i="24" s="1"/>
  <c r="K76" i="24" s="1"/>
  <c r="K77" i="24" s="1"/>
  <c r="K78" i="24" s="1"/>
  <c r="H6" i="24"/>
  <c r="R5" i="24"/>
  <c r="R6" i="24" s="1"/>
  <c r="R7" i="24" s="1"/>
  <c r="R8" i="24" s="1"/>
  <c r="R9" i="24" s="1"/>
  <c r="R10" i="24" s="1"/>
  <c r="R11" i="24" s="1"/>
  <c r="R12" i="24" s="1"/>
  <c r="R13" i="24" s="1"/>
  <c r="R14" i="24" s="1"/>
  <c r="R15" i="24" s="1"/>
  <c r="R16" i="24" s="1"/>
  <c r="R17" i="24" s="1"/>
  <c r="R18" i="24" s="1"/>
  <c r="R19" i="24" s="1"/>
  <c r="R20" i="24" s="1"/>
  <c r="R21" i="24" s="1"/>
  <c r="F5" i="24"/>
  <c r="F6" i="24" s="1"/>
  <c r="F7" i="24" s="1"/>
  <c r="F8" i="24" s="1"/>
  <c r="F9" i="24" s="1"/>
  <c r="F10" i="24" s="1"/>
  <c r="F11" i="24" s="1"/>
  <c r="F12" i="24" s="1"/>
  <c r="F13" i="24" s="1"/>
  <c r="F14" i="24" s="1"/>
  <c r="F15" i="24" s="1"/>
  <c r="F16" i="24" s="1"/>
  <c r="F17" i="24" s="1"/>
  <c r="F18" i="24" s="1"/>
  <c r="B5" i="24"/>
  <c r="Q4" i="24"/>
  <c r="Q5" i="24" s="1"/>
  <c r="Q6" i="24" s="1"/>
  <c r="Q7" i="24" s="1"/>
  <c r="Q8" i="24" s="1"/>
  <c r="Q9" i="24" s="1"/>
  <c r="Q10" i="24" s="1"/>
  <c r="Q11" i="24" s="1"/>
  <c r="Q12" i="24" s="1"/>
  <c r="Q13" i="24" s="1"/>
  <c r="Q14" i="24" s="1"/>
  <c r="Q15" i="24" s="1"/>
  <c r="Q16" i="24" s="1"/>
  <c r="Q17" i="24" s="1"/>
  <c r="Q18" i="24" s="1"/>
  <c r="Q19" i="24" s="1"/>
  <c r="Q20" i="24" s="1"/>
  <c r="Q21" i="24" s="1"/>
  <c r="G4" i="24"/>
  <c r="G5" i="24" s="1"/>
  <c r="E4" i="24"/>
  <c r="D4" i="24"/>
  <c r="B4" i="24"/>
  <c r="C4" i="24" s="1"/>
  <c r="R3" i="24"/>
  <c r="R4" i="24" s="1"/>
  <c r="Q3" i="24"/>
  <c r="P3" i="24"/>
  <c r="S3" i="24" s="1"/>
  <c r="K3" i="24"/>
  <c r="K4" i="24" s="1"/>
  <c r="K5" i="24" s="1"/>
  <c r="K6" i="24" s="1"/>
  <c r="K7" i="24" s="1"/>
  <c r="K8" i="24" s="1"/>
  <c r="H3" i="24"/>
  <c r="G3" i="24"/>
  <c r="F3" i="24"/>
  <c r="F4" i="24" s="1"/>
  <c r="C3" i="24"/>
  <c r="B3" i="24"/>
  <c r="S2" i="24"/>
  <c r="H2" i="24"/>
  <c r="E2" i="24"/>
  <c r="C2" i="24"/>
  <c r="J121" i="22"/>
  <c r="H121" i="22"/>
  <c r="H120" i="22"/>
  <c r="G120" i="22"/>
  <c r="H115" i="22"/>
  <c r="G115" i="22"/>
  <c r="I110" i="22"/>
  <c r="J110" i="22" s="1"/>
  <c r="H110" i="22"/>
  <c r="F108" i="22"/>
  <c r="F107" i="22"/>
  <c r="F106" i="22"/>
  <c r="H105" i="22"/>
  <c r="H104" i="22"/>
  <c r="G104" i="22"/>
  <c r="I99" i="22"/>
  <c r="J99" i="22" s="1"/>
  <c r="H99" i="22"/>
  <c r="F97" i="22"/>
  <c r="F96" i="22"/>
  <c r="F95" i="22"/>
  <c r="H94" i="22"/>
  <c r="H93" i="22"/>
  <c r="G93" i="22"/>
  <c r="I88" i="22"/>
  <c r="J88" i="22" s="1"/>
  <c r="H88" i="22"/>
  <c r="F85" i="22"/>
  <c r="F86" i="22" s="1"/>
  <c r="F84" i="22"/>
  <c r="I83" i="22"/>
  <c r="H83" i="22"/>
  <c r="H82" i="22"/>
  <c r="G82" i="22"/>
  <c r="I77" i="22"/>
  <c r="J77" i="22" s="1"/>
  <c r="H77" i="22"/>
  <c r="F74" i="22"/>
  <c r="F75" i="22" s="1"/>
  <c r="F73" i="22"/>
  <c r="I72" i="22"/>
  <c r="H72" i="22"/>
  <c r="J71" i="22"/>
  <c r="H71" i="22"/>
  <c r="I71" i="22" s="1"/>
  <c r="G71" i="22"/>
  <c r="I66" i="22"/>
  <c r="J66" i="22" s="1"/>
  <c r="H66" i="22"/>
  <c r="F64" i="22"/>
  <c r="F63" i="22"/>
  <c r="F62" i="22"/>
  <c r="I61" i="22"/>
  <c r="H61" i="22"/>
  <c r="J61" i="22" s="1"/>
  <c r="J60" i="22"/>
  <c r="H60" i="22"/>
  <c r="I60" i="22" s="1"/>
  <c r="G60" i="22"/>
  <c r="I55" i="22"/>
  <c r="J55" i="22" s="1"/>
  <c r="H55" i="22"/>
  <c r="F53" i="22"/>
  <c r="F52" i="22"/>
  <c r="F51" i="22"/>
  <c r="I50" i="22"/>
  <c r="H50" i="22"/>
  <c r="J50" i="22" s="1"/>
  <c r="H49" i="22"/>
  <c r="G49" i="22"/>
  <c r="I44" i="22"/>
  <c r="H44" i="22"/>
  <c r="J44" i="22" s="1"/>
  <c r="F42" i="22"/>
  <c r="F41" i="22"/>
  <c r="F40" i="22"/>
  <c r="I39" i="22"/>
  <c r="H39" i="22"/>
  <c r="J39" i="22" s="1"/>
  <c r="H38" i="22"/>
  <c r="I38" i="22" s="1"/>
  <c r="G38" i="22"/>
  <c r="H33" i="22"/>
  <c r="F30" i="22"/>
  <c r="F29" i="22"/>
  <c r="J28" i="22"/>
  <c r="I28" i="22"/>
  <c r="H28" i="22"/>
  <c r="G27" i="22"/>
  <c r="G22" i="22"/>
  <c r="H17" i="22"/>
  <c r="G7" i="22"/>
  <c r="G8" i="22" s="1"/>
  <c r="I6" i="22"/>
  <c r="H6" i="22"/>
  <c r="R5" i="22"/>
  <c r="R6" i="22" s="1"/>
  <c r="R7" i="22" s="1"/>
  <c r="R8" i="22" s="1"/>
  <c r="R9" i="22" s="1"/>
  <c r="R10" i="22" s="1"/>
  <c r="R11" i="22" s="1"/>
  <c r="R12" i="22" s="1"/>
  <c r="R13" i="22" s="1"/>
  <c r="R14" i="22" s="1"/>
  <c r="R15" i="22" s="1"/>
  <c r="R16" i="22" s="1"/>
  <c r="R17" i="22" s="1"/>
  <c r="R18" i="22" s="1"/>
  <c r="R19" i="22" s="1"/>
  <c r="R20" i="22" s="1"/>
  <c r="R21" i="22" s="1"/>
  <c r="R22" i="22" s="1"/>
  <c r="R23" i="22" s="1"/>
  <c r="R24" i="22" s="1"/>
  <c r="R25" i="22" s="1"/>
  <c r="R26" i="22" s="1"/>
  <c r="Q5" i="22"/>
  <c r="Q6" i="22" s="1"/>
  <c r="Q7" i="22" s="1"/>
  <c r="Q8" i="22" s="1"/>
  <c r="Q9" i="22" s="1"/>
  <c r="Q10" i="22" s="1"/>
  <c r="Q11" i="22" s="1"/>
  <c r="Q12" i="22" s="1"/>
  <c r="Q13" i="22" s="1"/>
  <c r="Q14" i="22" s="1"/>
  <c r="Q15" i="22" s="1"/>
  <c r="Q16" i="22" s="1"/>
  <c r="Q17" i="22" s="1"/>
  <c r="Q18" i="22" s="1"/>
  <c r="Q19" i="22" s="1"/>
  <c r="Q20" i="22" s="1"/>
  <c r="Q21" i="22" s="1"/>
  <c r="Q22" i="22" s="1"/>
  <c r="Q23" i="22" s="1"/>
  <c r="Q24" i="22" s="1"/>
  <c r="Q25" i="22" s="1"/>
  <c r="Q26" i="22" s="1"/>
  <c r="I5" i="22"/>
  <c r="H5" i="22"/>
  <c r="J5" i="22" s="1"/>
  <c r="Q4" i="22"/>
  <c r="P4" i="22"/>
  <c r="K4" i="22"/>
  <c r="K5" i="22" s="1"/>
  <c r="K6" i="22" s="1"/>
  <c r="K7" i="22" s="1"/>
  <c r="K8" i="22" s="1"/>
  <c r="K9" i="22" s="1"/>
  <c r="K10" i="22" s="1"/>
  <c r="K11" i="22" s="1"/>
  <c r="K12" i="22" s="1"/>
  <c r="K13" i="22" s="1"/>
  <c r="K14" i="22" s="1"/>
  <c r="K15" i="22" s="1"/>
  <c r="K16" i="22" s="1"/>
  <c r="K17" i="22" s="1"/>
  <c r="K18" i="22" s="1"/>
  <c r="K19" i="22" s="1"/>
  <c r="K20" i="22" s="1"/>
  <c r="K21" i="22" s="1"/>
  <c r="K22" i="22" s="1"/>
  <c r="K23" i="22" s="1"/>
  <c r="K24" i="22" s="1"/>
  <c r="K25" i="22" s="1"/>
  <c r="K26" i="22" s="1"/>
  <c r="K27" i="22" s="1"/>
  <c r="K28" i="22" s="1"/>
  <c r="K29" i="22" s="1"/>
  <c r="K30" i="22" s="1"/>
  <c r="K31" i="22" s="1"/>
  <c r="K32" i="22" s="1"/>
  <c r="J4" i="22"/>
  <c r="I4" i="22"/>
  <c r="H4" i="22"/>
  <c r="B4" i="22"/>
  <c r="B5" i="22" s="1"/>
  <c r="B6" i="22" s="1"/>
  <c r="S3" i="22"/>
  <c r="R3" i="22"/>
  <c r="R4" i="22" s="1"/>
  <c r="Q3" i="22"/>
  <c r="P3" i="22"/>
  <c r="K3" i="22"/>
  <c r="I3" i="22"/>
  <c r="J3" i="22" s="1"/>
  <c r="H3" i="22"/>
  <c r="F3" i="22"/>
  <c r="F4" i="22" s="1"/>
  <c r="F5" i="22" s="1"/>
  <c r="F6" i="22" s="1"/>
  <c r="F7" i="22" s="1"/>
  <c r="F8" i="22" s="1"/>
  <c r="F9" i="22" s="1"/>
  <c r="F10" i="22" s="1"/>
  <c r="F11" i="22" s="1"/>
  <c r="F12" i="22" s="1"/>
  <c r="F13" i="22" s="1"/>
  <c r="F14" i="22" s="1"/>
  <c r="F15" i="22" s="1"/>
  <c r="F16" i="22" s="1"/>
  <c r="F17" i="22" s="1"/>
  <c r="F18" i="22" s="1"/>
  <c r="B3" i="22"/>
  <c r="C3" i="22" s="1"/>
  <c r="S2" i="22"/>
  <c r="H2" i="22"/>
  <c r="E2" i="22"/>
  <c r="C2" i="22"/>
  <c r="H165" i="20"/>
  <c r="J165" i="20" s="1"/>
  <c r="G164" i="20"/>
  <c r="H164" i="20" s="1"/>
  <c r="H159" i="20"/>
  <c r="I159" i="20" s="1"/>
  <c r="G159" i="20"/>
  <c r="H154" i="20"/>
  <c r="I154" i="20" s="1"/>
  <c r="J154" i="20" s="1"/>
  <c r="G154" i="20"/>
  <c r="F150" i="20"/>
  <c r="H149" i="20"/>
  <c r="G148" i="20"/>
  <c r="H148" i="20" s="1"/>
  <c r="G143" i="20"/>
  <c r="F139" i="20"/>
  <c r="H138" i="20"/>
  <c r="H137" i="20"/>
  <c r="I137" i="20" s="1"/>
  <c r="J137" i="20" s="1"/>
  <c r="G137" i="20"/>
  <c r="H132" i="20"/>
  <c r="I132" i="20" s="1"/>
  <c r="G132" i="20"/>
  <c r="F129" i="20"/>
  <c r="F128" i="20"/>
  <c r="H127" i="20"/>
  <c r="G126" i="20"/>
  <c r="H126" i="20" s="1"/>
  <c r="G121" i="20"/>
  <c r="F117" i="20"/>
  <c r="H116" i="20"/>
  <c r="H115" i="20"/>
  <c r="G115" i="20"/>
  <c r="H110" i="20"/>
  <c r="I110" i="20" s="1"/>
  <c r="J110" i="20" s="1"/>
  <c r="G110" i="20"/>
  <c r="F106" i="20"/>
  <c r="H105" i="20"/>
  <c r="I105" i="20" s="1"/>
  <c r="H104" i="20"/>
  <c r="G104" i="20"/>
  <c r="G99" i="20"/>
  <c r="F95" i="20"/>
  <c r="H94" i="20"/>
  <c r="I94" i="20" s="1"/>
  <c r="G93" i="20"/>
  <c r="H93" i="20" s="1"/>
  <c r="G88" i="20"/>
  <c r="F84" i="20"/>
  <c r="F85" i="20" s="1"/>
  <c r="F86" i="20" s="1"/>
  <c r="F87" i="20" s="1"/>
  <c r="H83" i="20"/>
  <c r="G82" i="20"/>
  <c r="H82" i="20" s="1"/>
  <c r="G77" i="20"/>
  <c r="F74" i="20"/>
  <c r="F75" i="20" s="1"/>
  <c r="F73" i="20"/>
  <c r="H72" i="20"/>
  <c r="I72" i="20" s="1"/>
  <c r="J72" i="20" s="1"/>
  <c r="I71" i="20"/>
  <c r="G71" i="20"/>
  <c r="H71" i="20" s="1"/>
  <c r="G66" i="20"/>
  <c r="H66" i="20" s="1"/>
  <c r="F62" i="20"/>
  <c r="F63" i="20" s="1"/>
  <c r="F64" i="20" s="1"/>
  <c r="F65" i="20" s="1"/>
  <c r="H61" i="20"/>
  <c r="I61" i="20" s="1"/>
  <c r="G60" i="20"/>
  <c r="H60" i="20" s="1"/>
  <c r="G55" i="20"/>
  <c r="F52" i="20"/>
  <c r="F53" i="20" s="1"/>
  <c r="F51" i="20"/>
  <c r="H50" i="20"/>
  <c r="I50" i="20" s="1"/>
  <c r="J50" i="20" s="1"/>
  <c r="G49" i="20"/>
  <c r="H49" i="20" s="1"/>
  <c r="I44" i="20"/>
  <c r="G44" i="20"/>
  <c r="H44" i="20" s="1"/>
  <c r="J44" i="20" s="1"/>
  <c r="F40" i="20"/>
  <c r="F41" i="20" s="1"/>
  <c r="H39" i="20"/>
  <c r="I39" i="20" s="1"/>
  <c r="J39" i="20" s="1"/>
  <c r="I38" i="20"/>
  <c r="H38" i="20"/>
  <c r="G38" i="20"/>
  <c r="G33" i="20"/>
  <c r="F30" i="20"/>
  <c r="F29" i="20"/>
  <c r="H28" i="20"/>
  <c r="G27" i="20"/>
  <c r="H27" i="20" s="1"/>
  <c r="H22" i="20"/>
  <c r="G22" i="20"/>
  <c r="H9" i="20"/>
  <c r="G9" i="20"/>
  <c r="G10" i="20" s="1"/>
  <c r="H8" i="20"/>
  <c r="I8" i="20" s="1"/>
  <c r="J8" i="20" s="1"/>
  <c r="H7" i="20"/>
  <c r="I7" i="20" s="1"/>
  <c r="J7" i="20" s="1"/>
  <c r="H6" i="20"/>
  <c r="H5" i="20"/>
  <c r="I5" i="20" s="1"/>
  <c r="J5" i="20" s="1"/>
  <c r="H4" i="20"/>
  <c r="R3" i="20"/>
  <c r="R4" i="20" s="1"/>
  <c r="R5" i="20" s="1"/>
  <c r="R6" i="20" s="1"/>
  <c r="R7" i="20" s="1"/>
  <c r="R8" i="20" s="1"/>
  <c r="R9" i="20" s="1"/>
  <c r="R10" i="20" s="1"/>
  <c r="R11" i="20" s="1"/>
  <c r="R12" i="20" s="1"/>
  <c r="R13" i="20" s="1"/>
  <c r="R14" i="20" s="1"/>
  <c r="R15" i="20" s="1"/>
  <c r="R16" i="20" s="1"/>
  <c r="R17" i="20" s="1"/>
  <c r="R18" i="20" s="1"/>
  <c r="R19" i="20" s="1"/>
  <c r="R20" i="20" s="1"/>
  <c r="R21" i="20" s="1"/>
  <c r="R22" i="20" s="1"/>
  <c r="R23" i="20" s="1"/>
  <c r="R24" i="20" s="1"/>
  <c r="R25" i="20" s="1"/>
  <c r="R26" i="20" s="1"/>
  <c r="Q3" i="20"/>
  <c r="Q4" i="20" s="1"/>
  <c r="Q5" i="20" s="1"/>
  <c r="Q6" i="20" s="1"/>
  <c r="Q7" i="20" s="1"/>
  <c r="Q8" i="20" s="1"/>
  <c r="Q9" i="20" s="1"/>
  <c r="Q10" i="20" s="1"/>
  <c r="Q11" i="20" s="1"/>
  <c r="Q12" i="20" s="1"/>
  <c r="Q13" i="20" s="1"/>
  <c r="Q14" i="20" s="1"/>
  <c r="Q15" i="20" s="1"/>
  <c r="Q16" i="20" s="1"/>
  <c r="Q17" i="20" s="1"/>
  <c r="Q18" i="20" s="1"/>
  <c r="Q19" i="20" s="1"/>
  <c r="Q20" i="20" s="1"/>
  <c r="Q21" i="20" s="1"/>
  <c r="Q22" i="20" s="1"/>
  <c r="Q23" i="20" s="1"/>
  <c r="Q24" i="20" s="1"/>
  <c r="Q25" i="20" s="1"/>
  <c r="Q26" i="20" s="1"/>
  <c r="P3" i="20"/>
  <c r="P4" i="20" s="1"/>
  <c r="K3" i="20"/>
  <c r="K4" i="20" s="1"/>
  <c r="K5" i="20" s="1"/>
  <c r="K6" i="20" s="1"/>
  <c r="K7" i="20" s="1"/>
  <c r="K8" i="20" s="1"/>
  <c r="K9" i="20" s="1"/>
  <c r="K10" i="20" s="1"/>
  <c r="K11" i="20" s="1"/>
  <c r="K12" i="20" s="1"/>
  <c r="K13" i="20" s="1"/>
  <c r="K14" i="20" s="1"/>
  <c r="K15" i="20" s="1"/>
  <c r="K16" i="20" s="1"/>
  <c r="K17" i="20" s="1"/>
  <c r="K18" i="20" s="1"/>
  <c r="K19" i="20" s="1"/>
  <c r="K20" i="20" s="1"/>
  <c r="K21" i="20" s="1"/>
  <c r="K22" i="20" s="1"/>
  <c r="K23" i="20" s="1"/>
  <c r="K24" i="20" s="1"/>
  <c r="K25" i="20" s="1"/>
  <c r="K26" i="20" s="1"/>
  <c r="K27" i="20" s="1"/>
  <c r="K28" i="20" s="1"/>
  <c r="K29" i="20" s="1"/>
  <c r="K30" i="20" s="1"/>
  <c r="K31" i="20" s="1"/>
  <c r="K32" i="20" s="1"/>
  <c r="K33" i="20" s="1"/>
  <c r="K34" i="20" s="1"/>
  <c r="K35" i="20" s="1"/>
  <c r="K36" i="20" s="1"/>
  <c r="K37" i="20" s="1"/>
  <c r="K38" i="20" s="1"/>
  <c r="K39" i="20" s="1"/>
  <c r="K40" i="20" s="1"/>
  <c r="K41" i="20" s="1"/>
  <c r="K42" i="20" s="1"/>
  <c r="K43" i="20" s="1"/>
  <c r="K44" i="20" s="1"/>
  <c r="K45" i="20" s="1"/>
  <c r="K46" i="20" s="1"/>
  <c r="K47" i="20" s="1"/>
  <c r="K48" i="20" s="1"/>
  <c r="K49" i="20" s="1"/>
  <c r="K50" i="20" s="1"/>
  <c r="K51" i="20" s="1"/>
  <c r="K52" i="20" s="1"/>
  <c r="K53" i="20" s="1"/>
  <c r="K54" i="20" s="1"/>
  <c r="K55" i="20" s="1"/>
  <c r="K56" i="20" s="1"/>
  <c r="K57" i="20" s="1"/>
  <c r="K58" i="20" s="1"/>
  <c r="K59" i="20" s="1"/>
  <c r="K60" i="20" s="1"/>
  <c r="K61" i="20" s="1"/>
  <c r="K62" i="20" s="1"/>
  <c r="K63" i="20" s="1"/>
  <c r="K64" i="20" s="1"/>
  <c r="K65" i="20" s="1"/>
  <c r="K66" i="20" s="1"/>
  <c r="K67" i="20" s="1"/>
  <c r="K68" i="20" s="1"/>
  <c r="K69" i="20" s="1"/>
  <c r="K70" i="20" s="1"/>
  <c r="K71" i="20" s="1"/>
  <c r="K72" i="20" s="1"/>
  <c r="K73" i="20" s="1"/>
  <c r="K74" i="20" s="1"/>
  <c r="K75" i="20" s="1"/>
  <c r="K76" i="20" s="1"/>
  <c r="K77" i="20" s="1"/>
  <c r="K78" i="20" s="1"/>
  <c r="K79" i="20" s="1"/>
  <c r="K80" i="20" s="1"/>
  <c r="K81" i="20" s="1"/>
  <c r="K82" i="20" s="1"/>
  <c r="K83" i="20" s="1"/>
  <c r="K84" i="20" s="1"/>
  <c r="K85" i="20" s="1"/>
  <c r="K86" i="20" s="1"/>
  <c r="K87" i="20" s="1"/>
  <c r="K88" i="20" s="1"/>
  <c r="K89" i="20" s="1"/>
  <c r="K90" i="20" s="1"/>
  <c r="K91" i="20" s="1"/>
  <c r="K92" i="20" s="1"/>
  <c r="K93" i="20" s="1"/>
  <c r="K94" i="20" s="1"/>
  <c r="K95" i="20" s="1"/>
  <c r="K96" i="20" s="1"/>
  <c r="K97" i="20" s="1"/>
  <c r="K98" i="20" s="1"/>
  <c r="K99" i="20" s="1"/>
  <c r="K100" i="20" s="1"/>
  <c r="K101" i="20" s="1"/>
  <c r="K102" i="20" s="1"/>
  <c r="K103" i="20" s="1"/>
  <c r="K104" i="20" s="1"/>
  <c r="K105" i="20" s="1"/>
  <c r="K106" i="20" s="1"/>
  <c r="K107" i="20" s="1"/>
  <c r="K108" i="20" s="1"/>
  <c r="K109" i="20" s="1"/>
  <c r="K110" i="20" s="1"/>
  <c r="K111" i="20" s="1"/>
  <c r="K112" i="20" s="1"/>
  <c r="K113" i="20" s="1"/>
  <c r="K114" i="20" s="1"/>
  <c r="K115" i="20" s="1"/>
  <c r="K116" i="20" s="1"/>
  <c r="K117" i="20" s="1"/>
  <c r="K118" i="20" s="1"/>
  <c r="K119" i="20" s="1"/>
  <c r="K120" i="20" s="1"/>
  <c r="K121" i="20" s="1"/>
  <c r="K122" i="20" s="1"/>
  <c r="K123" i="20" s="1"/>
  <c r="K124" i="20" s="1"/>
  <c r="K125" i="20" s="1"/>
  <c r="K126" i="20" s="1"/>
  <c r="K127" i="20" s="1"/>
  <c r="K128" i="20" s="1"/>
  <c r="K129" i="20" s="1"/>
  <c r="K130" i="20" s="1"/>
  <c r="K131" i="20" s="1"/>
  <c r="K132" i="20" s="1"/>
  <c r="K133" i="20" s="1"/>
  <c r="K134" i="20" s="1"/>
  <c r="K135" i="20" s="1"/>
  <c r="K136" i="20" s="1"/>
  <c r="K137" i="20" s="1"/>
  <c r="K138" i="20" s="1"/>
  <c r="K139" i="20" s="1"/>
  <c r="K140" i="20" s="1"/>
  <c r="K141" i="20" s="1"/>
  <c r="K142" i="20" s="1"/>
  <c r="K143" i="20" s="1"/>
  <c r="K144" i="20" s="1"/>
  <c r="K145" i="20" s="1"/>
  <c r="K146" i="20" s="1"/>
  <c r="K147" i="20" s="1"/>
  <c r="K148" i="20" s="1"/>
  <c r="K149" i="20" s="1"/>
  <c r="K150" i="20" s="1"/>
  <c r="K151" i="20" s="1"/>
  <c r="K152" i="20" s="1"/>
  <c r="K153" i="20" s="1"/>
  <c r="K154" i="20" s="1"/>
  <c r="K155" i="20" s="1"/>
  <c r="H3" i="20"/>
  <c r="I3" i="20" s="1"/>
  <c r="J3" i="20" s="1"/>
  <c r="F3" i="20"/>
  <c r="F4" i="20" s="1"/>
  <c r="F5" i="20" s="1"/>
  <c r="F6" i="20" s="1"/>
  <c r="F7" i="20" s="1"/>
  <c r="F8" i="20" s="1"/>
  <c r="F9" i="20" s="1"/>
  <c r="F10" i="20" s="1"/>
  <c r="F11" i="20" s="1"/>
  <c r="F12" i="20" s="1"/>
  <c r="F13" i="20" s="1"/>
  <c r="F14" i="20" s="1"/>
  <c r="F15" i="20" s="1"/>
  <c r="F16" i="20" s="1"/>
  <c r="F17" i="20" s="1"/>
  <c r="F18" i="20" s="1"/>
  <c r="F19" i="20" s="1"/>
  <c r="F20" i="20" s="1"/>
  <c r="F21" i="20" s="1"/>
  <c r="F22" i="20" s="1"/>
  <c r="F23" i="20" s="1"/>
  <c r="B3" i="20"/>
  <c r="C3" i="20" s="1"/>
  <c r="D3" i="20" s="1"/>
  <c r="E3" i="20" s="1"/>
  <c r="S2" i="20"/>
  <c r="H2" i="20"/>
  <c r="C2" i="20"/>
  <c r="E2" i="20" s="1"/>
  <c r="I28" i="20" l="1"/>
  <c r="J28" i="20" s="1"/>
  <c r="J61" i="20"/>
  <c r="J132" i="20"/>
  <c r="I6" i="20"/>
  <c r="J6" i="20" s="1"/>
  <c r="J38" i="20"/>
  <c r="F24" i="20"/>
  <c r="F25" i="20" s="1"/>
  <c r="F26" i="20" s="1"/>
  <c r="F27" i="20" s="1"/>
  <c r="G23" i="20" s="1"/>
  <c r="H23" i="20" s="1"/>
  <c r="S3" i="20"/>
  <c r="I4" i="20"/>
  <c r="J4" i="20" s="1"/>
  <c r="S4" i="20"/>
  <c r="H10" i="20"/>
  <c r="G11" i="20"/>
  <c r="F42" i="20"/>
  <c r="G26" i="20"/>
  <c r="H26" i="20" s="1"/>
  <c r="J22" i="20"/>
  <c r="I27" i="20"/>
  <c r="J27" i="20" s="1"/>
  <c r="F96" i="20"/>
  <c r="I115" i="20"/>
  <c r="J115" i="20" s="1"/>
  <c r="I22" i="20"/>
  <c r="G25" i="20"/>
  <c r="H25" i="20" s="1"/>
  <c r="H33" i="20"/>
  <c r="F76" i="20"/>
  <c r="H77" i="20"/>
  <c r="F107" i="20"/>
  <c r="L27" i="20"/>
  <c r="W11" i="20" s="1"/>
  <c r="W13" i="20" s="1"/>
  <c r="I49" i="20"/>
  <c r="J49" i="20" s="1"/>
  <c r="G63" i="20"/>
  <c r="H63" i="20" s="1"/>
  <c r="J66" i="20"/>
  <c r="P5" i="20"/>
  <c r="B4" i="20"/>
  <c r="G24" i="20"/>
  <c r="H24" i="20" s="1"/>
  <c r="F31" i="20"/>
  <c r="F54" i="20"/>
  <c r="H55" i="20"/>
  <c r="I66" i="20"/>
  <c r="F118" i="20"/>
  <c r="F19" i="22"/>
  <c r="I60" i="20"/>
  <c r="J60" i="20" s="1"/>
  <c r="F88" i="20"/>
  <c r="F89" i="20" s="1"/>
  <c r="I93" i="20"/>
  <c r="J93" i="20" s="1"/>
  <c r="I9" i="20"/>
  <c r="J9" i="20" s="1"/>
  <c r="I82" i="20"/>
  <c r="J82" i="20" s="1"/>
  <c r="I104" i="20"/>
  <c r="J104" i="20" s="1"/>
  <c r="F66" i="20"/>
  <c r="J71" i="20"/>
  <c r="G85" i="20"/>
  <c r="H85" i="20" s="1"/>
  <c r="I148" i="20"/>
  <c r="J148" i="20" s="1"/>
  <c r="I127" i="20"/>
  <c r="J127" i="20" s="1"/>
  <c r="I138" i="20"/>
  <c r="J138" i="20" s="1"/>
  <c r="J94" i="20"/>
  <c r="I116" i="20"/>
  <c r="J116" i="20" s="1"/>
  <c r="F140" i="20"/>
  <c r="J149" i="20"/>
  <c r="I149" i="20"/>
  <c r="I164" i="20"/>
  <c r="J164" i="20" s="1"/>
  <c r="F31" i="22"/>
  <c r="J105" i="20"/>
  <c r="C6" i="22"/>
  <c r="B7" i="22"/>
  <c r="C5" i="22"/>
  <c r="I17" i="22"/>
  <c r="J17" i="22" s="1"/>
  <c r="I83" i="20"/>
  <c r="J83" i="20" s="1"/>
  <c r="G84" i="20"/>
  <c r="H84" i="20" s="1"/>
  <c r="I126" i="20"/>
  <c r="J126" i="20"/>
  <c r="F130" i="20"/>
  <c r="C4" i="22"/>
  <c r="H88" i="20"/>
  <c r="H143" i="20"/>
  <c r="J159" i="20"/>
  <c r="F65" i="22"/>
  <c r="F151" i="20"/>
  <c r="H8" i="22"/>
  <c r="G9" i="22"/>
  <c r="I104" i="22"/>
  <c r="J104" i="22" s="1"/>
  <c r="H99" i="20"/>
  <c r="H121" i="20"/>
  <c r="H7" i="22"/>
  <c r="D3" i="22"/>
  <c r="E3" i="22" s="1"/>
  <c r="J6" i="22"/>
  <c r="I49" i="22"/>
  <c r="J49" i="22"/>
  <c r="F76" i="22"/>
  <c r="S4" i="22"/>
  <c r="P5" i="22"/>
  <c r="L27" i="22"/>
  <c r="W11" i="22" s="1"/>
  <c r="W13" i="22" s="1"/>
  <c r="H27" i="22"/>
  <c r="I3" i="24"/>
  <c r="J3" i="24" s="1"/>
  <c r="J38" i="22"/>
  <c r="F54" i="22"/>
  <c r="F87" i="22"/>
  <c r="F19" i="24"/>
  <c r="F43" i="22"/>
  <c r="H22" i="22"/>
  <c r="J33" i="22"/>
  <c r="J83" i="22"/>
  <c r="F25" i="24"/>
  <c r="F98" i="22"/>
  <c r="J17" i="24"/>
  <c r="I17" i="24"/>
  <c r="G7" i="24"/>
  <c r="H5" i="24"/>
  <c r="L22" i="24"/>
  <c r="W11" i="24" s="1"/>
  <c r="W13" i="24" s="1"/>
  <c r="H22" i="24"/>
  <c r="I93" i="22"/>
  <c r="J93" i="22" s="1"/>
  <c r="I115" i="22"/>
  <c r="J115" i="22" s="1"/>
  <c r="J72" i="22"/>
  <c r="I105" i="22"/>
  <c r="J105" i="22" s="1"/>
  <c r="P4" i="24"/>
  <c r="I39" i="24"/>
  <c r="J39" i="24" s="1"/>
  <c r="I33" i="22"/>
  <c r="I82" i="22"/>
  <c r="J82" i="22" s="1"/>
  <c r="J94" i="22"/>
  <c r="J120" i="22"/>
  <c r="I120" i="22"/>
  <c r="E3" i="24"/>
  <c r="I94" i="22"/>
  <c r="F109" i="22"/>
  <c r="D3" i="24"/>
  <c r="C5" i="24"/>
  <c r="B6" i="24"/>
  <c r="I6" i="24"/>
  <c r="J6" i="24" s="1"/>
  <c r="J28" i="24"/>
  <c r="I28" i="24"/>
  <c r="J55" i="24"/>
  <c r="I55" i="24"/>
  <c r="H4" i="24"/>
  <c r="F49" i="24"/>
  <c r="J33" i="24"/>
  <c r="F37" i="24"/>
  <c r="I44" i="24"/>
  <c r="J44" i="24" s="1"/>
  <c r="K14" i="26"/>
  <c r="R5" i="26"/>
  <c r="U4" i="26"/>
  <c r="J61" i="24"/>
  <c r="C4" i="26"/>
  <c r="B5" i="26"/>
  <c r="F70" i="24"/>
  <c r="J77" i="24"/>
  <c r="I77" i="24"/>
  <c r="E3" i="26"/>
  <c r="K6" i="26"/>
  <c r="K18" i="26"/>
  <c r="J18" i="26"/>
  <c r="K26" i="26"/>
  <c r="J26" i="26"/>
  <c r="F59" i="24"/>
  <c r="K13" i="26"/>
  <c r="K3" i="26"/>
  <c r="K4" i="26"/>
  <c r="K19" i="26"/>
  <c r="K27" i="26"/>
  <c r="J50" i="24"/>
  <c r="K11" i="26"/>
  <c r="K22" i="26"/>
  <c r="I61" i="24"/>
  <c r="D3" i="26"/>
  <c r="J15" i="26"/>
  <c r="K15" i="26" s="1"/>
  <c r="J16" i="26"/>
  <c r="K16" i="26" s="1"/>
  <c r="J24" i="26"/>
  <c r="K24" i="26" s="1"/>
  <c r="J12" i="26"/>
  <c r="K12" i="26" s="1"/>
  <c r="J13" i="26"/>
  <c r="J14" i="26"/>
  <c r="J23" i="26"/>
  <c r="K23" i="26" s="1"/>
  <c r="B15" i="15"/>
  <c r="B15" i="13"/>
  <c r="I23" i="20" l="1"/>
  <c r="J23" i="20" s="1"/>
  <c r="E4" i="26"/>
  <c r="D4" i="26"/>
  <c r="F20" i="22"/>
  <c r="L24" i="26"/>
  <c r="L16" i="26"/>
  <c r="L15" i="26"/>
  <c r="L25" i="26"/>
  <c r="L17" i="26"/>
  <c r="L26" i="26"/>
  <c r="L18" i="26"/>
  <c r="L27" i="26"/>
  <c r="L19" i="26"/>
  <c r="L6" i="26"/>
  <c r="L5" i="26"/>
  <c r="L4" i="26"/>
  <c r="L3" i="26"/>
  <c r="L20" i="26"/>
  <c r="L7" i="26"/>
  <c r="L22" i="26"/>
  <c r="L11" i="26"/>
  <c r="L10" i="26"/>
  <c r="L9" i="26"/>
  <c r="L23" i="26"/>
  <c r="L14" i="26"/>
  <c r="L13" i="26"/>
  <c r="L12" i="26"/>
  <c r="L2" i="26"/>
  <c r="L21" i="26"/>
  <c r="L8" i="26"/>
  <c r="Y2" i="26"/>
  <c r="F88" i="22"/>
  <c r="G87" i="22" s="1"/>
  <c r="H87" i="22" s="1"/>
  <c r="H9" i="22"/>
  <c r="G10" i="22"/>
  <c r="F66" i="22"/>
  <c r="F141" i="20"/>
  <c r="F67" i="20"/>
  <c r="G62" i="20"/>
  <c r="H62" i="20" s="1"/>
  <c r="G64" i="20"/>
  <c r="H64" i="20" s="1"/>
  <c r="F77" i="20"/>
  <c r="G76" i="20"/>
  <c r="H76" i="20" s="1"/>
  <c r="G54" i="22"/>
  <c r="H54" i="22" s="1"/>
  <c r="F55" i="22"/>
  <c r="F32" i="22"/>
  <c r="I4" i="24"/>
  <c r="J4" i="24" s="1"/>
  <c r="I7" i="22"/>
  <c r="J7" i="22"/>
  <c r="Q27" i="22"/>
  <c r="Q28" i="22" s="1"/>
  <c r="Q29" i="22" s="1"/>
  <c r="Q30" i="22" s="1"/>
  <c r="Q31" i="22" s="1"/>
  <c r="Q32" i="22" s="1"/>
  <c r="C5" i="26"/>
  <c r="B6" i="26"/>
  <c r="F50" i="24"/>
  <c r="P5" i="24"/>
  <c r="S4" i="24"/>
  <c r="F99" i="22"/>
  <c r="G98" i="22" s="1"/>
  <c r="H98" i="22" s="1"/>
  <c r="I22" i="22"/>
  <c r="J22" i="22" s="1"/>
  <c r="F77" i="22"/>
  <c r="G76" i="22"/>
  <c r="H76" i="22" s="1"/>
  <c r="J8" i="22"/>
  <c r="I8" i="22"/>
  <c r="F131" i="20"/>
  <c r="R27" i="22"/>
  <c r="R28" i="22" s="1"/>
  <c r="R29" i="22" s="1"/>
  <c r="R30" i="22" s="1"/>
  <c r="R31" i="22" s="1"/>
  <c r="R32" i="22" s="1"/>
  <c r="I55" i="20"/>
  <c r="J55" i="20" s="1"/>
  <c r="G86" i="20"/>
  <c r="H86" i="20" s="1"/>
  <c r="F108" i="20"/>
  <c r="I33" i="20"/>
  <c r="J33" i="20" s="1"/>
  <c r="F43" i="20"/>
  <c r="B7" i="24"/>
  <c r="C6" i="24"/>
  <c r="J27" i="22"/>
  <c r="I27" i="22"/>
  <c r="I143" i="20"/>
  <c r="J143" i="20" s="1"/>
  <c r="F55" i="20"/>
  <c r="G54" i="20"/>
  <c r="H54" i="20" s="1"/>
  <c r="I5" i="24"/>
  <c r="J5" i="24" s="1"/>
  <c r="F44" i="22"/>
  <c r="G43" i="22"/>
  <c r="H43" i="22" s="1"/>
  <c r="I121" i="20"/>
  <c r="J121" i="20"/>
  <c r="F152" i="20"/>
  <c r="I88" i="20"/>
  <c r="J88" i="20" s="1"/>
  <c r="F32" i="20"/>
  <c r="I77" i="20"/>
  <c r="J77" i="20" s="1"/>
  <c r="H11" i="20"/>
  <c r="G12" i="20"/>
  <c r="R27" i="20"/>
  <c r="R28" i="20" s="1"/>
  <c r="R29" i="20" s="1"/>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I22" i="24"/>
  <c r="J22" i="24"/>
  <c r="I25" i="20"/>
  <c r="J25" i="20" s="1"/>
  <c r="F60" i="24"/>
  <c r="H7" i="24"/>
  <c r="G8" i="24"/>
  <c r="P6" i="22"/>
  <c r="S5" i="22"/>
  <c r="I99" i="20"/>
  <c r="J99" i="20" s="1"/>
  <c r="E4" i="22"/>
  <c r="D4" i="22"/>
  <c r="E5" i="22"/>
  <c r="D5" i="22"/>
  <c r="I85" i="20"/>
  <c r="J85" i="20" s="1"/>
  <c r="I24" i="20"/>
  <c r="J24" i="20"/>
  <c r="I10" i="20"/>
  <c r="J10" i="20" s="1"/>
  <c r="Q27" i="20"/>
  <c r="Q28" i="20" s="1"/>
  <c r="Q29" i="20" s="1"/>
  <c r="Q30" i="20" s="1"/>
  <c r="Q31" i="20" s="1"/>
  <c r="Q32" i="20" s="1"/>
  <c r="Q33" i="20" s="1"/>
  <c r="Q34" i="20" s="1"/>
  <c r="Q35" i="20" s="1"/>
  <c r="Q36" i="20" s="1"/>
  <c r="Q37" i="20" s="1"/>
  <c r="Q38" i="20" s="1"/>
  <c r="Q39" i="20" s="1"/>
  <c r="Q40" i="20" s="1"/>
  <c r="Q41" i="20" s="1"/>
  <c r="Q42" i="20" s="1"/>
  <c r="Q43" i="20" s="1"/>
  <c r="Q44" i="20" s="1"/>
  <c r="Q45" i="20" s="1"/>
  <c r="Q46" i="20" s="1"/>
  <c r="Q47" i="20" s="1"/>
  <c r="Q48" i="20" s="1"/>
  <c r="Q49" i="20" s="1"/>
  <c r="F71" i="24"/>
  <c r="F38" i="24"/>
  <c r="F110" i="22"/>
  <c r="G109" i="22"/>
  <c r="H109" i="22" s="1"/>
  <c r="R22" i="24"/>
  <c r="R23" i="24" s="1"/>
  <c r="R24" i="24" s="1"/>
  <c r="R25" i="24" s="1"/>
  <c r="R26" i="24" s="1"/>
  <c r="R27" i="24" s="1"/>
  <c r="R28" i="24" s="1"/>
  <c r="R29" i="24" s="1"/>
  <c r="R30" i="24" s="1"/>
  <c r="R31" i="24" s="1"/>
  <c r="R32" i="24" s="1"/>
  <c r="R33" i="24" s="1"/>
  <c r="R34" i="24" s="1"/>
  <c r="R35" i="24" s="1"/>
  <c r="R36" i="24" s="1"/>
  <c r="R37" i="24" s="1"/>
  <c r="R38" i="24" s="1"/>
  <c r="R39" i="24" s="1"/>
  <c r="R40" i="24" s="1"/>
  <c r="R41" i="24" s="1"/>
  <c r="R42" i="24" s="1"/>
  <c r="R43" i="24" s="1"/>
  <c r="R44" i="24" s="1"/>
  <c r="R45" i="24" s="1"/>
  <c r="R46" i="24" s="1"/>
  <c r="R47" i="24" s="1"/>
  <c r="R48" i="24" s="1"/>
  <c r="R49" i="24" s="1"/>
  <c r="F20" i="24"/>
  <c r="Q22" i="24"/>
  <c r="Q23" i="24" s="1"/>
  <c r="Q24" i="24" s="1"/>
  <c r="Q25" i="24" s="1"/>
  <c r="Q26" i="24" s="1"/>
  <c r="Q27" i="24" s="1"/>
  <c r="Q28" i="24" s="1"/>
  <c r="Q29" i="24" s="1"/>
  <c r="Q30" i="24" s="1"/>
  <c r="Q31" i="24" s="1"/>
  <c r="Q32" i="24" s="1"/>
  <c r="Q33" i="24" s="1"/>
  <c r="Q34" i="24" s="1"/>
  <c r="Q35" i="24" s="1"/>
  <c r="Q36" i="24" s="1"/>
  <c r="Q37" i="24" s="1"/>
  <c r="Q38" i="24" s="1"/>
  <c r="Q39" i="24" s="1"/>
  <c r="Q40" i="24" s="1"/>
  <c r="Q41" i="24" s="1"/>
  <c r="Q42" i="24" s="1"/>
  <c r="Q43" i="24" s="1"/>
  <c r="Q44" i="24" s="1"/>
  <c r="Q45" i="24" s="1"/>
  <c r="Q46" i="24" s="1"/>
  <c r="Q47" i="24" s="1"/>
  <c r="Q48" i="24" s="1"/>
  <c r="Q49" i="24" s="1"/>
  <c r="C7" i="22"/>
  <c r="B8" i="22"/>
  <c r="G87" i="20"/>
  <c r="H87" i="20" s="1"/>
  <c r="F119" i="20"/>
  <c r="C4" i="20"/>
  <c r="B5" i="20"/>
  <c r="D5" i="24"/>
  <c r="E5" i="24"/>
  <c r="F26" i="24"/>
  <c r="I63" i="20"/>
  <c r="J63" i="20" s="1"/>
  <c r="R6" i="26"/>
  <c r="U5" i="26"/>
  <c r="I84" i="20"/>
  <c r="J84" i="20" s="1"/>
  <c r="D6" i="22"/>
  <c r="E6" i="22" s="1"/>
  <c r="G65" i="20"/>
  <c r="H65" i="20" s="1"/>
  <c r="F90" i="20"/>
  <c r="S5" i="20"/>
  <c r="P6" i="20"/>
  <c r="F97" i="20"/>
  <c r="I26" i="20"/>
  <c r="J26" i="20" s="1"/>
  <c r="K51" i="9"/>
  <c r="I87" i="22" l="1"/>
  <c r="J87" i="22" s="1"/>
  <c r="I98" i="22"/>
  <c r="J98" i="22" s="1"/>
  <c r="D7" i="22"/>
  <c r="E7" i="22" s="1"/>
  <c r="F98" i="20"/>
  <c r="E4" i="20"/>
  <c r="D4" i="20"/>
  <c r="E6" i="24"/>
  <c r="D6" i="24"/>
  <c r="I86" i="20"/>
  <c r="J86" i="20" s="1"/>
  <c r="I76" i="22"/>
  <c r="J76" i="22" s="1"/>
  <c r="F51" i="24"/>
  <c r="G46" i="24"/>
  <c r="H46" i="24" s="1"/>
  <c r="G48" i="24"/>
  <c r="H48" i="24" s="1"/>
  <c r="G47" i="24"/>
  <c r="H47" i="24" s="1"/>
  <c r="I76" i="20"/>
  <c r="J76" i="20" s="1"/>
  <c r="F67" i="22"/>
  <c r="G62" i="22"/>
  <c r="H62" i="22" s="1"/>
  <c r="G63" i="22"/>
  <c r="H63" i="22" s="1"/>
  <c r="G64" i="22"/>
  <c r="H64" i="22" s="1"/>
  <c r="B8" i="24"/>
  <c r="C7" i="24"/>
  <c r="F78" i="22"/>
  <c r="G73" i="22"/>
  <c r="H73" i="22" s="1"/>
  <c r="G74" i="22"/>
  <c r="H74" i="22" s="1"/>
  <c r="G75" i="22"/>
  <c r="H75" i="22" s="1"/>
  <c r="G49" i="24"/>
  <c r="H49" i="24" s="1"/>
  <c r="F78" i="20"/>
  <c r="G75" i="20"/>
  <c r="H75" i="20" s="1"/>
  <c r="G73" i="20"/>
  <c r="H73" i="20" s="1"/>
  <c r="G74" i="20"/>
  <c r="H74" i="20" s="1"/>
  <c r="H10" i="22"/>
  <c r="G11" i="22"/>
  <c r="F91" i="20"/>
  <c r="F120" i="20"/>
  <c r="I43" i="22"/>
  <c r="J43" i="22" s="1"/>
  <c r="C6" i="26"/>
  <c r="B7" i="26"/>
  <c r="I87" i="20"/>
  <c r="J87" i="20" s="1"/>
  <c r="F111" i="22"/>
  <c r="G107" i="22"/>
  <c r="H107" i="22" s="1"/>
  <c r="G106" i="22"/>
  <c r="H106" i="22" s="1"/>
  <c r="G108" i="22"/>
  <c r="H108" i="22" s="1"/>
  <c r="G40" i="22"/>
  <c r="H40" i="22" s="1"/>
  <c r="F45" i="22"/>
  <c r="G41" i="22"/>
  <c r="H41" i="22" s="1"/>
  <c r="G42" i="22"/>
  <c r="H42" i="22" s="1"/>
  <c r="F56" i="20"/>
  <c r="G52" i="20"/>
  <c r="H52" i="20" s="1"/>
  <c r="G51" i="20"/>
  <c r="H51" i="20" s="1"/>
  <c r="G53" i="20"/>
  <c r="H53" i="20" s="1"/>
  <c r="F44" i="20"/>
  <c r="E5" i="26"/>
  <c r="D5" i="26"/>
  <c r="I62" i="20"/>
  <c r="J62" i="20" s="1"/>
  <c r="P7" i="20"/>
  <c r="S6" i="20"/>
  <c r="J109" i="22"/>
  <c r="I109" i="22"/>
  <c r="F33" i="20"/>
  <c r="G32" i="20"/>
  <c r="H32" i="20" s="1"/>
  <c r="I54" i="20"/>
  <c r="J54" i="20" s="1"/>
  <c r="I64" i="20"/>
  <c r="J64" i="20" s="1"/>
  <c r="J9" i="22"/>
  <c r="I9" i="22"/>
  <c r="P7" i="22"/>
  <c r="S6" i="22"/>
  <c r="F27" i="24"/>
  <c r="B9" i="22"/>
  <c r="C8" i="22"/>
  <c r="G38" i="24"/>
  <c r="H38" i="24" s="1"/>
  <c r="F39" i="24"/>
  <c r="G9" i="24"/>
  <c r="H8" i="24"/>
  <c r="F68" i="20"/>
  <c r="F89" i="22"/>
  <c r="G84" i="22"/>
  <c r="H84" i="22" s="1"/>
  <c r="G86" i="22"/>
  <c r="H86" i="22" s="1"/>
  <c r="G85" i="22"/>
  <c r="H85" i="22" s="1"/>
  <c r="F132" i="20"/>
  <c r="G131" i="20"/>
  <c r="H131" i="20" s="1"/>
  <c r="F100" i="22"/>
  <c r="G96" i="22"/>
  <c r="H96" i="22" s="1"/>
  <c r="G95" i="22"/>
  <c r="H95" i="22" s="1"/>
  <c r="G97" i="22"/>
  <c r="H97" i="22" s="1"/>
  <c r="F33" i="22"/>
  <c r="G32" i="22" s="1"/>
  <c r="H32" i="22" s="1"/>
  <c r="F21" i="22"/>
  <c r="G13" i="20"/>
  <c r="H12" i="20"/>
  <c r="F153" i="20"/>
  <c r="F109" i="20"/>
  <c r="G51" i="22"/>
  <c r="H51" i="22" s="1"/>
  <c r="F56" i="22"/>
  <c r="G52" i="22"/>
  <c r="H52" i="22" s="1"/>
  <c r="G53" i="22"/>
  <c r="H53" i="22" s="1"/>
  <c r="F142" i="20"/>
  <c r="I7" i="24"/>
  <c r="J7" i="24" s="1"/>
  <c r="I65" i="20"/>
  <c r="J65" i="20" s="1"/>
  <c r="R7" i="26"/>
  <c r="U6" i="26"/>
  <c r="B6" i="20"/>
  <c r="C5" i="20"/>
  <c r="F21" i="24"/>
  <c r="F72" i="24"/>
  <c r="G71" i="24"/>
  <c r="H71" i="24" s="1"/>
  <c r="F61" i="24"/>
  <c r="G60" i="24"/>
  <c r="H60" i="24" s="1"/>
  <c r="I11" i="20"/>
  <c r="J11" i="20" s="1"/>
  <c r="S5" i="24"/>
  <c r="P6" i="24"/>
  <c r="I54" i="22"/>
  <c r="J54" i="22" s="1"/>
  <c r="G65" i="22"/>
  <c r="H65" i="22" s="1"/>
  <c r="D38" i="1"/>
  <c r="I32" i="22" l="1"/>
  <c r="J32" i="22"/>
  <c r="I62" i="22"/>
  <c r="J62" i="22"/>
  <c r="F110" i="20"/>
  <c r="J10" i="22"/>
  <c r="I10" i="22"/>
  <c r="R8" i="26"/>
  <c r="U7" i="26"/>
  <c r="I8" i="24"/>
  <c r="J8" i="24"/>
  <c r="I51" i="20"/>
  <c r="J51" i="20" s="1"/>
  <c r="I106" i="22"/>
  <c r="J106" i="22" s="1"/>
  <c r="I74" i="20"/>
  <c r="J74" i="20" s="1"/>
  <c r="F79" i="22"/>
  <c r="F69" i="20"/>
  <c r="I74" i="22"/>
  <c r="J74" i="22" s="1"/>
  <c r="J60" i="24"/>
  <c r="I60" i="24"/>
  <c r="F133" i="20"/>
  <c r="G128" i="20"/>
  <c r="H128" i="20" s="1"/>
  <c r="G129" i="20"/>
  <c r="H129" i="20" s="1"/>
  <c r="G130" i="20"/>
  <c r="H130" i="20" s="1"/>
  <c r="I108" i="22"/>
  <c r="J108" i="22"/>
  <c r="F68" i="22"/>
  <c r="J65" i="22"/>
  <c r="I65" i="22"/>
  <c r="H9" i="24"/>
  <c r="G10" i="24"/>
  <c r="I32" i="20"/>
  <c r="J32" i="20" s="1"/>
  <c r="I52" i="20"/>
  <c r="J52" i="20" s="1"/>
  <c r="J107" i="22"/>
  <c r="I107" i="22"/>
  <c r="I73" i="20"/>
  <c r="J73" i="20" s="1"/>
  <c r="D7" i="24"/>
  <c r="E7" i="24"/>
  <c r="P8" i="20"/>
  <c r="S7" i="20"/>
  <c r="G12" i="22"/>
  <c r="H11" i="22"/>
  <c r="F52" i="24"/>
  <c r="G142" i="20"/>
  <c r="H142" i="20" s="1"/>
  <c r="F143" i="20"/>
  <c r="F28" i="24"/>
  <c r="I71" i="24"/>
  <c r="J71" i="24" s="1"/>
  <c r="J52" i="22"/>
  <c r="I52" i="22"/>
  <c r="J85" i="22"/>
  <c r="I85" i="22"/>
  <c r="G68" i="24"/>
  <c r="H68" i="24" s="1"/>
  <c r="F73" i="24"/>
  <c r="G69" i="24"/>
  <c r="H69" i="24" s="1"/>
  <c r="G70" i="24"/>
  <c r="H70" i="24" s="1"/>
  <c r="F57" i="22"/>
  <c r="G153" i="20"/>
  <c r="H153" i="20" s="1"/>
  <c r="F154" i="20"/>
  <c r="I97" i="22"/>
  <c r="J97" i="22"/>
  <c r="I86" i="22"/>
  <c r="J86" i="22" s="1"/>
  <c r="S7" i="22"/>
  <c r="P8" i="22"/>
  <c r="F34" i="20"/>
  <c r="G29" i="20"/>
  <c r="H29" i="20" s="1"/>
  <c r="G30" i="20"/>
  <c r="H30" i="20" s="1"/>
  <c r="G31" i="20"/>
  <c r="H31" i="20" s="1"/>
  <c r="F57" i="20"/>
  <c r="F112" i="22"/>
  <c r="F121" i="20"/>
  <c r="G120" i="20"/>
  <c r="H120" i="20" s="1"/>
  <c r="I75" i="20"/>
  <c r="J75" i="20" s="1"/>
  <c r="C8" i="24"/>
  <c r="B9" i="24"/>
  <c r="I40" i="22"/>
  <c r="J40" i="22" s="1"/>
  <c r="F34" i="22"/>
  <c r="G29" i="22"/>
  <c r="H29" i="22" s="1"/>
  <c r="G30" i="22"/>
  <c r="H30" i="22" s="1"/>
  <c r="G31" i="22"/>
  <c r="H31" i="22" s="1"/>
  <c r="P7" i="24"/>
  <c r="S6" i="24"/>
  <c r="F22" i="24"/>
  <c r="I51" i="22"/>
  <c r="J51" i="22"/>
  <c r="I12" i="20"/>
  <c r="J12" i="20" s="1"/>
  <c r="I95" i="22"/>
  <c r="J95" i="22" s="1"/>
  <c r="I84" i="22"/>
  <c r="J84" i="22" s="1"/>
  <c r="F40" i="24"/>
  <c r="G35" i="24"/>
  <c r="H35" i="24" s="1"/>
  <c r="G36" i="24"/>
  <c r="H36" i="24" s="1"/>
  <c r="G37" i="24"/>
  <c r="H37" i="24" s="1"/>
  <c r="J42" i="22"/>
  <c r="I42" i="22"/>
  <c r="F79" i="20"/>
  <c r="J47" i="24"/>
  <c r="I47" i="24"/>
  <c r="B7" i="20"/>
  <c r="C6" i="20"/>
  <c r="F22" i="22"/>
  <c r="B10" i="22"/>
  <c r="C9" i="22"/>
  <c r="E6" i="26"/>
  <c r="D6" i="26"/>
  <c r="I53" i="20"/>
  <c r="J53" i="20" s="1"/>
  <c r="J53" i="22"/>
  <c r="I53" i="22"/>
  <c r="H13" i="20"/>
  <c r="G14" i="20"/>
  <c r="I38" i="24"/>
  <c r="J38" i="24" s="1"/>
  <c r="J41" i="22"/>
  <c r="I41" i="22"/>
  <c r="J49" i="24"/>
  <c r="I49" i="24"/>
  <c r="I64" i="22"/>
  <c r="J64" i="22" s="1"/>
  <c r="I48" i="24"/>
  <c r="J48" i="24" s="1"/>
  <c r="I131" i="20"/>
  <c r="J131" i="20" s="1"/>
  <c r="F45" i="20"/>
  <c r="G40" i="20"/>
  <c r="H40" i="20" s="1"/>
  <c r="G41" i="20"/>
  <c r="H41" i="20" s="1"/>
  <c r="G42" i="20"/>
  <c r="H42" i="20" s="1"/>
  <c r="I73" i="22"/>
  <c r="J73" i="22"/>
  <c r="F99" i="20"/>
  <c r="G98" i="20"/>
  <c r="H98" i="20" s="1"/>
  <c r="F62" i="24"/>
  <c r="G57" i="24"/>
  <c r="H57" i="24" s="1"/>
  <c r="G58" i="24"/>
  <c r="H58" i="24" s="1"/>
  <c r="G59" i="24"/>
  <c r="H59" i="24" s="1"/>
  <c r="I96" i="22"/>
  <c r="J96" i="22" s="1"/>
  <c r="F90" i="22"/>
  <c r="D5" i="20"/>
  <c r="E5" i="20" s="1"/>
  <c r="F101" i="22"/>
  <c r="D8" i="22"/>
  <c r="E8" i="22" s="1"/>
  <c r="G43" i="20"/>
  <c r="H43" i="20" s="1"/>
  <c r="F46" i="22"/>
  <c r="C7" i="26"/>
  <c r="B8" i="26"/>
  <c r="F92" i="20"/>
  <c r="I75" i="22"/>
  <c r="J75" i="22" s="1"/>
  <c r="J63" i="22"/>
  <c r="I63" i="22"/>
  <c r="I46" i="24"/>
  <c r="J46" i="24" s="1"/>
  <c r="G43" i="1"/>
  <c r="G42" i="1"/>
  <c r="F44" i="1"/>
  <c r="G25" i="1"/>
  <c r="G29" i="1"/>
  <c r="F47" i="4"/>
  <c r="F42" i="4"/>
  <c r="F37" i="4"/>
  <c r="F32" i="4"/>
  <c r="F27" i="4"/>
  <c r="F22" i="4"/>
  <c r="F17" i="4"/>
  <c r="F12" i="4"/>
  <c r="L90" i="4" l="1"/>
  <c r="L78" i="4"/>
  <c r="L89" i="4"/>
  <c r="L81" i="4"/>
  <c r="L80" i="4"/>
  <c r="L88" i="4"/>
  <c r="L91" i="4"/>
  <c r="L79" i="4"/>
  <c r="L94" i="4"/>
  <c r="L84" i="4"/>
  <c r="L86" i="4"/>
  <c r="L85" i="4"/>
  <c r="L83" i="4"/>
  <c r="L95" i="4"/>
  <c r="L96" i="4"/>
  <c r="L93" i="4"/>
  <c r="L58" i="4"/>
  <c r="L48" i="4"/>
  <c r="L71" i="4"/>
  <c r="L50" i="4"/>
  <c r="L51" i="4"/>
  <c r="L68" i="4"/>
  <c r="L69" i="4"/>
  <c r="L49" i="4"/>
  <c r="L59" i="4"/>
  <c r="L60" i="4"/>
  <c r="L70" i="4"/>
  <c r="L61" i="4"/>
  <c r="L66" i="4"/>
  <c r="L56" i="4"/>
  <c r="L74" i="4"/>
  <c r="L75" i="4"/>
  <c r="L64" i="4"/>
  <c r="L73" i="4"/>
  <c r="L54" i="4"/>
  <c r="L65" i="4"/>
  <c r="L55" i="4"/>
  <c r="L63" i="4"/>
  <c r="L76" i="4"/>
  <c r="L53" i="4"/>
  <c r="I29" i="22"/>
  <c r="J29" i="22"/>
  <c r="I98" i="20"/>
  <c r="J98" i="20" s="1"/>
  <c r="F46" i="20"/>
  <c r="F23" i="22"/>
  <c r="G18" i="22"/>
  <c r="H18" i="22" s="1"/>
  <c r="G19" i="22"/>
  <c r="H19" i="22" s="1"/>
  <c r="G20" i="22"/>
  <c r="H20" i="22" s="1"/>
  <c r="F80" i="20"/>
  <c r="G18" i="24"/>
  <c r="H18" i="24" s="1"/>
  <c r="G19" i="24"/>
  <c r="H19" i="24" s="1"/>
  <c r="G20" i="24"/>
  <c r="H20" i="24" s="1"/>
  <c r="S8" i="22"/>
  <c r="P9" i="22"/>
  <c r="J153" i="20"/>
  <c r="I153" i="20"/>
  <c r="I142" i="20"/>
  <c r="J142" i="20" s="1"/>
  <c r="U8" i="26"/>
  <c r="R9" i="26"/>
  <c r="I42" i="20"/>
  <c r="J42" i="20" s="1"/>
  <c r="F91" i="22"/>
  <c r="F100" i="20"/>
  <c r="G95" i="20"/>
  <c r="H95" i="20" s="1"/>
  <c r="G96" i="20"/>
  <c r="H96" i="20" s="1"/>
  <c r="G97" i="20"/>
  <c r="H97" i="20" s="1"/>
  <c r="D6" i="20"/>
  <c r="E6" i="20" s="1"/>
  <c r="F113" i="22"/>
  <c r="H14" i="20"/>
  <c r="G15" i="20"/>
  <c r="C7" i="20"/>
  <c r="B8" i="20"/>
  <c r="P8" i="24"/>
  <c r="S7" i="24"/>
  <c r="B10" i="24"/>
  <c r="C9" i="24"/>
  <c r="F58" i="22"/>
  <c r="F53" i="24"/>
  <c r="H10" i="24"/>
  <c r="G11" i="24"/>
  <c r="I130" i="20"/>
  <c r="J130" i="20" s="1"/>
  <c r="J58" i="24"/>
  <c r="I58" i="24"/>
  <c r="E9" i="22"/>
  <c r="D9" i="22"/>
  <c r="F74" i="24"/>
  <c r="F93" i="20"/>
  <c r="G92" i="20"/>
  <c r="H92" i="20" s="1"/>
  <c r="B9" i="26"/>
  <c r="C8" i="26"/>
  <c r="F102" i="22"/>
  <c r="I37" i="24"/>
  <c r="J37" i="24" s="1"/>
  <c r="I31" i="22"/>
  <c r="J31" i="22"/>
  <c r="E8" i="24"/>
  <c r="D8" i="24"/>
  <c r="F58" i="20"/>
  <c r="J70" i="24"/>
  <c r="I70" i="24"/>
  <c r="I11" i="22"/>
  <c r="J11" i="22" s="1"/>
  <c r="J9" i="24"/>
  <c r="I9" i="24"/>
  <c r="I129" i="20"/>
  <c r="J129" i="20" s="1"/>
  <c r="F70" i="20"/>
  <c r="F111" i="20"/>
  <c r="G106" i="20"/>
  <c r="H106" i="20" s="1"/>
  <c r="G107" i="20"/>
  <c r="H107" i="20" s="1"/>
  <c r="G108" i="20"/>
  <c r="H108" i="20" s="1"/>
  <c r="E7" i="26"/>
  <c r="D7" i="26"/>
  <c r="J59" i="24"/>
  <c r="I59" i="24"/>
  <c r="I36" i="24"/>
  <c r="J36" i="24" s="1"/>
  <c r="I30" i="22"/>
  <c r="J30" i="22" s="1"/>
  <c r="I31" i="20"/>
  <c r="J31" i="20" s="1"/>
  <c r="I69" i="24"/>
  <c r="J69" i="24" s="1"/>
  <c r="G13" i="22"/>
  <c r="H12" i="22"/>
  <c r="I128" i="20"/>
  <c r="J128" i="20"/>
  <c r="G109" i="20"/>
  <c r="H109" i="20" s="1"/>
  <c r="I30" i="20"/>
  <c r="J30" i="20" s="1"/>
  <c r="F29" i="24"/>
  <c r="G24" i="24"/>
  <c r="H24" i="24" s="1"/>
  <c r="G25" i="24"/>
  <c r="H25" i="24" s="1"/>
  <c r="G26" i="24"/>
  <c r="H26" i="24" s="1"/>
  <c r="I57" i="24"/>
  <c r="J57" i="24" s="1"/>
  <c r="I41" i="20"/>
  <c r="J41" i="20" s="1"/>
  <c r="I13" i="20"/>
  <c r="J13" i="20" s="1"/>
  <c r="C10" i="22"/>
  <c r="B11" i="22"/>
  <c r="F41" i="24"/>
  <c r="F35" i="22"/>
  <c r="I120" i="20"/>
  <c r="J120" i="20" s="1"/>
  <c r="I29" i="20"/>
  <c r="J29" i="20" s="1"/>
  <c r="I68" i="24"/>
  <c r="J68" i="24" s="1"/>
  <c r="G27" i="24"/>
  <c r="H27" i="24" s="1"/>
  <c r="S8" i="20"/>
  <c r="P9" i="20"/>
  <c r="F69" i="22"/>
  <c r="F80" i="22"/>
  <c r="I35" i="24"/>
  <c r="J35" i="24" s="1"/>
  <c r="F134" i="20"/>
  <c r="F47" i="22"/>
  <c r="I43" i="20"/>
  <c r="J43" i="20" s="1"/>
  <c r="F63" i="24"/>
  <c r="I40" i="20"/>
  <c r="J40" i="20" s="1"/>
  <c r="G21" i="22"/>
  <c r="H21" i="22" s="1"/>
  <c r="G21" i="24"/>
  <c r="H21" i="24" s="1"/>
  <c r="F122" i="20"/>
  <c r="G117" i="20"/>
  <c r="H117" i="20" s="1"/>
  <c r="G118" i="20"/>
  <c r="H118" i="20" s="1"/>
  <c r="G119" i="20"/>
  <c r="H119" i="20" s="1"/>
  <c r="F35" i="20"/>
  <c r="F155" i="20"/>
  <c r="G150" i="20"/>
  <c r="H150" i="20" s="1"/>
  <c r="G151" i="20"/>
  <c r="H151" i="20" s="1"/>
  <c r="G152" i="20"/>
  <c r="H152" i="20" s="1"/>
  <c r="F144" i="20"/>
  <c r="G139" i="20"/>
  <c r="H139" i="20" s="1"/>
  <c r="G140" i="20"/>
  <c r="H140" i="20" s="1"/>
  <c r="G141" i="20"/>
  <c r="H141" i="20" s="1"/>
  <c r="E84" i="1"/>
  <c r="E85" i="1"/>
  <c r="E86" i="1"/>
  <c r="F51" i="1"/>
  <c r="C66" i="1" s="1"/>
  <c r="R75" i="4" l="1"/>
  <c r="AB75" i="4" s="1"/>
  <c r="AC75" i="4"/>
  <c r="R96" i="4"/>
  <c r="AB96" i="4" s="1"/>
  <c r="AC96" i="4"/>
  <c r="R63" i="4"/>
  <c r="AB63" i="4" s="1"/>
  <c r="AC63" i="4"/>
  <c r="R56" i="4"/>
  <c r="AB56" i="4" s="1"/>
  <c r="AC56" i="4"/>
  <c r="R95" i="4"/>
  <c r="AB95" i="4" s="1"/>
  <c r="AC95" i="4"/>
  <c r="R88" i="4"/>
  <c r="AB88" i="4" s="1"/>
  <c r="AC88" i="4"/>
  <c r="R93" i="4"/>
  <c r="AB93" i="4" s="1"/>
  <c r="AC93" i="4"/>
  <c r="R69" i="4"/>
  <c r="AB69" i="4" s="1"/>
  <c r="AC69" i="4"/>
  <c r="R68" i="4"/>
  <c r="AB68" i="4" s="1"/>
  <c r="AC68" i="4"/>
  <c r="R55" i="4"/>
  <c r="AB55" i="4" s="1"/>
  <c r="AC55" i="4"/>
  <c r="R66" i="4"/>
  <c r="AB66" i="4" s="1"/>
  <c r="AC66" i="4"/>
  <c r="R51" i="4"/>
  <c r="AB51" i="4" s="1"/>
  <c r="AC51" i="4"/>
  <c r="R83" i="4"/>
  <c r="AB83" i="4" s="1"/>
  <c r="AC83" i="4"/>
  <c r="R80" i="4"/>
  <c r="AB80" i="4" s="1"/>
  <c r="AC80" i="4"/>
  <c r="R49" i="4"/>
  <c r="AB49" i="4" s="1"/>
  <c r="AC49" i="4"/>
  <c r="R91" i="4"/>
  <c r="AB91" i="4" s="1"/>
  <c r="AC91" i="4"/>
  <c r="R65" i="4"/>
  <c r="AB65" i="4" s="1"/>
  <c r="AC65" i="4"/>
  <c r="R61" i="4"/>
  <c r="AB61" i="4" s="1"/>
  <c r="AC61" i="4"/>
  <c r="R50" i="4"/>
  <c r="AB50" i="4" s="1"/>
  <c r="AC50" i="4"/>
  <c r="R85" i="4"/>
  <c r="AB85" i="4" s="1"/>
  <c r="AC85" i="4"/>
  <c r="R81" i="4"/>
  <c r="AB81" i="4" s="1"/>
  <c r="AC81" i="4"/>
  <c r="R53" i="4"/>
  <c r="AB53" i="4" s="1"/>
  <c r="AC53" i="4"/>
  <c r="R76" i="4"/>
  <c r="AB76" i="4" s="1"/>
  <c r="AC76" i="4"/>
  <c r="R70" i="4"/>
  <c r="AB70" i="4" s="1"/>
  <c r="AC70" i="4"/>
  <c r="R89" i="4"/>
  <c r="AB89" i="4" s="1"/>
  <c r="AC89" i="4"/>
  <c r="R73" i="4"/>
  <c r="AB73" i="4" s="1"/>
  <c r="AC73" i="4"/>
  <c r="R60" i="4"/>
  <c r="AB60" i="4" s="1"/>
  <c r="AC60" i="4"/>
  <c r="R48" i="4"/>
  <c r="AB48" i="4" s="1"/>
  <c r="AC48" i="4"/>
  <c r="AC52" i="4" s="1"/>
  <c r="R84" i="4"/>
  <c r="AB84" i="4" s="1"/>
  <c r="AC84" i="4"/>
  <c r="R78" i="4"/>
  <c r="AB78" i="4" s="1"/>
  <c r="AC78" i="4"/>
  <c r="R79" i="4"/>
  <c r="AC79" i="4"/>
  <c r="R74" i="4"/>
  <c r="AB74" i="4" s="1"/>
  <c r="AC74" i="4"/>
  <c r="R54" i="4"/>
  <c r="AB54" i="4" s="1"/>
  <c r="AC54" i="4"/>
  <c r="R71" i="4"/>
  <c r="AB71" i="4" s="1"/>
  <c r="AC71" i="4"/>
  <c r="R86" i="4"/>
  <c r="AB86" i="4" s="1"/>
  <c r="AC86" i="4"/>
  <c r="R64" i="4"/>
  <c r="AB64" i="4" s="1"/>
  <c r="AC64" i="4"/>
  <c r="R59" i="4"/>
  <c r="AB59" i="4" s="1"/>
  <c r="AC59" i="4"/>
  <c r="R58" i="4"/>
  <c r="AB58" i="4" s="1"/>
  <c r="AC58" i="4"/>
  <c r="R94" i="4"/>
  <c r="AC94" i="4"/>
  <c r="R90" i="4"/>
  <c r="AB90" i="4" s="1"/>
  <c r="AC90" i="4"/>
  <c r="X80" i="4"/>
  <c r="X48" i="4"/>
  <c r="X68" i="4"/>
  <c r="X84" i="4"/>
  <c r="X95" i="4"/>
  <c r="X56" i="4"/>
  <c r="X70" i="4"/>
  <c r="X73" i="4"/>
  <c r="X60" i="4"/>
  <c r="X63" i="4"/>
  <c r="X53" i="4"/>
  <c r="X81" i="4"/>
  <c r="X54" i="4"/>
  <c r="X58" i="4"/>
  <c r="X64" i="4"/>
  <c r="X71" i="4"/>
  <c r="X74" i="4"/>
  <c r="X88" i="4"/>
  <c r="X61" i="4"/>
  <c r="X83" i="4"/>
  <c r="X91" i="4"/>
  <c r="X94" i="4"/>
  <c r="X96" i="4"/>
  <c r="X51" i="4"/>
  <c r="X78" i="4"/>
  <c r="X90" i="4"/>
  <c r="X93" i="4"/>
  <c r="X50" i="4"/>
  <c r="X76" i="4"/>
  <c r="X66" i="4"/>
  <c r="X59" i="4"/>
  <c r="X55" i="4"/>
  <c r="X69" i="4"/>
  <c r="X65" i="4"/>
  <c r="X79" i="4"/>
  <c r="X75" i="4"/>
  <c r="X49" i="4"/>
  <c r="X85" i="4"/>
  <c r="X89" i="4"/>
  <c r="X86" i="4"/>
  <c r="L97" i="4"/>
  <c r="L92" i="4"/>
  <c r="L87" i="4"/>
  <c r="L82" i="4"/>
  <c r="L67" i="4"/>
  <c r="L72" i="4"/>
  <c r="L57" i="4"/>
  <c r="L77" i="4"/>
  <c r="L52" i="4"/>
  <c r="L62" i="4"/>
  <c r="I24" i="24"/>
  <c r="J24" i="24" s="1"/>
  <c r="I14" i="20"/>
  <c r="J14" i="20"/>
  <c r="E9" i="24"/>
  <c r="D9" i="24"/>
  <c r="F36" i="22"/>
  <c r="F114" i="22"/>
  <c r="P10" i="20"/>
  <c r="S9" i="20"/>
  <c r="F64" i="24"/>
  <c r="F30" i="24"/>
  <c r="F47" i="20"/>
  <c r="F112" i="20"/>
  <c r="B11" i="24"/>
  <c r="C10" i="24"/>
  <c r="J151" i="20"/>
  <c r="I151" i="20"/>
  <c r="F123" i="20"/>
  <c r="F75" i="24"/>
  <c r="H11" i="24"/>
  <c r="G12" i="24"/>
  <c r="F92" i="22"/>
  <c r="F81" i="20"/>
  <c r="J119" i="20"/>
  <c r="I119" i="20"/>
  <c r="I12" i="22"/>
  <c r="J12" i="22" s="1"/>
  <c r="I95" i="20"/>
  <c r="J95" i="20" s="1"/>
  <c r="F145" i="20"/>
  <c r="H13" i="22"/>
  <c r="G14" i="22"/>
  <c r="G89" i="20"/>
  <c r="H89" i="20" s="1"/>
  <c r="G90" i="20"/>
  <c r="H90" i="20" s="1"/>
  <c r="G91" i="20"/>
  <c r="H91" i="20" s="1"/>
  <c r="J21" i="24"/>
  <c r="I21" i="24"/>
  <c r="F42" i="24"/>
  <c r="I109" i="20"/>
  <c r="J109" i="20" s="1"/>
  <c r="F71" i="20"/>
  <c r="G70" i="20"/>
  <c r="H70" i="20" s="1"/>
  <c r="I10" i="24"/>
  <c r="J10" i="24" s="1"/>
  <c r="P9" i="24"/>
  <c r="S8" i="24"/>
  <c r="J20" i="22"/>
  <c r="I20" i="22"/>
  <c r="I139" i="20"/>
  <c r="J139" i="20" s="1"/>
  <c r="F135" i="20"/>
  <c r="J92" i="20"/>
  <c r="I92" i="20"/>
  <c r="F101" i="20"/>
  <c r="I152" i="20"/>
  <c r="J152" i="20" s="1"/>
  <c r="I150" i="20"/>
  <c r="J150" i="20" s="1"/>
  <c r="F156" i="20"/>
  <c r="I21" i="22"/>
  <c r="J21" i="22" s="1"/>
  <c r="F81" i="22"/>
  <c r="F103" i="22"/>
  <c r="B9" i="20"/>
  <c r="C8" i="20"/>
  <c r="P10" i="22"/>
  <c r="S9" i="22"/>
  <c r="J19" i="22"/>
  <c r="I19" i="22"/>
  <c r="I107" i="20"/>
  <c r="J107" i="20" s="1"/>
  <c r="C9" i="26"/>
  <c r="B10" i="26"/>
  <c r="F59" i="22"/>
  <c r="I118" i="20"/>
  <c r="J118" i="20" s="1"/>
  <c r="I18" i="24"/>
  <c r="J18" i="24" s="1"/>
  <c r="I27" i="24"/>
  <c r="J27" i="24" s="1"/>
  <c r="I141" i="20"/>
  <c r="J141" i="20" s="1"/>
  <c r="I26" i="24"/>
  <c r="J26" i="24" s="1"/>
  <c r="F59" i="20"/>
  <c r="F54" i="24"/>
  <c r="D7" i="20"/>
  <c r="E7" i="20"/>
  <c r="I97" i="20"/>
  <c r="J97" i="20" s="1"/>
  <c r="U9" i="26"/>
  <c r="R10" i="26"/>
  <c r="J18" i="22"/>
  <c r="I18" i="22"/>
  <c r="I19" i="24"/>
  <c r="J19" i="24" s="1"/>
  <c r="I106" i="20"/>
  <c r="J106" i="20" s="1"/>
  <c r="I117" i="20"/>
  <c r="J117" i="20" s="1"/>
  <c r="F70" i="22"/>
  <c r="C11" i="22"/>
  <c r="B12" i="22"/>
  <c r="I140" i="20"/>
  <c r="J140" i="20" s="1"/>
  <c r="F36" i="20"/>
  <c r="F48" i="22"/>
  <c r="D10" i="22"/>
  <c r="E10" i="22"/>
  <c r="I25" i="24"/>
  <c r="J25" i="24" s="1"/>
  <c r="I108" i="20"/>
  <c r="J108" i="20" s="1"/>
  <c r="E8" i="26"/>
  <c r="D8" i="26"/>
  <c r="H15" i="20"/>
  <c r="G16" i="20"/>
  <c r="I96" i="20"/>
  <c r="J96" i="20"/>
  <c r="J20" i="24"/>
  <c r="I20" i="24"/>
  <c r="F24" i="22"/>
  <c r="K14" i="16"/>
  <c r="K22" i="16"/>
  <c r="K30" i="16"/>
  <c r="K38" i="16"/>
  <c r="K8" i="16"/>
  <c r="K15" i="16"/>
  <c r="K16" i="16"/>
  <c r="K17" i="16"/>
  <c r="K18" i="16"/>
  <c r="K19" i="16"/>
  <c r="K20" i="16"/>
  <c r="K23" i="16"/>
  <c r="K24" i="16"/>
  <c r="K25" i="16"/>
  <c r="K26" i="16"/>
  <c r="K27" i="16"/>
  <c r="K28" i="16"/>
  <c r="K29" i="16"/>
  <c r="K32" i="16"/>
  <c r="K33" i="16"/>
  <c r="K34" i="16"/>
  <c r="K35" i="16"/>
  <c r="K36" i="16"/>
  <c r="K37" i="16"/>
  <c r="K39" i="16"/>
  <c r="K40" i="16"/>
  <c r="H41" i="16"/>
  <c r="H31" i="16"/>
  <c r="H32" i="16"/>
  <c r="H24" i="16"/>
  <c r="B8" i="16"/>
  <c r="AC82" i="4" l="1"/>
  <c r="R97" i="4"/>
  <c r="AB97" i="4" s="1"/>
  <c r="AB94" i="4"/>
  <c r="R82" i="4"/>
  <c r="AB79" i="4"/>
  <c r="R52" i="4"/>
  <c r="AB52" i="4" s="1"/>
  <c r="R62" i="4"/>
  <c r="AB62" i="4" s="1"/>
  <c r="R92" i="4"/>
  <c r="AB92" i="4" s="1"/>
  <c r="R67" i="4"/>
  <c r="AB67" i="4" s="1"/>
  <c r="R77" i="4"/>
  <c r="AB77" i="4" s="1"/>
  <c r="R87" i="4"/>
  <c r="AB87" i="4" s="1"/>
  <c r="R57" i="4"/>
  <c r="AB57" i="4" s="1"/>
  <c r="AC67" i="4"/>
  <c r="AC57" i="4"/>
  <c r="AC87" i="4"/>
  <c r="AC72" i="4"/>
  <c r="AC97" i="4"/>
  <c r="AC62" i="4"/>
  <c r="AC77" i="4"/>
  <c r="AC92" i="4"/>
  <c r="R72" i="4"/>
  <c r="AB72" i="4" s="1"/>
  <c r="S9" i="24"/>
  <c r="P10" i="24"/>
  <c r="I15" i="20"/>
  <c r="J15" i="20" s="1"/>
  <c r="I70" i="20"/>
  <c r="J70" i="20" s="1"/>
  <c r="F49" i="22"/>
  <c r="F55" i="24"/>
  <c r="G54" i="24"/>
  <c r="H54" i="24" s="1"/>
  <c r="C10" i="26"/>
  <c r="B11" i="26"/>
  <c r="D8" i="20"/>
  <c r="E8" i="20" s="1"/>
  <c r="F102" i="20"/>
  <c r="I89" i="20"/>
  <c r="J89" i="20" s="1"/>
  <c r="H12" i="24"/>
  <c r="G13" i="24"/>
  <c r="F31" i="24"/>
  <c r="F37" i="22"/>
  <c r="F157" i="20"/>
  <c r="I13" i="22"/>
  <c r="J13" i="22"/>
  <c r="C11" i="24"/>
  <c r="B12" i="24"/>
  <c r="F104" i="22"/>
  <c r="G103" i="22"/>
  <c r="H103" i="22" s="1"/>
  <c r="U10" i="26"/>
  <c r="R11" i="26"/>
  <c r="E9" i="26"/>
  <c r="D9" i="26"/>
  <c r="B10" i="20"/>
  <c r="C9" i="20"/>
  <c r="H14" i="22"/>
  <c r="G15" i="22"/>
  <c r="J11" i="24"/>
  <c r="I11" i="24"/>
  <c r="D10" i="24"/>
  <c r="E10" i="24" s="1"/>
  <c r="F65" i="24"/>
  <c r="F37" i="20"/>
  <c r="F60" i="20"/>
  <c r="G59" i="20" s="1"/>
  <c r="H59" i="20" s="1"/>
  <c r="F76" i="24"/>
  <c r="F113" i="20"/>
  <c r="H16" i="20"/>
  <c r="G17" i="20"/>
  <c r="F146" i="20"/>
  <c r="F82" i="20"/>
  <c r="G81" i="20"/>
  <c r="H81" i="20" s="1"/>
  <c r="P11" i="20"/>
  <c r="S10" i="20"/>
  <c r="F115" i="22"/>
  <c r="F136" i="20"/>
  <c r="C12" i="22"/>
  <c r="B13" i="22"/>
  <c r="E11" i="22"/>
  <c r="D11" i="22"/>
  <c r="F82" i="22"/>
  <c r="G81" i="22"/>
  <c r="H81" i="22" s="1"/>
  <c r="G67" i="20"/>
  <c r="H67" i="20" s="1"/>
  <c r="G68" i="20"/>
  <c r="H68" i="20" s="1"/>
  <c r="G69" i="20"/>
  <c r="H69" i="20" s="1"/>
  <c r="I91" i="20"/>
  <c r="J91" i="20" s="1"/>
  <c r="F93" i="22"/>
  <c r="G92" i="22"/>
  <c r="H92" i="22" s="1"/>
  <c r="F124" i="20"/>
  <c r="F48" i="20"/>
  <c r="F43" i="24"/>
  <c r="F25" i="22"/>
  <c r="F71" i="22"/>
  <c r="G70" i="22"/>
  <c r="H70" i="22" s="1"/>
  <c r="F60" i="22"/>
  <c r="G59" i="22" s="1"/>
  <c r="H59" i="22" s="1"/>
  <c r="P11" i="22"/>
  <c r="S10" i="22"/>
  <c r="I90" i="20"/>
  <c r="J90" i="20" s="1"/>
  <c r="K14" i="15"/>
  <c r="K15" i="15"/>
  <c r="K16" i="15"/>
  <c r="K17" i="15"/>
  <c r="K18" i="15"/>
  <c r="K19" i="15"/>
  <c r="K20" i="15"/>
  <c r="K21" i="15"/>
  <c r="K22" i="15"/>
  <c r="K23" i="15"/>
  <c r="K24" i="15"/>
  <c r="K25" i="15"/>
  <c r="K26" i="15"/>
  <c r="K27" i="15"/>
  <c r="K28" i="15"/>
  <c r="K30" i="15"/>
  <c r="K31" i="15"/>
  <c r="K32" i="15"/>
  <c r="K33" i="15"/>
  <c r="K34" i="15"/>
  <c r="K35" i="15"/>
  <c r="K36" i="15"/>
  <c r="K38" i="15"/>
  <c r="K39" i="15"/>
  <c r="K40" i="15"/>
  <c r="K41" i="15"/>
  <c r="K42" i="15"/>
  <c r="K43" i="15"/>
  <c r="K44" i="15"/>
  <c r="K46" i="15"/>
  <c r="K47" i="15"/>
  <c r="K48" i="15"/>
  <c r="K49" i="15"/>
  <c r="K50" i="15"/>
  <c r="K51" i="15"/>
  <c r="K52" i="15"/>
  <c r="K54" i="15"/>
  <c r="K55" i="15"/>
  <c r="K56" i="15"/>
  <c r="K57" i="15"/>
  <c r="K58" i="15"/>
  <c r="K59" i="15"/>
  <c r="K60" i="15"/>
  <c r="K61" i="15"/>
  <c r="K62" i="15"/>
  <c r="K63" i="15"/>
  <c r="K64" i="15"/>
  <c r="K65" i="15"/>
  <c r="H66" i="15"/>
  <c r="H45" i="15"/>
  <c r="H50" i="15"/>
  <c r="H37" i="15"/>
  <c r="H32" i="15"/>
  <c r="H24" i="15"/>
  <c r="B8" i="15"/>
  <c r="K14" i="14"/>
  <c r="K15" i="14"/>
  <c r="K16" i="14"/>
  <c r="K17" i="14"/>
  <c r="K18" i="14"/>
  <c r="K19" i="14"/>
  <c r="K20" i="14"/>
  <c r="K21" i="14"/>
  <c r="K22" i="14"/>
  <c r="K23" i="14"/>
  <c r="K24" i="14"/>
  <c r="K25" i="14"/>
  <c r="K27" i="14"/>
  <c r="K28" i="14"/>
  <c r="K29" i="14"/>
  <c r="K30" i="14"/>
  <c r="K32" i="14"/>
  <c r="K33" i="14"/>
  <c r="K34" i="14"/>
  <c r="K35" i="14"/>
  <c r="K37" i="14"/>
  <c r="K38" i="14"/>
  <c r="K39" i="14"/>
  <c r="K40" i="14"/>
  <c r="K42" i="14"/>
  <c r="K43" i="14"/>
  <c r="K44" i="14"/>
  <c r="K45" i="14"/>
  <c r="K46" i="14"/>
  <c r="K47" i="14"/>
  <c r="K48" i="14"/>
  <c r="K49" i="14"/>
  <c r="K50" i="14"/>
  <c r="H51" i="14"/>
  <c r="H36" i="14"/>
  <c r="H50" i="14"/>
  <c r="H31" i="14"/>
  <c r="H32" i="14"/>
  <c r="H24" i="14"/>
  <c r="B8" i="14"/>
  <c r="K14" i="13"/>
  <c r="K16" i="13"/>
  <c r="K17" i="13"/>
  <c r="K18" i="13"/>
  <c r="K19" i="13"/>
  <c r="K20" i="13"/>
  <c r="K21" i="13"/>
  <c r="K22" i="13"/>
  <c r="K23" i="13"/>
  <c r="K24" i="13"/>
  <c r="K25" i="13"/>
  <c r="K26" i="13"/>
  <c r="K27" i="13"/>
  <c r="K28" i="13"/>
  <c r="K29" i="13"/>
  <c r="K30" i="13"/>
  <c r="K32" i="13"/>
  <c r="K33" i="13"/>
  <c r="K34" i="13"/>
  <c r="K35" i="13"/>
  <c r="K36" i="13"/>
  <c r="K37" i="13"/>
  <c r="K38" i="13"/>
  <c r="K39" i="13"/>
  <c r="K40" i="13"/>
  <c r="K42" i="13"/>
  <c r="K43" i="13"/>
  <c r="K44" i="13"/>
  <c r="K45" i="13"/>
  <c r="K46" i="13"/>
  <c r="K47" i="13"/>
  <c r="K48" i="13"/>
  <c r="K49" i="13"/>
  <c r="K50" i="13"/>
  <c r="K52" i="13"/>
  <c r="K53" i="13"/>
  <c r="K54" i="13"/>
  <c r="K55" i="13"/>
  <c r="K56" i="13"/>
  <c r="K57" i="13"/>
  <c r="K58" i="13"/>
  <c r="K59" i="13"/>
  <c r="K60" i="13"/>
  <c r="K62" i="13"/>
  <c r="K63" i="13"/>
  <c r="K64" i="13"/>
  <c r="K65" i="13"/>
  <c r="K66" i="13"/>
  <c r="K67" i="13"/>
  <c r="K68" i="13"/>
  <c r="K69" i="13"/>
  <c r="K70" i="13"/>
  <c r="H71" i="13"/>
  <c r="H50" i="13"/>
  <c r="H51" i="13"/>
  <c r="H41" i="13"/>
  <c r="H32" i="13"/>
  <c r="H24" i="13"/>
  <c r="B8" i="13"/>
  <c r="K14" i="12"/>
  <c r="K15" i="12"/>
  <c r="K16" i="12"/>
  <c r="K17" i="12"/>
  <c r="K18" i="12"/>
  <c r="K19" i="12"/>
  <c r="K20" i="12"/>
  <c r="K21" i="12"/>
  <c r="K22" i="12"/>
  <c r="K23" i="12"/>
  <c r="K24" i="12"/>
  <c r="K25" i="12"/>
  <c r="K27" i="12"/>
  <c r="K28" i="12"/>
  <c r="K29" i="12"/>
  <c r="K30" i="12"/>
  <c r="K31" i="12"/>
  <c r="K32" i="12"/>
  <c r="K33" i="12"/>
  <c r="K35" i="12"/>
  <c r="K36" i="12"/>
  <c r="K37" i="12"/>
  <c r="K38" i="12"/>
  <c r="K39" i="12"/>
  <c r="K40" i="12"/>
  <c r="K41" i="12"/>
  <c r="K43" i="12"/>
  <c r="K44" i="12"/>
  <c r="K45" i="12"/>
  <c r="K46" i="12"/>
  <c r="K47" i="12"/>
  <c r="K48" i="12"/>
  <c r="K49" i="12"/>
  <c r="K51" i="12"/>
  <c r="K52" i="12"/>
  <c r="K53" i="12"/>
  <c r="K54" i="12"/>
  <c r="K55" i="12"/>
  <c r="K56" i="12"/>
  <c r="K57" i="12"/>
  <c r="K58" i="12"/>
  <c r="K59" i="12"/>
  <c r="K60" i="12"/>
  <c r="I59" i="22" l="1"/>
  <c r="J59" i="22" s="1"/>
  <c r="I59" i="20"/>
  <c r="J59" i="20" s="1"/>
  <c r="P12" i="22"/>
  <c r="S11" i="22"/>
  <c r="I81" i="20"/>
  <c r="J81" i="20" s="1"/>
  <c r="F114" i="20"/>
  <c r="C10" i="20"/>
  <c r="B11" i="20"/>
  <c r="C12" i="24"/>
  <c r="B13" i="24"/>
  <c r="F32" i="24"/>
  <c r="G45" i="22"/>
  <c r="H45" i="22" s="1"/>
  <c r="G46" i="22"/>
  <c r="H46" i="22" s="1"/>
  <c r="G47" i="22"/>
  <c r="H47" i="22" s="1"/>
  <c r="I69" i="20"/>
  <c r="J69" i="20" s="1"/>
  <c r="E12" i="22"/>
  <c r="D12" i="22"/>
  <c r="G78" i="20"/>
  <c r="H78" i="20" s="1"/>
  <c r="G79" i="20"/>
  <c r="H79" i="20" s="1"/>
  <c r="G80" i="20"/>
  <c r="H80" i="20" s="1"/>
  <c r="D11" i="24"/>
  <c r="E11" i="24" s="1"/>
  <c r="G56" i="22"/>
  <c r="H56" i="22" s="1"/>
  <c r="G57" i="22"/>
  <c r="H57" i="22" s="1"/>
  <c r="G58" i="22"/>
  <c r="H58" i="22" s="1"/>
  <c r="F137" i="20"/>
  <c r="B12" i="26"/>
  <c r="C11" i="26"/>
  <c r="F49" i="20"/>
  <c r="G48" i="20"/>
  <c r="H48" i="20" s="1"/>
  <c r="I67" i="20"/>
  <c r="J67" i="20" s="1"/>
  <c r="F147" i="20"/>
  <c r="I12" i="24"/>
  <c r="J12" i="24" s="1"/>
  <c r="D10" i="26"/>
  <c r="E10" i="26" s="1"/>
  <c r="C13" i="22"/>
  <c r="B14" i="22"/>
  <c r="F125" i="20"/>
  <c r="J81" i="22"/>
  <c r="I81" i="22"/>
  <c r="F116" i="22"/>
  <c r="G111" i="22"/>
  <c r="H111" i="22" s="1"/>
  <c r="G112" i="22"/>
  <c r="H112" i="22" s="1"/>
  <c r="G113" i="22"/>
  <c r="H113" i="22" s="1"/>
  <c r="G56" i="20"/>
  <c r="H56" i="20" s="1"/>
  <c r="G57" i="20"/>
  <c r="H57" i="20" s="1"/>
  <c r="G58" i="20"/>
  <c r="H58" i="20" s="1"/>
  <c r="U11" i="26"/>
  <c r="R12" i="26"/>
  <c r="F77" i="24"/>
  <c r="I70" i="22"/>
  <c r="J70" i="22" s="1"/>
  <c r="G67" i="22"/>
  <c r="H67" i="22" s="1"/>
  <c r="G68" i="22"/>
  <c r="H68" i="22" s="1"/>
  <c r="G69" i="22"/>
  <c r="H69" i="22" s="1"/>
  <c r="J92" i="22"/>
  <c r="I92" i="22"/>
  <c r="G78" i="22"/>
  <c r="H78" i="22" s="1"/>
  <c r="G79" i="22"/>
  <c r="H79" i="22" s="1"/>
  <c r="G80" i="22"/>
  <c r="H80" i="22" s="1"/>
  <c r="G114" i="22"/>
  <c r="H114" i="22" s="1"/>
  <c r="G18" i="20"/>
  <c r="H17" i="20"/>
  <c r="H15" i="22"/>
  <c r="G16" i="22"/>
  <c r="H16" i="22" s="1"/>
  <c r="F158" i="20"/>
  <c r="J54" i="24"/>
  <c r="I54" i="24"/>
  <c r="S10" i="24"/>
  <c r="P11" i="24"/>
  <c r="G14" i="24"/>
  <c r="H13" i="24"/>
  <c r="F26" i="22"/>
  <c r="G89" i="22"/>
  <c r="H89" i="22" s="1"/>
  <c r="G90" i="22"/>
  <c r="H90" i="22" s="1"/>
  <c r="G91" i="22"/>
  <c r="H91" i="22" s="1"/>
  <c r="I16" i="20"/>
  <c r="J16" i="20" s="1"/>
  <c r="F38" i="20"/>
  <c r="G37" i="20"/>
  <c r="H37" i="20" s="1"/>
  <c r="I14" i="22"/>
  <c r="J14" i="22"/>
  <c r="I103" i="22"/>
  <c r="J103" i="22" s="1"/>
  <c r="G51" i="24"/>
  <c r="H51" i="24" s="1"/>
  <c r="G52" i="24"/>
  <c r="H52" i="24" s="1"/>
  <c r="G53" i="24"/>
  <c r="H53" i="24" s="1"/>
  <c r="I68" i="20"/>
  <c r="J68" i="20" s="1"/>
  <c r="F44" i="24"/>
  <c r="G43" i="24" s="1"/>
  <c r="H43" i="24" s="1"/>
  <c r="P12" i="20"/>
  <c r="S11" i="20"/>
  <c r="F66" i="24"/>
  <c r="G65" i="24" s="1"/>
  <c r="H65" i="24" s="1"/>
  <c r="D9" i="20"/>
  <c r="E9" i="20" s="1"/>
  <c r="G100" i="22"/>
  <c r="H100" i="22" s="1"/>
  <c r="G101" i="22"/>
  <c r="H101" i="22" s="1"/>
  <c r="G102" i="22"/>
  <c r="H102" i="22" s="1"/>
  <c r="F38" i="22"/>
  <c r="G37" i="22" s="1"/>
  <c r="H37" i="22" s="1"/>
  <c r="F103" i="20"/>
  <c r="G48" i="22"/>
  <c r="H48" i="22" s="1"/>
  <c r="H61" i="12"/>
  <c r="H50" i="12"/>
  <c r="H42" i="12"/>
  <c r="H34" i="12"/>
  <c r="H32" i="12"/>
  <c r="H24" i="12"/>
  <c r="B8" i="12"/>
  <c r="I65" i="24" l="1"/>
  <c r="J65" i="24" s="1"/>
  <c r="I43" i="24"/>
  <c r="J43" i="24" s="1"/>
  <c r="I37" i="22"/>
  <c r="J37" i="22" s="1"/>
  <c r="P13" i="20"/>
  <c r="S12" i="20"/>
  <c r="I101" i="22"/>
  <c r="J101" i="22"/>
  <c r="I90" i="22"/>
  <c r="J90" i="22" s="1"/>
  <c r="I114" i="22"/>
  <c r="J114" i="22" s="1"/>
  <c r="I67" i="22"/>
  <c r="J67" i="22" s="1"/>
  <c r="I57" i="20"/>
  <c r="J57" i="20" s="1"/>
  <c r="G125" i="20"/>
  <c r="H125" i="20" s="1"/>
  <c r="F126" i="20"/>
  <c r="B13" i="26"/>
  <c r="C12" i="26"/>
  <c r="I58" i="22"/>
  <c r="J58" i="22"/>
  <c r="G19" i="20"/>
  <c r="H18" i="20"/>
  <c r="G133" i="20"/>
  <c r="H133" i="20" s="1"/>
  <c r="G134" i="20"/>
  <c r="H134" i="20" s="1"/>
  <c r="G135" i="20"/>
  <c r="H135" i="20" s="1"/>
  <c r="J89" i="22"/>
  <c r="I89" i="22"/>
  <c r="I56" i="20"/>
  <c r="J56" i="20" s="1"/>
  <c r="I57" i="22"/>
  <c r="J57" i="22" s="1"/>
  <c r="C13" i="24"/>
  <c r="B14" i="24"/>
  <c r="J91" i="22"/>
  <c r="I91" i="22"/>
  <c r="J100" i="22"/>
  <c r="I100" i="22"/>
  <c r="F159" i="20"/>
  <c r="G158" i="20"/>
  <c r="H158" i="20" s="1"/>
  <c r="I79" i="22"/>
  <c r="J79" i="22"/>
  <c r="I113" i="22"/>
  <c r="J113" i="22" s="1"/>
  <c r="F148" i="20"/>
  <c r="I56" i="22"/>
  <c r="J56" i="22"/>
  <c r="D12" i="24"/>
  <c r="E12" i="24"/>
  <c r="P13" i="22"/>
  <c r="S12" i="22"/>
  <c r="J102" i="22"/>
  <c r="I102" i="22"/>
  <c r="I68" i="22"/>
  <c r="J68" i="22"/>
  <c r="D11" i="26"/>
  <c r="E11" i="26" s="1"/>
  <c r="G32" i="24"/>
  <c r="H32" i="24" s="1"/>
  <c r="F33" i="24"/>
  <c r="J48" i="22"/>
  <c r="I48" i="22"/>
  <c r="I37" i="20"/>
  <c r="J37" i="20" s="1"/>
  <c r="I78" i="22"/>
  <c r="J78" i="22" s="1"/>
  <c r="G73" i="24"/>
  <c r="H73" i="24" s="1"/>
  <c r="G74" i="24"/>
  <c r="H74" i="24" s="1"/>
  <c r="G75" i="24"/>
  <c r="H75" i="24" s="1"/>
  <c r="I112" i="22"/>
  <c r="J112" i="22"/>
  <c r="B15" i="22"/>
  <c r="C14" i="22"/>
  <c r="C11" i="20"/>
  <c r="B12" i="20"/>
  <c r="I78" i="20"/>
  <c r="J78" i="20" s="1"/>
  <c r="G40" i="24"/>
  <c r="H40" i="24" s="1"/>
  <c r="G41" i="24"/>
  <c r="H41" i="24" s="1"/>
  <c r="G42" i="24"/>
  <c r="H42" i="24" s="1"/>
  <c r="I80" i="22"/>
  <c r="J80" i="22"/>
  <c r="F104" i="20"/>
  <c r="G103" i="20" s="1"/>
  <c r="H103" i="20" s="1"/>
  <c r="F27" i="22"/>
  <c r="I53" i="24"/>
  <c r="J53" i="24"/>
  <c r="G34" i="20"/>
  <c r="H34" i="20" s="1"/>
  <c r="G35" i="20"/>
  <c r="H35" i="20" s="1"/>
  <c r="G36" i="20"/>
  <c r="H36" i="20" s="1"/>
  <c r="I13" i="24"/>
  <c r="J13" i="24"/>
  <c r="I16" i="22"/>
  <c r="J16" i="22" s="1"/>
  <c r="G76" i="24"/>
  <c r="H76" i="24" s="1"/>
  <c r="I111" i="22"/>
  <c r="J111" i="22" s="1"/>
  <c r="E13" i="22"/>
  <c r="D13" i="22"/>
  <c r="I47" i="22"/>
  <c r="J47" i="22" s="1"/>
  <c r="D10" i="20"/>
  <c r="E10" i="20"/>
  <c r="I58" i="20"/>
  <c r="J58" i="20" s="1"/>
  <c r="G62" i="24"/>
  <c r="H62" i="24" s="1"/>
  <c r="G63" i="24"/>
  <c r="H63" i="24" s="1"/>
  <c r="G64" i="24"/>
  <c r="H64" i="24" s="1"/>
  <c r="I52" i="24"/>
  <c r="J52" i="24" s="1"/>
  <c r="G15" i="24"/>
  <c r="H14" i="24"/>
  <c r="I15" i="22"/>
  <c r="J15" i="22" s="1"/>
  <c r="U12" i="26"/>
  <c r="R13" i="26"/>
  <c r="F117" i="22"/>
  <c r="G116" i="22"/>
  <c r="H116" i="22" s="1"/>
  <c r="I48" i="20"/>
  <c r="J48" i="20" s="1"/>
  <c r="I80" i="20"/>
  <c r="J80" i="20" s="1"/>
  <c r="I46" i="22"/>
  <c r="J46" i="22" s="1"/>
  <c r="G34" i="22"/>
  <c r="H34" i="22" s="1"/>
  <c r="G35" i="22"/>
  <c r="H35" i="22" s="1"/>
  <c r="G36" i="22"/>
  <c r="H36" i="22" s="1"/>
  <c r="I51" i="24"/>
  <c r="J51" i="24" s="1"/>
  <c r="P12" i="24"/>
  <c r="S11" i="24"/>
  <c r="J17" i="20"/>
  <c r="I17" i="20"/>
  <c r="I69" i="22"/>
  <c r="J69" i="22" s="1"/>
  <c r="G45" i="20"/>
  <c r="H45" i="20" s="1"/>
  <c r="G46" i="20"/>
  <c r="H46" i="20" s="1"/>
  <c r="G47" i="20"/>
  <c r="H47" i="20" s="1"/>
  <c r="G136" i="20"/>
  <c r="H136" i="20" s="1"/>
  <c r="I79" i="20"/>
  <c r="J79" i="20" s="1"/>
  <c r="I45" i="22"/>
  <c r="J45" i="22"/>
  <c r="F115" i="20"/>
  <c r="G114" i="20"/>
  <c r="H114" i="20" s="1"/>
  <c r="E28" i="7"/>
  <c r="E31" i="7"/>
  <c r="E33" i="7"/>
  <c r="E34" i="7"/>
  <c r="E36" i="7"/>
  <c r="E39" i="7"/>
  <c r="E40" i="7"/>
  <c r="E41" i="7"/>
  <c r="E44" i="7"/>
  <c r="E47" i="7"/>
  <c r="E48" i="7"/>
  <c r="E49" i="7"/>
  <c r="E50" i="7"/>
  <c r="E55" i="7"/>
  <c r="E56" i="7"/>
  <c r="E57" i="7"/>
  <c r="E59" i="7"/>
  <c r="E60" i="7"/>
  <c r="E63" i="7"/>
  <c r="E64" i="7"/>
  <c r="E65" i="7"/>
  <c r="E66" i="7"/>
  <c r="E68" i="7"/>
  <c r="E70" i="7"/>
  <c r="E73" i="7"/>
  <c r="E74" i="7"/>
  <c r="E75" i="7"/>
  <c r="E76" i="7"/>
  <c r="E78" i="7"/>
  <c r="E79" i="7"/>
  <c r="E80" i="7"/>
  <c r="E81" i="7"/>
  <c r="E82" i="7"/>
  <c r="E83" i="7"/>
  <c r="E85" i="7"/>
  <c r="E86" i="7"/>
  <c r="E88" i="7"/>
  <c r="E89" i="7"/>
  <c r="E90" i="7"/>
  <c r="E91" i="7"/>
  <c r="E92" i="7"/>
  <c r="E93" i="7"/>
  <c r="E94" i="7"/>
  <c r="E95" i="7"/>
  <c r="E96" i="7"/>
  <c r="E98" i="7"/>
  <c r="E99" i="7"/>
  <c r="E100" i="7"/>
  <c r="E101" i="7"/>
  <c r="E102" i="7"/>
  <c r="E103" i="7"/>
  <c r="E104" i="7"/>
  <c r="E105" i="7"/>
  <c r="E106" i="7"/>
  <c r="E107" i="7"/>
  <c r="E108" i="7"/>
  <c r="E109" i="7"/>
  <c r="E111" i="7"/>
  <c r="E112" i="7"/>
  <c r="E113" i="7"/>
  <c r="E114" i="7"/>
  <c r="E115" i="7"/>
  <c r="E116" i="7"/>
  <c r="E117" i="7"/>
  <c r="E118" i="7"/>
  <c r="E119" i="7"/>
  <c r="E120" i="7"/>
  <c r="E121" i="7"/>
  <c r="E122" i="7"/>
  <c r="E123" i="7"/>
  <c r="E124" i="7"/>
  <c r="E125" i="7"/>
  <c r="E126" i="7"/>
  <c r="K14" i="9"/>
  <c r="K15" i="9"/>
  <c r="K16" i="9"/>
  <c r="K17" i="9"/>
  <c r="K19" i="9"/>
  <c r="K20" i="9"/>
  <c r="K21" i="9"/>
  <c r="K22" i="9"/>
  <c r="K23" i="9"/>
  <c r="K24" i="9"/>
  <c r="K25" i="9"/>
  <c r="K27" i="9"/>
  <c r="K29" i="9"/>
  <c r="K30" i="9"/>
  <c r="K31" i="9"/>
  <c r="K32" i="9"/>
  <c r="K33" i="9"/>
  <c r="K34" i="9"/>
  <c r="K35" i="9"/>
  <c r="K37" i="9"/>
  <c r="K38" i="9"/>
  <c r="K39" i="9"/>
  <c r="K40" i="9"/>
  <c r="K41" i="9"/>
  <c r="K42" i="9"/>
  <c r="K43" i="9"/>
  <c r="K45" i="9"/>
  <c r="K46" i="9"/>
  <c r="K47" i="9"/>
  <c r="K48" i="9"/>
  <c r="K49" i="9"/>
  <c r="K50" i="9"/>
  <c r="K54" i="9"/>
  <c r="K55" i="9"/>
  <c r="K56" i="9"/>
  <c r="K57" i="9"/>
  <c r="K58" i="9"/>
  <c r="K59" i="9"/>
  <c r="K61" i="9"/>
  <c r="K62" i="9"/>
  <c r="K63" i="9"/>
  <c r="K64" i="9"/>
  <c r="K65" i="9"/>
  <c r="K66" i="9"/>
  <c r="K67" i="9"/>
  <c r="K69" i="9"/>
  <c r="K70" i="9"/>
  <c r="K71" i="9"/>
  <c r="K72" i="9"/>
  <c r="K73" i="9"/>
  <c r="K74" i="9"/>
  <c r="K75" i="9"/>
  <c r="K76" i="9"/>
  <c r="K77" i="9"/>
  <c r="K78" i="9"/>
  <c r="K79" i="9"/>
  <c r="K80" i="9"/>
  <c r="K81" i="9"/>
  <c r="K82" i="9"/>
  <c r="K83" i="9"/>
  <c r="K84" i="9"/>
  <c r="K85" i="9"/>
  <c r="B10" i="11"/>
  <c r="H10" i="11" s="1"/>
  <c r="B8" i="10"/>
  <c r="K9" i="10" s="1"/>
  <c r="B8" i="9"/>
  <c r="I103" i="20" l="1"/>
  <c r="J103" i="20" s="1"/>
  <c r="I64" i="24"/>
  <c r="J64" i="24" s="1"/>
  <c r="I75" i="24"/>
  <c r="J75" i="24" s="1"/>
  <c r="G144" i="20"/>
  <c r="H144" i="20" s="1"/>
  <c r="G145" i="20"/>
  <c r="H145" i="20" s="1"/>
  <c r="G146" i="20"/>
  <c r="H146" i="20" s="1"/>
  <c r="U13" i="26"/>
  <c r="R14" i="26"/>
  <c r="G23" i="22"/>
  <c r="H23" i="22" s="1"/>
  <c r="G24" i="22"/>
  <c r="H24" i="22" s="1"/>
  <c r="G25" i="22"/>
  <c r="H25" i="22" s="1"/>
  <c r="I136" i="20"/>
  <c r="J136" i="20"/>
  <c r="I63" i="24"/>
  <c r="J63" i="24" s="1"/>
  <c r="J74" i="24"/>
  <c r="I74" i="24"/>
  <c r="G29" i="24"/>
  <c r="H29" i="24" s="1"/>
  <c r="G30" i="24"/>
  <c r="H30" i="24" s="1"/>
  <c r="G31" i="24"/>
  <c r="H31" i="24" s="1"/>
  <c r="S13" i="20"/>
  <c r="P14" i="20"/>
  <c r="I73" i="24"/>
  <c r="J73" i="24" s="1"/>
  <c r="I114" i="20"/>
  <c r="J114" i="20" s="1"/>
  <c r="J35" i="20"/>
  <c r="I35" i="20"/>
  <c r="E11" i="20"/>
  <c r="D11" i="20"/>
  <c r="B15" i="24"/>
  <c r="C14" i="24"/>
  <c r="I135" i="20"/>
  <c r="J135" i="20"/>
  <c r="B14" i="26"/>
  <c r="C13" i="26"/>
  <c r="I47" i="20"/>
  <c r="J47" i="20" s="1"/>
  <c r="I32" i="24"/>
  <c r="J32" i="24" s="1"/>
  <c r="I46" i="20"/>
  <c r="J46" i="20" s="1"/>
  <c r="G111" i="20"/>
  <c r="H111" i="20" s="1"/>
  <c r="G112" i="20"/>
  <c r="H112" i="20" s="1"/>
  <c r="G113" i="20"/>
  <c r="H113" i="20" s="1"/>
  <c r="I45" i="20"/>
  <c r="J45" i="20" s="1"/>
  <c r="I14" i="24"/>
  <c r="J14" i="24" s="1"/>
  <c r="I34" i="20"/>
  <c r="J34" i="20"/>
  <c r="D14" i="22"/>
  <c r="E14" i="22"/>
  <c r="E13" i="24"/>
  <c r="D13" i="24"/>
  <c r="I134" i="20"/>
  <c r="J134" i="20" s="1"/>
  <c r="G122" i="20"/>
  <c r="H122" i="20" s="1"/>
  <c r="G123" i="20"/>
  <c r="H123" i="20" s="1"/>
  <c r="G124" i="20"/>
  <c r="H124" i="20" s="1"/>
  <c r="I62" i="24"/>
  <c r="J62" i="24" s="1"/>
  <c r="G100" i="20"/>
  <c r="H100" i="20" s="1"/>
  <c r="G101" i="20"/>
  <c r="H101" i="20" s="1"/>
  <c r="G102" i="20"/>
  <c r="H102" i="20" s="1"/>
  <c r="H15" i="24"/>
  <c r="G16" i="24"/>
  <c r="H16" i="24" s="1"/>
  <c r="I76" i="24"/>
  <c r="J76" i="24" s="1"/>
  <c r="J42" i="24"/>
  <c r="I42" i="24"/>
  <c r="B16" i="22"/>
  <c r="C15" i="22"/>
  <c r="I158" i="20"/>
  <c r="J158" i="20" s="1"/>
  <c r="I133" i="20"/>
  <c r="J133" i="20" s="1"/>
  <c r="I125" i="20"/>
  <c r="J125" i="20" s="1"/>
  <c r="S13" i="22"/>
  <c r="P14" i="22"/>
  <c r="D12" i="26"/>
  <c r="E12" i="26"/>
  <c r="I35" i="22"/>
  <c r="J35" i="22" s="1"/>
  <c r="J116" i="22"/>
  <c r="I116" i="22"/>
  <c r="I41" i="24"/>
  <c r="J41" i="24" s="1"/>
  <c r="F160" i="20"/>
  <c r="G155" i="20"/>
  <c r="H155" i="20" s="1"/>
  <c r="G156" i="20"/>
  <c r="H156" i="20" s="1"/>
  <c r="G157" i="20"/>
  <c r="H157" i="20" s="1"/>
  <c r="I18" i="20"/>
  <c r="J18" i="20" s="1"/>
  <c r="P13" i="24"/>
  <c r="S12" i="24"/>
  <c r="I36" i="20"/>
  <c r="J36" i="20" s="1"/>
  <c r="C12" i="20"/>
  <c r="B13" i="20"/>
  <c r="I36" i="22"/>
  <c r="J36" i="22" s="1"/>
  <c r="I34" i="22"/>
  <c r="J34" i="22" s="1"/>
  <c r="F118" i="22"/>
  <c r="G117" i="22"/>
  <c r="H117" i="22" s="1"/>
  <c r="G26" i="22"/>
  <c r="H26" i="22" s="1"/>
  <c r="I40" i="24"/>
  <c r="J40" i="24" s="1"/>
  <c r="G147" i="20"/>
  <c r="H147" i="20" s="1"/>
  <c r="H19" i="20"/>
  <c r="G20" i="20"/>
  <c r="H61" i="11"/>
  <c r="H109" i="11"/>
  <c r="H69" i="11"/>
  <c r="H29" i="11"/>
  <c r="H14" i="11"/>
  <c r="H22" i="11"/>
  <c r="H30" i="11"/>
  <c r="H38" i="11"/>
  <c r="H46" i="11"/>
  <c r="H54" i="11"/>
  <c r="H62" i="11"/>
  <c r="H78" i="11"/>
  <c r="H86" i="11"/>
  <c r="H94" i="11"/>
  <c r="H102" i="11"/>
  <c r="H110" i="11"/>
  <c r="H118" i="11"/>
  <c r="H126" i="11"/>
  <c r="H33" i="11"/>
  <c r="H57" i="11"/>
  <c r="H89" i="11"/>
  <c r="H121" i="11"/>
  <c r="H18" i="11"/>
  <c r="H42" i="11"/>
  <c r="H66" i="11"/>
  <c r="H90" i="11"/>
  <c r="H114" i="11"/>
  <c r="H11" i="11"/>
  <c r="H35" i="11"/>
  <c r="H75" i="11"/>
  <c r="H115" i="11"/>
  <c r="H28" i="11"/>
  <c r="H52" i="11"/>
  <c r="H76" i="11"/>
  <c r="H37" i="11"/>
  <c r="H85" i="11"/>
  <c r="H117" i="11"/>
  <c r="H15" i="11"/>
  <c r="H23" i="11"/>
  <c r="H31" i="11"/>
  <c r="H39" i="11"/>
  <c r="H47" i="11"/>
  <c r="H55" i="11"/>
  <c r="H63" i="11"/>
  <c r="H71" i="11"/>
  <c r="H79" i="11"/>
  <c r="H87" i="11"/>
  <c r="H95" i="11"/>
  <c r="H103" i="11"/>
  <c r="H111" i="11"/>
  <c r="H119" i="11"/>
  <c r="H127" i="11"/>
  <c r="H25" i="11"/>
  <c r="H49" i="11"/>
  <c r="H65" i="11"/>
  <c r="H81" i="11"/>
  <c r="H105" i="11"/>
  <c r="H129" i="11"/>
  <c r="H26" i="11"/>
  <c r="H58" i="11"/>
  <c r="H82" i="11"/>
  <c r="H106" i="11"/>
  <c r="H27" i="11"/>
  <c r="H51" i="11"/>
  <c r="H67" i="11"/>
  <c r="H91" i="11"/>
  <c r="H107" i="11"/>
  <c r="H20" i="11"/>
  <c r="H36" i="11"/>
  <c r="H60" i="11"/>
  <c r="H92" i="11"/>
  <c r="H116" i="11"/>
  <c r="H124" i="11"/>
  <c r="H21" i="11"/>
  <c r="H45" i="11"/>
  <c r="H77" i="11"/>
  <c r="H101" i="11"/>
  <c r="H16" i="11"/>
  <c r="H24" i="11"/>
  <c r="H32" i="11"/>
  <c r="H48" i="11"/>
  <c r="H56" i="11"/>
  <c r="H64" i="11"/>
  <c r="H72" i="11"/>
  <c r="H80" i="11"/>
  <c r="H88" i="11"/>
  <c r="H96" i="11"/>
  <c r="H104" i="11"/>
  <c r="H112" i="11"/>
  <c r="H120" i="11"/>
  <c r="H128" i="11"/>
  <c r="H17" i="11"/>
  <c r="H41" i="11"/>
  <c r="H73" i="11"/>
  <c r="H97" i="11"/>
  <c r="H113" i="11"/>
  <c r="H34" i="11"/>
  <c r="H50" i="11"/>
  <c r="H74" i="11"/>
  <c r="H98" i="11"/>
  <c r="H122" i="11"/>
  <c r="H19" i="11"/>
  <c r="H43" i="11"/>
  <c r="H59" i="11"/>
  <c r="H83" i="11"/>
  <c r="H99" i="11"/>
  <c r="H123" i="11"/>
  <c r="H12" i="11"/>
  <c r="H44" i="11"/>
  <c r="H68" i="11"/>
  <c r="H84" i="11"/>
  <c r="H108" i="11"/>
  <c r="H13" i="11"/>
  <c r="H53" i="11"/>
  <c r="H93" i="11"/>
  <c r="H125" i="11"/>
  <c r="B10" i="8"/>
  <c r="G52" i="8" l="1"/>
  <c r="G104" i="8"/>
  <c r="G53" i="8"/>
  <c r="C13" i="20"/>
  <c r="B14" i="20"/>
  <c r="I145" i="20"/>
  <c r="J145" i="20" s="1"/>
  <c r="J26" i="22"/>
  <c r="I26" i="22"/>
  <c r="D12" i="20"/>
  <c r="E12" i="20" s="1"/>
  <c r="I156" i="20"/>
  <c r="J156" i="20" s="1"/>
  <c r="I124" i="20"/>
  <c r="J124" i="20" s="1"/>
  <c r="I112" i="20"/>
  <c r="J112" i="20" s="1"/>
  <c r="D13" i="26"/>
  <c r="E13" i="26" s="1"/>
  <c r="I31" i="24"/>
  <c r="J31" i="24" s="1"/>
  <c r="I144" i="20"/>
  <c r="J144" i="20" s="1"/>
  <c r="I113" i="20"/>
  <c r="J113" i="20" s="1"/>
  <c r="J111" i="20"/>
  <c r="I111" i="20"/>
  <c r="F119" i="22"/>
  <c r="G119" i="22" s="1"/>
  <c r="H119" i="22" s="1"/>
  <c r="G118" i="22"/>
  <c r="H118" i="22" s="1"/>
  <c r="F161" i="20"/>
  <c r="J15" i="24"/>
  <c r="I15" i="24"/>
  <c r="I122" i="20"/>
  <c r="J122" i="20" s="1"/>
  <c r="I29" i="24"/>
  <c r="J29" i="24" s="1"/>
  <c r="I24" i="22"/>
  <c r="J24" i="22" s="1"/>
  <c r="J30" i="24"/>
  <c r="I30" i="24"/>
  <c r="H20" i="20"/>
  <c r="G21" i="20"/>
  <c r="H21" i="20" s="1"/>
  <c r="S14" i="22"/>
  <c r="P15" i="22"/>
  <c r="D15" i="22"/>
  <c r="E15" i="22" s="1"/>
  <c r="I102" i="20"/>
  <c r="J102" i="20" s="1"/>
  <c r="J23" i="22"/>
  <c r="I23" i="22"/>
  <c r="I123" i="20"/>
  <c r="J123" i="20" s="1"/>
  <c r="B15" i="26"/>
  <c r="C14" i="26"/>
  <c r="I19" i="20"/>
  <c r="J19" i="20" s="1"/>
  <c r="P14" i="24"/>
  <c r="S13" i="24"/>
  <c r="C16" i="22"/>
  <c r="B17" i="22"/>
  <c r="I101" i="20"/>
  <c r="J101" i="20"/>
  <c r="E14" i="24"/>
  <c r="D14" i="24"/>
  <c r="U14" i="26"/>
  <c r="R15" i="26"/>
  <c r="I117" i="22"/>
  <c r="J117" i="22" s="1"/>
  <c r="I16" i="24"/>
  <c r="J16" i="24" s="1"/>
  <c r="I147" i="20"/>
  <c r="J147" i="20" s="1"/>
  <c r="I100" i="20"/>
  <c r="J100" i="20" s="1"/>
  <c r="B16" i="24"/>
  <c r="C15" i="24"/>
  <c r="I157" i="20"/>
  <c r="J157" i="20"/>
  <c r="I155" i="20"/>
  <c r="J155" i="20" s="1"/>
  <c r="I25" i="22"/>
  <c r="J25" i="22" s="1"/>
  <c r="S14" i="20"/>
  <c r="P15" i="20"/>
  <c r="I146" i="20"/>
  <c r="J146" i="20" s="1"/>
  <c r="H23" i="10"/>
  <c r="H25" i="10"/>
  <c r="H24" i="9"/>
  <c r="H32" i="9"/>
  <c r="H36" i="9"/>
  <c r="H44" i="9"/>
  <c r="H52" i="9"/>
  <c r="H60" i="9"/>
  <c r="H68" i="9"/>
  <c r="H86" i="9"/>
  <c r="W2" i="24" l="1"/>
  <c r="S14" i="24"/>
  <c r="P15" i="24"/>
  <c r="D14" i="26"/>
  <c r="E14" i="26"/>
  <c r="C15" i="26"/>
  <c r="B16" i="26"/>
  <c r="F162" i="20"/>
  <c r="I20" i="20"/>
  <c r="J20" i="20"/>
  <c r="P16" i="20"/>
  <c r="S15" i="20"/>
  <c r="C17" i="22"/>
  <c r="B18" i="22"/>
  <c r="P16" i="22"/>
  <c r="S15" i="22"/>
  <c r="I118" i="22"/>
  <c r="J118" i="22" s="1"/>
  <c r="B15" i="20"/>
  <c r="C14" i="20"/>
  <c r="E15" i="24"/>
  <c r="D15" i="24"/>
  <c r="B17" i="24"/>
  <c r="C16" i="24"/>
  <c r="D16" i="22"/>
  <c r="E16" i="22"/>
  <c r="I119" i="22"/>
  <c r="J119" i="22" s="1"/>
  <c r="W2" i="22" s="1"/>
  <c r="E13" i="20"/>
  <c r="D13" i="20"/>
  <c r="U15" i="26"/>
  <c r="R16" i="26"/>
  <c r="I21" i="20"/>
  <c r="J21" i="20" s="1"/>
  <c r="G55" i="8"/>
  <c r="C17" i="24" l="1"/>
  <c r="B18" i="24"/>
  <c r="F163" i="20"/>
  <c r="B19" i="22"/>
  <c r="C18" i="22"/>
  <c r="C16" i="26"/>
  <c r="B17" i="26"/>
  <c r="P17" i="22"/>
  <c r="S16" i="22"/>
  <c r="D17" i="22"/>
  <c r="E17" i="22" s="1"/>
  <c r="E15" i="26"/>
  <c r="D15" i="26"/>
  <c r="E14" i="20"/>
  <c r="D14" i="20"/>
  <c r="B16" i="20"/>
  <c r="C15" i="20"/>
  <c r="P17" i="20"/>
  <c r="S16" i="20"/>
  <c r="S15" i="24"/>
  <c r="P16" i="24"/>
  <c r="U16" i="26"/>
  <c r="R17" i="26"/>
  <c r="D16" i="24"/>
  <c r="E16" i="24" s="1"/>
  <c r="D35" i="1"/>
  <c r="G30" i="1"/>
  <c r="D23" i="1"/>
  <c r="D28" i="1"/>
  <c r="D27" i="1"/>
  <c r="D26" i="1"/>
  <c r="D31" i="1"/>
  <c r="C35" i="1" s="1"/>
  <c r="G23" i="1"/>
  <c r="G24" i="1"/>
  <c r="G26" i="1"/>
  <c r="G31" i="1"/>
  <c r="G32" i="1"/>
  <c r="P17" i="24" l="1"/>
  <c r="S16" i="24"/>
  <c r="D18" i="22"/>
  <c r="E18" i="22" s="1"/>
  <c r="B20" i="22"/>
  <c r="C19" i="22"/>
  <c r="P18" i="20"/>
  <c r="S17" i="20"/>
  <c r="F164" i="20"/>
  <c r="G163" i="20"/>
  <c r="H163" i="20" s="1"/>
  <c r="D15" i="20"/>
  <c r="E15" i="20" s="1"/>
  <c r="C18" i="24"/>
  <c r="B19" i="24"/>
  <c r="D16" i="26"/>
  <c r="E16" i="26" s="1"/>
  <c r="C16" i="20"/>
  <c r="B17" i="20"/>
  <c r="P18" i="22"/>
  <c r="S17" i="22"/>
  <c r="D17" i="24"/>
  <c r="E17" i="24" s="1"/>
  <c r="R18" i="26"/>
  <c r="U17" i="26"/>
  <c r="C17" i="26"/>
  <c r="B18" i="26"/>
  <c r="C38" i="1"/>
  <c r="F38" i="1" s="1"/>
  <c r="C37" i="1"/>
  <c r="F35" i="1"/>
  <c r="C36" i="1"/>
  <c r="J47" i="4"/>
  <c r="I47" i="4"/>
  <c r="J42" i="4"/>
  <c r="I42" i="4"/>
  <c r="F7" i="4"/>
  <c r="J37" i="4"/>
  <c r="I37" i="4"/>
  <c r="J32" i="4"/>
  <c r="I32" i="4"/>
  <c r="J27" i="4"/>
  <c r="I27" i="4"/>
  <c r="J22" i="4"/>
  <c r="I22" i="4"/>
  <c r="J17" i="4"/>
  <c r="I17" i="4"/>
  <c r="J12" i="4"/>
  <c r="I12" i="4"/>
  <c r="J7" i="4"/>
  <c r="K6" i="4" s="1"/>
  <c r="I7" i="4"/>
  <c r="V9" i="4" l="1"/>
  <c r="V11" i="4"/>
  <c r="V8" i="4"/>
  <c r="V10" i="4"/>
  <c r="V28" i="4"/>
  <c r="V30" i="4"/>
  <c r="V31" i="4"/>
  <c r="V29" i="4"/>
  <c r="V14" i="4"/>
  <c r="V13" i="4"/>
  <c r="V15" i="4"/>
  <c r="V16" i="4"/>
  <c r="V33" i="4"/>
  <c r="V36" i="4"/>
  <c r="V35" i="4"/>
  <c r="V34" i="4"/>
  <c r="V20" i="4"/>
  <c r="V19" i="4"/>
  <c r="V21" i="4"/>
  <c r="V18" i="4"/>
  <c r="V50" i="4"/>
  <c r="V70" i="4"/>
  <c r="V90" i="4"/>
  <c r="V88" i="4"/>
  <c r="V38" i="4"/>
  <c r="V58" i="4"/>
  <c r="V78" i="4"/>
  <c r="V68" i="4"/>
  <c r="V48" i="4"/>
  <c r="V41" i="4"/>
  <c r="V80" i="4"/>
  <c r="V79" i="4"/>
  <c r="V40" i="4"/>
  <c r="V81" i="4"/>
  <c r="V91" i="4"/>
  <c r="V59" i="4"/>
  <c r="V49" i="4"/>
  <c r="V60" i="4"/>
  <c r="V61" i="4"/>
  <c r="V71" i="4"/>
  <c r="V89" i="4"/>
  <c r="V51" i="4"/>
  <c r="V69" i="4"/>
  <c r="V39" i="4"/>
  <c r="V23" i="4"/>
  <c r="V25" i="4"/>
  <c r="V24" i="4"/>
  <c r="V26" i="4"/>
  <c r="V93" i="4"/>
  <c r="V53" i="4"/>
  <c r="V73" i="4"/>
  <c r="V55" i="4"/>
  <c r="V75" i="4"/>
  <c r="V95" i="4"/>
  <c r="V43" i="4"/>
  <c r="V63" i="4"/>
  <c r="V83" i="4"/>
  <c r="V85" i="4"/>
  <c r="V84" i="4"/>
  <c r="V74" i="4"/>
  <c r="V66" i="4"/>
  <c r="V65" i="4"/>
  <c r="V46" i="4"/>
  <c r="V45" i="4"/>
  <c r="V64" i="4"/>
  <c r="V96" i="4"/>
  <c r="V56" i="4"/>
  <c r="V54" i="4"/>
  <c r="V86" i="4"/>
  <c r="V44" i="4"/>
  <c r="V76" i="4"/>
  <c r="V94" i="4"/>
  <c r="H112" i="4"/>
  <c r="I111" i="4"/>
  <c r="J110" i="4"/>
  <c r="K116" i="4"/>
  <c r="K124" i="4"/>
  <c r="K132" i="4"/>
  <c r="K140" i="4"/>
  <c r="K109" i="4"/>
  <c r="M108" i="4"/>
  <c r="N130" i="4"/>
  <c r="H104" i="4"/>
  <c r="I112" i="4"/>
  <c r="J111" i="4"/>
  <c r="K125" i="4"/>
  <c r="K133" i="4"/>
  <c r="K141" i="4"/>
  <c r="K110" i="4"/>
  <c r="L110" i="4"/>
  <c r="M109" i="4"/>
  <c r="N107" i="4"/>
  <c r="N115" i="4"/>
  <c r="N123" i="4"/>
  <c r="N131" i="4"/>
  <c r="N139" i="4"/>
  <c r="K111" i="4"/>
  <c r="L111" i="4"/>
  <c r="M110" i="4"/>
  <c r="N132" i="4"/>
  <c r="N140" i="4"/>
  <c r="N112" i="4"/>
  <c r="N104" i="4"/>
  <c r="H106" i="4"/>
  <c r="I104" i="4"/>
  <c r="J112" i="4"/>
  <c r="K126" i="4"/>
  <c r="K134" i="4"/>
  <c r="K142" i="4"/>
  <c r="N108" i="4"/>
  <c r="N124" i="4"/>
  <c r="K107" i="4"/>
  <c r="N136" i="4"/>
  <c r="H107" i="4"/>
  <c r="I106" i="4"/>
  <c r="J104" i="4"/>
  <c r="K119" i="4"/>
  <c r="K127" i="4"/>
  <c r="K135" i="4"/>
  <c r="K143" i="4"/>
  <c r="K104" i="4"/>
  <c r="L112" i="4"/>
  <c r="M111" i="4"/>
  <c r="N109" i="4"/>
  <c r="N125" i="4"/>
  <c r="N133" i="4"/>
  <c r="N141" i="4"/>
  <c r="N134" i="4"/>
  <c r="K106" i="4"/>
  <c r="M104" i="4"/>
  <c r="N119" i="4"/>
  <c r="N143" i="4"/>
  <c r="M106" i="4"/>
  <c r="N120" i="4"/>
  <c r="H108" i="4"/>
  <c r="I107" i="4"/>
  <c r="J106" i="4"/>
  <c r="K112" i="4"/>
  <c r="K120" i="4"/>
  <c r="K128" i="4"/>
  <c r="K136" i="4"/>
  <c r="L104" i="4"/>
  <c r="M112" i="4"/>
  <c r="N110" i="4"/>
  <c r="N118" i="4"/>
  <c r="N126" i="4"/>
  <c r="N142" i="4"/>
  <c r="L106" i="4"/>
  <c r="N111" i="4"/>
  <c r="N127" i="4"/>
  <c r="N135" i="4"/>
  <c r="L107" i="4"/>
  <c r="N128" i="4"/>
  <c r="H109" i="4"/>
  <c r="I108" i="4"/>
  <c r="J107" i="4"/>
  <c r="K113" i="4"/>
  <c r="K121" i="4"/>
  <c r="K129" i="4"/>
  <c r="K137" i="4"/>
  <c r="H110" i="4"/>
  <c r="I109" i="4"/>
  <c r="J108" i="4"/>
  <c r="K114" i="4"/>
  <c r="K122" i="4"/>
  <c r="K130" i="4"/>
  <c r="K138" i="4"/>
  <c r="H111" i="4"/>
  <c r="I110" i="4"/>
  <c r="J109" i="4"/>
  <c r="K123" i="4"/>
  <c r="K131" i="4"/>
  <c r="K139" i="4"/>
  <c r="K108" i="4"/>
  <c r="L108" i="4"/>
  <c r="M107" i="4"/>
  <c r="N113" i="4"/>
  <c r="N121" i="4"/>
  <c r="N129" i="4"/>
  <c r="N137" i="4"/>
  <c r="L109" i="4"/>
  <c r="N106" i="4"/>
  <c r="N122" i="4"/>
  <c r="N138" i="4"/>
  <c r="J105" i="4"/>
  <c r="H105" i="4"/>
  <c r="L105" i="4"/>
  <c r="I116" i="4"/>
  <c r="J114" i="4"/>
  <c r="M136" i="4"/>
  <c r="M139" i="4"/>
  <c r="D120" i="4"/>
  <c r="C30" i="11" s="1"/>
  <c r="B30" i="11" s="1"/>
  <c r="D128" i="4"/>
  <c r="C38" i="11" s="1"/>
  <c r="B38" i="11" s="1"/>
  <c r="D121" i="4"/>
  <c r="C31" i="11" s="1"/>
  <c r="B31" i="11" s="1"/>
  <c r="D129" i="4"/>
  <c r="C39" i="11" s="1"/>
  <c r="B39" i="11" s="1"/>
  <c r="D122" i="4"/>
  <c r="C32" i="11" s="1"/>
  <c r="B32" i="11" s="1"/>
  <c r="I137" i="4"/>
  <c r="D124" i="4"/>
  <c r="C34" i="11" s="1"/>
  <c r="B34" i="11" s="1"/>
  <c r="D134" i="4"/>
  <c r="G134" i="4" s="1"/>
  <c r="D143" i="4"/>
  <c r="D113" i="4"/>
  <c r="I140" i="4"/>
  <c r="J136" i="4"/>
  <c r="J137" i="4"/>
  <c r="J138" i="4"/>
  <c r="J139" i="4"/>
  <c r="J140" i="4"/>
  <c r="D116" i="4"/>
  <c r="C26" i="11" s="1"/>
  <c r="B26" i="11" s="1"/>
  <c r="D132" i="4"/>
  <c r="G132" i="4" s="1"/>
  <c r="M138" i="4"/>
  <c r="D135" i="4"/>
  <c r="G135" i="4" s="1"/>
  <c r="H136" i="4"/>
  <c r="H137" i="4"/>
  <c r="H138" i="4"/>
  <c r="H139" i="4"/>
  <c r="H140" i="4"/>
  <c r="D114" i="4"/>
  <c r="I138" i="4"/>
  <c r="D126" i="4"/>
  <c r="C36" i="11" s="1"/>
  <c r="B36" i="11" s="1"/>
  <c r="M140" i="4"/>
  <c r="I136" i="4"/>
  <c r="I139" i="4"/>
  <c r="D123" i="4"/>
  <c r="C33" i="11" s="1"/>
  <c r="B33" i="11" s="1"/>
  <c r="D119" i="4"/>
  <c r="C29" i="11" s="1"/>
  <c r="B29" i="11" s="1"/>
  <c r="D125" i="4"/>
  <c r="C35" i="11" s="1"/>
  <c r="B35" i="11" s="1"/>
  <c r="D133" i="4"/>
  <c r="G133" i="4" s="1"/>
  <c r="M137" i="4"/>
  <c r="D127" i="4"/>
  <c r="C37" i="11" s="1"/>
  <c r="B37" i="11" s="1"/>
  <c r="K9" i="4"/>
  <c r="L9" i="4" s="1"/>
  <c r="K11" i="4"/>
  <c r="L11" i="4" s="1"/>
  <c r="K10" i="4"/>
  <c r="L10" i="4" s="1"/>
  <c r="K8" i="4"/>
  <c r="L8" i="4" s="1"/>
  <c r="R8" i="4" s="1"/>
  <c r="L6" i="4"/>
  <c r="M133" i="4"/>
  <c r="M134" i="4"/>
  <c r="L135" i="4"/>
  <c r="I141" i="4"/>
  <c r="I142" i="4"/>
  <c r="I128" i="4"/>
  <c r="I130" i="4"/>
  <c r="I132" i="4"/>
  <c r="M127" i="4"/>
  <c r="M131" i="4"/>
  <c r="J135" i="4"/>
  <c r="H126" i="4"/>
  <c r="H127" i="4"/>
  <c r="H128" i="4"/>
  <c r="H129" i="4"/>
  <c r="H130" i="4"/>
  <c r="H131" i="4"/>
  <c r="H132" i="4"/>
  <c r="M135" i="4"/>
  <c r="J141" i="4"/>
  <c r="J142" i="4"/>
  <c r="I127" i="4"/>
  <c r="I131" i="4"/>
  <c r="M126" i="4"/>
  <c r="M130" i="4"/>
  <c r="L134" i="4"/>
  <c r="H141" i="4"/>
  <c r="I126" i="4"/>
  <c r="M128" i="4"/>
  <c r="J126" i="4"/>
  <c r="J127" i="4"/>
  <c r="J128" i="4"/>
  <c r="J130" i="4"/>
  <c r="J131" i="4"/>
  <c r="J132" i="4"/>
  <c r="H133" i="4"/>
  <c r="H134" i="4"/>
  <c r="L131" i="4"/>
  <c r="J134" i="4"/>
  <c r="I135" i="4"/>
  <c r="M129" i="4"/>
  <c r="M132" i="4"/>
  <c r="L133" i="4"/>
  <c r="H142" i="4"/>
  <c r="I134" i="4"/>
  <c r="H135" i="4"/>
  <c r="M141" i="4"/>
  <c r="M142" i="4"/>
  <c r="L132" i="4"/>
  <c r="L126" i="4"/>
  <c r="L127" i="4"/>
  <c r="L128" i="4"/>
  <c r="L129" i="4"/>
  <c r="H124" i="4"/>
  <c r="H125" i="4"/>
  <c r="I124" i="4"/>
  <c r="I125" i="4"/>
  <c r="J124" i="4"/>
  <c r="J125" i="4"/>
  <c r="L124" i="4"/>
  <c r="L125" i="4"/>
  <c r="M124" i="4"/>
  <c r="M125" i="4"/>
  <c r="M117" i="4"/>
  <c r="M118" i="4"/>
  <c r="I121" i="4"/>
  <c r="I122" i="4"/>
  <c r="H116" i="4"/>
  <c r="L119" i="4"/>
  <c r="L120" i="4"/>
  <c r="J121" i="4"/>
  <c r="J122" i="4"/>
  <c r="H123" i="4"/>
  <c r="H121" i="4"/>
  <c r="M119" i="4"/>
  <c r="M120" i="4"/>
  <c r="I123" i="4"/>
  <c r="J119" i="4"/>
  <c r="J116" i="4"/>
  <c r="H117" i="4"/>
  <c r="H118" i="4"/>
  <c r="L121" i="4"/>
  <c r="L122" i="4"/>
  <c r="J123" i="4"/>
  <c r="L118" i="4"/>
  <c r="I117" i="4"/>
  <c r="I118" i="4"/>
  <c r="M121" i="4"/>
  <c r="M122" i="4"/>
  <c r="J120" i="4"/>
  <c r="J117" i="4"/>
  <c r="J118" i="4"/>
  <c r="H119" i="4"/>
  <c r="H120" i="4"/>
  <c r="L123" i="4"/>
  <c r="H122" i="4"/>
  <c r="M116" i="4"/>
  <c r="I119" i="4"/>
  <c r="I120" i="4"/>
  <c r="M123" i="4"/>
  <c r="I143" i="4"/>
  <c r="J115" i="4"/>
  <c r="M114" i="4"/>
  <c r="D107" i="4"/>
  <c r="G107" i="4" s="1"/>
  <c r="J143" i="4"/>
  <c r="L143" i="4"/>
  <c r="M115" i="4"/>
  <c r="H113" i="4"/>
  <c r="M113" i="4"/>
  <c r="M143" i="4"/>
  <c r="H114" i="4"/>
  <c r="H115" i="4"/>
  <c r="H143" i="4"/>
  <c r="I115" i="4"/>
  <c r="I113" i="4"/>
  <c r="I114" i="4"/>
  <c r="J113" i="4"/>
  <c r="K24" i="4"/>
  <c r="L24" i="4" s="1"/>
  <c r="K19" i="4"/>
  <c r="L19" i="4" s="1"/>
  <c r="AC19" i="4" s="1"/>
  <c r="K38" i="4"/>
  <c r="L38" i="4" s="1"/>
  <c r="AC38" i="4" s="1"/>
  <c r="K43" i="4"/>
  <c r="L43" i="4" s="1"/>
  <c r="AC43" i="4" s="1"/>
  <c r="K31" i="4"/>
  <c r="L31" i="4" s="1"/>
  <c r="AC31" i="4" s="1"/>
  <c r="K15" i="4"/>
  <c r="L15" i="4" s="1"/>
  <c r="K34" i="4"/>
  <c r="L34" i="4" s="1"/>
  <c r="AC34" i="4" s="1"/>
  <c r="B20" i="24"/>
  <c r="C19" i="24"/>
  <c r="D19" i="22"/>
  <c r="E19" i="22" s="1"/>
  <c r="D18" i="24"/>
  <c r="E18" i="24" s="1"/>
  <c r="C20" i="22"/>
  <c r="B21" i="22"/>
  <c r="S18" i="22"/>
  <c r="P19" i="22"/>
  <c r="R19" i="26"/>
  <c r="U18" i="26"/>
  <c r="C18" i="26"/>
  <c r="B19" i="26"/>
  <c r="C17" i="20"/>
  <c r="B18" i="20"/>
  <c r="I163" i="20"/>
  <c r="J163" i="20" s="1"/>
  <c r="S18" i="20"/>
  <c r="P19" i="20"/>
  <c r="D17" i="26"/>
  <c r="E17" i="26"/>
  <c r="D16" i="20"/>
  <c r="E16" i="20"/>
  <c r="G160" i="20"/>
  <c r="H160" i="20" s="1"/>
  <c r="G161" i="20"/>
  <c r="H161" i="20" s="1"/>
  <c r="G162" i="20"/>
  <c r="H162" i="20" s="1"/>
  <c r="P18" i="24"/>
  <c r="S17" i="24"/>
  <c r="D106" i="4"/>
  <c r="G106" i="4" s="1"/>
  <c r="K41" i="4"/>
  <c r="K20" i="4"/>
  <c r="K40" i="4"/>
  <c r="K25" i="4"/>
  <c r="K3" i="4"/>
  <c r="L3" i="4" s="1"/>
  <c r="R3" i="4" s="1"/>
  <c r="K29" i="4"/>
  <c r="L29" i="4" s="1"/>
  <c r="AC29" i="4" s="1"/>
  <c r="K26" i="4"/>
  <c r="K4" i="4"/>
  <c r="L4" i="4" s="1"/>
  <c r="R4" i="4" s="1"/>
  <c r="K13" i="4"/>
  <c r="L13" i="4" s="1"/>
  <c r="AC13" i="4" s="1"/>
  <c r="K35" i="4"/>
  <c r="K16" i="4"/>
  <c r="L16" i="4" s="1"/>
  <c r="AC16" i="4" s="1"/>
  <c r="K36" i="4"/>
  <c r="K30" i="4"/>
  <c r="K5" i="4"/>
  <c r="L5" i="4" s="1"/>
  <c r="R5" i="4" s="1"/>
  <c r="K18" i="4"/>
  <c r="L18" i="4" s="1"/>
  <c r="AC18" i="4" s="1"/>
  <c r="K28" i="4"/>
  <c r="L28" i="4" s="1"/>
  <c r="AC28" i="4" s="1"/>
  <c r="K14" i="4"/>
  <c r="L14" i="4" s="1"/>
  <c r="AC14" i="4" s="1"/>
  <c r="K23" i="4"/>
  <c r="L23" i="4" s="1"/>
  <c r="K33" i="4"/>
  <c r="K39" i="4"/>
  <c r="K21" i="4"/>
  <c r="K45" i="4"/>
  <c r="K44" i="4"/>
  <c r="K46" i="4"/>
  <c r="R6" i="4"/>
  <c r="V12" i="4" l="1"/>
  <c r="AC10" i="4"/>
  <c r="R10" i="4"/>
  <c r="AC11" i="4"/>
  <c r="R11" i="4"/>
  <c r="AC9" i="4"/>
  <c r="R9" i="4"/>
  <c r="I105" i="4"/>
  <c r="V98" i="4"/>
  <c r="D69" i="1" s="1"/>
  <c r="D118" i="4"/>
  <c r="C28" i="11" s="1"/>
  <c r="B28" i="11" s="1"/>
  <c r="AC8" i="4"/>
  <c r="D105" i="4"/>
  <c r="D117" i="4"/>
  <c r="C27" i="11" s="1"/>
  <c r="B27" i="11" s="1"/>
  <c r="D115" i="4"/>
  <c r="D108" i="4"/>
  <c r="B13" i="13" s="1"/>
  <c r="AC15" i="4"/>
  <c r="AC17" i="4" s="1"/>
  <c r="D130" i="4"/>
  <c r="C40" i="11" s="1"/>
  <c r="B40" i="11" s="1"/>
  <c r="AC23" i="4"/>
  <c r="D111" i="4"/>
  <c r="G111" i="4" s="1"/>
  <c r="AC24" i="4"/>
  <c r="AC12" i="4"/>
  <c r="R43" i="4"/>
  <c r="AB43" i="4" s="1"/>
  <c r="X43" i="4"/>
  <c r="R38" i="4"/>
  <c r="AB38" i="4" s="1"/>
  <c r="X38" i="4"/>
  <c r="R34" i="4"/>
  <c r="AB34" i="4" s="1"/>
  <c r="X34" i="4"/>
  <c r="X31" i="4"/>
  <c r="R31" i="4"/>
  <c r="AB31" i="4" s="1"/>
  <c r="R28" i="4"/>
  <c r="AB28" i="4" s="1"/>
  <c r="X28" i="4"/>
  <c r="R29" i="4"/>
  <c r="AB29" i="4" s="1"/>
  <c r="X29" i="4"/>
  <c r="D110" i="4"/>
  <c r="C44" i="11"/>
  <c r="B44" i="11" s="1"/>
  <c r="X23" i="4"/>
  <c r="R23" i="4"/>
  <c r="AB23" i="4" s="1"/>
  <c r="R24" i="4"/>
  <c r="AB24" i="4" s="1"/>
  <c r="X24" i="4"/>
  <c r="R18" i="4"/>
  <c r="AB18" i="4" s="1"/>
  <c r="X18" i="4"/>
  <c r="R19" i="4"/>
  <c r="AB19" i="4" s="1"/>
  <c r="X19" i="4"/>
  <c r="D112" i="4"/>
  <c r="R16" i="4"/>
  <c r="AB16" i="4" s="1"/>
  <c r="X16" i="4"/>
  <c r="D109" i="4"/>
  <c r="R15" i="4"/>
  <c r="AB15" i="4" s="1"/>
  <c r="X15" i="4"/>
  <c r="X14" i="4"/>
  <c r="R14" i="4"/>
  <c r="AB14" i="4" s="1"/>
  <c r="X13" i="4"/>
  <c r="R13" i="4"/>
  <c r="AB13" i="4" s="1"/>
  <c r="AB9" i="4"/>
  <c r="X9" i="4"/>
  <c r="X8" i="4"/>
  <c r="AB8" i="4"/>
  <c r="AB10" i="4"/>
  <c r="X10" i="4"/>
  <c r="K118" i="4" s="1"/>
  <c r="X11" i="4"/>
  <c r="K115" i="4" s="1"/>
  <c r="AB11" i="4"/>
  <c r="G143" i="4"/>
  <c r="D145" i="4"/>
  <c r="C15" i="1" s="1"/>
  <c r="C43" i="11"/>
  <c r="B43" i="11" s="1"/>
  <c r="C42" i="11"/>
  <c r="B42" i="11" s="1"/>
  <c r="B14" i="13"/>
  <c r="C45" i="11"/>
  <c r="B45" i="11" s="1"/>
  <c r="I133" i="4"/>
  <c r="J133" i="4"/>
  <c r="J129" i="4"/>
  <c r="I129" i="4"/>
  <c r="G129" i="4"/>
  <c r="G128" i="4"/>
  <c r="G127" i="4"/>
  <c r="G126" i="4"/>
  <c r="G125" i="4"/>
  <c r="G124" i="4"/>
  <c r="G121" i="4"/>
  <c r="G123" i="4"/>
  <c r="G120" i="4"/>
  <c r="G122" i="4"/>
  <c r="G119" i="4"/>
  <c r="G116" i="4"/>
  <c r="H144" i="4"/>
  <c r="L39" i="4"/>
  <c r="AC39" i="4" s="1"/>
  <c r="L30" i="4"/>
  <c r="L35" i="4"/>
  <c r="AC35" i="4" s="1"/>
  <c r="L25" i="4"/>
  <c r="L33" i="4"/>
  <c r="L40" i="4"/>
  <c r="AC40" i="4" s="1"/>
  <c r="L20" i="4"/>
  <c r="AC20" i="4" s="1"/>
  <c r="L26" i="4"/>
  <c r="AC26" i="4" s="1"/>
  <c r="L41" i="4"/>
  <c r="AC41" i="4" s="1"/>
  <c r="L45" i="4"/>
  <c r="AC45" i="4" s="1"/>
  <c r="L46" i="4"/>
  <c r="AC46" i="4" s="1"/>
  <c r="L44" i="4"/>
  <c r="AC44" i="4" s="1"/>
  <c r="L36" i="4"/>
  <c r="AC36" i="4" s="1"/>
  <c r="L21" i="4"/>
  <c r="AC21" i="4" s="1"/>
  <c r="B22" i="22"/>
  <c r="C21" i="22"/>
  <c r="C19" i="26"/>
  <c r="B20" i="26"/>
  <c r="D18" i="26"/>
  <c r="E18" i="26" s="1"/>
  <c r="E17" i="20"/>
  <c r="D17" i="20"/>
  <c r="S19" i="20"/>
  <c r="P20" i="20"/>
  <c r="C18" i="20"/>
  <c r="B19" i="20"/>
  <c r="I162" i="20"/>
  <c r="J162" i="20" s="1"/>
  <c r="R20" i="26"/>
  <c r="U19" i="26"/>
  <c r="D20" i="22"/>
  <c r="E20" i="22"/>
  <c r="I161" i="20"/>
  <c r="J161" i="20" s="1"/>
  <c r="P20" i="22"/>
  <c r="S19" i="22"/>
  <c r="E19" i="24"/>
  <c r="D19" i="24"/>
  <c r="S18" i="24"/>
  <c r="P19" i="24"/>
  <c r="I160" i="20"/>
  <c r="J160" i="20" s="1"/>
  <c r="W2" i="20" s="1"/>
  <c r="B21" i="24"/>
  <c r="C20" i="24"/>
  <c r="K32" i="4"/>
  <c r="K7" i="4"/>
  <c r="L17" i="4"/>
  <c r="L12" i="4"/>
  <c r="K42" i="4"/>
  <c r="K17" i="4"/>
  <c r="K27" i="4"/>
  <c r="L7" i="4"/>
  <c r="K12" i="4"/>
  <c r="K37" i="4"/>
  <c r="K22" i="4"/>
  <c r="K47" i="4"/>
  <c r="R7" i="4"/>
  <c r="I144" i="4" l="1"/>
  <c r="AB12" i="4"/>
  <c r="X12" i="4"/>
  <c r="X98" i="4" s="1"/>
  <c r="G118" i="4"/>
  <c r="G117" i="4"/>
  <c r="G130" i="4"/>
  <c r="B9" i="16"/>
  <c r="B9" i="14"/>
  <c r="G109" i="4"/>
  <c r="B12" i="13"/>
  <c r="G108" i="4"/>
  <c r="B13" i="29"/>
  <c r="G112" i="4"/>
  <c r="B9" i="15"/>
  <c r="G110" i="4"/>
  <c r="K105" i="4"/>
  <c r="L116" i="4"/>
  <c r="K117" i="4"/>
  <c r="L117" i="4"/>
  <c r="B11" i="13"/>
  <c r="AC42" i="4"/>
  <c r="AC22" i="4"/>
  <c r="AC47" i="4"/>
  <c r="D131" i="4"/>
  <c r="C41" i="11" s="1"/>
  <c r="B41" i="11" s="1"/>
  <c r="AC30" i="4"/>
  <c r="AC32" i="4" s="1"/>
  <c r="B12" i="16"/>
  <c r="K10" i="16" s="1"/>
  <c r="AC33" i="4"/>
  <c r="AC37" i="4" s="1"/>
  <c r="D104" i="4"/>
  <c r="B11" i="9" s="1"/>
  <c r="AC25" i="4"/>
  <c r="AC27" i="4" s="1"/>
  <c r="R45" i="4"/>
  <c r="AB45" i="4" s="1"/>
  <c r="X45" i="4"/>
  <c r="R41" i="4"/>
  <c r="AB41" i="4" s="1"/>
  <c r="X41" i="4"/>
  <c r="R39" i="4"/>
  <c r="X39" i="4"/>
  <c r="R44" i="4"/>
  <c r="AB44" i="4" s="1"/>
  <c r="X44" i="4"/>
  <c r="R46" i="4"/>
  <c r="AB46" i="4" s="1"/>
  <c r="X46" i="4"/>
  <c r="R40" i="4"/>
  <c r="AB40" i="4" s="1"/>
  <c r="X40" i="4"/>
  <c r="B9" i="29"/>
  <c r="J76" i="29" s="1"/>
  <c r="B11" i="16"/>
  <c r="B12" i="10"/>
  <c r="B12" i="12"/>
  <c r="B11" i="12"/>
  <c r="B13" i="12"/>
  <c r="B14" i="16"/>
  <c r="B13" i="16"/>
  <c r="B14" i="12"/>
  <c r="B14" i="10"/>
  <c r="B13" i="10"/>
  <c r="B11" i="10"/>
  <c r="R35" i="4"/>
  <c r="AB35" i="4" s="1"/>
  <c r="X35" i="4"/>
  <c r="R36" i="4"/>
  <c r="AB36" i="4" s="1"/>
  <c r="X36" i="4"/>
  <c r="X33" i="4"/>
  <c r="L130" i="4" s="1"/>
  <c r="R33" i="4"/>
  <c r="AB33" i="4" s="1"/>
  <c r="B13" i="15"/>
  <c r="B12" i="29"/>
  <c r="K10" i="29" s="1"/>
  <c r="B12" i="15"/>
  <c r="K10" i="15" s="1"/>
  <c r="B11" i="15"/>
  <c r="B14" i="15"/>
  <c r="R30" i="4"/>
  <c r="X30" i="4"/>
  <c r="B11" i="29"/>
  <c r="B14" i="29"/>
  <c r="R26" i="4"/>
  <c r="AB26" i="4" s="1"/>
  <c r="X26" i="4"/>
  <c r="R25" i="4"/>
  <c r="AB25" i="4" s="1"/>
  <c r="X25" i="4"/>
  <c r="B12" i="14"/>
  <c r="B13" i="14"/>
  <c r="B11" i="14"/>
  <c r="X20" i="4"/>
  <c r="R20" i="4"/>
  <c r="AB20" i="4" s="1"/>
  <c r="R21" i="4"/>
  <c r="AB21" i="4" s="1"/>
  <c r="X21" i="4"/>
  <c r="B14" i="14"/>
  <c r="R17" i="4"/>
  <c r="AB17" i="4" s="1"/>
  <c r="Z16" i="4"/>
  <c r="Z14" i="4"/>
  <c r="AA14" i="4" s="1"/>
  <c r="Z15" i="4"/>
  <c r="AA15" i="4" s="1"/>
  <c r="Z13" i="4"/>
  <c r="AA13" i="4" s="1"/>
  <c r="R12" i="4"/>
  <c r="Z9" i="4"/>
  <c r="Z8" i="4"/>
  <c r="Z10" i="4"/>
  <c r="N117" i="4" s="1"/>
  <c r="Z11" i="4"/>
  <c r="B11" i="8"/>
  <c r="C15" i="11"/>
  <c r="B15" i="11" s="1"/>
  <c r="J144" i="4"/>
  <c r="J31" i="16"/>
  <c r="L27" i="4"/>
  <c r="L22" i="4"/>
  <c r="L37" i="4"/>
  <c r="L42" i="4"/>
  <c r="L32" i="4"/>
  <c r="L47" i="4"/>
  <c r="P21" i="22"/>
  <c r="S20" i="22"/>
  <c r="C21" i="24"/>
  <c r="B22" i="24"/>
  <c r="B20" i="20"/>
  <c r="C19" i="20"/>
  <c r="C20" i="26"/>
  <c r="B21" i="26"/>
  <c r="D20" i="24"/>
  <c r="E20" i="24"/>
  <c r="E18" i="20"/>
  <c r="D18" i="20"/>
  <c r="D19" i="26"/>
  <c r="E19" i="26" s="1"/>
  <c r="P21" i="20"/>
  <c r="S20" i="20"/>
  <c r="D21" i="22"/>
  <c r="E21" i="22" s="1"/>
  <c r="R21" i="26"/>
  <c r="U20" i="26"/>
  <c r="S19" i="24"/>
  <c r="P20" i="24"/>
  <c r="B23" i="22"/>
  <c r="C22" i="22"/>
  <c r="K13" i="16"/>
  <c r="B9" i="13"/>
  <c r="C16" i="11"/>
  <c r="B16" i="11" s="1"/>
  <c r="B9" i="10"/>
  <c r="C17" i="11"/>
  <c r="B17" i="11" s="1"/>
  <c r="C18" i="11"/>
  <c r="B18" i="11" s="1"/>
  <c r="C21" i="11"/>
  <c r="B21" i="11" s="1"/>
  <c r="C20" i="11"/>
  <c r="G106" i="8"/>
  <c r="G41" i="8"/>
  <c r="G126" i="8"/>
  <c r="G28" i="8"/>
  <c r="G119" i="8"/>
  <c r="G122" i="8"/>
  <c r="G127" i="8"/>
  <c r="G60" i="8"/>
  <c r="M105" i="4" l="1"/>
  <c r="M144" i="4" s="1"/>
  <c r="Z12" i="4"/>
  <c r="Z98" i="4" s="1"/>
  <c r="R42" i="4"/>
  <c r="AB42" i="4" s="1"/>
  <c r="AB39" i="4"/>
  <c r="R32" i="4"/>
  <c r="AB32" i="4" s="1"/>
  <c r="AB30" i="4"/>
  <c r="G131" i="4"/>
  <c r="J44" i="29"/>
  <c r="K44" i="29" s="1"/>
  <c r="J36" i="29"/>
  <c r="K36" i="29" s="1"/>
  <c r="J52" i="29"/>
  <c r="K52" i="29" s="1"/>
  <c r="J60" i="29"/>
  <c r="K60" i="29" s="1"/>
  <c r="AA9" i="4"/>
  <c r="N116" i="4"/>
  <c r="AA11" i="4"/>
  <c r="N114" i="4"/>
  <c r="K144" i="4"/>
  <c r="B9" i="9"/>
  <c r="J52" i="9" s="1"/>
  <c r="AC98" i="4"/>
  <c r="D73" i="1" s="1"/>
  <c r="B12" i="9"/>
  <c r="K10" i="9" s="1"/>
  <c r="B14" i="9"/>
  <c r="C14" i="11"/>
  <c r="B14" i="11" s="1"/>
  <c r="G104" i="4"/>
  <c r="L98" i="4"/>
  <c r="B13" i="9"/>
  <c r="R47" i="4"/>
  <c r="AB47" i="4" s="1"/>
  <c r="Z90" i="4"/>
  <c r="AA90" i="4" s="1"/>
  <c r="Z71" i="4"/>
  <c r="AA71" i="4" s="1"/>
  <c r="Z41" i="4"/>
  <c r="AA41" i="4" s="1"/>
  <c r="Z39" i="4"/>
  <c r="AA39" i="4" s="1"/>
  <c r="Z38" i="4"/>
  <c r="AA38" i="4" s="1"/>
  <c r="Z60" i="4"/>
  <c r="AA60" i="4" s="1"/>
  <c r="Z69" i="4"/>
  <c r="AA69" i="4" s="1"/>
  <c r="Z51" i="4"/>
  <c r="AA51" i="4" s="1"/>
  <c r="Z40" i="4"/>
  <c r="AA40" i="4" s="1"/>
  <c r="Z48" i="4"/>
  <c r="AA48" i="4" s="1"/>
  <c r="Z50" i="4"/>
  <c r="AA50" i="4" s="1"/>
  <c r="Z58" i="4"/>
  <c r="AA58" i="4" s="1"/>
  <c r="Z61" i="4"/>
  <c r="AA61" i="4" s="1"/>
  <c r="Z88" i="4"/>
  <c r="AA88" i="4" s="1"/>
  <c r="Z79" i="4"/>
  <c r="AA79" i="4" s="1"/>
  <c r="Z91" i="4"/>
  <c r="AA91" i="4" s="1"/>
  <c r="Z59" i="4"/>
  <c r="AA59" i="4" s="1"/>
  <c r="Z68" i="4"/>
  <c r="AA68" i="4" s="1"/>
  <c r="Z80" i="4"/>
  <c r="AA80" i="4" s="1"/>
  <c r="Z78" i="4"/>
  <c r="AA78" i="4" s="1"/>
  <c r="Z89" i="4"/>
  <c r="AA89" i="4" s="1"/>
  <c r="Z81" i="4"/>
  <c r="AA81" i="4" s="1"/>
  <c r="Z70" i="4"/>
  <c r="AA70" i="4" s="1"/>
  <c r="Z49" i="4"/>
  <c r="AA49" i="4" s="1"/>
  <c r="Z75" i="4"/>
  <c r="AA75" i="4" s="1"/>
  <c r="Z95" i="4"/>
  <c r="AA95" i="4" s="1"/>
  <c r="Z44" i="4"/>
  <c r="AA44" i="4" s="1"/>
  <c r="Z94" i="4"/>
  <c r="AA94" i="4" s="1"/>
  <c r="Z93" i="4"/>
  <c r="AA93" i="4" s="1"/>
  <c r="Z96" i="4"/>
  <c r="AA96" i="4" s="1"/>
  <c r="Z74" i="4"/>
  <c r="AA74" i="4" s="1"/>
  <c r="Z73" i="4"/>
  <c r="AA73" i="4" s="1"/>
  <c r="Z53" i="4"/>
  <c r="AA53" i="4" s="1"/>
  <c r="Z55" i="4"/>
  <c r="AA55" i="4" s="1"/>
  <c r="Z84" i="4"/>
  <c r="AA84" i="4" s="1"/>
  <c r="Z85" i="4"/>
  <c r="AA85" i="4" s="1"/>
  <c r="Z83" i="4"/>
  <c r="AA83" i="4" s="1"/>
  <c r="Z76" i="4"/>
  <c r="AA76" i="4" s="1"/>
  <c r="Z43" i="4"/>
  <c r="AA43" i="4" s="1"/>
  <c r="Z54" i="4"/>
  <c r="AA54" i="4" s="1"/>
  <c r="Z64" i="4"/>
  <c r="AA64" i="4" s="1"/>
  <c r="Z45" i="4"/>
  <c r="AA45" i="4" s="1"/>
  <c r="Z65" i="4"/>
  <c r="AA65" i="4" s="1"/>
  <c r="Z56" i="4"/>
  <c r="AA56" i="4" s="1"/>
  <c r="Z66" i="4"/>
  <c r="AA66" i="4" s="1"/>
  <c r="Z46" i="4"/>
  <c r="AA46" i="4" s="1"/>
  <c r="Z63" i="4"/>
  <c r="AA63" i="4" s="1"/>
  <c r="Z86" i="4"/>
  <c r="AA86" i="4" s="1"/>
  <c r="R37" i="4"/>
  <c r="AB37" i="4" s="1"/>
  <c r="Z33" i="4"/>
  <c r="AA33" i="4" s="1"/>
  <c r="Z36" i="4"/>
  <c r="AA36" i="4" s="1"/>
  <c r="Z35" i="4"/>
  <c r="AA35" i="4" s="1"/>
  <c r="Z34" i="4"/>
  <c r="AA34" i="4" s="1"/>
  <c r="J6" i="29"/>
  <c r="K6" i="29" s="1"/>
  <c r="Z29" i="4"/>
  <c r="AA29" i="4" s="1"/>
  <c r="Z30" i="4"/>
  <c r="AA30" i="4" s="1"/>
  <c r="Z31" i="4"/>
  <c r="AA31" i="4" s="1"/>
  <c r="Z28" i="4"/>
  <c r="AA28" i="4" s="1"/>
  <c r="J68" i="9"/>
  <c r="D69" i="7" s="1"/>
  <c r="E69" i="7" s="1"/>
  <c r="J26" i="9"/>
  <c r="K26" i="9" s="1"/>
  <c r="J86" i="9"/>
  <c r="K86" i="9" s="1"/>
  <c r="J60" i="9"/>
  <c r="D61" i="7" s="1"/>
  <c r="E61" i="7" s="1"/>
  <c r="J28" i="9"/>
  <c r="D29" i="7" s="1"/>
  <c r="E29" i="7" s="1"/>
  <c r="R27" i="4"/>
  <c r="AB27" i="4" s="1"/>
  <c r="Z25" i="4"/>
  <c r="Z26" i="4"/>
  <c r="AA26" i="4" s="1"/>
  <c r="Z23" i="4"/>
  <c r="AA23" i="4" s="1"/>
  <c r="Z24" i="4"/>
  <c r="AA24" i="4" s="1"/>
  <c r="R22" i="4"/>
  <c r="AB22" i="4" s="1"/>
  <c r="D70" i="1"/>
  <c r="D139" i="4"/>
  <c r="G139" i="4" s="1"/>
  <c r="Z21" i="4"/>
  <c r="AA21" i="4" s="1"/>
  <c r="Z19" i="4"/>
  <c r="AA19" i="4" s="1"/>
  <c r="Z20" i="4"/>
  <c r="AA20" i="4" s="1"/>
  <c r="Z18" i="4"/>
  <c r="AA18" i="4" s="1"/>
  <c r="AA16" i="4"/>
  <c r="AA17" i="4" s="1"/>
  <c r="AA10" i="4"/>
  <c r="AA8" i="4"/>
  <c r="D140" i="4"/>
  <c r="G140" i="4" s="1"/>
  <c r="D142" i="4"/>
  <c r="G142" i="4" s="1"/>
  <c r="D136" i="4"/>
  <c r="G136" i="4" s="1"/>
  <c r="D137" i="4"/>
  <c r="G137" i="4" s="1"/>
  <c r="D138" i="4"/>
  <c r="G138" i="4" s="1"/>
  <c r="D141" i="4"/>
  <c r="G141" i="4" s="1"/>
  <c r="L137" i="4"/>
  <c r="L139" i="4"/>
  <c r="L140" i="4"/>
  <c r="L138" i="4"/>
  <c r="L136" i="4"/>
  <c r="L142" i="4"/>
  <c r="L141" i="4"/>
  <c r="K76" i="29"/>
  <c r="D77" i="7"/>
  <c r="E77" i="7" s="1"/>
  <c r="J61" i="13"/>
  <c r="K61" i="13" s="1"/>
  <c r="J51" i="13"/>
  <c r="J45" i="15"/>
  <c r="D46" i="7" s="1"/>
  <c r="J53" i="15"/>
  <c r="D54" i="7" s="1"/>
  <c r="F10" i="8"/>
  <c r="F22" i="8"/>
  <c r="F30" i="8"/>
  <c r="G114" i="4"/>
  <c r="G115" i="4"/>
  <c r="G113" i="4"/>
  <c r="L114" i="4"/>
  <c r="L115" i="4"/>
  <c r="L113" i="4"/>
  <c r="J6" i="15"/>
  <c r="J17" i="10"/>
  <c r="K17" i="10" s="1"/>
  <c r="J9" i="13"/>
  <c r="K9" i="13" s="1"/>
  <c r="C22" i="11"/>
  <c r="B22" i="11" s="1"/>
  <c r="J6" i="13"/>
  <c r="J6" i="16"/>
  <c r="J25" i="10"/>
  <c r="J5" i="10"/>
  <c r="K5" i="10" s="1"/>
  <c r="J11" i="10"/>
  <c r="D13" i="7" s="1"/>
  <c r="P22" i="20"/>
  <c r="S21" i="20"/>
  <c r="D19" i="20"/>
  <c r="E19" i="20" s="1"/>
  <c r="C20" i="20"/>
  <c r="B21" i="20"/>
  <c r="C22" i="24"/>
  <c r="B23" i="24"/>
  <c r="C23" i="22"/>
  <c r="B24" i="22"/>
  <c r="U21" i="26"/>
  <c r="R22" i="26"/>
  <c r="D20" i="26"/>
  <c r="E20" i="26" s="1"/>
  <c r="D21" i="24"/>
  <c r="E21" i="24"/>
  <c r="S21" i="22"/>
  <c r="P22" i="22"/>
  <c r="P21" i="24"/>
  <c r="S20" i="24"/>
  <c r="D22" i="22"/>
  <c r="E22" i="22" s="1"/>
  <c r="B22" i="26"/>
  <c r="C21" i="26"/>
  <c r="K53" i="9"/>
  <c r="K52" i="9"/>
  <c r="J21" i="16"/>
  <c r="K21" i="16" s="1"/>
  <c r="K31" i="16"/>
  <c r="J41" i="16"/>
  <c r="K41" i="16" s="1"/>
  <c r="B20" i="11"/>
  <c r="J66" i="15"/>
  <c r="D67" i="7" s="1"/>
  <c r="J29" i="15"/>
  <c r="D30" i="7" s="1"/>
  <c r="J37" i="15"/>
  <c r="D38" i="7" s="1"/>
  <c r="C19" i="11"/>
  <c r="B19" i="11" s="1"/>
  <c r="K13" i="14"/>
  <c r="J31" i="13"/>
  <c r="K31" i="13" s="1"/>
  <c r="J41" i="13"/>
  <c r="J71" i="13"/>
  <c r="D72" i="7" s="1"/>
  <c r="K10" i="12"/>
  <c r="B9" i="12"/>
  <c r="K11" i="12"/>
  <c r="K13" i="12"/>
  <c r="F130" i="8"/>
  <c r="D127" i="7" s="1"/>
  <c r="F113" i="8"/>
  <c r="D110" i="7" s="1"/>
  <c r="F100" i="8"/>
  <c r="D97" i="7" s="1"/>
  <c r="F87" i="8"/>
  <c r="D84" i="7" s="1"/>
  <c r="F74" i="8"/>
  <c r="D71" i="7" s="1"/>
  <c r="F61" i="8"/>
  <c r="D58" i="7" s="1"/>
  <c r="F48" i="8"/>
  <c r="F35" i="8"/>
  <c r="G16" i="8"/>
  <c r="G114" i="8"/>
  <c r="G25" i="8"/>
  <c r="G129" i="8"/>
  <c r="G38" i="8"/>
  <c r="G115" i="8"/>
  <c r="G47" i="8"/>
  <c r="G65" i="8"/>
  <c r="G42" i="8"/>
  <c r="G57" i="8"/>
  <c r="G79" i="8"/>
  <c r="G68" i="8"/>
  <c r="G26" i="8"/>
  <c r="G88" i="8"/>
  <c r="G33" i="8"/>
  <c r="G109" i="8"/>
  <c r="G62" i="8"/>
  <c r="G105" i="8"/>
  <c r="G82" i="8"/>
  <c r="G118" i="8"/>
  <c r="G89" i="8"/>
  <c r="G92" i="8"/>
  <c r="G64" i="8"/>
  <c r="G23" i="8"/>
  <c r="G86" i="8"/>
  <c r="G29" i="8"/>
  <c r="G112" i="8"/>
  <c r="G24" i="8"/>
  <c r="G36" i="8"/>
  <c r="G58" i="8"/>
  <c r="G43" i="8"/>
  <c r="G56" i="8"/>
  <c r="G75" i="8"/>
  <c r="G81" i="8"/>
  <c r="G95" i="8"/>
  <c r="G96" i="8"/>
  <c r="G121" i="8"/>
  <c r="G21" i="8"/>
  <c r="G90" i="8"/>
  <c r="G40" i="8"/>
  <c r="G103" i="8"/>
  <c r="G51" i="8"/>
  <c r="G76" i="8"/>
  <c r="G45" i="8"/>
  <c r="G91" i="8"/>
  <c r="G124" i="8"/>
  <c r="G93" i="8"/>
  <c r="G97" i="8"/>
  <c r="G108" i="8"/>
  <c r="G66" i="8"/>
  <c r="G70" i="8"/>
  <c r="G85" i="8"/>
  <c r="G37" i="8"/>
  <c r="G44" i="8"/>
  <c r="G63" i="8"/>
  <c r="G102" i="8"/>
  <c r="G77" i="8"/>
  <c r="G78" i="8"/>
  <c r="G72" i="8"/>
  <c r="G125" i="8"/>
  <c r="G116" i="8"/>
  <c r="G123" i="8"/>
  <c r="G46" i="8"/>
  <c r="G34" i="8"/>
  <c r="G111" i="8"/>
  <c r="G59" i="8"/>
  <c r="G117" i="8"/>
  <c r="G69" i="8"/>
  <c r="G49" i="8"/>
  <c r="G120" i="8"/>
  <c r="G101" i="8"/>
  <c r="G98" i="8"/>
  <c r="G18" i="8"/>
  <c r="G27" i="8"/>
  <c r="G80" i="8"/>
  <c r="G84" i="8"/>
  <c r="G110" i="8"/>
  <c r="G83" i="8"/>
  <c r="G39" i="8"/>
  <c r="G94" i="8"/>
  <c r="G20" i="8"/>
  <c r="G71" i="8"/>
  <c r="G50" i="8"/>
  <c r="G99" i="8"/>
  <c r="G19" i="8"/>
  <c r="G14" i="8"/>
  <c r="G107" i="8"/>
  <c r="G67" i="8"/>
  <c r="G73" i="8"/>
  <c r="G54" i="8"/>
  <c r="G31" i="8"/>
  <c r="G32" i="8"/>
  <c r="G128" i="8"/>
  <c r="J44" i="9" l="1"/>
  <c r="K44" i="9" s="1"/>
  <c r="AB98" i="4"/>
  <c r="J18" i="9"/>
  <c r="K18" i="9" s="1"/>
  <c r="H162" i="4"/>
  <c r="H163" i="4" s="1"/>
  <c r="I162" i="4"/>
  <c r="I163" i="4" s="1"/>
  <c r="N105" i="4"/>
  <c r="N144" i="4" s="1"/>
  <c r="AA12" i="4"/>
  <c r="J36" i="9"/>
  <c r="K36" i="9" s="1"/>
  <c r="D53" i="7"/>
  <c r="E53" i="7" s="1"/>
  <c r="J6" i="9"/>
  <c r="K6" i="9" s="1"/>
  <c r="L144" i="4"/>
  <c r="D144" i="4"/>
  <c r="C14" i="1" s="1"/>
  <c r="C16" i="1" s="1"/>
  <c r="D37" i="1" s="1"/>
  <c r="AA57" i="4"/>
  <c r="AA67" i="4"/>
  <c r="AA47" i="4"/>
  <c r="AA42" i="4"/>
  <c r="AA77" i="4"/>
  <c r="AA62" i="4"/>
  <c r="AA92" i="4"/>
  <c r="AA82" i="4"/>
  <c r="AA87" i="4"/>
  <c r="AA97" i="4"/>
  <c r="AA72" i="4"/>
  <c r="AA52" i="4"/>
  <c r="D87" i="7"/>
  <c r="E87" i="7" s="1"/>
  <c r="AA37" i="4"/>
  <c r="K28" i="9"/>
  <c r="K68" i="9"/>
  <c r="K60" i="9"/>
  <c r="D45" i="7"/>
  <c r="E45" i="7" s="1"/>
  <c r="AA32" i="4"/>
  <c r="R98" i="4"/>
  <c r="AA25" i="4"/>
  <c r="AA27" i="4" s="1"/>
  <c r="D71" i="1"/>
  <c r="AA22" i="4"/>
  <c r="F3" i="29"/>
  <c r="G35" i="8"/>
  <c r="B11" i="11"/>
  <c r="J7" i="16"/>
  <c r="K7" i="16" s="1"/>
  <c r="J13" i="15"/>
  <c r="K13" i="15" s="1"/>
  <c r="K12" i="14"/>
  <c r="C25" i="11"/>
  <c r="B25" i="11" s="1"/>
  <c r="C24" i="11"/>
  <c r="B24" i="11" s="1"/>
  <c r="J26" i="14"/>
  <c r="K26" i="14" s="1"/>
  <c r="J36" i="14"/>
  <c r="J31" i="14"/>
  <c r="K31" i="14" s="1"/>
  <c r="J41" i="14"/>
  <c r="K41" i="14" s="1"/>
  <c r="J50" i="12"/>
  <c r="D51" i="7" s="1"/>
  <c r="J42" i="12"/>
  <c r="C23" i="11"/>
  <c r="B23" i="11" s="1"/>
  <c r="J8" i="15"/>
  <c r="K8" i="15" s="1"/>
  <c r="K9" i="15"/>
  <c r="K12" i="15"/>
  <c r="J11" i="15"/>
  <c r="K11" i="15" s="1"/>
  <c r="J20" i="10"/>
  <c r="J22" i="10"/>
  <c r="J21" i="10"/>
  <c r="J6" i="10"/>
  <c r="K6" i="10" s="1"/>
  <c r="J15" i="10"/>
  <c r="J12" i="10"/>
  <c r="K12" i="10" s="1"/>
  <c r="J23" i="10"/>
  <c r="J14" i="10"/>
  <c r="J10" i="10"/>
  <c r="K10" i="10" s="1"/>
  <c r="J13" i="10"/>
  <c r="K12" i="16"/>
  <c r="J15" i="13"/>
  <c r="K15" i="13" s="1"/>
  <c r="J24" i="10"/>
  <c r="J18" i="10"/>
  <c r="J11" i="16"/>
  <c r="K11" i="16" s="1"/>
  <c r="J16" i="10"/>
  <c r="J19" i="10"/>
  <c r="J7" i="10"/>
  <c r="K7" i="10" s="1"/>
  <c r="J8" i="10"/>
  <c r="K8" i="10" s="1"/>
  <c r="J8" i="13"/>
  <c r="K8" i="13" s="1"/>
  <c r="J11" i="13"/>
  <c r="K11" i="13" s="1"/>
  <c r="K12" i="13"/>
  <c r="J10" i="13"/>
  <c r="J7" i="13"/>
  <c r="K7" i="13" s="1"/>
  <c r="J13" i="13"/>
  <c r="K13" i="13" s="1"/>
  <c r="F12" i="8"/>
  <c r="F17" i="8"/>
  <c r="F11" i="8"/>
  <c r="F13" i="8"/>
  <c r="F15" i="8"/>
  <c r="J11" i="9"/>
  <c r="K11" i="9" s="1"/>
  <c r="J13" i="9"/>
  <c r="K13" i="9" s="1"/>
  <c r="J8" i="9"/>
  <c r="K8" i="9" s="1"/>
  <c r="J7" i="9"/>
  <c r="J9" i="9"/>
  <c r="K9" i="9" s="1"/>
  <c r="K12" i="9"/>
  <c r="J7" i="12"/>
  <c r="J9" i="12"/>
  <c r="K9" i="12" s="1"/>
  <c r="J8" i="12"/>
  <c r="K8" i="12" s="1"/>
  <c r="J6" i="14"/>
  <c r="K6" i="14" s="1"/>
  <c r="J6" i="12"/>
  <c r="B23" i="26"/>
  <c r="C22" i="26"/>
  <c r="D22" i="24"/>
  <c r="E22" i="24" s="1"/>
  <c r="C21" i="20"/>
  <c r="B22" i="20"/>
  <c r="D20" i="20"/>
  <c r="E20" i="20" s="1"/>
  <c r="D21" i="26"/>
  <c r="E21" i="26" s="1"/>
  <c r="P22" i="24"/>
  <c r="S21" i="24"/>
  <c r="B24" i="24"/>
  <c r="C23" i="24"/>
  <c r="P23" i="22"/>
  <c r="S22" i="22"/>
  <c r="B25" i="22"/>
  <c r="C24" i="22"/>
  <c r="U22" i="26"/>
  <c r="R23" i="26"/>
  <c r="D23" i="22"/>
  <c r="E23" i="22"/>
  <c r="S22" i="20"/>
  <c r="P23" i="20"/>
  <c r="K11" i="10"/>
  <c r="E13" i="7"/>
  <c r="K53" i="15"/>
  <c r="E54" i="7"/>
  <c r="K37" i="15"/>
  <c r="E38" i="7"/>
  <c r="E110" i="7"/>
  <c r="E84" i="7"/>
  <c r="K29" i="15"/>
  <c r="E30" i="7"/>
  <c r="K71" i="13"/>
  <c r="E72" i="7"/>
  <c r="K45" i="15"/>
  <c r="E46" i="7"/>
  <c r="E71" i="7"/>
  <c r="E97" i="7"/>
  <c r="K41" i="13"/>
  <c r="K66" i="15"/>
  <c r="E67" i="7"/>
  <c r="K51" i="13"/>
  <c r="F3" i="16"/>
  <c r="K6" i="16"/>
  <c r="E127" i="7"/>
  <c r="K6" i="15"/>
  <c r="F3" i="15"/>
  <c r="K10" i="14"/>
  <c r="J51" i="14"/>
  <c r="K51" i="14" s="1"/>
  <c r="J26" i="12"/>
  <c r="K26" i="12" s="1"/>
  <c r="J61" i="12"/>
  <c r="D62" i="7" s="1"/>
  <c r="K12" i="12"/>
  <c r="K6" i="13"/>
  <c r="F3" i="13"/>
  <c r="G113" i="8"/>
  <c r="G22" i="8"/>
  <c r="K25" i="10"/>
  <c r="G48" i="8"/>
  <c r="G100" i="8"/>
  <c r="G130" i="8"/>
  <c r="G30" i="8"/>
  <c r="G74" i="8"/>
  <c r="G87" i="8"/>
  <c r="G61" i="8"/>
  <c r="E58" i="7"/>
  <c r="F3" i="10"/>
  <c r="G10" i="8"/>
  <c r="D19" i="7" l="1"/>
  <c r="E19" i="7" s="1"/>
  <c r="F3" i="9"/>
  <c r="AA98" i="4"/>
  <c r="C72" i="1" s="1"/>
  <c r="F37" i="1"/>
  <c r="D36" i="1"/>
  <c r="D7" i="7"/>
  <c r="E7" i="7" s="1"/>
  <c r="J9" i="16"/>
  <c r="K9" i="16" s="1"/>
  <c r="C57" i="11"/>
  <c r="G130" i="11" s="1"/>
  <c r="H130" i="11" s="1"/>
  <c r="K15" i="10"/>
  <c r="D17" i="7"/>
  <c r="E17" i="7" s="1"/>
  <c r="J34" i="12"/>
  <c r="D35" i="7" s="1"/>
  <c r="E35" i="7" s="1"/>
  <c r="D43" i="7"/>
  <c r="E43" i="7" s="1"/>
  <c r="J9" i="14"/>
  <c r="K9" i="14" s="1"/>
  <c r="K13" i="10"/>
  <c r="D15" i="7"/>
  <c r="E15" i="7" s="1"/>
  <c r="J8" i="14"/>
  <c r="K8" i="14" s="1"/>
  <c r="K19" i="10"/>
  <c r="D21" i="7"/>
  <c r="E21" i="7" s="1"/>
  <c r="D23" i="7"/>
  <c r="E23" i="7" s="1"/>
  <c r="G17" i="8"/>
  <c r="J11" i="14"/>
  <c r="K11" i="14" s="1"/>
  <c r="K10" i="13"/>
  <c r="D11" i="7"/>
  <c r="E11" i="7" s="1"/>
  <c r="K16" i="10"/>
  <c r="D18" i="7"/>
  <c r="E18" i="7" s="1"/>
  <c r="J7" i="15"/>
  <c r="K7" i="15" s="1"/>
  <c r="D42" i="7"/>
  <c r="E42" i="7" s="1"/>
  <c r="K20" i="10"/>
  <c r="D22" i="7"/>
  <c r="E22" i="7" s="1"/>
  <c r="J7" i="14"/>
  <c r="K7" i="14" s="1"/>
  <c r="G15" i="8"/>
  <c r="K14" i="10"/>
  <c r="D37" i="7"/>
  <c r="E37" i="7" s="1"/>
  <c r="D32" i="7"/>
  <c r="E32" i="7" s="1"/>
  <c r="G13" i="8"/>
  <c r="K18" i="10"/>
  <c r="D20" i="7"/>
  <c r="E20" i="7" s="1"/>
  <c r="K23" i="10"/>
  <c r="D25" i="7"/>
  <c r="E25" i="7" s="1"/>
  <c r="K22" i="10"/>
  <c r="D24" i="7"/>
  <c r="E24" i="7" s="1"/>
  <c r="D27" i="7"/>
  <c r="E27" i="7" s="1"/>
  <c r="G11" i="8"/>
  <c r="D26" i="7"/>
  <c r="E26" i="7" s="1"/>
  <c r="D52" i="7"/>
  <c r="E52" i="7" s="1"/>
  <c r="E131" i="4"/>
  <c r="E130" i="4"/>
  <c r="E128" i="4"/>
  <c r="E133" i="4"/>
  <c r="E141" i="4"/>
  <c r="E132" i="4"/>
  <c r="E139" i="4"/>
  <c r="E138" i="4"/>
  <c r="E142" i="4"/>
  <c r="E140" i="4"/>
  <c r="E137" i="4"/>
  <c r="E136" i="4"/>
  <c r="E127" i="4"/>
  <c r="E134" i="4"/>
  <c r="E129" i="4"/>
  <c r="E126" i="4"/>
  <c r="E135" i="4"/>
  <c r="E124" i="4"/>
  <c r="E125" i="4"/>
  <c r="E143" i="4"/>
  <c r="E121" i="4"/>
  <c r="E122" i="4"/>
  <c r="E116" i="4"/>
  <c r="E117" i="4"/>
  <c r="E123" i="4"/>
  <c r="E120" i="4"/>
  <c r="E119" i="4"/>
  <c r="E118" i="4"/>
  <c r="K12" i="29"/>
  <c r="J11" i="29"/>
  <c r="K11" i="29" s="1"/>
  <c r="J7" i="29"/>
  <c r="J15" i="29"/>
  <c r="K15" i="29" s="1"/>
  <c r="J8" i="29"/>
  <c r="K8" i="29" s="1"/>
  <c r="J9" i="29"/>
  <c r="K9" i="29" s="1"/>
  <c r="J13" i="29"/>
  <c r="K13" i="29" s="1"/>
  <c r="K21" i="10"/>
  <c r="E113" i="4"/>
  <c r="E106" i="4"/>
  <c r="E105" i="4"/>
  <c r="K24" i="10"/>
  <c r="E107" i="4"/>
  <c r="E114" i="4"/>
  <c r="E111" i="4"/>
  <c r="E115" i="4"/>
  <c r="E104" i="4"/>
  <c r="E110" i="4"/>
  <c r="E109" i="4"/>
  <c r="E112" i="4"/>
  <c r="E108" i="4"/>
  <c r="E4" i="8"/>
  <c r="G12" i="8"/>
  <c r="E2" i="10"/>
  <c r="E5" i="8"/>
  <c r="E3" i="10"/>
  <c r="F2" i="10"/>
  <c r="E3" i="13"/>
  <c r="E2" i="13"/>
  <c r="F2" i="13"/>
  <c r="K7" i="9"/>
  <c r="E2" i="9"/>
  <c r="F2" i="9"/>
  <c r="E3" i="9"/>
  <c r="C24" i="24"/>
  <c r="B25" i="24"/>
  <c r="D21" i="20"/>
  <c r="E21" i="20" s="1"/>
  <c r="S23" i="20"/>
  <c r="P24" i="20"/>
  <c r="P24" i="22"/>
  <c r="S23" i="22"/>
  <c r="U23" i="26"/>
  <c r="R24" i="26"/>
  <c r="S22" i="24"/>
  <c r="P23" i="24"/>
  <c r="D23" i="24"/>
  <c r="E23" i="24" s="1"/>
  <c r="C22" i="20"/>
  <c r="B23" i="20"/>
  <c r="D24" i="22"/>
  <c r="E24" i="22" s="1"/>
  <c r="D22" i="26"/>
  <c r="E22" i="26" s="1"/>
  <c r="B26" i="22"/>
  <c r="C25" i="22"/>
  <c r="B24" i="26"/>
  <c r="C23" i="26"/>
  <c r="K36" i="14"/>
  <c r="K50" i="12"/>
  <c r="E51" i="7"/>
  <c r="K42" i="12"/>
  <c r="K61" i="12"/>
  <c r="E62" i="7"/>
  <c r="F3" i="14"/>
  <c r="K6" i="12"/>
  <c r="F3" i="12"/>
  <c r="K7" i="12"/>
  <c r="E2" i="12" l="1"/>
  <c r="E3" i="16"/>
  <c r="E2" i="16"/>
  <c r="E3" i="12"/>
  <c r="F2" i="16"/>
  <c r="E2" i="15"/>
  <c r="F2" i="15"/>
  <c r="F2" i="14"/>
  <c r="D8" i="7"/>
  <c r="E8" i="7" s="1"/>
  <c r="F2" i="12"/>
  <c r="E3" i="15"/>
  <c r="E3" i="14"/>
  <c r="G40" i="11"/>
  <c r="H40" i="11" s="1"/>
  <c r="E2" i="14"/>
  <c r="G70" i="11"/>
  <c r="H70" i="11" s="1"/>
  <c r="G100" i="11"/>
  <c r="H100" i="11" s="1"/>
  <c r="K34" i="12"/>
  <c r="D12" i="7"/>
  <c r="E12" i="7" s="1"/>
  <c r="D9" i="7"/>
  <c r="E9" i="7" s="1"/>
  <c r="D10" i="7"/>
  <c r="E10" i="7" s="1"/>
  <c r="D14" i="7"/>
  <c r="E14" i="7" s="1"/>
  <c r="D16" i="7"/>
  <c r="E16" i="7" s="1"/>
  <c r="E2" i="29"/>
  <c r="K7" i="29"/>
  <c r="E3" i="29"/>
  <c r="F2" i="29"/>
  <c r="E146" i="4"/>
  <c r="D23" i="26"/>
  <c r="E23" i="26"/>
  <c r="B24" i="20"/>
  <c r="C23" i="20"/>
  <c r="C24" i="26"/>
  <c r="B25" i="26"/>
  <c r="D22" i="20"/>
  <c r="E22" i="20" s="1"/>
  <c r="P25" i="22"/>
  <c r="S24" i="22"/>
  <c r="S23" i="24"/>
  <c r="P24" i="24"/>
  <c r="D25" i="22"/>
  <c r="E25" i="22"/>
  <c r="B27" i="22"/>
  <c r="C26" i="22"/>
  <c r="P25" i="20"/>
  <c r="S24" i="20"/>
  <c r="U24" i="26"/>
  <c r="R25" i="26"/>
  <c r="C25" i="24"/>
  <c r="B26" i="24"/>
  <c r="D24" i="24"/>
  <c r="E24" i="24" s="1"/>
  <c r="F5" i="11" l="1"/>
  <c r="D60" i="1" s="1"/>
  <c r="E60" i="1"/>
  <c r="D26" i="22"/>
  <c r="E26" i="22" s="1"/>
  <c r="C27" i="22"/>
  <c r="B28" i="22"/>
  <c r="C26" i="24"/>
  <c r="B27" i="24"/>
  <c r="D25" i="24"/>
  <c r="E25" i="24" s="1"/>
  <c r="D24" i="26"/>
  <c r="E24" i="26" s="1"/>
  <c r="P25" i="24"/>
  <c r="S24" i="24"/>
  <c r="D23" i="20"/>
  <c r="E23" i="20" s="1"/>
  <c r="C25" i="26"/>
  <c r="B26" i="26"/>
  <c r="C24" i="20"/>
  <c r="B25" i="20"/>
  <c r="R26" i="26"/>
  <c r="U25" i="26"/>
  <c r="P26" i="20"/>
  <c r="S25" i="20"/>
  <c r="S25" i="22"/>
  <c r="P26" i="22"/>
  <c r="F60" i="1" l="1"/>
  <c r="B62" i="1" s="1"/>
  <c r="C26" i="26"/>
  <c r="B27" i="26"/>
  <c r="C27" i="26" s="1"/>
  <c r="D25" i="26"/>
  <c r="E25" i="26" s="1"/>
  <c r="B28" i="24"/>
  <c r="C27" i="24"/>
  <c r="D26" i="24"/>
  <c r="E26" i="24" s="1"/>
  <c r="S26" i="20"/>
  <c r="P27" i="20"/>
  <c r="C28" i="22"/>
  <c r="B29" i="22"/>
  <c r="P26" i="24"/>
  <c r="S25" i="24"/>
  <c r="D27" i="22"/>
  <c r="E27" i="22" s="1"/>
  <c r="P27" i="22"/>
  <c r="S26" i="22"/>
  <c r="C25" i="20"/>
  <c r="B26" i="20"/>
  <c r="R27" i="26"/>
  <c r="U26" i="26"/>
  <c r="D24" i="20"/>
  <c r="E24" i="20" s="1"/>
  <c r="S26" i="24" l="1"/>
  <c r="P27" i="24"/>
  <c r="C28" i="24"/>
  <c r="B29" i="24"/>
  <c r="U27" i="26"/>
  <c r="R28" i="26"/>
  <c r="C26" i="20"/>
  <c r="B27" i="20"/>
  <c r="B30" i="22"/>
  <c r="C29" i="22"/>
  <c r="D25" i="20"/>
  <c r="E25" i="20" s="1"/>
  <c r="D28" i="22"/>
  <c r="E28" i="22" s="1"/>
  <c r="P28" i="20"/>
  <c r="S27" i="20"/>
  <c r="D27" i="26"/>
  <c r="E27" i="26" s="1"/>
  <c r="D27" i="24"/>
  <c r="E27" i="24" s="1"/>
  <c r="S27" i="22"/>
  <c r="P28" i="22"/>
  <c r="D26" i="26"/>
  <c r="E26" i="26" s="1"/>
  <c r="F8" i="26" l="1"/>
  <c r="F24" i="26"/>
  <c r="F25" i="26"/>
  <c r="F19" i="26"/>
  <c r="F17" i="26"/>
  <c r="F7" i="26"/>
  <c r="F10" i="26"/>
  <c r="F2" i="26"/>
  <c r="F14" i="26"/>
  <c r="F3" i="26"/>
  <c r="F12" i="26"/>
  <c r="F15" i="26"/>
  <c r="F23" i="26"/>
  <c r="Y3" i="26"/>
  <c r="Y4" i="26" s="1"/>
  <c r="Y5" i="26" s="1"/>
  <c r="Y9" i="26" s="1"/>
  <c r="F20" i="26"/>
  <c r="F5" i="26"/>
  <c r="F27" i="26"/>
  <c r="F16" i="26"/>
  <c r="F22" i="26"/>
  <c r="F13" i="26"/>
  <c r="F4" i="26"/>
  <c r="F21" i="26"/>
  <c r="F9" i="26"/>
  <c r="F18" i="26"/>
  <c r="F6" i="26"/>
  <c r="F26" i="26"/>
  <c r="F11" i="26"/>
  <c r="B28" i="20"/>
  <c r="C27" i="20"/>
  <c r="P29" i="20"/>
  <c r="S28" i="20"/>
  <c r="E26" i="20"/>
  <c r="D26" i="20"/>
  <c r="S28" i="22"/>
  <c r="P29" i="22"/>
  <c r="R29" i="26"/>
  <c r="U28" i="26"/>
  <c r="C29" i="24"/>
  <c r="B30" i="24"/>
  <c r="E28" i="24"/>
  <c r="D28" i="24"/>
  <c r="P28" i="24"/>
  <c r="S27" i="24"/>
  <c r="E29" i="22"/>
  <c r="D29" i="22"/>
  <c r="C30" i="22"/>
  <c r="B31" i="22"/>
  <c r="C31" i="22" l="1"/>
  <c r="B32" i="22"/>
  <c r="B31" i="24"/>
  <c r="C30" i="24"/>
  <c r="P30" i="20"/>
  <c r="S29" i="20"/>
  <c r="E29" i="24"/>
  <c r="D29" i="24"/>
  <c r="E27" i="20"/>
  <c r="D27" i="20"/>
  <c r="U29" i="26"/>
  <c r="R30" i="26"/>
  <c r="B29" i="20"/>
  <c r="C28" i="20"/>
  <c r="D30" i="22"/>
  <c r="E30" i="22" s="1"/>
  <c r="S29" i="22"/>
  <c r="P30" i="22"/>
  <c r="P29" i="24"/>
  <c r="S28" i="24"/>
  <c r="C29" i="20" l="1"/>
  <c r="B30" i="20"/>
  <c r="S30" i="20"/>
  <c r="P31" i="20"/>
  <c r="S29" i="24"/>
  <c r="P30" i="24"/>
  <c r="D30" i="24"/>
  <c r="E30" i="24" s="1"/>
  <c r="D28" i="20"/>
  <c r="E28" i="20" s="1"/>
  <c r="P31" i="22"/>
  <c r="S30" i="22"/>
  <c r="B32" i="24"/>
  <c r="C31" i="24"/>
  <c r="C32" i="22"/>
  <c r="B33" i="22"/>
  <c r="R31" i="26"/>
  <c r="U30" i="26"/>
  <c r="D31" i="22"/>
  <c r="E31" i="22" s="1"/>
  <c r="C33" i="22" l="1"/>
  <c r="B34" i="22"/>
  <c r="D32" i="22"/>
  <c r="E32" i="22" s="1"/>
  <c r="W5" i="22" s="1"/>
  <c r="W6" i="22" s="1"/>
  <c r="W10" i="22" s="1"/>
  <c r="W16" i="22" s="1"/>
  <c r="S30" i="24"/>
  <c r="P31" i="24"/>
  <c r="C32" i="24"/>
  <c r="B33" i="24"/>
  <c r="P32" i="20"/>
  <c r="S31" i="20"/>
  <c r="S31" i="22"/>
  <c r="P32" i="22"/>
  <c r="S32" i="22" s="1"/>
  <c r="W14" i="22" s="1"/>
  <c r="D31" i="24"/>
  <c r="E31" i="24"/>
  <c r="B31" i="20"/>
  <c r="C30" i="20"/>
  <c r="R32" i="26"/>
  <c r="U32" i="26" s="1"/>
  <c r="Y13" i="26" s="1"/>
  <c r="Y15" i="26" s="1"/>
  <c r="U31" i="26"/>
  <c r="D29" i="20"/>
  <c r="E29" i="20"/>
  <c r="D30" i="20" l="1"/>
  <c r="E30" i="20" s="1"/>
  <c r="C33" i="24"/>
  <c r="B34" i="24"/>
  <c r="B32" i="20"/>
  <c r="C31" i="20"/>
  <c r="D32" i="24"/>
  <c r="E32" i="24" s="1"/>
  <c r="W5" i="24" s="1"/>
  <c r="S31" i="24"/>
  <c r="P32" i="24"/>
  <c r="B35" i="22"/>
  <c r="C34" i="22"/>
  <c r="P33" i="20"/>
  <c r="S32" i="20"/>
  <c r="W14" i="20" s="1"/>
  <c r="D33" i="22"/>
  <c r="E33" i="22" s="1"/>
  <c r="C32" i="20" l="1"/>
  <c r="B33" i="20"/>
  <c r="B35" i="24"/>
  <c r="C34" i="24"/>
  <c r="D31" i="20"/>
  <c r="E31" i="20" s="1"/>
  <c r="D34" i="22"/>
  <c r="E34" i="22" s="1"/>
  <c r="B36" i="22"/>
  <c r="C35" i="22"/>
  <c r="D33" i="24"/>
  <c r="E33" i="24" s="1"/>
  <c r="P34" i="20"/>
  <c r="S33" i="20"/>
  <c r="P33" i="24"/>
  <c r="S32" i="24"/>
  <c r="W14" i="24" s="1"/>
  <c r="S34" i="20" l="1"/>
  <c r="P35" i="20"/>
  <c r="S33" i="24"/>
  <c r="P34" i="24"/>
  <c r="D34" i="24"/>
  <c r="E34" i="24" s="1"/>
  <c r="C33" i="20"/>
  <c r="B34" i="20"/>
  <c r="C35" i="24"/>
  <c r="B36" i="24"/>
  <c r="D35" i="22"/>
  <c r="E35" i="22" s="1"/>
  <c r="B37" i="22"/>
  <c r="C36" i="22"/>
  <c r="D32" i="20"/>
  <c r="E32" i="20" s="1"/>
  <c r="W5" i="20" s="1"/>
  <c r="W6" i="20" s="1"/>
  <c r="W10" i="20" s="1"/>
  <c r="W16" i="20" s="1"/>
  <c r="B35" i="20" l="1"/>
  <c r="C34" i="20"/>
  <c r="S34" i="24"/>
  <c r="P35" i="24"/>
  <c r="D36" i="22"/>
  <c r="E36" i="22" s="1"/>
  <c r="P36" i="20"/>
  <c r="S35" i="20"/>
  <c r="D33" i="20"/>
  <c r="E33" i="20" s="1"/>
  <c r="C37" i="22"/>
  <c r="B38" i="22"/>
  <c r="C36" i="24"/>
  <c r="B37" i="24"/>
  <c r="D35" i="24"/>
  <c r="E35" i="24" s="1"/>
  <c r="P37" i="20" l="1"/>
  <c r="S36" i="20"/>
  <c r="C37" i="24"/>
  <c r="B38" i="24"/>
  <c r="D36" i="24"/>
  <c r="E36" i="24" s="1"/>
  <c r="P36" i="24"/>
  <c r="S35" i="24"/>
  <c r="E37" i="22"/>
  <c r="D37" i="22"/>
  <c r="D34" i="20"/>
  <c r="E34" i="20" s="1"/>
  <c r="B39" i="22"/>
  <c r="C38" i="22"/>
  <c r="B36" i="20"/>
  <c r="C35" i="20"/>
  <c r="P37" i="24" l="1"/>
  <c r="S36" i="24"/>
  <c r="D35" i="20"/>
  <c r="E35" i="20" s="1"/>
  <c r="C36" i="20"/>
  <c r="B37" i="20"/>
  <c r="C39" i="22"/>
  <c r="B40" i="22"/>
  <c r="E38" i="22"/>
  <c r="D38" i="22"/>
  <c r="B39" i="24"/>
  <c r="C38" i="24"/>
  <c r="D37" i="24"/>
  <c r="E37" i="24" s="1"/>
  <c r="P38" i="20"/>
  <c r="S37" i="20"/>
  <c r="D39" i="22" l="1"/>
  <c r="E39" i="22"/>
  <c r="D36" i="20"/>
  <c r="E36" i="20" s="1"/>
  <c r="B41" i="22"/>
  <c r="C40" i="22"/>
  <c r="C37" i="20"/>
  <c r="B38" i="20"/>
  <c r="C39" i="24"/>
  <c r="B40" i="24"/>
  <c r="P39" i="20"/>
  <c r="S38" i="20"/>
  <c r="D38" i="24"/>
  <c r="E38" i="24" s="1"/>
  <c r="S37" i="24"/>
  <c r="P38" i="24"/>
  <c r="D37" i="20" l="1"/>
  <c r="E37" i="20" s="1"/>
  <c r="D40" i="22"/>
  <c r="E40" i="22" s="1"/>
  <c r="B39" i="20"/>
  <c r="C38" i="20"/>
  <c r="P39" i="24"/>
  <c r="S38" i="24"/>
  <c r="B42" i="22"/>
  <c r="C41" i="22"/>
  <c r="C40" i="24"/>
  <c r="B41" i="24"/>
  <c r="P40" i="20"/>
  <c r="S39" i="20"/>
  <c r="D39" i="24"/>
  <c r="E39" i="24" s="1"/>
  <c r="P40" i="24" l="1"/>
  <c r="S39" i="24"/>
  <c r="D38" i="20"/>
  <c r="E38" i="20" s="1"/>
  <c r="B40" i="20"/>
  <c r="C39" i="20"/>
  <c r="D40" i="24"/>
  <c r="E40" i="24" s="1"/>
  <c r="S40" i="20"/>
  <c r="P41" i="20"/>
  <c r="B42" i="24"/>
  <c r="C41" i="24"/>
  <c r="D41" i="22"/>
  <c r="E41" i="22"/>
  <c r="B43" i="22"/>
  <c r="C42" i="22"/>
  <c r="D39" i="20" l="1"/>
  <c r="E39" i="20" s="1"/>
  <c r="B44" i="22"/>
  <c r="C43" i="22"/>
  <c r="B41" i="20"/>
  <c r="C40" i="20"/>
  <c r="D42" i="22"/>
  <c r="E42" i="22" s="1"/>
  <c r="D41" i="24"/>
  <c r="E41" i="24" s="1"/>
  <c r="B43" i="24"/>
  <c r="C42" i="24"/>
  <c r="P42" i="20"/>
  <c r="S41" i="20"/>
  <c r="P41" i="24"/>
  <c r="S40" i="24"/>
  <c r="D42" i="24" l="1"/>
  <c r="E42" i="24" s="1"/>
  <c r="S41" i="24"/>
  <c r="P42" i="24"/>
  <c r="B42" i="20"/>
  <c r="C41" i="20"/>
  <c r="C44" i="22"/>
  <c r="B45" i="22"/>
  <c r="D40" i="20"/>
  <c r="E40" i="20"/>
  <c r="P43" i="20"/>
  <c r="S42" i="20"/>
  <c r="D43" i="22"/>
  <c r="E43" i="22" s="1"/>
  <c r="C43" i="24"/>
  <c r="B44" i="24"/>
  <c r="C44" i="24" l="1"/>
  <c r="B45" i="24"/>
  <c r="D44" i="22"/>
  <c r="E44" i="22" s="1"/>
  <c r="D43" i="24"/>
  <c r="E43" i="24"/>
  <c r="C42" i="20"/>
  <c r="B43" i="20"/>
  <c r="P44" i="20"/>
  <c r="S43" i="20"/>
  <c r="B46" i="22"/>
  <c r="C45" i="22"/>
  <c r="D41" i="20"/>
  <c r="E41" i="20" s="1"/>
  <c r="P43" i="24"/>
  <c r="S42" i="24"/>
  <c r="C43" i="20" l="1"/>
  <c r="B44" i="20"/>
  <c r="D42" i="20"/>
  <c r="E42" i="20" s="1"/>
  <c r="B47" i="22"/>
  <c r="C46" i="22"/>
  <c r="P44" i="24"/>
  <c r="S43" i="24"/>
  <c r="D45" i="22"/>
  <c r="E45" i="22" s="1"/>
  <c r="B46" i="24"/>
  <c r="C45" i="24"/>
  <c r="S44" i="20"/>
  <c r="P45" i="20"/>
  <c r="D44" i="24"/>
  <c r="E44" i="24" s="1"/>
  <c r="P45" i="24" l="1"/>
  <c r="S44" i="24"/>
  <c r="D46" i="22"/>
  <c r="E46" i="22" s="1"/>
  <c r="E45" i="24"/>
  <c r="D45" i="24"/>
  <c r="B45" i="20"/>
  <c r="C44" i="20"/>
  <c r="P46" i="20"/>
  <c r="S45" i="20"/>
  <c r="B48" i="22"/>
  <c r="C47" i="22"/>
  <c r="C46" i="24"/>
  <c r="B47" i="24"/>
  <c r="D43" i="20"/>
  <c r="E43" i="20" s="1"/>
  <c r="B46" i="20" l="1"/>
  <c r="C45" i="20"/>
  <c r="D47" i="22"/>
  <c r="E47" i="22" s="1"/>
  <c r="B48" i="24"/>
  <c r="C47" i="24"/>
  <c r="D44" i="20"/>
  <c r="E44" i="20" s="1"/>
  <c r="D46" i="24"/>
  <c r="E46" i="24" s="1"/>
  <c r="B49" i="22"/>
  <c r="C48" i="22"/>
  <c r="P47" i="20"/>
  <c r="S46" i="20"/>
  <c r="P46" i="24"/>
  <c r="S45" i="24"/>
  <c r="S46" i="24" l="1"/>
  <c r="P47" i="24"/>
  <c r="P48" i="20"/>
  <c r="S47" i="20"/>
  <c r="B49" i="24"/>
  <c r="C48" i="24"/>
  <c r="D47" i="24"/>
  <c r="E47" i="24" s="1"/>
  <c r="B50" i="22"/>
  <c r="C49" i="22"/>
  <c r="D45" i="20"/>
  <c r="E45" i="20"/>
  <c r="D48" i="22"/>
  <c r="E48" i="22" s="1"/>
  <c r="C46" i="20"/>
  <c r="B47" i="20"/>
  <c r="D46" i="20" l="1"/>
  <c r="E46" i="20" s="1"/>
  <c r="C49" i="24"/>
  <c r="B50" i="24"/>
  <c r="C47" i="20"/>
  <c r="B48" i="20"/>
  <c r="S48" i="20"/>
  <c r="P49" i="20"/>
  <c r="S49" i="20" s="1"/>
  <c r="D48" i="24"/>
  <c r="E48" i="24" s="1"/>
  <c r="S47" i="24"/>
  <c r="P48" i="24"/>
  <c r="D49" i="22"/>
  <c r="E49" i="22" s="1"/>
  <c r="C50" i="22"/>
  <c r="B51" i="22"/>
  <c r="D47" i="20" l="1"/>
  <c r="E47" i="20" s="1"/>
  <c r="B52" i="22"/>
  <c r="C51" i="22"/>
  <c r="B51" i="24"/>
  <c r="C50" i="24"/>
  <c r="D50" i="22"/>
  <c r="E50" i="22" s="1"/>
  <c r="D49" i="24"/>
  <c r="E49" i="24"/>
  <c r="B49" i="20"/>
  <c r="C48" i="20"/>
  <c r="S48" i="24"/>
  <c r="P49" i="24"/>
  <c r="S49" i="24" s="1"/>
  <c r="B52" i="24" l="1"/>
  <c r="C51" i="24"/>
  <c r="D48" i="20"/>
  <c r="E48" i="20" s="1"/>
  <c r="D51" i="22"/>
  <c r="E51" i="22" s="1"/>
  <c r="B50" i="20"/>
  <c r="C49" i="20"/>
  <c r="B53" i="22"/>
  <c r="C52" i="22"/>
  <c r="D50" i="24"/>
  <c r="E50" i="24" s="1"/>
  <c r="D49" i="20" l="1"/>
  <c r="E49" i="20" s="1"/>
  <c r="C50" i="20"/>
  <c r="B51" i="20"/>
  <c r="D51" i="24"/>
  <c r="E51" i="24" s="1"/>
  <c r="D52" i="22"/>
  <c r="E52" i="22" s="1"/>
  <c r="B54" i="22"/>
  <c r="C53" i="22"/>
  <c r="C52" i="24"/>
  <c r="B53" i="24"/>
  <c r="B52" i="20" l="1"/>
  <c r="C51" i="20"/>
  <c r="B54" i="24"/>
  <c r="C53" i="24"/>
  <c r="D52" i="24"/>
  <c r="E52" i="24" s="1"/>
  <c r="D50" i="20"/>
  <c r="E50" i="20" s="1"/>
  <c r="D53" i="22"/>
  <c r="E53" i="22" s="1"/>
  <c r="B55" i="22"/>
  <c r="C54" i="22"/>
  <c r="D54" i="22" l="1"/>
  <c r="E54" i="22" s="1"/>
  <c r="D53" i="24"/>
  <c r="E53" i="24" s="1"/>
  <c r="C55" i="22"/>
  <c r="B56" i="22"/>
  <c r="B55" i="24"/>
  <c r="C54" i="24"/>
  <c r="D51" i="20"/>
  <c r="E51" i="20"/>
  <c r="B53" i="20"/>
  <c r="C52" i="20"/>
  <c r="B56" i="24" l="1"/>
  <c r="C55" i="24"/>
  <c r="D55" i="22"/>
  <c r="E55" i="22" s="1"/>
  <c r="D52" i="20"/>
  <c r="E52" i="20" s="1"/>
  <c r="B57" i="22"/>
  <c r="C56" i="22"/>
  <c r="D54" i="24"/>
  <c r="E54" i="24" s="1"/>
  <c r="C53" i="20"/>
  <c r="B54" i="20"/>
  <c r="D56" i="22" l="1"/>
  <c r="E56" i="22" s="1"/>
  <c r="D53" i="20"/>
  <c r="E53" i="20" s="1"/>
  <c r="C57" i="22"/>
  <c r="B58" i="22"/>
  <c r="B55" i="20"/>
  <c r="C54" i="20"/>
  <c r="D55" i="24"/>
  <c r="E55" i="24"/>
  <c r="B57" i="24"/>
  <c r="C56" i="24"/>
  <c r="B56" i="20" l="1"/>
  <c r="C55" i="20"/>
  <c r="D57" i="22"/>
  <c r="E57" i="22" s="1"/>
  <c r="D54" i="20"/>
  <c r="E54" i="20" s="1"/>
  <c r="D56" i="24"/>
  <c r="E56" i="24" s="1"/>
  <c r="B59" i="22"/>
  <c r="C58" i="22"/>
  <c r="B58" i="24"/>
  <c r="C57" i="24"/>
  <c r="B59" i="24" l="1"/>
  <c r="C58" i="24"/>
  <c r="D55" i="20"/>
  <c r="E55" i="20" s="1"/>
  <c r="D57" i="24"/>
  <c r="E57" i="24"/>
  <c r="D58" i="22"/>
  <c r="E58" i="22" s="1"/>
  <c r="B60" i="22"/>
  <c r="C59" i="22"/>
  <c r="B57" i="20"/>
  <c r="C56" i="20"/>
  <c r="D56" i="20" l="1"/>
  <c r="E56" i="20"/>
  <c r="B58" i="20"/>
  <c r="C57" i="20"/>
  <c r="D59" i="22"/>
  <c r="E59" i="22" s="1"/>
  <c r="D58" i="24"/>
  <c r="E58" i="24" s="1"/>
  <c r="B61" i="22"/>
  <c r="C60" i="22"/>
  <c r="B60" i="24"/>
  <c r="C59" i="24"/>
  <c r="D59" i="24" l="1"/>
  <c r="E59" i="24" s="1"/>
  <c r="D57" i="20"/>
  <c r="E57" i="20" s="1"/>
  <c r="B61" i="24"/>
  <c r="C60" i="24"/>
  <c r="B59" i="20"/>
  <c r="C58" i="20"/>
  <c r="D60" i="22"/>
  <c r="E60" i="22" s="1"/>
  <c r="C61" i="22"/>
  <c r="B62" i="22"/>
  <c r="D58" i="20" l="1"/>
  <c r="E58" i="20" s="1"/>
  <c r="B60" i="20"/>
  <c r="C59" i="20"/>
  <c r="B62" i="24"/>
  <c r="C61" i="24"/>
  <c r="D61" i="22"/>
  <c r="E61" i="22" s="1"/>
  <c r="D60" i="24"/>
  <c r="E60" i="24"/>
  <c r="B63" i="22"/>
  <c r="C62" i="22"/>
  <c r="C62" i="24" l="1"/>
  <c r="B63" i="24"/>
  <c r="D61" i="24"/>
  <c r="E61" i="24" s="1"/>
  <c r="D59" i="20"/>
  <c r="E59" i="20"/>
  <c r="B64" i="22"/>
  <c r="C63" i="22"/>
  <c r="B61" i="20"/>
  <c r="C60" i="20"/>
  <c r="D62" i="22"/>
  <c r="E62" i="22" s="1"/>
  <c r="D63" i="22" l="1"/>
  <c r="E63" i="22"/>
  <c r="B65" i="22"/>
  <c r="C64" i="22"/>
  <c r="D60" i="20"/>
  <c r="E60" i="20"/>
  <c r="B64" i="24"/>
  <c r="C63" i="24"/>
  <c r="B62" i="20"/>
  <c r="C61" i="20"/>
  <c r="D62" i="24"/>
  <c r="E62" i="24" s="1"/>
  <c r="D63" i="24" l="1"/>
  <c r="E63" i="24" s="1"/>
  <c r="B65" i="24"/>
  <c r="C64" i="24"/>
  <c r="D64" i="22"/>
  <c r="E64" i="22" s="1"/>
  <c r="B66" i="22"/>
  <c r="C65" i="22"/>
  <c r="D61" i="20"/>
  <c r="E61" i="20"/>
  <c r="B63" i="20"/>
  <c r="C62" i="20"/>
  <c r="D65" i="22" l="1"/>
  <c r="E65" i="22"/>
  <c r="C66" i="22"/>
  <c r="B67" i="22"/>
  <c r="D62" i="20"/>
  <c r="E62" i="20"/>
  <c r="D64" i="24"/>
  <c r="E64" i="24" s="1"/>
  <c r="B64" i="20"/>
  <c r="C63" i="20"/>
  <c r="C65" i="24"/>
  <c r="B66" i="24"/>
  <c r="C66" i="24" l="1"/>
  <c r="B67" i="24"/>
  <c r="C67" i="22"/>
  <c r="B68" i="22"/>
  <c r="D65" i="24"/>
  <c r="E65" i="24" s="1"/>
  <c r="D66" i="22"/>
  <c r="E66" i="22" s="1"/>
  <c r="D63" i="20"/>
  <c r="E63" i="20" s="1"/>
  <c r="B65" i="20"/>
  <c r="C64" i="20"/>
  <c r="D64" i="20" l="1"/>
  <c r="E64" i="20"/>
  <c r="C68" i="22"/>
  <c r="B69" i="22"/>
  <c r="B66" i="20"/>
  <c r="C65" i="20"/>
  <c r="D67" i="22"/>
  <c r="E67" i="22" s="1"/>
  <c r="C67" i="24"/>
  <c r="B68" i="24"/>
  <c r="D66" i="24"/>
  <c r="E66" i="24" s="1"/>
  <c r="B67" i="20" l="1"/>
  <c r="C66" i="20"/>
  <c r="B70" i="22"/>
  <c r="C69" i="22"/>
  <c r="D68" i="22"/>
  <c r="E68" i="22" s="1"/>
  <c r="B69" i="24"/>
  <c r="C68" i="24"/>
  <c r="D65" i="20"/>
  <c r="E65" i="20"/>
  <c r="D67" i="24"/>
  <c r="E67" i="24" s="1"/>
  <c r="D68" i="24" l="1"/>
  <c r="E68" i="24" s="1"/>
  <c r="B70" i="24"/>
  <c r="C69" i="24"/>
  <c r="D69" i="22"/>
  <c r="E69" i="22" s="1"/>
  <c r="C70" i="22"/>
  <c r="B71" i="22"/>
  <c r="D66" i="20"/>
  <c r="E66" i="20" s="1"/>
  <c r="B68" i="20"/>
  <c r="C67" i="20"/>
  <c r="B72" i="22" l="1"/>
  <c r="C71" i="22"/>
  <c r="D70" i="22"/>
  <c r="E70" i="22" s="1"/>
  <c r="D67" i="20"/>
  <c r="E67" i="20" s="1"/>
  <c r="D69" i="24"/>
  <c r="E69" i="24" s="1"/>
  <c r="B69" i="20"/>
  <c r="C68" i="20"/>
  <c r="C70" i="24"/>
  <c r="B71" i="24"/>
  <c r="C71" i="24" l="1"/>
  <c r="B72" i="24"/>
  <c r="C72" i="24" s="1"/>
  <c r="D70" i="24"/>
  <c r="E70" i="24" s="1"/>
  <c r="D68" i="20"/>
  <c r="E68" i="20"/>
  <c r="D71" i="22"/>
  <c r="E71" i="22" s="1"/>
  <c r="B70" i="20"/>
  <c r="C69" i="20"/>
  <c r="B73" i="22"/>
  <c r="C72" i="22"/>
  <c r="D72" i="22" l="1"/>
  <c r="E72" i="22" s="1"/>
  <c r="D72" i="24"/>
  <c r="E72" i="24" s="1"/>
  <c r="W3" i="24" s="1"/>
  <c r="W4" i="24" s="1"/>
  <c r="W6" i="24" s="1"/>
  <c r="W10" i="24" s="1"/>
  <c r="W16" i="24" s="1"/>
  <c r="B74" i="22"/>
  <c r="C73" i="22"/>
  <c r="D69" i="20"/>
  <c r="E69" i="20" s="1"/>
  <c r="B71" i="20"/>
  <c r="C70" i="20"/>
  <c r="D71" i="24"/>
  <c r="E71" i="24" s="1"/>
  <c r="D73" i="22" l="1"/>
  <c r="E73" i="22" s="1"/>
  <c r="C74" i="22"/>
  <c r="B75" i="22"/>
  <c r="D70" i="20"/>
  <c r="E70" i="20" s="1"/>
  <c r="B72" i="20"/>
  <c r="C71" i="20"/>
  <c r="C72" i="20" l="1"/>
  <c r="B73" i="20"/>
  <c r="B76" i="22"/>
  <c r="C75" i="22"/>
  <c r="D71" i="20"/>
  <c r="E71" i="20" s="1"/>
  <c r="D74" i="22"/>
  <c r="E74" i="22" s="1"/>
  <c r="B77" i="22" l="1"/>
  <c r="C76" i="22"/>
  <c r="D75" i="22"/>
  <c r="E75" i="22" s="1"/>
  <c r="B74" i="20"/>
  <c r="C73" i="20"/>
  <c r="D72" i="20"/>
  <c r="E72" i="20" s="1"/>
  <c r="D73" i="20" l="1"/>
  <c r="E73" i="20"/>
  <c r="B75" i="20"/>
  <c r="C74" i="20"/>
  <c r="D76" i="22"/>
  <c r="E76" i="22"/>
  <c r="B78" i="22"/>
  <c r="C77" i="22"/>
  <c r="D77" i="22" l="1"/>
  <c r="E77" i="22" s="1"/>
  <c r="D74" i="20"/>
  <c r="E74" i="20" s="1"/>
  <c r="C78" i="22"/>
  <c r="B79" i="22"/>
  <c r="B76" i="20"/>
  <c r="C75" i="20"/>
  <c r="B77" i="20" l="1"/>
  <c r="C76" i="20"/>
  <c r="D75" i="20"/>
  <c r="E75" i="20" s="1"/>
  <c r="D78" i="22"/>
  <c r="E78" i="22" s="1"/>
  <c r="B80" i="22"/>
  <c r="C79" i="22"/>
  <c r="D79" i="22" l="1"/>
  <c r="E79" i="22" s="1"/>
  <c r="B81" i="22"/>
  <c r="C80" i="22"/>
  <c r="D76" i="20"/>
  <c r="E76" i="20" s="1"/>
  <c r="B78" i="20"/>
  <c r="C77" i="20"/>
  <c r="B79" i="20" l="1"/>
  <c r="C78" i="20"/>
  <c r="D77" i="20"/>
  <c r="E77" i="20" s="1"/>
  <c r="B82" i="22"/>
  <c r="C81" i="22"/>
  <c r="D80" i="22"/>
  <c r="E80" i="22" s="1"/>
  <c r="B83" i="22" l="1"/>
  <c r="C82" i="22"/>
  <c r="D81" i="22"/>
  <c r="E81" i="22" s="1"/>
  <c r="D78" i="20"/>
  <c r="E78" i="20" s="1"/>
  <c r="B80" i="20"/>
  <c r="C79" i="20"/>
  <c r="D79" i="20" l="1"/>
  <c r="E79" i="20" s="1"/>
  <c r="B81" i="20"/>
  <c r="C80" i="20"/>
  <c r="D82" i="22"/>
  <c r="E82" i="22" s="1"/>
  <c r="B84" i="22"/>
  <c r="C83" i="22"/>
  <c r="D83" i="22" l="1"/>
  <c r="E83" i="22" s="1"/>
  <c r="D80" i="20"/>
  <c r="E80" i="20" s="1"/>
  <c r="B82" i="20"/>
  <c r="C81" i="20"/>
  <c r="B85" i="22"/>
  <c r="C84" i="22"/>
  <c r="D84" i="22" l="1"/>
  <c r="E84" i="22" s="1"/>
  <c r="D81" i="20"/>
  <c r="E81" i="20" s="1"/>
  <c r="B83" i="20"/>
  <c r="C82" i="20"/>
  <c r="C85" i="22"/>
  <c r="B86" i="22"/>
  <c r="D85" i="22" l="1"/>
  <c r="E85" i="22" s="1"/>
  <c r="D82" i="20"/>
  <c r="E82" i="20" s="1"/>
  <c r="B84" i="20"/>
  <c r="C83" i="20"/>
  <c r="B87" i="22"/>
  <c r="C86" i="22"/>
  <c r="B88" i="22" l="1"/>
  <c r="C87" i="22"/>
  <c r="B85" i="20"/>
  <c r="C84" i="20"/>
  <c r="D86" i="22"/>
  <c r="E86" i="22" s="1"/>
  <c r="D83" i="20"/>
  <c r="E83" i="20" s="1"/>
  <c r="D84" i="20" l="1"/>
  <c r="E84" i="20" s="1"/>
  <c r="B86" i="20"/>
  <c r="C85" i="20"/>
  <c r="D87" i="22"/>
  <c r="E87" i="22" s="1"/>
  <c r="B89" i="22"/>
  <c r="C88" i="22"/>
  <c r="D88" i="22" l="1"/>
  <c r="E88" i="22" s="1"/>
  <c r="D85" i="20"/>
  <c r="E85" i="20" s="1"/>
  <c r="B87" i="20"/>
  <c r="C86" i="20"/>
  <c r="B90" i="22"/>
  <c r="C89" i="22"/>
  <c r="D89" i="22" l="1"/>
  <c r="E89" i="22" s="1"/>
  <c r="D86" i="20"/>
  <c r="E86" i="20" s="1"/>
  <c r="B88" i="20"/>
  <c r="C87" i="20"/>
  <c r="B91" i="22"/>
  <c r="C90" i="22"/>
  <c r="B92" i="22" l="1"/>
  <c r="C91" i="22"/>
  <c r="D87" i="20"/>
  <c r="E87" i="20" s="1"/>
  <c r="B89" i="20"/>
  <c r="C88" i="20"/>
  <c r="D90" i="22"/>
  <c r="E90" i="22" s="1"/>
  <c r="D88" i="20" l="1"/>
  <c r="E88" i="20" s="1"/>
  <c r="B90" i="20"/>
  <c r="C89" i="20"/>
  <c r="D91" i="22"/>
  <c r="E91" i="22" s="1"/>
  <c r="B93" i="22"/>
  <c r="C92" i="22"/>
  <c r="D89" i="20" l="1"/>
  <c r="E89" i="20" s="1"/>
  <c r="D92" i="22"/>
  <c r="E92" i="22" s="1"/>
  <c r="B94" i="22"/>
  <c r="C93" i="22"/>
  <c r="B91" i="20"/>
  <c r="C90" i="20"/>
  <c r="B95" i="22" l="1"/>
  <c r="C94" i="22"/>
  <c r="B92" i="20"/>
  <c r="C91" i="20"/>
  <c r="D90" i="20"/>
  <c r="E90" i="20" s="1"/>
  <c r="D93" i="22"/>
  <c r="E93" i="22" s="1"/>
  <c r="B93" i="20" l="1"/>
  <c r="C92" i="20"/>
  <c r="D94" i="22"/>
  <c r="E94" i="22" s="1"/>
  <c r="D91" i="20"/>
  <c r="E91" i="20" s="1"/>
  <c r="B96" i="22"/>
  <c r="C95" i="22"/>
  <c r="D95" i="22" l="1"/>
  <c r="E95" i="22" s="1"/>
  <c r="B97" i="22"/>
  <c r="C96" i="22"/>
  <c r="D92" i="20"/>
  <c r="E92" i="20" s="1"/>
  <c r="C93" i="20"/>
  <c r="B94" i="20"/>
  <c r="D93" i="20" l="1"/>
  <c r="E93" i="20" s="1"/>
  <c r="D96" i="22"/>
  <c r="E96" i="22" s="1"/>
  <c r="C94" i="20"/>
  <c r="B95" i="20"/>
  <c r="B98" i="22"/>
  <c r="C97" i="22"/>
  <c r="D97" i="22" l="1"/>
  <c r="E97" i="22"/>
  <c r="C95" i="20"/>
  <c r="B96" i="20"/>
  <c r="D94" i="20"/>
  <c r="E94" i="20" s="1"/>
  <c r="B99" i="22"/>
  <c r="C98" i="22"/>
  <c r="B100" i="22" l="1"/>
  <c r="C99" i="22"/>
  <c r="D98" i="22"/>
  <c r="E98" i="22" s="1"/>
  <c r="C96" i="20"/>
  <c r="B97" i="20"/>
  <c r="D95" i="20"/>
  <c r="E95" i="20" s="1"/>
  <c r="B98" i="20" l="1"/>
  <c r="C97" i="20"/>
  <c r="D96" i="20"/>
  <c r="E96" i="20" s="1"/>
  <c r="D99" i="22"/>
  <c r="E99" i="22" s="1"/>
  <c r="B101" i="22"/>
  <c r="C100" i="22"/>
  <c r="D100" i="22" l="1"/>
  <c r="E100" i="22" s="1"/>
  <c r="D97" i="20"/>
  <c r="E97" i="20" s="1"/>
  <c r="C101" i="22"/>
  <c r="B102" i="22"/>
  <c r="C98" i="20"/>
  <c r="B99" i="20"/>
  <c r="D101" i="22" l="1"/>
  <c r="E101" i="22"/>
  <c r="B103" i="22"/>
  <c r="C102" i="22"/>
  <c r="C99" i="20"/>
  <c r="B100" i="20"/>
  <c r="D98" i="20"/>
  <c r="E98" i="20" s="1"/>
  <c r="D99" i="20" l="1"/>
  <c r="E99" i="20" s="1"/>
  <c r="B104" i="22"/>
  <c r="C103" i="22"/>
  <c r="B101" i="20"/>
  <c r="C100" i="20"/>
  <c r="D102" i="22"/>
  <c r="E102" i="22" s="1"/>
  <c r="B105" i="22" l="1"/>
  <c r="C104" i="22"/>
  <c r="D103" i="22"/>
  <c r="E103" i="22"/>
  <c r="D100" i="20"/>
  <c r="E100" i="20" s="1"/>
  <c r="B102" i="20"/>
  <c r="C101" i="20"/>
  <c r="D101" i="20" l="1"/>
  <c r="E101" i="20" s="1"/>
  <c r="C102" i="20"/>
  <c r="B103" i="20"/>
  <c r="D104" i="22"/>
  <c r="E104" i="22" s="1"/>
  <c r="B106" i="22"/>
  <c r="C105" i="22"/>
  <c r="B107" i="22" l="1"/>
  <c r="C106" i="22"/>
  <c r="D105" i="22"/>
  <c r="E105" i="22" s="1"/>
  <c r="D102" i="20"/>
  <c r="E102" i="20" s="1"/>
  <c r="C103" i="20"/>
  <c r="B104" i="20"/>
  <c r="C104" i="20" l="1"/>
  <c r="B105" i="20"/>
  <c r="D103" i="20"/>
  <c r="E103" i="20" s="1"/>
  <c r="D106" i="22"/>
  <c r="E106" i="22" s="1"/>
  <c r="B108" i="22"/>
  <c r="C107" i="22"/>
  <c r="B109" i="22" l="1"/>
  <c r="C108" i="22"/>
  <c r="C105" i="20"/>
  <c r="B106" i="20"/>
  <c r="D107" i="22"/>
  <c r="E107" i="22" s="1"/>
  <c r="D104" i="20"/>
  <c r="E104" i="20" s="1"/>
  <c r="D105" i="20" l="1"/>
  <c r="E105" i="20" s="1"/>
  <c r="B107" i="20"/>
  <c r="C106" i="20"/>
  <c r="D108" i="22"/>
  <c r="E108" i="22" s="1"/>
  <c r="B110" i="22"/>
  <c r="C109" i="22"/>
  <c r="D109" i="22" l="1"/>
  <c r="E109" i="22" s="1"/>
  <c r="B111" i="22"/>
  <c r="C110" i="22"/>
  <c r="D106" i="20"/>
  <c r="E106" i="20" s="1"/>
  <c r="C107" i="20"/>
  <c r="B108" i="20"/>
  <c r="C108" i="20" l="1"/>
  <c r="B109" i="20"/>
  <c r="D107" i="20"/>
  <c r="E107" i="20" s="1"/>
  <c r="D110" i="22"/>
  <c r="E110" i="22" s="1"/>
  <c r="B112" i="22"/>
  <c r="C112" i="22" s="1"/>
  <c r="C111" i="22"/>
  <c r="D112" i="22" l="1"/>
  <c r="E112" i="22"/>
  <c r="C109" i="20"/>
  <c r="B110" i="20"/>
  <c r="D111" i="22"/>
  <c r="E111" i="22" s="1"/>
  <c r="D108" i="20"/>
  <c r="E108" i="20"/>
  <c r="B111" i="20" l="1"/>
  <c r="C110" i="20"/>
  <c r="W3" i="22"/>
  <c r="W4" i="22" s="1"/>
  <c r="D109" i="20"/>
  <c r="E109" i="20" s="1"/>
  <c r="D110" i="20" l="1"/>
  <c r="E110" i="20" s="1"/>
  <c r="C111" i="20"/>
  <c r="B112" i="20"/>
  <c r="C112" i="20" l="1"/>
  <c r="B113" i="20"/>
  <c r="D111" i="20"/>
  <c r="E111" i="20" s="1"/>
  <c r="C113" i="20" l="1"/>
  <c r="B114" i="20"/>
  <c r="D112" i="20"/>
  <c r="E112" i="20" s="1"/>
  <c r="B115" i="20" l="1"/>
  <c r="C114" i="20"/>
  <c r="D113" i="20"/>
  <c r="E113" i="20" s="1"/>
  <c r="D114" i="20" l="1"/>
  <c r="E114" i="20" s="1"/>
  <c r="C115" i="20"/>
  <c r="B116" i="20"/>
  <c r="C116" i="20" l="1"/>
  <c r="B117" i="20"/>
  <c r="D115" i="20"/>
  <c r="E115" i="20" s="1"/>
  <c r="C117" i="20" l="1"/>
  <c r="B118" i="20"/>
  <c r="D116" i="20"/>
  <c r="E116" i="20" s="1"/>
  <c r="C118" i="20" l="1"/>
  <c r="B119" i="20"/>
  <c r="D117" i="20"/>
  <c r="E117" i="20" s="1"/>
  <c r="B120" i="20" l="1"/>
  <c r="C119" i="20"/>
  <c r="D118" i="20"/>
  <c r="E118" i="20" s="1"/>
  <c r="D119" i="20" l="1"/>
  <c r="E119" i="20" s="1"/>
  <c r="C120" i="20"/>
  <c r="B121" i="20"/>
  <c r="C121" i="20" l="1"/>
  <c r="B122" i="20"/>
  <c r="D120" i="20"/>
  <c r="E120" i="20" s="1"/>
  <c r="B123" i="20" l="1"/>
  <c r="C122" i="20"/>
  <c r="D121" i="20"/>
  <c r="E121" i="20"/>
  <c r="D122" i="20" l="1"/>
  <c r="E122" i="20" s="1"/>
  <c r="B124" i="20"/>
  <c r="C123" i="20"/>
  <c r="D123" i="20" l="1"/>
  <c r="E123" i="20" s="1"/>
  <c r="C124" i="20"/>
  <c r="B125" i="20"/>
  <c r="D124" i="20" l="1"/>
  <c r="E124" i="20" s="1"/>
  <c r="C125" i="20"/>
  <c r="B126" i="20"/>
  <c r="D125" i="20" l="1"/>
  <c r="E125" i="20" s="1"/>
  <c r="C126" i="20"/>
  <c r="B127" i="20"/>
  <c r="D126" i="20" l="1"/>
  <c r="E126" i="20"/>
  <c r="B128" i="20"/>
  <c r="C127" i="20"/>
  <c r="D127" i="20" l="1"/>
  <c r="E127" i="20" s="1"/>
  <c r="C128" i="20"/>
  <c r="B129" i="20"/>
  <c r="C129" i="20" l="1"/>
  <c r="B130" i="20"/>
  <c r="D128" i="20"/>
  <c r="E128" i="20"/>
  <c r="C130" i="20" l="1"/>
  <c r="B131" i="20"/>
  <c r="D129" i="20"/>
  <c r="E129" i="20" s="1"/>
  <c r="C131" i="20" l="1"/>
  <c r="B132" i="20"/>
  <c r="D130" i="20"/>
  <c r="E130" i="20" s="1"/>
  <c r="B133" i="20" l="1"/>
  <c r="C132" i="20"/>
  <c r="D131" i="20"/>
  <c r="E131" i="20" s="1"/>
  <c r="D132" i="20" l="1"/>
  <c r="E132" i="20" s="1"/>
  <c r="C133" i="20"/>
  <c r="B134" i="20"/>
  <c r="C134" i="20" l="1"/>
  <c r="B135" i="20"/>
  <c r="D133" i="20"/>
  <c r="E133" i="20" s="1"/>
  <c r="C135" i="20" l="1"/>
  <c r="B136" i="20"/>
  <c r="D134" i="20"/>
  <c r="E134" i="20" s="1"/>
  <c r="B137" i="20" l="1"/>
  <c r="C136" i="20"/>
  <c r="D135" i="20"/>
  <c r="E135" i="20" s="1"/>
  <c r="D136" i="20" l="1"/>
  <c r="E136" i="20" s="1"/>
  <c r="C137" i="20"/>
  <c r="B138" i="20"/>
  <c r="C138" i="20" l="1"/>
  <c r="B139" i="20"/>
  <c r="D137" i="20"/>
  <c r="E137" i="20" s="1"/>
  <c r="B140" i="20" l="1"/>
  <c r="C139" i="20"/>
  <c r="D138" i="20"/>
  <c r="E138" i="20" s="1"/>
  <c r="D139" i="20" l="1"/>
  <c r="E139" i="20" s="1"/>
  <c r="C140" i="20"/>
  <c r="B141" i="20"/>
  <c r="B142" i="20" l="1"/>
  <c r="C141" i="20"/>
  <c r="D140" i="20"/>
  <c r="E140" i="20" s="1"/>
  <c r="D141" i="20" l="1"/>
  <c r="E141" i="20" s="1"/>
  <c r="B143" i="20"/>
  <c r="C142" i="20"/>
  <c r="D142" i="20" l="1"/>
  <c r="E142" i="20" s="1"/>
  <c r="B144" i="20"/>
  <c r="C143" i="20"/>
  <c r="D143" i="20" l="1"/>
  <c r="E143" i="20" s="1"/>
  <c r="C144" i="20"/>
  <c r="B145" i="20"/>
  <c r="C145" i="20" l="1"/>
  <c r="B146" i="20"/>
  <c r="D144" i="20"/>
  <c r="E144" i="20" s="1"/>
  <c r="B147" i="20" l="1"/>
  <c r="C146" i="20"/>
  <c r="D145" i="20"/>
  <c r="E145" i="20" s="1"/>
  <c r="D146" i="20" l="1"/>
  <c r="E146" i="20" s="1"/>
  <c r="B148" i="20"/>
  <c r="C147" i="20"/>
  <c r="D147" i="20" l="1"/>
  <c r="E147" i="20" s="1"/>
  <c r="C148" i="20"/>
  <c r="B149" i="20"/>
  <c r="D148" i="20" l="1"/>
  <c r="E148" i="20" s="1"/>
  <c r="B150" i="20"/>
  <c r="C149" i="20"/>
  <c r="D149" i="20" l="1"/>
  <c r="E149" i="20" s="1"/>
  <c r="C150" i="20"/>
  <c r="B151" i="20"/>
  <c r="D150" i="20" l="1"/>
  <c r="E150" i="20" s="1"/>
  <c r="C151" i="20"/>
  <c r="B152" i="20"/>
  <c r="C152" i="20" s="1"/>
  <c r="D151" i="20" l="1"/>
  <c r="E151" i="20" s="1"/>
  <c r="D152" i="20"/>
  <c r="E152" i="20" s="1"/>
  <c r="W3" i="20" s="1"/>
  <c r="W4" i="20" s="1"/>
  <c r="F36" i="1" l="1"/>
  <c r="D146" i="4"/>
  <c r="E144" i="4" s="1"/>
  <c r="E145" i="4" l="1"/>
</calcChain>
</file>

<file path=xl/sharedStrings.xml><?xml version="1.0" encoding="utf-8"?>
<sst xmlns="http://schemas.openxmlformats.org/spreadsheetml/2006/main" count="1488" uniqueCount="511">
  <si>
    <t xml:space="preserve">Références cadastrales: </t>
  </si>
  <si>
    <t>Surface à planter (ha) :</t>
  </si>
  <si>
    <t>Hauteur dominante</t>
  </si>
  <si>
    <t>1. Socio-économiques</t>
  </si>
  <si>
    <t>2. Préservation des sols</t>
  </si>
  <si>
    <t xml:space="preserve">3. Biodiversité </t>
  </si>
  <si>
    <t>4. eau</t>
  </si>
  <si>
    <t>restauration active de milieux humides ou création ex-nihilo de ripisylve feuillue</t>
  </si>
  <si>
    <t>Risque incendie (se référer au PDPFCI pour justifier du niveau de risque)</t>
  </si>
  <si>
    <t>Documents à rassembler dans un fichier OneDrive partagé (avec Cécile de Coincy)</t>
  </si>
  <si>
    <t>Diagnostic IBP (Indice de Biodiversité Potentiel) si réalisé</t>
  </si>
  <si>
    <t>Copie des pages PDPFCI pour justifier du niveau de risque incendie</t>
  </si>
  <si>
    <t>Devis justifiant du coût des travaux à l'hectare (peut être fait par vos soins)</t>
  </si>
  <si>
    <t>Date prévue Plantation :</t>
  </si>
  <si>
    <t>Méthode LBC :</t>
  </si>
  <si>
    <t>Coûts totaux</t>
  </si>
  <si>
    <t>Identité du projet</t>
  </si>
  <si>
    <t>Methode LBC</t>
  </si>
  <si>
    <t>Boisement</t>
  </si>
  <si>
    <t>Reconstitution - Tempête</t>
  </si>
  <si>
    <t>Reconstitution - Incendie</t>
  </si>
  <si>
    <t>Reconstitution - Dépérissement</t>
  </si>
  <si>
    <t>Balivage</t>
  </si>
  <si>
    <t>oui</t>
  </si>
  <si>
    <t>non</t>
  </si>
  <si>
    <t>Réponse fermée</t>
  </si>
  <si>
    <t>Essences Infotech</t>
  </si>
  <si>
    <t>Alisier</t>
  </si>
  <si>
    <t>Aulne</t>
  </si>
  <si>
    <t>Bouleau</t>
  </si>
  <si>
    <t>Charme commun</t>
  </si>
  <si>
    <t>Châtaignier</t>
  </si>
  <si>
    <t>Cèdre de l'Atlas</t>
  </si>
  <si>
    <t>Cèdre</t>
  </si>
  <si>
    <t>Cèdre du Liban</t>
  </si>
  <si>
    <t>Chêne blanc</t>
  </si>
  <si>
    <t>Chêne chevelu</t>
  </si>
  <si>
    <t>Chêne commun</t>
  </si>
  <si>
    <t>Chêne des marais</t>
  </si>
  <si>
    <t>Chêne tauzin</t>
  </si>
  <si>
    <t>Cormier</t>
  </si>
  <si>
    <t>Cornouiller male</t>
  </si>
  <si>
    <t>Cryptomeria</t>
  </si>
  <si>
    <t>Cyprès chauve</t>
  </si>
  <si>
    <t>Cyprès de Lawson</t>
  </si>
  <si>
    <t>Divers bois blancs</t>
  </si>
  <si>
    <t>Feuillus divers</t>
  </si>
  <si>
    <t>Résineux divers</t>
  </si>
  <si>
    <t>Douglas</t>
  </si>
  <si>
    <t>Epicéa commun</t>
  </si>
  <si>
    <t>Sapinette d'Orient</t>
  </si>
  <si>
    <t>Epicéa</t>
  </si>
  <si>
    <t>Erable</t>
  </si>
  <si>
    <t>Erable champêtre</t>
  </si>
  <si>
    <t>Erable plane</t>
  </si>
  <si>
    <t>Eucalyptus</t>
  </si>
  <si>
    <t>Frêne commun</t>
  </si>
  <si>
    <t>Fruitiers divers</t>
  </si>
  <si>
    <t>Sapin de Vancouver (Grandis)</t>
  </si>
  <si>
    <t>Hêtre</t>
  </si>
  <si>
    <t>Merisier hybride</t>
  </si>
  <si>
    <t>Mélèze</t>
  </si>
  <si>
    <t>Cerisier noir</t>
  </si>
  <si>
    <t>Merisier</t>
  </si>
  <si>
    <t>Metasequoia</t>
  </si>
  <si>
    <t>Méléze d'Europe</t>
  </si>
  <si>
    <t>Mélèze hybride</t>
  </si>
  <si>
    <t>Mélèze du Japon</t>
  </si>
  <si>
    <t>Noyer hybride</t>
  </si>
  <si>
    <t>Noisetier</t>
  </si>
  <si>
    <t>Noyer noir d'Amérique</t>
  </si>
  <si>
    <t>Noyer  commun</t>
  </si>
  <si>
    <t>Orme champêtre</t>
  </si>
  <si>
    <t>Orme des montagnes</t>
  </si>
  <si>
    <t>Peuplier trichobel</t>
  </si>
  <si>
    <t>Peuplier unal</t>
  </si>
  <si>
    <t>Peuplier rochester</t>
  </si>
  <si>
    <t>Peuplier robusta</t>
  </si>
  <si>
    <t>Peuplier tardif de Champagne</t>
  </si>
  <si>
    <t>Peuplier luisa avanzo</t>
  </si>
  <si>
    <t>Peuplier Raspalje</t>
  </si>
  <si>
    <t>Sapin pectiné</t>
  </si>
  <si>
    <t>Pin</t>
  </si>
  <si>
    <t>Pin laricio</t>
  </si>
  <si>
    <t>Pin laricio de Calabre</t>
  </si>
  <si>
    <t>Pin laricio de Corse</t>
  </si>
  <si>
    <t>Pin maritime</t>
  </si>
  <si>
    <t>Pin noir d'Autriche</t>
  </si>
  <si>
    <t>Poirier</t>
  </si>
  <si>
    <t>Pommier</t>
  </si>
  <si>
    <t>Pin jaune</t>
  </si>
  <si>
    <t>Pin de Monterey</t>
  </si>
  <si>
    <t>Pruche de l'Est</t>
  </si>
  <si>
    <t>Pruche de l'Ouest</t>
  </si>
  <si>
    <t>Pin sylvestre</t>
  </si>
  <si>
    <t>Pin taeda</t>
  </si>
  <si>
    <t>Pin Weymouth</t>
  </si>
  <si>
    <t>Robinier faux-acacia</t>
  </si>
  <si>
    <t>Sapin</t>
  </si>
  <si>
    <t>Saule</t>
  </si>
  <si>
    <t>Sapin du Caucase (Nordmann)</t>
  </si>
  <si>
    <t>Séquoia sempervirens</t>
  </si>
  <si>
    <t>Séquoia wellingtonia</t>
  </si>
  <si>
    <t>Epicéa de Sitka</t>
  </si>
  <si>
    <t>Sapin "Nobilis"</t>
  </si>
  <si>
    <t>Erable sycomore</t>
  </si>
  <si>
    <t>Thuya géant</t>
  </si>
  <si>
    <t>Tilleul commun</t>
  </si>
  <si>
    <t>Tremble</t>
  </si>
  <si>
    <t>Tulipier de Virginie</t>
  </si>
  <si>
    <t>Aucune</t>
  </si>
  <si>
    <t>Travail du sol</t>
  </si>
  <si>
    <t>Travail de surface</t>
  </si>
  <si>
    <t>Risque incendie</t>
  </si>
  <si>
    <t>Négligeable</t>
  </si>
  <si>
    <t>Très faible à faible</t>
  </si>
  <si>
    <t>Moyen</t>
  </si>
  <si>
    <t>Fort à très fort</t>
  </si>
  <si>
    <t>Sans objet</t>
  </si>
  <si>
    <t>distance</t>
  </si>
  <si>
    <t>&lt;50km</t>
  </si>
  <si>
    <t>50&lt;&lt;100km</t>
  </si>
  <si>
    <t>&gt;100km</t>
  </si>
  <si>
    <t>Quelle part des coûts de plantation permettent elles de subventionner?</t>
  </si>
  <si>
    <t xml:space="preserve">Existe-t-il des aides publiques disponibles pour ce projet? (si oui, indiquez le nom du programme) </t>
  </si>
  <si>
    <t xml:space="preserve"> </t>
  </si>
  <si>
    <t>Propriétaire</t>
  </si>
  <si>
    <t>Commune</t>
  </si>
  <si>
    <t>Références cadastrales</t>
  </si>
  <si>
    <t>Type de boisement</t>
  </si>
  <si>
    <t>Îlot LBC</t>
  </si>
  <si>
    <t xml:space="preserve">Répartition </t>
  </si>
  <si>
    <t>Sous-total îlot</t>
  </si>
  <si>
    <t>Surface</t>
  </si>
  <si>
    <t>Modalités sylvicoles du projet</t>
  </si>
  <si>
    <t>Modalités économiques du projet</t>
  </si>
  <si>
    <t xml:space="preserve">Coûts / ha travail du sol </t>
  </si>
  <si>
    <t>Maîtrise d'œuvre</t>
  </si>
  <si>
    <t>Coûts / ha plantation</t>
  </si>
  <si>
    <t>Coûts / ha protection</t>
  </si>
  <si>
    <t>Coûts / ha 1er entretien</t>
  </si>
  <si>
    <t>Références générales du projet</t>
  </si>
  <si>
    <t>Saint-Médard-en-Jalles (33)</t>
  </si>
  <si>
    <t>Densité</t>
  </si>
  <si>
    <t>Surface à boiser par commune</t>
  </si>
  <si>
    <t>TOTAL PROJET LABEL BAS CARBONE</t>
  </si>
  <si>
    <t>Chêne sessile 120 ans</t>
  </si>
  <si>
    <t>Pin maritime 35 ans</t>
  </si>
  <si>
    <t>Autre  si concerné</t>
  </si>
  <si>
    <t>Type boisement</t>
  </si>
  <si>
    <t>Mixte par bouquet</t>
  </si>
  <si>
    <t>Monospécifique</t>
  </si>
  <si>
    <t>Mixte pied à pied</t>
  </si>
  <si>
    <t>Mixte par parquet</t>
  </si>
  <si>
    <t>Mixte ligne par ligne</t>
  </si>
  <si>
    <t>Ilot 1 à N     (cf. carte jointe)</t>
  </si>
  <si>
    <t xml:space="preserve">Chef de Centre : </t>
  </si>
  <si>
    <t>Forêt :</t>
  </si>
  <si>
    <t>Parcelles forestières :</t>
  </si>
  <si>
    <t>Age du peuplement</t>
  </si>
  <si>
    <t xml:space="preserve">Distance par rapport au chantier (à vol d'oiseau) : </t>
  </si>
  <si>
    <t>Cette entreprise emploi-t-elle des personnes en réinsertion professionnelle ou handicapées ?</t>
  </si>
  <si>
    <t xml:space="preserve">Assurance forêt ? </t>
  </si>
  <si>
    <t xml:space="preserve">Certification PEFC ou FSC ? </t>
  </si>
  <si>
    <t>ETF principale retenue pour le reboisement (Nom et adresse) :</t>
  </si>
  <si>
    <t>Entreprise de 1ere transformation des bois récoltés :</t>
  </si>
  <si>
    <t>Liste des cobénéfices du projet</t>
  </si>
  <si>
    <t>Bonus</t>
  </si>
  <si>
    <t>Nettoyage partiel (&lt; 50% de la surface totale)</t>
  </si>
  <si>
    <t>Absence de nettoyage</t>
  </si>
  <si>
    <t>En bandes</t>
  </si>
  <si>
    <t>Par potets travaillés</t>
  </si>
  <si>
    <t>Aucun travail du sol</t>
  </si>
  <si>
    <t>Nettoyage du sol</t>
  </si>
  <si>
    <t>Préparation du sol</t>
  </si>
  <si>
    <t>Information</t>
  </si>
  <si>
    <t>Création de bordure feuillues linéraires (routes, chemins, limites de parcelles)</t>
  </si>
  <si>
    <t xml:space="preserve">Maintien d'arbres d'intérêt écologique ou de bordures boisées déjà présentes ? </t>
  </si>
  <si>
    <t>Si présence, essences adaptées aux bordures de milieux aquatiques ou zones humides</t>
  </si>
  <si>
    <t>Reboisement résineux effectué au plus de 10m de la bordure d'un cours d'eau</t>
  </si>
  <si>
    <t xml:space="preserve">Boisement en périmètre de protection rapproché (PPR) ou éloigné (PPE) de captage d'eau </t>
  </si>
  <si>
    <t>Boisement avec min. 3 essences dont 2 autochtones représentant au moins 40% des plants</t>
  </si>
  <si>
    <r>
      <rPr>
        <b/>
        <u/>
        <sz val="11"/>
        <color theme="1"/>
        <rFont val="Calibri"/>
        <family val="2"/>
        <scheme val="minor"/>
      </rPr>
      <t>SI NON :</t>
    </r>
    <r>
      <rPr>
        <sz val="11"/>
        <color theme="1"/>
        <rFont val="Calibri"/>
        <family val="2"/>
        <scheme val="minor"/>
      </rPr>
      <t xml:space="preserve"> Boisement avec min. 2 essences dont 10% des plants avec une essence autochtone </t>
    </r>
  </si>
  <si>
    <t>Calcul de l'indice total de prise en compte des co-bénéfices</t>
  </si>
  <si>
    <t>Prise en compte de la biodiversité</t>
  </si>
  <si>
    <t xml:space="preserve">ce qui représente </t>
  </si>
  <si>
    <t>Préservation des sols</t>
  </si>
  <si>
    <t>Chêne rouge 80 ans</t>
  </si>
  <si>
    <t>Peuplier 20 ans</t>
  </si>
  <si>
    <t>Taux d'actualisation</t>
  </si>
  <si>
    <t>Superficie (ha)</t>
  </si>
  <si>
    <t>Scénario avec projet carbone LBC</t>
  </si>
  <si>
    <t>m3</t>
  </si>
  <si>
    <t>Coupe définitive + FF</t>
  </si>
  <si>
    <t>ha</t>
  </si>
  <si>
    <t>Prix du m3 (€) - CR</t>
  </si>
  <si>
    <t>Prix du m3 (€) - CA5</t>
  </si>
  <si>
    <t>Prix du m3 (€) - CA4</t>
  </si>
  <si>
    <t>Prix du m3 (€) - CA3</t>
  </si>
  <si>
    <t>Prix du m3 (€) - CA2</t>
  </si>
  <si>
    <t>Prix du m3 (€) - CA1</t>
  </si>
  <si>
    <t>Prix du m3 (€) - E2</t>
  </si>
  <si>
    <t>Prix du m3 (€) - E1</t>
  </si>
  <si>
    <t>Prix</t>
  </si>
  <si>
    <t>Commission vente à l'UP</t>
  </si>
  <si>
    <t>CR (m3/ha)</t>
  </si>
  <si>
    <t>CA4 (m3/ha)</t>
  </si>
  <si>
    <t>CA3 (m3/ha)</t>
  </si>
  <si>
    <t>CA2 (m3/ha)</t>
  </si>
  <si>
    <t>CA1 (m3/ha)</t>
  </si>
  <si>
    <t>E3 (m3/ha)</t>
  </si>
  <si>
    <t>E2 (m3/ha)</t>
  </si>
  <si>
    <t>E1 (m3/ha)</t>
  </si>
  <si>
    <t>Récolte bois</t>
  </si>
  <si>
    <t>Maitrise d'œuvre</t>
  </si>
  <si>
    <t>Itinéraire Installation</t>
  </si>
  <si>
    <t>Entretien limité + FF</t>
  </si>
  <si>
    <t>PL</t>
  </si>
  <si>
    <t>Flux actualisé</t>
  </si>
  <si>
    <t>Flux (€/ha/an) HT</t>
  </si>
  <si>
    <t>Prix unitaire</t>
  </si>
  <si>
    <t>Volume</t>
  </si>
  <si>
    <t>% age</t>
  </si>
  <si>
    <t>Unité</t>
  </si>
  <si>
    <t>Nature de l'opération</t>
  </si>
  <si>
    <t>Année</t>
  </si>
  <si>
    <t>Coefficient prod</t>
  </si>
  <si>
    <t>Coefficient install</t>
  </si>
  <si>
    <t xml:space="preserve">VAN : </t>
  </si>
  <si>
    <t xml:space="preserve">TIR  : </t>
  </si>
  <si>
    <t xml:space="preserve">Valeurs fixes tout itinéraire </t>
  </si>
  <si>
    <t xml:space="preserve">TOTAL DU PROJET </t>
  </si>
  <si>
    <t>DELTA VAN                 (Projet LBC - Accrus)</t>
  </si>
  <si>
    <t xml:space="preserve">A un taux d'actualisation fixe de </t>
  </si>
  <si>
    <t>Synthèse des essences du projet</t>
  </si>
  <si>
    <t>Répartition</t>
  </si>
  <si>
    <t>Essences projets LBC</t>
  </si>
  <si>
    <t>Travail du sol (€/ha)</t>
  </si>
  <si>
    <t>Plantation (€/ha)</t>
  </si>
  <si>
    <t>Protection (€/ha)</t>
  </si>
  <si>
    <t xml:space="preserve">Entretien limité + FF </t>
  </si>
  <si>
    <t>Travail du sol + Plantation</t>
  </si>
  <si>
    <t>Entretien</t>
  </si>
  <si>
    <t>Taille de formation</t>
  </si>
  <si>
    <t>Taille formation</t>
  </si>
  <si>
    <t>3 ème éclaircie</t>
  </si>
  <si>
    <t xml:space="preserve">2 ème éclaircie </t>
  </si>
  <si>
    <t>1ere éclaircie</t>
  </si>
  <si>
    <t>1ère  coupe d'amélioration</t>
  </si>
  <si>
    <t>2ème coupe d'amélioration</t>
  </si>
  <si>
    <t>3ème coupe d'amélioration</t>
  </si>
  <si>
    <t>4ème coupe d'amélioration</t>
  </si>
  <si>
    <t>Chêne 120 ans</t>
  </si>
  <si>
    <t xml:space="preserve">Accrus naturels </t>
  </si>
  <si>
    <t>Essences présentes</t>
  </si>
  <si>
    <t>Révolution</t>
  </si>
  <si>
    <t>Prix m3 des accrus naturels</t>
  </si>
  <si>
    <t xml:space="preserve">Plantation </t>
  </si>
  <si>
    <t xml:space="preserve">Taille formation </t>
  </si>
  <si>
    <t>2 ème éclaircie</t>
  </si>
  <si>
    <t>1ère coupe d'amélioration</t>
  </si>
  <si>
    <t>Coupe définitive</t>
  </si>
  <si>
    <t>Plantation</t>
  </si>
  <si>
    <t>Révolution max</t>
  </si>
  <si>
    <t xml:space="preserve">Annexe Société Forestière du projet LBC </t>
  </si>
  <si>
    <t xml:space="preserve">cf. annexe îlots </t>
  </si>
  <si>
    <t>Communes :</t>
  </si>
  <si>
    <t>Mélèze hybride 55 ans</t>
  </si>
  <si>
    <t>4 ème éclaircie</t>
  </si>
  <si>
    <t>E4 (m3/ha)</t>
  </si>
  <si>
    <t>Prix du m3 (€) - E3</t>
  </si>
  <si>
    <t>Prix du m3 (€) - E4</t>
  </si>
  <si>
    <t xml:space="preserve">Scénario de référence </t>
  </si>
  <si>
    <t>Analyse économique du projet</t>
  </si>
  <si>
    <t>VAN PROJET</t>
  </si>
  <si>
    <t>VAN ACCRUS - REFERENCE</t>
  </si>
  <si>
    <t>VAN CHÊNE 120 ANS</t>
  </si>
  <si>
    <t>Cèdre 65 ans</t>
  </si>
  <si>
    <t>Douglas 45 ans</t>
  </si>
  <si>
    <t>04-02 et 01-03p</t>
  </si>
  <si>
    <t>AC93,CD12p</t>
  </si>
  <si>
    <t>Parcelles forestières</t>
  </si>
  <si>
    <t>Propriétaire :</t>
  </si>
  <si>
    <t>Surface projet total (ha) :</t>
  </si>
  <si>
    <t>Superficie totale plantation</t>
  </si>
  <si>
    <t>Superficie totale projet LBC</t>
  </si>
  <si>
    <t xml:space="preserve">Conservation </t>
  </si>
  <si>
    <t>Superficie totale conservation</t>
  </si>
  <si>
    <t xml:space="preserve">Risque de non permanence </t>
  </si>
  <si>
    <t xml:space="preserve">Réductions d'émissions générables par le projet </t>
  </si>
  <si>
    <t>Rabais pour le risque incendie :</t>
  </si>
  <si>
    <t xml:space="preserve">Réductions d'émissions </t>
  </si>
  <si>
    <t>Sans rabais</t>
  </si>
  <si>
    <t>Réductions d'émissions anticipées "forêt"</t>
  </si>
  <si>
    <t>Réductions d'émissions anticipées "produits"</t>
  </si>
  <si>
    <t>Réductions d'émissions indirectes</t>
  </si>
  <si>
    <t>Générables</t>
  </si>
  <si>
    <t>Chêne rouge</t>
  </si>
  <si>
    <t>Chêne sessile</t>
  </si>
  <si>
    <t>Pin laricio 60 ans</t>
  </si>
  <si>
    <t>Mandat de gestion</t>
  </si>
  <si>
    <t>Matrice cadastrale à jour</t>
  </si>
  <si>
    <t xml:space="preserve">Agrément au PSG </t>
  </si>
  <si>
    <t>Plan du reboisement</t>
  </si>
  <si>
    <t>Photographies in situ de moins d'un an</t>
  </si>
  <si>
    <t>Coupe d'urgence (ou avis favorable si reçu) OU coupe extraordinaire OU diagnostic DEPERIS</t>
  </si>
  <si>
    <t xml:space="preserve">Pièce jointe ? </t>
  </si>
  <si>
    <t xml:space="preserve">Indications </t>
  </si>
  <si>
    <t>A faire en SIG (Polygone de chaque îlot avec étiquette et mélange d'essence indiqué en légende)</t>
  </si>
  <si>
    <t>Pour chaque îlot, nom du fichier "Massif_Ilot_X"</t>
  </si>
  <si>
    <t xml:space="preserve">Orthophoto moins un an (avec superposition du fond cadastral) </t>
  </si>
  <si>
    <t>Orthophoto de 10 ans</t>
  </si>
  <si>
    <t>Estimation</t>
  </si>
  <si>
    <t>&lt;== A renseigner</t>
  </si>
  <si>
    <t xml:space="preserve">Présence d'un cours d'eau ou d'un captage d'eau ? </t>
  </si>
  <si>
    <t>Tilleul</t>
  </si>
  <si>
    <t xml:space="preserve">Réalisation d'un IBP pour projet inférieur à 2 ha </t>
  </si>
  <si>
    <t>Notation IBP</t>
  </si>
  <si>
    <t xml:space="preserve">IBP peuplement et gestion </t>
  </si>
  <si>
    <t>IBP contexte</t>
  </si>
  <si>
    <t>IBP Total</t>
  </si>
  <si>
    <t>Pour toute demande de modification du fichier ou d'amélioration s'adresser à Kévin BRICE : 06 46 15 41 49 ou kevin.brice@forestiere-cdc.fr</t>
  </si>
  <si>
    <t>Rabais totaux</t>
  </si>
  <si>
    <t>V (m³/ha)</t>
  </si>
  <si>
    <t>Biomasse aérienne 
(tMS/ha)</t>
  </si>
  <si>
    <t>Biomasse racinaire 
(tMS/ha)</t>
  </si>
  <si>
    <t>Biomasse 
totale accrus (tCO₂/ha)</t>
  </si>
  <si>
    <r>
      <t>V (m</t>
    </r>
    <r>
      <rPr>
        <b/>
        <sz val="11"/>
        <color theme="1"/>
        <rFont val="Arial"/>
        <family val="2"/>
      </rPr>
      <t>³</t>
    </r>
    <r>
      <rPr>
        <b/>
        <sz val="11"/>
        <color theme="1"/>
        <rFont val="Calibri"/>
        <family val="2"/>
        <scheme val="minor"/>
      </rPr>
      <t>/ha)</t>
    </r>
  </si>
  <si>
    <r>
      <t>Biomasse totale chêne sessile
(tCO</t>
    </r>
    <r>
      <rPr>
        <b/>
        <sz val="11"/>
        <color theme="1"/>
        <rFont val="Calibri"/>
        <family val="2"/>
      </rPr>
      <t>₂</t>
    </r>
    <r>
      <rPr>
        <b/>
        <sz val="11"/>
        <color theme="1"/>
        <rFont val="Calibri"/>
        <family val="2"/>
        <scheme val="minor"/>
      </rPr>
      <t>/ha)</t>
    </r>
  </si>
  <si>
    <t>V éclairci 
(m³/ha)</t>
  </si>
  <si>
    <t>% Sciages</t>
  </si>
  <si>
    <t>% Panneaux</t>
  </si>
  <si>
    <t>% Pâte à 
papier</t>
  </si>
  <si>
    <t>Stock 
sciages (tCO₂/ha)</t>
  </si>
  <si>
    <t>Stock 
panneaux (tCO₂/ha)</t>
  </si>
  <si>
    <t>Stocks pâte 
à papier (tCO₂/ha)</t>
  </si>
  <si>
    <t>Stock produits 
bois (tCO₂/ha)</t>
  </si>
  <si>
    <t>Infradensité chêne sessile</t>
  </si>
  <si>
    <t>Infradensité moyenne 
accrus feuillus</t>
  </si>
  <si>
    <t>Tables de production britanniques de la Forestry Commission
Classe de fertilité 2/3 utilisé, AM = 5 m3/ha/an sur 150 ans
La table a été adaptée en limitant à des éclaircies tous les 10 ans, plus probable que les éclaircies tous les 5 ans programmées dans la table initiale</t>
  </si>
  <si>
    <t>CHS</t>
  </si>
  <si>
    <t>Stock moyen de long terme</t>
  </si>
  <si>
    <t>Accrus</t>
  </si>
  <si>
    <t>Diff. stock moyen de long terme</t>
  </si>
  <si>
    <t>Diff. stock (30 ans)</t>
  </si>
  <si>
    <t>Gain CO₂ dans la biomasse</t>
  </si>
  <si>
    <t>Gain CO₂ dans la litière</t>
  </si>
  <si>
    <t>Gain en CO₂ dans le bois mort</t>
  </si>
  <si>
    <t>Gain en CO₂ dans le sol</t>
  </si>
  <si>
    <t>REA forêt générables</t>
  </si>
  <si>
    <t>Récolte pendant 30 ans (m³/ha)</t>
  </si>
  <si>
    <t>Coefficient de substitution</t>
  </si>
  <si>
    <t>REI substitution</t>
  </si>
  <si>
    <t>REA produits</t>
  </si>
  <si>
    <t>REE</t>
  </si>
  <si>
    <t>Species</t>
  </si>
  <si>
    <t>Yield class</t>
  </si>
  <si>
    <t>Thinning treatment</t>
  </si>
  <si>
    <t>Initial spacing</t>
  </si>
  <si>
    <t>Stand area</t>
  </si>
  <si>
    <t>Oak</t>
  </si>
  <si>
    <t>Intermediate</t>
  </si>
  <si>
    <t>1st thin delay</t>
  </si>
  <si>
    <t>1st thin type</t>
  </si>
  <si>
    <t>1st thin age</t>
  </si>
  <si>
    <t>2nd thin age</t>
  </si>
  <si>
    <t>Max MAI age</t>
  </si>
  <si>
    <t>Sub thin type</t>
  </si>
  <si>
    <t>Late thin age</t>
  </si>
  <si>
    <t>Late thin cycle</t>
  </si>
  <si>
    <t>0 years</t>
  </si>
  <si>
    <t>INTERMEDIATE</t>
  </si>
  <si>
    <t>25 years</t>
  </si>
  <si>
    <t>30 years</t>
  </si>
  <si>
    <t>80 years</t>
  </si>
  <si>
    <t>N/A</t>
  </si>
  <si>
    <t>MAIN CROP after thinning</t>
  </si>
  <si>
    <t>Yield from THINNINGS</t>
  </si>
  <si>
    <t>CUMULATIVE PRODUCTION</t>
  </si>
  <si>
    <t>MAI</t>
  </si>
  <si>
    <t>Age yrs</t>
  </si>
  <si>
    <t>Top ht m</t>
  </si>
  <si>
    <t>Trees /ha</t>
  </si>
  <si>
    <t>Mean dbh cm</t>
  </si>
  <si>
    <t>BA m²/ha</t>
  </si>
  <si>
    <t>Mean vol m³</t>
  </si>
  <si>
    <t>Vol m³/ha</t>
  </si>
  <si>
    <t>Vol m³/ha /yr</t>
  </si>
  <si>
    <t>Publication</t>
  </si>
  <si>
    <t>Tables de production britanniques</t>
  </si>
  <si>
    <t>Auteurs</t>
  </si>
  <si>
    <t>Hamilton &amp; Christie</t>
  </si>
  <si>
    <t>Editeur</t>
  </si>
  <si>
    <t>Forestry Commission (Grande-Bretagne)</t>
  </si>
  <si>
    <t>Essence</t>
  </si>
  <si>
    <t>Chênes</t>
  </si>
  <si>
    <t>Nombre de classes</t>
  </si>
  <si>
    <t>Classe retenue</t>
  </si>
  <si>
    <t>AM</t>
  </si>
  <si>
    <r>
      <t>5 m</t>
    </r>
    <r>
      <rPr>
        <sz val="11"/>
        <color theme="1"/>
        <rFont val="Calibri"/>
        <family val="2"/>
      </rPr>
      <t>³</t>
    </r>
    <r>
      <rPr>
        <sz val="11"/>
        <color theme="1"/>
        <rFont val="Calibri"/>
        <family val="2"/>
        <scheme val="minor"/>
      </rPr>
      <t>/ha/an</t>
    </r>
  </si>
  <si>
    <t>Remarque</t>
  </si>
  <si>
    <t>Volumes bois fort</t>
  </si>
  <si>
    <r>
      <t>Biomasse totale tilleul
(tCO</t>
    </r>
    <r>
      <rPr>
        <b/>
        <sz val="11"/>
        <color theme="1"/>
        <rFont val="Calibri"/>
        <family val="2"/>
      </rPr>
      <t>₂</t>
    </r>
    <r>
      <rPr>
        <b/>
        <sz val="11"/>
        <color theme="1"/>
        <rFont val="Calibri"/>
        <family val="2"/>
        <scheme val="minor"/>
      </rPr>
      <t>/ha)</t>
    </r>
  </si>
  <si>
    <t>Infrandensité moyenne feuillus</t>
  </si>
  <si>
    <t>Infrandensité moyenne tilleul</t>
  </si>
  <si>
    <t>Utilisation de la table roumaine du tilleul argenté
La table a été adaptée en limitant à des éclaircies tous les 10 ans, plus probable que les éclaircies tous les 5 ans programmées dans la table initiale
Classe de fertilité 3/6 avec une 
production totale sur 110 de 8,2 m³/ha/an
Pas de facteur d'expansion branches, les tables roumaines semblent donner des volumes totaux</t>
  </si>
  <si>
    <t>REE générables</t>
  </si>
  <si>
    <t>Livre</t>
  </si>
  <si>
    <t>Modele matematico-auxologice şi tabele de producţie pentru arborete</t>
  </si>
  <si>
    <t>Regia Naţională a pădurilor - Romsilva</t>
  </si>
  <si>
    <t>Victor Giurgiu, Dorin Drăghiciu (Roumanie)</t>
  </si>
  <si>
    <t>Editura Ceres</t>
  </si>
  <si>
    <r>
      <t>Tilleul argenté (</t>
    </r>
    <r>
      <rPr>
        <i/>
        <sz val="11"/>
        <color theme="1"/>
        <rFont val="Calibri"/>
        <family val="2"/>
        <scheme val="minor"/>
      </rPr>
      <t>Tei argintiu</t>
    </r>
    <r>
      <rPr>
        <sz val="11"/>
        <color theme="1"/>
        <rFont val="Calibri"/>
        <family val="2"/>
        <scheme val="minor"/>
      </rPr>
      <t>)</t>
    </r>
  </si>
  <si>
    <r>
      <t>8,2 m</t>
    </r>
    <r>
      <rPr>
        <sz val="11"/>
        <color theme="1"/>
        <rFont val="Calibri"/>
        <family val="2"/>
      </rPr>
      <t>³</t>
    </r>
    <r>
      <rPr>
        <sz val="11"/>
        <color theme="1"/>
        <rFont val="Calibri"/>
        <family val="2"/>
        <scheme val="minor"/>
      </rPr>
      <t>/ha/an</t>
    </r>
  </si>
  <si>
    <t>Volumes totaux</t>
  </si>
  <si>
    <r>
      <t>Biomasse totale chêne rouge
(tCO</t>
    </r>
    <r>
      <rPr>
        <b/>
        <sz val="11"/>
        <color theme="1"/>
        <rFont val="Calibri"/>
        <family val="2"/>
      </rPr>
      <t>₂</t>
    </r>
    <r>
      <rPr>
        <b/>
        <sz val="11"/>
        <color theme="1"/>
        <rFont val="Calibri"/>
        <family val="2"/>
        <scheme val="minor"/>
      </rPr>
      <t>/ha)</t>
    </r>
  </si>
  <si>
    <t>Infradensité chêne rouge</t>
  </si>
  <si>
    <t>Tables de production hollandaises pour le chêne rouge p. 28 "Revised yield tables for six tree species in the Netherlands" de JGA La Bastide et PJ Fabre, 1972
Classe de fertilité 2/6 utilisé, AM = 9 m³/ha/an sur 70 ans
La table a été adaptée en limitant à des éclaircies tous les 10 ans, plus probable que les éclaircies tous les 5 ans programmées dans la table initiale
Pas de facteur d'expansion branches car il s'agit de volumes totaux et non de volumes bois fort</t>
  </si>
  <si>
    <t>CHR</t>
  </si>
  <si>
    <t>Revised yield tables for six tree species in the Netherlands</t>
  </si>
  <si>
    <t>JGA La Bastide et PJ Fabre</t>
  </si>
  <si>
    <t>?</t>
  </si>
  <si>
    <r>
      <t>Chêne rouge d'Amérique (</t>
    </r>
    <r>
      <rPr>
        <i/>
        <sz val="11"/>
        <color theme="1"/>
        <rFont val="Calibri"/>
        <family val="2"/>
        <scheme val="minor"/>
      </rPr>
      <t>Amerikaanse eik</t>
    </r>
    <r>
      <rPr>
        <sz val="11"/>
        <color theme="1"/>
        <rFont val="Calibri"/>
        <family val="2"/>
        <scheme val="minor"/>
      </rPr>
      <t>)</t>
    </r>
  </si>
  <si>
    <r>
      <t>9 m</t>
    </r>
    <r>
      <rPr>
        <sz val="11"/>
        <color theme="1"/>
        <rFont val="Calibri"/>
        <family val="2"/>
      </rPr>
      <t>³</t>
    </r>
    <r>
      <rPr>
        <sz val="11"/>
        <color theme="1"/>
        <rFont val="Calibri"/>
        <family val="2"/>
        <scheme val="minor"/>
      </rPr>
      <t>/ha/an</t>
    </r>
  </si>
  <si>
    <t>Carbone moyen (tCO₂/ha)</t>
  </si>
  <si>
    <r>
      <t>Biomasse totale peuplier
(tCO</t>
    </r>
    <r>
      <rPr>
        <b/>
        <sz val="11"/>
        <color theme="1"/>
        <rFont val="Calibri"/>
        <family val="2"/>
      </rPr>
      <t>₂</t>
    </r>
    <r>
      <rPr>
        <b/>
        <sz val="11"/>
        <color theme="1"/>
        <rFont val="Calibri"/>
        <family val="2"/>
        <scheme val="minor"/>
      </rPr>
      <t>/ha)</t>
    </r>
  </si>
  <si>
    <t>V récolté
(m³/ha)</t>
  </si>
  <si>
    <t>Infrandensité moyenne peuplier Koster</t>
  </si>
  <si>
    <t>Utilisation de tables de production pour le peuplier Koster en contexte argileux (bien moins favorable que sur station riche fraîche)
Classe de fertilité unique
Pas de facteur d'expansion branches, il s'agit de volumes totaux</t>
  </si>
  <si>
    <t>Peuplier</t>
  </si>
  <si>
    <t>Koster</t>
  </si>
  <si>
    <t>H déc. diam. en cm</t>
  </si>
  <si>
    <t>D.M.M.circ. en cm/m</t>
  </si>
  <si>
    <t>Station</t>
  </si>
  <si>
    <t>Age</t>
  </si>
  <si>
    <t>C 1.30 m en cm valeurs modèle</t>
  </si>
  <si>
    <t>H Gr BO en m</t>
  </si>
  <si>
    <t>Vol BO 204 en m3/ha</t>
  </si>
  <si>
    <t>Vol BEBI 204 en m3/ha</t>
  </si>
  <si>
    <t>Vol tot 204 en m3/ha</t>
  </si>
  <si>
    <t>argileuse</t>
  </si>
  <si>
    <t>Source</t>
  </si>
  <si>
    <t>Données de production CNPF non publiées issues de dispositifs suivis</t>
  </si>
  <si>
    <t>Eric Paillassa</t>
  </si>
  <si>
    <t>Non publié</t>
  </si>
  <si>
    <t>-</t>
  </si>
  <si>
    <t>Peuplier Koster (station argileuse, moins favorable que riche fraîche)</t>
  </si>
  <si>
    <r>
      <t>12,1 m</t>
    </r>
    <r>
      <rPr>
        <sz val="11"/>
        <color theme="1"/>
        <rFont val="Calibri"/>
        <family val="2"/>
      </rPr>
      <t>³</t>
    </r>
    <r>
      <rPr>
        <sz val="11"/>
        <color theme="1"/>
        <rFont val="Calibri"/>
        <family val="2"/>
        <scheme val="minor"/>
      </rPr>
      <t>/ha/an en 25 ans</t>
    </r>
  </si>
  <si>
    <t>Infradensité</t>
  </si>
  <si>
    <t>REA forêt (tCO2/ha sur 30 ans)</t>
  </si>
  <si>
    <t>REA forêt générables (avec rabais)</t>
  </si>
  <si>
    <t>REA produits (tCO2/ha sur 30 ans)</t>
  </si>
  <si>
    <t>REA produits générables (avec rabais)</t>
  </si>
  <si>
    <t>REI substitution (tCO2/ha sur 30 ans)</t>
  </si>
  <si>
    <t>REI susbstittion générables (avec rabais)</t>
  </si>
  <si>
    <t>REE totales générables</t>
  </si>
  <si>
    <t>CALCUL DES REE</t>
  </si>
  <si>
    <t>Révolution cible</t>
  </si>
  <si>
    <t>Stock moyen de long terme2</t>
  </si>
  <si>
    <t>Colonne3</t>
  </si>
  <si>
    <t>Total projet</t>
  </si>
  <si>
    <t>Calcul des REE automatiques, ne pas renseigner ces cases</t>
  </si>
  <si>
    <t>Synthèse des REE par essence du projet</t>
  </si>
  <si>
    <t>Révolution cible (années)</t>
  </si>
  <si>
    <t>Total projet LBC</t>
  </si>
  <si>
    <t>Classe de fertilité essence</t>
  </si>
  <si>
    <t>Classe de fertilité</t>
  </si>
  <si>
    <t>Chêne vert</t>
  </si>
  <si>
    <t>Charme</t>
  </si>
  <si>
    <t xml:space="preserve">Nombre d'îlots : </t>
  </si>
  <si>
    <t>m4</t>
  </si>
  <si>
    <t>Sapin 70 ans</t>
  </si>
  <si>
    <t>Territoire urbain</t>
  </si>
  <si>
    <t>A</t>
  </si>
  <si>
    <t>B</t>
  </si>
  <si>
    <t xml:space="preserve">Boisement sur métropole / communauté urbaine (A) ou communauté d'agglomération (B)? </t>
  </si>
  <si>
    <t>Non</t>
  </si>
  <si>
    <t>Surface dédiée conservation (ha) :</t>
  </si>
  <si>
    <t>Exemple : 
cellules en gras à remplir</t>
  </si>
  <si>
    <t>Classe de fertilité moyenne estimée (Direction Technique)</t>
  </si>
  <si>
    <t xml:space="preserve">Essence principale </t>
  </si>
  <si>
    <t xml:space="preserve">Identification de la classe de fertilité
- par l'antécédant cultural
- les peuplements voisins sur stations similaires </t>
  </si>
  <si>
    <t>Arbres plantés</t>
  </si>
  <si>
    <t>Coûts totaux hors protection</t>
  </si>
  <si>
    <t>Q</t>
  </si>
  <si>
    <t>S2F</t>
  </si>
  <si>
    <t>1a, 2c et 13b</t>
  </si>
  <si>
    <t>Marcoing</t>
  </si>
  <si>
    <t>ZK89, ZK90 et ZM 195</t>
  </si>
  <si>
    <t>GF bois des Montagne</t>
  </si>
  <si>
    <t>Bois Couillet</t>
  </si>
  <si>
    <t>Thomas Cousin</t>
  </si>
  <si>
    <t>De Lencquesaing Arnoult</t>
  </si>
  <si>
    <t>Socio-économique</t>
  </si>
  <si>
    <t>Poste travaux</t>
  </si>
  <si>
    <t>devis</t>
  </si>
  <si>
    <t>facture</t>
  </si>
  <si>
    <t>création de potets travaillés</t>
  </si>
  <si>
    <t>fourniture de chene sessile</t>
  </si>
  <si>
    <t>mise en place des plants</t>
  </si>
  <si>
    <t>fourniture d'Aulnes cordata</t>
  </si>
  <si>
    <t>fourniture de charme</t>
  </si>
  <si>
    <t>fourniture de Bouleau</t>
  </si>
  <si>
    <t>mise en place des aulnes</t>
  </si>
  <si>
    <t>mise en place des charmes et bouleaux</t>
  </si>
  <si>
    <t xml:space="preserve">fourniture de gaine </t>
  </si>
  <si>
    <t>mise en place des production</t>
  </si>
  <si>
    <t>fourniture de houx</t>
  </si>
  <si>
    <t>Somme</t>
  </si>
  <si>
    <t>coût/ha</t>
  </si>
  <si>
    <t>avec 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</si>
</sst>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4" formatCode="_-* #,##0.00\ &quot;€&quot;_-;\-* #,##0.00\ &quot;€&quot;_-;_-* &quot;-&quot;??\ &quot;€&quot;_-;_-@_-"/>
    <numFmt numFmtId="164" formatCode="#&quot;sur&quot;\ ##0"/>
    <numFmt numFmtId="165" formatCode="0.0%"/>
    <numFmt numFmtId="166" formatCode="#,##0.00\ &quot;€&quot;"/>
    <numFmt numFmtId="167" formatCode="_-* #,##0\ _€_-;\-* #,##0\ _€_-;_-* &quot;-&quot;??\ _€_-;_-@_-"/>
    <numFmt numFmtId="168" formatCode="#,##0.00_ ;\-#,##0.00\ "/>
    <numFmt numFmtId="169" formatCode="0&quot; plants/ha &quot;"/>
    <numFmt numFmtId="170" formatCode="0.0"/>
    <numFmt numFmtId="171" formatCode="0.00&quot; Tonnes de CO2&quot;"/>
    <numFmt numFmtId="172" formatCode="0&quot; arbres plantés&quot;"/>
    <numFmt numFmtId="173" formatCode="0.0000"/>
  </numFmts>
  <fonts count="35" x14ac:knownFonts="1">
    <font>
      <sz val="11"/>
      <color theme="1"/>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14"/>
      <color theme="1"/>
      <name val="Calibri"/>
      <family val="2"/>
      <scheme val="minor"/>
    </font>
    <font>
      <sz val="11"/>
      <color rgb="FF000000"/>
      <name val="Calibri"/>
      <family val="2"/>
      <scheme val="minor"/>
    </font>
    <font>
      <sz val="11"/>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b/>
      <sz val="11"/>
      <color theme="0"/>
      <name val="Calibri"/>
      <family val="2"/>
      <scheme val="minor"/>
    </font>
    <font>
      <sz val="11"/>
      <color rgb="FFFF0000"/>
      <name val="Calibri"/>
      <family val="2"/>
      <scheme val="minor"/>
    </font>
    <font>
      <b/>
      <u/>
      <sz val="11"/>
      <color theme="1"/>
      <name val="Calibri"/>
      <family val="2"/>
      <scheme val="minor"/>
    </font>
    <font>
      <sz val="14"/>
      <color theme="1"/>
      <name val="Calibri"/>
      <family val="2"/>
      <scheme val="minor"/>
    </font>
    <font>
      <sz val="14"/>
      <name val="Calibri"/>
      <family val="2"/>
      <scheme val="minor"/>
    </font>
    <font>
      <b/>
      <sz val="14"/>
      <name val="Calibri"/>
      <family val="2"/>
      <scheme val="minor"/>
    </font>
    <font>
      <b/>
      <sz val="12"/>
      <color theme="1"/>
      <name val="Calibri"/>
      <family val="2"/>
      <scheme val="minor"/>
    </font>
    <font>
      <sz val="12"/>
      <color theme="1"/>
      <name val="Calibri"/>
      <family val="2"/>
      <scheme val="minor"/>
    </font>
    <font>
      <b/>
      <sz val="11"/>
      <color rgb="FFFF0000"/>
      <name val="Calibri"/>
      <family val="2"/>
      <scheme val="minor"/>
    </font>
    <font>
      <b/>
      <sz val="16"/>
      <color theme="1"/>
      <name val="Calibri"/>
      <family val="2"/>
      <scheme val="minor"/>
    </font>
    <font>
      <b/>
      <sz val="18"/>
      <color theme="0"/>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i/>
      <sz val="11"/>
      <color rgb="FFFF0000"/>
      <name val="Calibri"/>
      <family val="2"/>
      <scheme val="minor"/>
    </font>
    <font>
      <b/>
      <sz val="11"/>
      <color theme="1"/>
      <name val="Arial"/>
      <family val="2"/>
    </font>
    <font>
      <b/>
      <sz val="11"/>
      <color theme="1"/>
      <name val="Calibri"/>
      <family val="2"/>
    </font>
    <font>
      <b/>
      <sz val="8.25"/>
      <color indexed="8"/>
      <name val="Verdana"/>
      <family val="2"/>
    </font>
    <font>
      <sz val="8.25"/>
      <color indexed="8"/>
      <name val="Verdana"/>
      <family val="2"/>
    </font>
    <font>
      <sz val="11"/>
      <color theme="1"/>
      <name val="Calibri"/>
      <family val="2"/>
    </font>
    <font>
      <sz val="10"/>
      <name val="Arial"/>
      <family val="2"/>
    </font>
    <font>
      <b/>
      <sz val="11"/>
      <color rgb="FFFFFFFF"/>
      <name val="Calibri"/>
      <family val="2"/>
      <scheme val="minor"/>
    </font>
    <font>
      <b/>
      <sz val="16"/>
      <color rgb="FFFFFFFF"/>
      <name val="Calibri"/>
      <family val="2"/>
      <scheme val="minor"/>
    </font>
    <font>
      <b/>
      <i/>
      <sz val="12"/>
      <color theme="1"/>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7"/>
        <bgColor theme="7"/>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theme="9" tint="0.59999389629810485"/>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4"/>
        <bgColor theme="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rgb="FF009999"/>
        <bgColor indexed="64"/>
      </patternFill>
    </fill>
    <fill>
      <patternFill patternType="solid">
        <fgColor rgb="FF33CCCC"/>
        <bgColor indexed="64"/>
      </patternFill>
    </fill>
    <fill>
      <patternFill patternType="solid">
        <fgColor rgb="FF00B0F0"/>
        <bgColor rgb="FFCFE7F5"/>
      </patternFill>
    </fill>
    <fill>
      <patternFill patternType="solid">
        <fgColor rgb="FF00B0F0"/>
        <bgColor indexed="64"/>
      </patternFill>
    </fill>
    <fill>
      <patternFill patternType="solid">
        <fgColor rgb="FF92D050"/>
        <bgColor rgb="FFCFE7F5"/>
      </patternFill>
    </fill>
    <fill>
      <patternFill patternType="solid">
        <fgColor rgb="FF92D050"/>
        <bgColor indexed="64"/>
      </patternFill>
    </fill>
    <fill>
      <patternFill patternType="solid">
        <fgColor theme="7" tint="0.59999389629810485"/>
        <bgColor rgb="FFCFE7F5"/>
      </patternFill>
    </fill>
    <fill>
      <patternFill patternType="solid">
        <fgColor theme="7" tint="0.59999389629810485"/>
        <bgColor indexed="64"/>
      </patternFill>
    </fill>
    <fill>
      <patternFill patternType="solid">
        <fgColor rgb="FFFFFF00"/>
        <bgColor indexed="64"/>
      </patternFill>
    </fill>
    <fill>
      <patternFill patternType="solid">
        <fgColor theme="7" tint="0.59999389629810485"/>
        <bgColor rgb="FFE6E6FF"/>
      </patternFill>
    </fill>
    <fill>
      <patternFill patternType="solid">
        <fgColor theme="9" tint="0.39997558519241921"/>
        <bgColor indexed="64"/>
      </patternFill>
    </fill>
    <fill>
      <patternFill patternType="solid">
        <fgColor rgb="FFFFC000"/>
        <bgColor indexed="64"/>
      </patternFill>
    </fill>
    <fill>
      <patternFill patternType="solid">
        <fgColor theme="7"/>
        <bgColor indexed="64"/>
      </patternFill>
    </fill>
    <fill>
      <patternFill patternType="solid">
        <fgColor rgb="FFC00000"/>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style="thin">
        <color theme="0"/>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597">
    <xf numFmtId="0" fontId="0" fillId="0" borderId="0" xfId="0"/>
    <xf numFmtId="0" fontId="0" fillId="0" borderId="6" xfId="0" applyBorder="1"/>
    <xf numFmtId="0" fontId="1" fillId="0" borderId="9" xfId="0" applyFont="1" applyBorder="1"/>
    <xf numFmtId="0" fontId="0" fillId="0" borderId="10" xfId="0" applyBorder="1"/>
    <xf numFmtId="0" fontId="0" fillId="0" borderId="11" xfId="0" applyBorder="1"/>
    <xf numFmtId="0" fontId="5" fillId="0" borderId="10" xfId="0" applyFont="1" applyBorder="1" applyAlignment="1">
      <alignment horizontal="center" vertical="center"/>
    </xf>
    <xf numFmtId="0" fontId="5" fillId="0" borderId="10" xfId="0" applyFont="1" applyBorder="1" applyAlignment="1">
      <alignment horizontal="center"/>
    </xf>
    <xf numFmtId="0" fontId="5" fillId="0" borderId="11" xfId="0" applyFont="1" applyBorder="1" applyAlignment="1">
      <alignment horizontal="center"/>
    </xf>
    <xf numFmtId="0" fontId="1" fillId="0" borderId="4" xfId="0" applyFont="1" applyBorder="1"/>
    <xf numFmtId="0" fontId="0" fillId="0" borderId="6" xfId="0" applyFont="1" applyBorder="1"/>
    <xf numFmtId="0" fontId="1" fillId="0" borderId="0" xfId="0" applyFont="1"/>
    <xf numFmtId="0" fontId="1" fillId="0" borderId="6" xfId="0" applyFont="1" applyFill="1" applyBorder="1"/>
    <xf numFmtId="0" fontId="0" fillId="0" borderId="6" xfId="0" applyFill="1" applyBorder="1"/>
    <xf numFmtId="0" fontId="0" fillId="0" borderId="0" xfId="0" applyFill="1" applyBorder="1"/>
    <xf numFmtId="0" fontId="8" fillId="16" borderId="12" xfId="0"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center"/>
    </xf>
    <xf numFmtId="0" fontId="10" fillId="3" borderId="13" xfId="0" applyFont="1" applyFill="1" applyBorder="1" applyAlignment="1">
      <alignment horizontal="center" vertical="center" wrapText="1"/>
    </xf>
    <xf numFmtId="0" fontId="0" fillId="0" borderId="0" xfId="0" applyAlignment="1">
      <alignment horizontal="center"/>
    </xf>
    <xf numFmtId="0" fontId="12" fillId="0" borderId="0" xfId="0" applyFont="1"/>
    <xf numFmtId="0" fontId="0" fillId="0" borderId="12" xfId="0" applyBorder="1"/>
    <xf numFmtId="44" fontId="0" fillId="0" borderId="12" xfId="1" applyFont="1" applyBorder="1"/>
    <xf numFmtId="0" fontId="0" fillId="0" borderId="12" xfId="0" applyBorder="1" applyAlignment="1">
      <alignment horizontal="center"/>
    </xf>
    <xf numFmtId="0" fontId="2" fillId="0" borderId="12" xfId="0" applyFont="1" applyBorder="1" applyAlignment="1">
      <alignment horizontal="center"/>
    </xf>
    <xf numFmtId="167" fontId="0" fillId="0" borderId="12" xfId="0" applyNumberFormat="1" applyBorder="1" applyAlignment="1">
      <alignment horizontal="center"/>
    </xf>
    <xf numFmtId="0" fontId="12" fillId="0" borderId="12" xfId="0" applyFont="1" applyBorder="1" applyAlignment="1">
      <alignment horizontal="center"/>
    </xf>
    <xf numFmtId="166" fontId="0" fillId="0" borderId="0" xfId="2" applyNumberFormat="1" applyFont="1"/>
    <xf numFmtId="44" fontId="0" fillId="0" borderId="0" xfId="1" applyFont="1"/>
    <xf numFmtId="10" fontId="0" fillId="0" borderId="0" xfId="2" applyNumberFormat="1" applyFont="1"/>
    <xf numFmtId="8" fontId="1" fillId="0" borderId="0" xfId="0" applyNumberFormat="1" applyFont="1"/>
    <xf numFmtId="166" fontId="1" fillId="0" borderId="0" xfId="0" applyNumberFormat="1" applyFont="1"/>
    <xf numFmtId="168" fontId="15" fillId="21" borderId="11" xfId="1" applyNumberFormat="1" applyFont="1" applyFill="1" applyBorder="1" applyProtection="1">
      <protection locked="0"/>
    </xf>
    <xf numFmtId="0" fontId="14" fillId="9" borderId="7" xfId="0" applyFont="1" applyFill="1" applyBorder="1" applyProtection="1">
      <protection locked="0"/>
    </xf>
    <xf numFmtId="166" fontId="0" fillId="0" borderId="0" xfId="0" applyNumberFormat="1"/>
    <xf numFmtId="10" fontId="0" fillId="0" borderId="0" xfId="0" applyNumberFormat="1"/>
    <xf numFmtId="168" fontId="15" fillId="21" borderId="10" xfId="1" applyNumberFormat="1" applyFont="1" applyFill="1" applyBorder="1" applyProtection="1">
      <protection locked="0"/>
    </xf>
    <xf numFmtId="0" fontId="14" fillId="25" borderId="6" xfId="0" applyFont="1" applyFill="1" applyBorder="1" applyProtection="1">
      <protection locked="0"/>
    </xf>
    <xf numFmtId="2" fontId="0" fillId="0" borderId="0" xfId="2" applyNumberFormat="1" applyFont="1"/>
    <xf numFmtId="0" fontId="14" fillId="9" borderId="6" xfId="0" applyFont="1" applyFill="1" applyBorder="1" applyProtection="1">
      <protection locked="0"/>
    </xf>
    <xf numFmtId="2" fontId="0" fillId="0" borderId="0" xfId="0" applyNumberFormat="1"/>
    <xf numFmtId="168" fontId="15" fillId="21" borderId="9" xfId="1" applyNumberFormat="1" applyFont="1" applyFill="1" applyBorder="1" applyProtection="1">
      <protection locked="0"/>
    </xf>
    <xf numFmtId="0" fontId="14" fillId="25" borderId="4" xfId="0" applyFont="1" applyFill="1" applyBorder="1" applyProtection="1">
      <protection locked="0"/>
    </xf>
    <xf numFmtId="0" fontId="16" fillId="24" borderId="9" xfId="0" applyFont="1" applyFill="1" applyBorder="1" applyProtection="1">
      <protection locked="0"/>
    </xf>
    <xf numFmtId="0" fontId="3" fillId="24" borderId="9" xfId="0" applyFont="1" applyFill="1" applyBorder="1" applyProtection="1">
      <protection locked="0"/>
    </xf>
    <xf numFmtId="9" fontId="16" fillId="9" borderId="11" xfId="2" applyFont="1" applyFill="1" applyBorder="1" applyAlignment="1" applyProtection="1">
      <alignment horizontal="right"/>
      <protection locked="0"/>
    </xf>
    <xf numFmtId="0" fontId="4" fillId="9" borderId="10" xfId="0" applyFont="1" applyFill="1" applyBorder="1" applyProtection="1">
      <protection locked="0"/>
    </xf>
    <xf numFmtId="2" fontId="16" fillId="25" borderId="10" xfId="0" applyNumberFormat="1" applyFont="1" applyFill="1" applyBorder="1" applyAlignment="1" applyProtection="1">
      <alignment horizontal="right"/>
      <protection locked="0"/>
    </xf>
    <xf numFmtId="0" fontId="4" fillId="25" borderId="10" xfId="0" applyFont="1" applyFill="1" applyBorder="1" applyProtection="1">
      <protection locked="0"/>
    </xf>
    <xf numFmtId="0" fontId="3" fillId="24" borderId="29" xfId="0" applyFont="1" applyFill="1" applyBorder="1" applyProtection="1">
      <protection locked="0"/>
    </xf>
    <xf numFmtId="0" fontId="4" fillId="25" borderId="11" xfId="0" applyFont="1" applyFill="1" applyBorder="1"/>
    <xf numFmtId="0" fontId="4" fillId="25" borderId="7" xfId="0" applyFont="1" applyFill="1" applyBorder="1"/>
    <xf numFmtId="9" fontId="14" fillId="20" borderId="10" xfId="2" applyFont="1" applyFill="1" applyBorder="1" applyProtection="1"/>
    <xf numFmtId="0" fontId="14" fillId="0" borderId="6" xfId="0" applyFont="1" applyBorder="1"/>
    <xf numFmtId="0" fontId="14" fillId="20" borderId="9" xfId="0" applyFont="1" applyFill="1" applyBorder="1"/>
    <xf numFmtId="0" fontId="14" fillId="0" borderId="4" xfId="0" applyFont="1" applyBorder="1"/>
    <xf numFmtId="0" fontId="14" fillId="20" borderId="10" xfId="0" applyFont="1" applyFill="1" applyBorder="1"/>
    <xf numFmtId="0" fontId="4" fillId="0" borderId="0" xfId="0" applyFont="1"/>
    <xf numFmtId="8" fontId="0" fillId="0" borderId="0" xfId="0" applyNumberFormat="1"/>
    <xf numFmtId="169" fontId="0" fillId="0" borderId="0" xfId="2" applyNumberFormat="1" applyFont="1"/>
    <xf numFmtId="10" fontId="0" fillId="0" borderId="0" xfId="0" applyNumberFormat="1" applyAlignment="1">
      <alignment horizontal="right"/>
    </xf>
    <xf numFmtId="0" fontId="17" fillId="0" borderId="0" xfId="0" applyFont="1"/>
    <xf numFmtId="9" fontId="18" fillId="0" borderId="0" xfId="2" applyFont="1" applyFill="1" applyBorder="1"/>
    <xf numFmtId="0" fontId="15" fillId="20" borderId="10" xfId="0" applyFont="1" applyFill="1" applyBorder="1"/>
    <xf numFmtId="0" fontId="18" fillId="0" borderId="0" xfId="0" applyFont="1"/>
    <xf numFmtId="9" fontId="0" fillId="0" borderId="0" xfId="2" applyFont="1"/>
    <xf numFmtId="0" fontId="3" fillId="24" borderId="9" xfId="0" applyFont="1" applyFill="1" applyBorder="1"/>
    <xf numFmtId="0" fontId="3" fillId="24" borderId="4" xfId="0" applyFont="1" applyFill="1" applyBorder="1"/>
    <xf numFmtId="0" fontId="18" fillId="0" borderId="10" xfId="0" applyFont="1" applyBorder="1"/>
    <xf numFmtId="166" fontId="0" fillId="0" borderId="0" xfId="2" applyNumberFormat="1" applyFont="1" applyFill="1"/>
    <xf numFmtId="10" fontId="0" fillId="0" borderId="0" xfId="2" applyNumberFormat="1" applyFont="1" applyFill="1"/>
    <xf numFmtId="0" fontId="1" fillId="0" borderId="12" xfId="0" applyFont="1" applyBorder="1" applyAlignment="1">
      <alignment horizontal="center"/>
    </xf>
    <xf numFmtId="44" fontId="1" fillId="0" borderId="12" xfId="1" applyFont="1" applyBorder="1" applyAlignment="1">
      <alignment horizontal="center"/>
    </xf>
    <xf numFmtId="0" fontId="19" fillId="0" borderId="12" xfId="0" applyFont="1" applyBorder="1" applyAlignment="1">
      <alignment horizontal="center"/>
    </xf>
    <xf numFmtId="0" fontId="0" fillId="0" borderId="0" xfId="1" applyNumberFormat="1" applyFont="1" applyAlignment="1">
      <alignment horizontal="left"/>
    </xf>
    <xf numFmtId="0" fontId="1" fillId="26" borderId="12" xfId="0" applyFont="1" applyFill="1" applyBorder="1"/>
    <xf numFmtId="8" fontId="0" fillId="0" borderId="12" xfId="0" applyNumberFormat="1" applyBorder="1"/>
    <xf numFmtId="0" fontId="10" fillId="24" borderId="4" xfId="0" applyFont="1" applyFill="1" applyBorder="1"/>
    <xf numFmtId="10" fontId="0" fillId="0" borderId="12" xfId="0" applyNumberFormat="1" applyBorder="1" applyAlignment="1">
      <alignment horizontal="right"/>
    </xf>
    <xf numFmtId="0" fontId="1" fillId="26" borderId="12" xfId="0" applyFont="1" applyFill="1" applyBorder="1" applyAlignment="1">
      <alignment horizontal="left" vertical="center"/>
    </xf>
    <xf numFmtId="0" fontId="18" fillId="0" borderId="1" xfId="0" applyFont="1" applyBorder="1"/>
    <xf numFmtId="165" fontId="18" fillId="0" borderId="29" xfId="2" applyNumberFormat="1" applyFont="1" applyFill="1" applyBorder="1" applyProtection="1"/>
    <xf numFmtId="44" fontId="1" fillId="0" borderId="0" xfId="1" applyFont="1" applyAlignment="1">
      <alignment horizontal="center"/>
    </xf>
    <xf numFmtId="0" fontId="10" fillId="0" borderId="0" xfId="0" applyFont="1"/>
    <xf numFmtId="0" fontId="10" fillId="24" borderId="1" xfId="0" applyFont="1" applyFill="1" applyBorder="1"/>
    <xf numFmtId="0" fontId="11" fillId="0" borderId="0" xfId="0" applyFont="1" applyFill="1" applyBorder="1" applyAlignment="1">
      <alignment horizontal="center" vertical="center"/>
    </xf>
    <xf numFmtId="0" fontId="11" fillId="0" borderId="0" xfId="0" applyFont="1" applyFill="1" applyBorder="1"/>
    <xf numFmtId="0" fontId="0" fillId="0" borderId="0" xfId="2" applyNumberFormat="1" applyFont="1" applyFill="1" applyBorder="1" applyProtection="1"/>
    <xf numFmtId="0" fontId="14" fillId="0" borderId="0" xfId="0" applyFont="1" applyFill="1" applyBorder="1" applyProtection="1">
      <protection locked="0"/>
    </xf>
    <xf numFmtId="1" fontId="15" fillId="0" borderId="0" xfId="0" applyNumberFormat="1" applyFont="1" applyFill="1" applyBorder="1" applyProtection="1">
      <protection locked="0"/>
    </xf>
    <xf numFmtId="9" fontId="15" fillId="0" borderId="0" xfId="2" applyFont="1" applyFill="1" applyBorder="1" applyProtection="1">
      <protection locked="0"/>
    </xf>
    <xf numFmtId="9" fontId="15" fillId="0" borderId="0" xfId="2" applyFont="1" applyFill="1" applyBorder="1" applyAlignment="1" applyProtection="1">
      <alignment horizontal="right"/>
      <protection locked="0"/>
    </xf>
    <xf numFmtId="2" fontId="15" fillId="0" borderId="0" xfId="0" applyNumberFormat="1" applyFont="1" applyFill="1" applyBorder="1" applyProtection="1">
      <protection locked="0"/>
    </xf>
    <xf numFmtId="2" fontId="15" fillId="0" borderId="0" xfId="2" applyNumberFormat="1" applyFont="1" applyFill="1" applyBorder="1" applyProtection="1">
      <protection locked="0"/>
    </xf>
    <xf numFmtId="0" fontId="10" fillId="3" borderId="37" xfId="0" applyFont="1" applyFill="1" applyBorder="1" applyAlignment="1">
      <alignment horizontal="center" vertical="center" wrapText="1"/>
    </xf>
    <xf numFmtId="1" fontId="14" fillId="20" borderId="10" xfId="0" applyNumberFormat="1" applyFont="1" applyFill="1" applyBorder="1"/>
    <xf numFmtId="1" fontId="2" fillId="0" borderId="12" xfId="0" applyNumberFormat="1" applyFont="1" applyBorder="1" applyAlignment="1">
      <alignment horizontal="center"/>
    </xf>
    <xf numFmtId="0" fontId="14" fillId="0" borderId="6" xfId="0" applyFont="1" applyFill="1" applyBorder="1"/>
    <xf numFmtId="0" fontId="3" fillId="0" borderId="0" xfId="0" applyFont="1" applyFill="1" applyBorder="1"/>
    <xf numFmtId="0" fontId="4" fillId="0" borderId="0" xfId="0" applyFont="1" applyFill="1" applyBorder="1" applyProtection="1">
      <protection locked="0"/>
    </xf>
    <xf numFmtId="2" fontId="16" fillId="0" borderId="0" xfId="0" applyNumberFormat="1" applyFont="1" applyFill="1" applyBorder="1" applyAlignment="1" applyProtection="1">
      <alignment horizontal="right"/>
      <protection locked="0"/>
    </xf>
    <xf numFmtId="0" fontId="10" fillId="24" borderId="29" xfId="0" applyFont="1" applyFill="1" applyBorder="1"/>
    <xf numFmtId="0" fontId="18" fillId="0" borderId="7" xfId="0" applyFont="1" applyBorder="1"/>
    <xf numFmtId="44" fontId="16" fillId="0" borderId="0" xfId="1" applyFont="1" applyFill="1" applyBorder="1" applyAlignment="1" applyProtection="1">
      <alignment horizontal="right"/>
      <protection locked="0"/>
    </xf>
    <xf numFmtId="0" fontId="0" fillId="0" borderId="12" xfId="0" applyNumberFormat="1" applyBorder="1"/>
    <xf numFmtId="0" fontId="0" fillId="0" borderId="0" xfId="0" applyNumberFormat="1"/>
    <xf numFmtId="0" fontId="8" fillId="16" borderId="12" xfId="0" applyFont="1" applyFill="1" applyBorder="1" applyAlignment="1">
      <alignment horizontal="centerContinuous" vertical="center" wrapText="1"/>
    </xf>
    <xf numFmtId="2" fontId="18" fillId="0" borderId="11" xfId="0" applyNumberFormat="1" applyFont="1" applyBorder="1"/>
    <xf numFmtId="0" fontId="0" fillId="0" borderId="0" xfId="0" applyProtection="1">
      <protection locked="0"/>
    </xf>
    <xf numFmtId="0" fontId="0" fillId="18" borderId="16" xfId="0" applyFont="1" applyFill="1" applyBorder="1" applyProtection="1">
      <protection locked="0"/>
    </xf>
    <xf numFmtId="0" fontId="0" fillId="15" borderId="18" xfId="0" applyFill="1" applyBorder="1" applyProtection="1">
      <protection locked="0"/>
    </xf>
    <xf numFmtId="0" fontId="0" fillId="19" borderId="18" xfId="0" applyFont="1" applyFill="1" applyBorder="1" applyProtection="1">
      <protection locked="0"/>
    </xf>
    <xf numFmtId="0" fontId="0" fillId="9" borderId="18" xfId="0" applyFill="1" applyBorder="1" applyProtection="1">
      <protection locked="0"/>
    </xf>
    <xf numFmtId="0" fontId="0" fillId="18" borderId="18" xfId="0" applyFont="1" applyFill="1" applyBorder="1" applyProtection="1">
      <protection locked="0"/>
    </xf>
    <xf numFmtId="0" fontId="0" fillId="8" borderId="20" xfId="0" applyFill="1" applyBorder="1" applyProtection="1">
      <protection locked="0"/>
    </xf>
    <xf numFmtId="0" fontId="0" fillId="8" borderId="12" xfId="0" applyFill="1" applyBorder="1" applyAlignment="1" applyProtection="1">
      <alignment horizontal="center" vertical="center"/>
      <protection locked="0"/>
    </xf>
    <xf numFmtId="0" fontId="0" fillId="11" borderId="12" xfId="0" applyFill="1" applyBorder="1" applyAlignment="1" applyProtection="1">
      <alignment horizontal="center" vertical="center"/>
      <protection locked="0"/>
    </xf>
    <xf numFmtId="0" fontId="0" fillId="13" borderId="12" xfId="0" applyFill="1" applyBorder="1" applyAlignment="1" applyProtection="1">
      <alignment horizontal="center" vertical="center"/>
      <protection locked="0"/>
    </xf>
    <xf numFmtId="0" fontId="0" fillId="21" borderId="12" xfId="0" applyFill="1" applyBorder="1" applyAlignment="1" applyProtection="1">
      <alignment horizontal="center" vertical="center"/>
      <protection locked="0"/>
    </xf>
    <xf numFmtId="0" fontId="0" fillId="15" borderId="17" xfId="0" applyFill="1" applyBorder="1" applyProtection="1"/>
    <xf numFmtId="0" fontId="0" fillId="15" borderId="12" xfId="0" applyFill="1" applyBorder="1" applyProtection="1"/>
    <xf numFmtId="164" fontId="0" fillId="15" borderId="12" xfId="0" applyNumberFormat="1" applyFill="1" applyBorder="1" applyAlignment="1" applyProtection="1">
      <alignment horizontal="left"/>
    </xf>
    <xf numFmtId="0" fontId="0" fillId="15" borderId="12" xfId="0" applyFill="1" applyBorder="1" applyAlignment="1" applyProtection="1">
      <alignment horizontal="center"/>
    </xf>
    <xf numFmtId="9" fontId="0" fillId="15" borderId="18" xfId="2" applyFont="1" applyFill="1" applyBorder="1" applyAlignment="1" applyProtection="1">
      <alignment horizontal="center" vertical="center"/>
    </xf>
    <xf numFmtId="0" fontId="0" fillId="9" borderId="17" xfId="0" applyFill="1" applyBorder="1" applyProtection="1"/>
    <xf numFmtId="0" fontId="0" fillId="9" borderId="12" xfId="0" applyFill="1" applyBorder="1" applyProtection="1"/>
    <xf numFmtId="164" fontId="0" fillId="9" borderId="12" xfId="0" applyNumberFormat="1" applyFill="1" applyBorder="1" applyAlignment="1" applyProtection="1">
      <alignment horizontal="left"/>
    </xf>
    <xf numFmtId="0" fontId="0" fillId="9" borderId="12" xfId="0" applyFill="1" applyBorder="1" applyAlignment="1" applyProtection="1">
      <alignment horizontal="center"/>
    </xf>
    <xf numFmtId="9" fontId="0" fillId="9" borderId="18" xfId="2" applyFont="1" applyFill="1" applyBorder="1" applyAlignment="1" applyProtection="1">
      <alignment horizontal="center" vertical="center"/>
    </xf>
    <xf numFmtId="0" fontId="0" fillId="15" borderId="24" xfId="0" applyFill="1" applyBorder="1" applyProtection="1"/>
    <xf numFmtId="0" fontId="0" fillId="15" borderId="25" xfId="0" applyFill="1" applyBorder="1" applyProtection="1"/>
    <xf numFmtId="164" fontId="0" fillId="15" borderId="25" xfId="0" applyNumberFormat="1" applyFill="1" applyBorder="1" applyAlignment="1" applyProtection="1">
      <alignment horizontal="left"/>
    </xf>
    <xf numFmtId="0" fontId="0" fillId="15" borderId="25" xfId="0" applyFill="1" applyBorder="1" applyAlignment="1" applyProtection="1">
      <alignment horizontal="center"/>
    </xf>
    <xf numFmtId="9" fontId="0" fillId="15" borderId="26" xfId="2" applyFont="1" applyFill="1" applyBorder="1" applyAlignment="1" applyProtection="1">
      <alignment horizontal="center" vertical="center"/>
    </xf>
    <xf numFmtId="0" fontId="0" fillId="9" borderId="30" xfId="0" applyFill="1" applyBorder="1" applyProtection="1"/>
    <xf numFmtId="0" fontId="0" fillId="9" borderId="19" xfId="0" applyFill="1" applyBorder="1" applyProtection="1"/>
    <xf numFmtId="164" fontId="0" fillId="9" borderId="19" xfId="0" applyNumberFormat="1" applyFill="1" applyBorder="1" applyAlignment="1" applyProtection="1">
      <alignment horizontal="left"/>
    </xf>
    <xf numFmtId="0" fontId="0" fillId="9" borderId="19" xfId="0" applyFill="1" applyBorder="1" applyAlignment="1" applyProtection="1">
      <alignment horizontal="center"/>
    </xf>
    <xf numFmtId="9" fontId="0" fillId="9" borderId="20" xfId="2" applyFont="1" applyFill="1" applyBorder="1" applyAlignment="1" applyProtection="1">
      <alignment horizontal="center" vertical="center"/>
    </xf>
    <xf numFmtId="0" fontId="14" fillId="0" borderId="7" xfId="0" applyFont="1" applyFill="1" applyBorder="1"/>
    <xf numFmtId="0" fontId="17" fillId="27" borderId="11" xfId="0" applyFont="1" applyFill="1" applyBorder="1"/>
    <xf numFmtId="0" fontId="1" fillId="0" borderId="40" xfId="0" applyFont="1" applyBorder="1" applyAlignment="1">
      <alignment horizontal="center"/>
    </xf>
    <xf numFmtId="0" fontId="0" fillId="0" borderId="40" xfId="0" applyBorder="1" applyAlignment="1">
      <alignment horizontal="center"/>
    </xf>
    <xf numFmtId="0" fontId="1" fillId="11" borderId="18" xfId="0" applyFont="1" applyFill="1" applyBorder="1" applyAlignment="1" applyProtection="1">
      <alignment horizontal="center" vertical="center"/>
    </xf>
    <xf numFmtId="0" fontId="1" fillId="13" borderId="18" xfId="0" applyFont="1" applyFill="1" applyBorder="1" applyAlignment="1" applyProtection="1">
      <alignment horizontal="center" vertical="center" wrapText="1"/>
    </xf>
    <xf numFmtId="0" fontId="1" fillId="13" borderId="18" xfId="0" applyFont="1" applyFill="1" applyBorder="1" applyAlignment="1" applyProtection="1">
      <alignment horizontal="center" vertical="center"/>
    </xf>
    <xf numFmtId="0" fontId="0" fillId="21" borderId="19" xfId="0" applyFill="1" applyBorder="1" applyAlignment="1" applyProtection="1">
      <alignment horizontal="center" vertical="center"/>
      <protection locked="0"/>
    </xf>
    <xf numFmtId="0" fontId="0" fillId="13" borderId="19" xfId="0" applyFill="1" applyBorder="1" applyAlignment="1" applyProtection="1">
      <alignment horizontal="center" vertical="center"/>
      <protection locked="0"/>
    </xf>
    <xf numFmtId="0" fontId="1" fillId="13" borderId="20" xfId="0" applyFont="1" applyFill="1" applyBorder="1" applyAlignment="1" applyProtection="1">
      <alignment horizontal="center" vertical="center"/>
    </xf>
    <xf numFmtId="0" fontId="1" fillId="10" borderId="26" xfId="0" applyFont="1" applyFill="1" applyBorder="1" applyAlignment="1" applyProtection="1">
      <alignment horizontal="center" vertical="center"/>
    </xf>
    <xf numFmtId="0" fontId="1" fillId="7" borderId="16" xfId="0" applyFont="1" applyFill="1" applyBorder="1" applyAlignment="1" applyProtection="1">
      <alignment horizontal="center" vertical="center"/>
    </xf>
    <xf numFmtId="0" fontId="1" fillId="8" borderId="18" xfId="0" applyFont="1" applyFill="1" applyBorder="1" applyAlignment="1" applyProtection="1">
      <alignment horizontal="center" vertical="center" wrapText="1"/>
    </xf>
    <xf numFmtId="0" fontId="1" fillId="8" borderId="18" xfId="0" applyFont="1" applyFill="1" applyBorder="1" applyAlignment="1" applyProtection="1">
      <alignment horizontal="center" vertical="center"/>
    </xf>
    <xf numFmtId="0" fontId="0" fillId="8" borderId="19" xfId="0" applyFill="1" applyBorder="1" applyAlignment="1" applyProtection="1">
      <alignment horizontal="center" vertical="center"/>
      <protection locked="0"/>
    </xf>
    <xf numFmtId="0" fontId="1" fillId="8" borderId="40" xfId="0" applyFont="1" applyFill="1" applyBorder="1" applyAlignment="1" applyProtection="1">
      <alignment horizontal="center" vertical="center"/>
    </xf>
    <xf numFmtId="0" fontId="1" fillId="8" borderId="43" xfId="0" applyFont="1" applyFill="1" applyBorder="1" applyAlignment="1" applyProtection="1">
      <alignment horizontal="center" vertical="center"/>
    </xf>
    <xf numFmtId="0" fontId="1" fillId="6" borderId="44" xfId="0" applyFont="1" applyFill="1" applyBorder="1" applyAlignment="1" applyProtection="1">
      <alignment horizontal="center" vertical="center"/>
    </xf>
    <xf numFmtId="0" fontId="1" fillId="21" borderId="40" xfId="0" applyFont="1" applyFill="1" applyBorder="1" applyAlignment="1" applyProtection="1">
      <alignment horizontal="center" vertical="center" wrapText="1"/>
    </xf>
    <xf numFmtId="0" fontId="1" fillId="21" borderId="43" xfId="0" applyFont="1" applyFill="1" applyBorder="1" applyAlignment="1" applyProtection="1">
      <alignment horizontal="center" vertical="center"/>
    </xf>
    <xf numFmtId="0" fontId="1" fillId="12" borderId="16" xfId="0" applyFont="1" applyFill="1" applyBorder="1" applyAlignment="1" applyProtection="1">
      <alignment horizontal="center" vertical="center"/>
    </xf>
    <xf numFmtId="0" fontId="8" fillId="16" borderId="6" xfId="0" applyFont="1" applyFill="1" applyBorder="1" applyAlignment="1">
      <alignment horizontal="centerContinuous" vertical="center" wrapText="1"/>
    </xf>
    <xf numFmtId="0" fontId="12" fillId="0" borderId="12" xfId="0" applyFont="1" applyBorder="1"/>
    <xf numFmtId="0" fontId="0" fillId="9" borderId="26" xfId="0" applyFill="1" applyBorder="1" applyProtection="1">
      <protection locked="0"/>
    </xf>
    <xf numFmtId="0" fontId="0" fillId="15" borderId="16" xfId="0" applyFill="1" applyBorder="1" applyProtection="1">
      <protection locked="0"/>
    </xf>
    <xf numFmtId="0" fontId="0" fillId="20" borderId="12" xfId="0" applyFill="1" applyBorder="1" applyAlignment="1" applyProtection="1">
      <alignment wrapText="1"/>
      <protection locked="0"/>
    </xf>
    <xf numFmtId="0" fontId="0" fillId="28" borderId="12" xfId="0" applyFill="1" applyBorder="1" applyAlignment="1" applyProtection="1">
      <alignment wrapText="1"/>
      <protection locked="0"/>
    </xf>
    <xf numFmtId="2" fontId="18" fillId="0" borderId="0" xfId="2" applyNumberFormat="1" applyFont="1" applyFill="1" applyBorder="1"/>
    <xf numFmtId="0" fontId="1" fillId="8" borderId="40" xfId="0" applyFont="1" applyFill="1" applyBorder="1" applyAlignment="1" applyProtection="1">
      <alignment horizontal="center" vertical="center" wrapText="1"/>
    </xf>
    <xf numFmtId="0" fontId="1" fillId="13" borderId="12" xfId="0" applyFont="1" applyFill="1" applyBorder="1" applyAlignment="1" applyProtection="1">
      <alignment horizontal="center" vertical="center"/>
      <protection locked="0"/>
    </xf>
    <xf numFmtId="0" fontId="1" fillId="11" borderId="18" xfId="0" applyFont="1" applyFill="1" applyBorder="1" applyAlignment="1" applyProtection="1">
      <alignment horizontal="center" vertical="center" wrapText="1"/>
    </xf>
    <xf numFmtId="0" fontId="0" fillId="30" borderId="12" xfId="0" applyFill="1" applyBorder="1" applyProtection="1">
      <protection locked="0"/>
    </xf>
    <xf numFmtId="0" fontId="0" fillId="31" borderId="12" xfId="0" applyFill="1" applyBorder="1" applyProtection="1">
      <protection locked="0"/>
    </xf>
    <xf numFmtId="0" fontId="0" fillId="15" borderId="18" xfId="0" applyFill="1" applyBorder="1" applyAlignment="1" applyProtection="1">
      <alignment wrapText="1"/>
      <protection locked="0"/>
    </xf>
    <xf numFmtId="0" fontId="1" fillId="32" borderId="0" xfId="0" applyFont="1" applyFill="1" applyAlignment="1">
      <alignment horizontal="center" vertical="center"/>
    </xf>
    <xf numFmtId="0" fontId="1" fillId="33" borderId="0" xfId="0" applyFont="1" applyFill="1" applyAlignment="1">
      <alignment horizontal="center" vertical="center" wrapText="1"/>
    </xf>
    <xf numFmtId="0" fontId="1" fillId="34" borderId="0" xfId="0" applyFont="1" applyFill="1" applyAlignment="1">
      <alignment horizontal="center" vertical="center"/>
    </xf>
    <xf numFmtId="0" fontId="1" fillId="35" borderId="0" xfId="0" applyFont="1" applyFill="1" applyAlignment="1">
      <alignment horizontal="center" vertical="center"/>
    </xf>
    <xf numFmtId="0" fontId="1" fillId="35" borderId="0" xfId="0" applyFont="1" applyFill="1" applyAlignment="1">
      <alignment horizontal="center" vertical="center" wrapText="1"/>
    </xf>
    <xf numFmtId="0" fontId="1" fillId="36" borderId="0" xfId="0" applyFont="1" applyFill="1" applyAlignment="1">
      <alignment horizontal="center" vertical="center"/>
    </xf>
    <xf numFmtId="0" fontId="1" fillId="37" borderId="0" xfId="0" applyFont="1" applyFill="1" applyAlignment="1">
      <alignment horizontal="center" vertical="center" wrapText="1"/>
    </xf>
    <xf numFmtId="0" fontId="1" fillId="37" borderId="0" xfId="0" applyFont="1" applyFill="1" applyAlignment="1">
      <alignment horizontal="center" vertical="center"/>
    </xf>
    <xf numFmtId="0" fontId="1" fillId="33" borderId="0" xfId="0" applyFont="1" applyFill="1" applyAlignment="1">
      <alignment horizontal="center" vertical="center"/>
    </xf>
    <xf numFmtId="0" fontId="0" fillId="32" borderId="0" xfId="0" applyFill="1" applyAlignment="1">
      <alignment horizontal="center" vertical="center"/>
    </xf>
    <xf numFmtId="170" fontId="0" fillId="32" borderId="0" xfId="0" applyNumberFormat="1" applyFill="1" applyAlignment="1">
      <alignment horizontal="center" vertical="center"/>
    </xf>
    <xf numFmtId="0" fontId="0" fillId="34" borderId="0" xfId="0" applyFill="1" applyAlignment="1">
      <alignment horizontal="center" vertical="center"/>
    </xf>
    <xf numFmtId="0" fontId="0" fillId="35" borderId="0" xfId="0" applyFill="1" applyAlignment="1">
      <alignment horizontal="center" vertical="center"/>
    </xf>
    <xf numFmtId="170" fontId="0" fillId="35" borderId="0" xfId="0" applyNumberFormat="1" applyFill="1" applyAlignment="1">
      <alignment horizontal="center" vertical="center"/>
    </xf>
    <xf numFmtId="0" fontId="0" fillId="36" borderId="0" xfId="0" applyFill="1" applyAlignment="1">
      <alignment horizontal="center" vertical="center"/>
    </xf>
    <xf numFmtId="0" fontId="0" fillId="37" borderId="0" xfId="0" applyFill="1" applyAlignment="1">
      <alignment horizontal="center" vertical="center"/>
    </xf>
    <xf numFmtId="0" fontId="0" fillId="0" borderId="0" xfId="0" applyAlignment="1">
      <alignment horizontal="center" vertical="center"/>
    </xf>
    <xf numFmtId="170" fontId="0" fillId="0" borderId="0" xfId="0" applyNumberFormat="1" applyAlignment="1">
      <alignment horizontal="center" vertical="center"/>
    </xf>
    <xf numFmtId="170" fontId="0" fillId="37" borderId="0" xfId="0" applyNumberFormat="1" applyFill="1" applyAlignment="1">
      <alignment horizontal="center" vertical="center"/>
    </xf>
    <xf numFmtId="1" fontId="0" fillId="35" borderId="0" xfId="0" applyNumberFormat="1" applyFill="1" applyAlignment="1">
      <alignment horizontal="center" vertical="center"/>
    </xf>
    <xf numFmtId="170" fontId="0" fillId="0" borderId="0" xfId="0" applyNumberFormat="1" applyAlignment="1">
      <alignment horizontal="center"/>
    </xf>
    <xf numFmtId="0" fontId="1" fillId="38" borderId="0" xfId="0" applyFont="1" applyFill="1" applyAlignment="1">
      <alignment horizontal="center" vertical="center"/>
    </xf>
    <xf numFmtId="1" fontId="1" fillId="38" borderId="0" xfId="0" applyNumberFormat="1" applyFont="1" applyFill="1" applyAlignment="1">
      <alignment horizontal="center"/>
    </xf>
    <xf numFmtId="1" fontId="1" fillId="38" borderId="0" xfId="0" applyNumberFormat="1" applyFont="1" applyFill="1" applyAlignment="1">
      <alignment horizontal="center" vertical="center"/>
    </xf>
    <xf numFmtId="9" fontId="0" fillId="37" borderId="0" xfId="0" applyNumberFormat="1" applyFill="1" applyAlignment="1">
      <alignment horizontal="center" vertical="center"/>
    </xf>
    <xf numFmtId="0" fontId="1" fillId="38" borderId="0" xfId="0" applyFont="1" applyFill="1" applyAlignment="1">
      <alignment horizont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0" fillId="37" borderId="0" xfId="0" applyFill="1"/>
    <xf numFmtId="0" fontId="0" fillId="37" borderId="0" xfId="0" applyFill="1" applyAlignment="1">
      <alignment horizontal="center"/>
    </xf>
    <xf numFmtId="10" fontId="0" fillId="37" borderId="0" xfId="0" applyNumberFormat="1" applyFill="1" applyAlignment="1">
      <alignment horizontal="center" vertical="center"/>
    </xf>
    <xf numFmtId="1" fontId="0" fillId="37" borderId="0" xfId="0" applyNumberFormat="1" applyFill="1" applyAlignment="1">
      <alignment horizontal="center" vertical="center"/>
    </xf>
    <xf numFmtId="0" fontId="0" fillId="39" borderId="0" xfId="0" applyFill="1" applyAlignment="1">
      <alignment horizontal="center" vertical="center"/>
    </xf>
    <xf numFmtId="9" fontId="0" fillId="39" borderId="0" xfId="0" applyNumberFormat="1" applyFill="1" applyAlignment="1">
      <alignment horizontal="center" vertical="center"/>
    </xf>
    <xf numFmtId="1" fontId="0" fillId="37" borderId="0" xfId="0" applyNumberFormat="1" applyFill="1" applyAlignment="1">
      <alignment horizontal="center"/>
    </xf>
    <xf numFmtId="9" fontId="0" fillId="37" borderId="0" xfId="0" applyNumberFormat="1" applyFill="1" applyAlignment="1">
      <alignment horizontal="center"/>
    </xf>
    <xf numFmtId="1" fontId="0" fillId="39" borderId="0" xfId="0" applyNumberFormat="1" applyFill="1" applyAlignment="1">
      <alignment horizontal="center" vertical="center"/>
    </xf>
    <xf numFmtId="170" fontId="0" fillId="35" borderId="0" xfId="0" applyNumberFormat="1" applyFill="1" applyAlignment="1">
      <alignment horizontal="center"/>
    </xf>
    <xf numFmtId="170" fontId="0" fillId="34" borderId="0" xfId="0" applyNumberFormat="1" applyFill="1" applyAlignment="1">
      <alignment horizontal="center" vertical="center"/>
    </xf>
    <xf numFmtId="170" fontId="0" fillId="37" borderId="0" xfId="0" applyNumberFormat="1" applyFill="1" applyAlignment="1">
      <alignment horizontal="center"/>
    </xf>
    <xf numFmtId="0" fontId="0" fillId="35" borderId="0" xfId="0" applyFill="1" applyAlignment="1">
      <alignment horizontal="center"/>
    </xf>
    <xf numFmtId="0" fontId="28" fillId="0" borderId="0" xfId="0" applyFont="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0" fontId="28" fillId="0" borderId="0" xfId="0" applyFont="1" applyAlignment="1">
      <alignment horizontal="center" vertical="top" wrapText="1"/>
    </xf>
    <xf numFmtId="0" fontId="29" fillId="0" borderId="0" xfId="0" applyFont="1" applyAlignment="1">
      <alignment horizontal="right" vertical="top" wrapText="1"/>
    </xf>
    <xf numFmtId="0" fontId="1" fillId="40" borderId="13" xfId="0" applyFont="1" applyFill="1" applyBorder="1" applyAlignment="1">
      <alignment horizontal="center" vertical="center"/>
    </xf>
    <xf numFmtId="0" fontId="0" fillId="0" borderId="12" xfId="0" applyBorder="1" applyAlignment="1">
      <alignment horizontal="center" vertical="center"/>
    </xf>
    <xf numFmtId="0" fontId="1" fillId="40" borderId="12" xfId="0" applyFont="1" applyFill="1" applyBorder="1" applyAlignment="1">
      <alignment horizontal="center" vertical="center"/>
    </xf>
    <xf numFmtId="0" fontId="1" fillId="0" borderId="0" xfId="0" applyFont="1" applyAlignment="1">
      <alignment horizontal="center" vertical="center" wrapText="1"/>
    </xf>
    <xf numFmtId="0" fontId="0" fillId="33" borderId="0" xfId="0" applyFill="1" applyAlignment="1">
      <alignment horizontal="center" vertical="center"/>
    </xf>
    <xf numFmtId="170" fontId="0" fillId="33" borderId="0" xfId="0" applyNumberFormat="1" applyFill="1" applyAlignment="1">
      <alignment horizontal="center" vertical="center"/>
    </xf>
    <xf numFmtId="1" fontId="0" fillId="35" borderId="0" xfId="0" applyNumberFormat="1" applyFill="1" applyAlignment="1">
      <alignment horizontal="center"/>
    </xf>
    <xf numFmtId="9" fontId="0" fillId="0" borderId="0" xfId="0" applyNumberFormat="1" applyAlignment="1">
      <alignment horizontal="center" vertical="center"/>
    </xf>
    <xf numFmtId="9" fontId="0" fillId="0" borderId="0" xfId="0" applyNumberFormat="1" applyAlignment="1">
      <alignment horizontal="center"/>
    </xf>
    <xf numFmtId="0" fontId="8" fillId="0" borderId="12" xfId="0" applyFont="1" applyBorder="1" applyAlignment="1">
      <alignment horizontal="center"/>
    </xf>
    <xf numFmtId="0" fontId="1" fillId="40" borderId="12" xfId="0" applyFont="1" applyFill="1" applyBorder="1" applyAlignment="1">
      <alignment horizontal="center"/>
    </xf>
    <xf numFmtId="170" fontId="0" fillId="39" borderId="0" xfId="0" applyNumberFormat="1" applyFill="1" applyAlignment="1">
      <alignment horizontal="center" vertical="center"/>
    </xf>
    <xf numFmtId="0" fontId="4" fillId="0" borderId="0" xfId="0" applyFont="1" applyAlignment="1">
      <alignment wrapText="1"/>
    </xf>
    <xf numFmtId="2" fontId="0" fillId="0" borderId="0" xfId="0" applyNumberFormat="1" applyAlignment="1">
      <alignment horizontal="center" vertical="center" wrapText="1"/>
    </xf>
    <xf numFmtId="1" fontId="31" fillId="0" borderId="0" xfId="0" applyNumberFormat="1" applyFont="1" applyAlignment="1">
      <alignment horizontal="center" vertical="center" wrapText="1"/>
    </xf>
    <xf numFmtId="1" fontId="0" fillId="0" borderId="0" xfId="0" applyNumberFormat="1" applyAlignment="1">
      <alignment horizontal="center" vertical="center"/>
    </xf>
    <xf numFmtId="9" fontId="4" fillId="20" borderId="10" xfId="2" applyFont="1" applyFill="1" applyBorder="1" applyProtection="1"/>
    <xf numFmtId="0" fontId="0" fillId="0" borderId="0" xfId="0" applyFill="1"/>
    <xf numFmtId="1" fontId="1" fillId="0" borderId="0" xfId="0" applyNumberFormat="1" applyFont="1" applyFill="1" applyAlignment="1">
      <alignment horizontal="center"/>
    </xf>
    <xf numFmtId="0" fontId="11" fillId="17" borderId="53" xfId="0" applyFont="1" applyFill="1" applyBorder="1" applyAlignment="1">
      <alignment horizontal="center" vertical="center" wrapText="1"/>
    </xf>
    <xf numFmtId="0" fontId="0" fillId="18" borderId="54" xfId="0" applyFont="1" applyFill="1" applyBorder="1"/>
    <xf numFmtId="1" fontId="0" fillId="18" borderId="55" xfId="0" applyNumberFormat="1" applyFont="1" applyFill="1" applyBorder="1"/>
    <xf numFmtId="0" fontId="0" fillId="19" borderId="56" xfId="0" applyFont="1" applyFill="1" applyBorder="1"/>
    <xf numFmtId="0" fontId="0" fillId="18" borderId="56" xfId="0" applyFont="1" applyFill="1" applyBorder="1"/>
    <xf numFmtId="1" fontId="1" fillId="19" borderId="57" xfId="0" applyNumberFormat="1" applyFont="1" applyFill="1" applyBorder="1" applyAlignment="1">
      <alignment horizontal="center"/>
    </xf>
    <xf numFmtId="1" fontId="1" fillId="19" borderId="57" xfId="0" applyNumberFormat="1" applyFont="1" applyFill="1" applyBorder="1" applyAlignment="1">
      <alignment horizontal="center" vertical="center"/>
    </xf>
    <xf numFmtId="0" fontId="11" fillId="17" borderId="0" xfId="0" applyFont="1" applyFill="1" applyBorder="1" applyAlignment="1">
      <alignment wrapText="1"/>
    </xf>
    <xf numFmtId="0" fontId="11" fillId="17" borderId="53" xfId="0" applyFont="1" applyFill="1" applyBorder="1" applyAlignment="1">
      <alignment horizontal="center" wrapText="1"/>
    </xf>
    <xf numFmtId="0" fontId="11" fillId="17" borderId="53" xfId="0" applyFont="1" applyFill="1" applyBorder="1" applyAlignment="1">
      <alignment wrapText="1"/>
    </xf>
    <xf numFmtId="1" fontId="0" fillId="19" borderId="57" xfId="0" applyNumberFormat="1" applyFont="1" applyFill="1" applyBorder="1"/>
    <xf numFmtId="1" fontId="0" fillId="18" borderId="57" xfId="0" applyNumberFormat="1" applyFont="1" applyFill="1" applyBorder="1"/>
    <xf numFmtId="1" fontId="0" fillId="19" borderId="57" xfId="0" applyNumberFormat="1" applyFont="1" applyFill="1" applyBorder="1" applyAlignment="1">
      <alignment horizontal="center" vertical="center"/>
    </xf>
    <xf numFmtId="1" fontId="0" fillId="19" borderId="57" xfId="0" applyNumberFormat="1" applyFont="1" applyFill="1" applyBorder="1" applyAlignment="1">
      <alignment horizontal="center"/>
    </xf>
    <xf numFmtId="0" fontId="0" fillId="18" borderId="0" xfId="0" applyFont="1" applyFill="1" applyBorder="1"/>
    <xf numFmtId="0" fontId="5" fillId="0" borderId="0" xfId="0" applyFont="1" applyAlignment="1">
      <alignment horizontal="center" vertical="center"/>
    </xf>
    <xf numFmtId="0" fontId="5" fillId="0" borderId="0" xfId="0" applyFont="1" applyAlignment="1">
      <alignment horizontal="center"/>
    </xf>
    <xf numFmtId="2" fontId="14" fillId="20" borderId="10" xfId="0" applyNumberFormat="1" applyFont="1" applyFill="1" applyBorder="1"/>
    <xf numFmtId="2" fontId="15" fillId="20" borderId="10" xfId="0" applyNumberFormat="1" applyFont="1" applyFill="1" applyBorder="1"/>
    <xf numFmtId="0" fontId="0" fillId="0" borderId="0" xfId="0" applyProtection="1"/>
    <xf numFmtId="0" fontId="25" fillId="0" borderId="0" xfId="0" applyFont="1" applyProtection="1"/>
    <xf numFmtId="0" fontId="0" fillId="15" borderId="14" xfId="0" applyFill="1" applyBorder="1" applyProtection="1"/>
    <xf numFmtId="0" fontId="19" fillId="0" borderId="0" xfId="0" applyFont="1" applyProtection="1"/>
    <xf numFmtId="0" fontId="0" fillId="18" borderId="14" xfId="0" applyFont="1" applyFill="1" applyBorder="1" applyProtection="1"/>
    <xf numFmtId="0" fontId="0" fillId="9" borderId="24" xfId="0" applyFill="1" applyBorder="1" applyProtection="1"/>
    <xf numFmtId="0" fontId="0" fillId="19" borderId="17" xfId="0" applyFont="1" applyFill="1" applyBorder="1" applyProtection="1"/>
    <xf numFmtId="0" fontId="0" fillId="15" borderId="18" xfId="0" applyFill="1" applyBorder="1" applyProtection="1"/>
    <xf numFmtId="0" fontId="0" fillId="18" borderId="17" xfId="0" applyFont="1" applyFill="1" applyBorder="1" applyProtection="1"/>
    <xf numFmtId="0" fontId="0" fillId="8" borderId="30" xfId="0" applyFill="1" applyBorder="1" applyProtection="1"/>
    <xf numFmtId="0" fontId="0" fillId="0" borderId="0" xfId="0" applyFont="1" applyFill="1" applyBorder="1" applyProtection="1"/>
    <xf numFmtId="2" fontId="0" fillId="9" borderId="18" xfId="0" applyNumberFormat="1" applyFill="1" applyBorder="1" applyProtection="1"/>
    <xf numFmtId="0" fontId="0" fillId="0" borderId="0" xfId="0" applyFill="1" applyProtection="1"/>
    <xf numFmtId="0" fontId="2" fillId="9" borderId="30" xfId="0" applyFont="1" applyFill="1" applyBorder="1" applyProtection="1"/>
    <xf numFmtId="0" fontId="1" fillId="7" borderId="14" xfId="0" applyFont="1" applyFill="1" applyBorder="1" applyAlignment="1" applyProtection="1">
      <alignment wrapText="1"/>
    </xf>
    <xf numFmtId="0" fontId="1" fillId="7" borderId="15" xfId="0" applyFont="1" applyFill="1" applyBorder="1" applyAlignment="1" applyProtection="1">
      <alignment horizontal="center" vertical="center"/>
    </xf>
    <xf numFmtId="0" fontId="1" fillId="10" borderId="41" xfId="0" applyFont="1" applyFill="1" applyBorder="1" applyAlignment="1" applyProtection="1">
      <alignment horizontal="center" vertical="center" wrapText="1"/>
    </xf>
    <xf numFmtId="0" fontId="1" fillId="10" borderId="25" xfId="0" applyFont="1" applyFill="1" applyBorder="1" applyAlignment="1" applyProtection="1">
      <alignment horizontal="center" vertical="center"/>
    </xf>
    <xf numFmtId="0" fontId="0" fillId="8" borderId="17" xfId="0" applyFill="1" applyBorder="1" applyAlignment="1" applyProtection="1">
      <alignment horizontal="left" vertical="center" wrapText="1"/>
    </xf>
    <xf numFmtId="0" fontId="0" fillId="11" borderId="42" xfId="0" applyFill="1" applyBorder="1" applyAlignment="1" applyProtection="1">
      <alignment horizontal="left" vertical="center" wrapText="1"/>
    </xf>
    <xf numFmtId="0" fontId="1" fillId="12" borderId="14" xfId="0" applyFont="1" applyFill="1" applyBorder="1" applyAlignment="1" applyProtection="1">
      <alignment horizontal="left" vertical="center" wrapText="1"/>
    </xf>
    <xf numFmtId="0" fontId="1" fillId="12" borderId="15" xfId="0" applyFont="1" applyFill="1" applyBorder="1" applyAlignment="1" applyProtection="1">
      <alignment horizontal="center" vertical="center"/>
    </xf>
    <xf numFmtId="0" fontId="1" fillId="13" borderId="17" xfId="0" applyFont="1" applyFill="1" applyBorder="1" applyAlignment="1" applyProtection="1">
      <alignment horizontal="center" vertical="center"/>
    </xf>
    <xf numFmtId="0" fontId="0" fillId="8" borderId="30" xfId="0" applyFill="1" applyBorder="1" applyAlignment="1" applyProtection="1">
      <alignment horizontal="left" vertical="center" wrapText="1"/>
    </xf>
    <xf numFmtId="0" fontId="0" fillId="13" borderId="17" xfId="0" applyFill="1" applyBorder="1" applyAlignment="1" applyProtection="1">
      <alignment horizontal="left" vertical="center" wrapText="1"/>
    </xf>
    <xf numFmtId="0" fontId="1" fillId="6" borderId="24" xfId="0" applyFont="1" applyFill="1" applyBorder="1" applyAlignment="1" applyProtection="1">
      <alignment horizontal="left" vertical="center" wrapText="1"/>
    </xf>
    <xf numFmtId="0" fontId="1" fillId="6" borderId="25" xfId="0" applyFont="1" applyFill="1" applyBorder="1" applyAlignment="1" applyProtection="1">
      <alignment horizontal="center" vertical="center"/>
    </xf>
    <xf numFmtId="0" fontId="0" fillId="21" borderId="17" xfId="0" applyFill="1" applyBorder="1" applyAlignment="1" applyProtection="1">
      <alignment horizontal="left" vertical="center" wrapText="1"/>
    </xf>
    <xf numFmtId="0" fontId="0" fillId="21" borderId="30" xfId="0" applyFill="1" applyBorder="1" applyAlignment="1" applyProtection="1">
      <alignment horizontal="left" vertical="center" wrapText="1"/>
    </xf>
    <xf numFmtId="0" fontId="0" fillId="13" borderId="30" xfId="0" applyFill="1" applyBorder="1" applyAlignment="1" applyProtection="1">
      <alignment horizontal="left" vertical="center" wrapText="1"/>
    </xf>
    <xf numFmtId="0" fontId="0" fillId="0" borderId="0" xfId="0" applyAlignment="1" applyProtection="1">
      <alignment wrapText="1"/>
    </xf>
    <xf numFmtId="0" fontId="3" fillId="0" borderId="0" xfId="0" applyFont="1" applyFill="1" applyBorder="1" applyAlignment="1" applyProtection="1"/>
    <xf numFmtId="0" fontId="0" fillId="2" borderId="0" xfId="0" applyFill="1" applyProtection="1"/>
    <xf numFmtId="0" fontId="0" fillId="2" borderId="0" xfId="0" applyFill="1" applyBorder="1" applyProtection="1"/>
    <xf numFmtId="0" fontId="0" fillId="30" borderId="12" xfId="0" applyFill="1" applyBorder="1" applyProtection="1"/>
    <xf numFmtId="0" fontId="1" fillId="0" borderId="0" xfId="0" applyFont="1" applyBorder="1" applyProtection="1"/>
    <xf numFmtId="0" fontId="0" fillId="31" borderId="12" xfId="0" applyFill="1" applyBorder="1" applyProtection="1"/>
    <xf numFmtId="0" fontId="1" fillId="0" borderId="0" xfId="0" applyFont="1" applyProtection="1"/>
    <xf numFmtId="0" fontId="0" fillId="28" borderId="12" xfId="0" applyFill="1" applyBorder="1" applyAlignment="1" applyProtection="1">
      <alignment wrapText="1"/>
    </xf>
    <xf numFmtId="0" fontId="0" fillId="28" borderId="12" xfId="0" applyFill="1" applyBorder="1" applyProtection="1"/>
    <xf numFmtId="9" fontId="0" fillId="28" borderId="12" xfId="2" applyFont="1" applyFill="1" applyBorder="1" applyProtection="1"/>
    <xf numFmtId="0" fontId="0" fillId="0" borderId="0" xfId="0" applyAlignment="1" applyProtection="1">
      <alignment horizontal="center"/>
    </xf>
    <xf numFmtId="0" fontId="0" fillId="20" borderId="12" xfId="0" applyFill="1" applyBorder="1" applyAlignment="1" applyProtection="1">
      <alignment wrapText="1"/>
    </xf>
    <xf numFmtId="0" fontId="1" fillId="0" borderId="0" xfId="0" applyFont="1" applyAlignment="1" applyProtection="1">
      <alignment horizontal="right"/>
    </xf>
    <xf numFmtId="165" fontId="1" fillId="0" borderId="0" xfId="2" applyNumberFormat="1" applyFont="1" applyAlignment="1" applyProtection="1">
      <alignment horizontal="left"/>
    </xf>
    <xf numFmtId="0" fontId="22" fillId="23" borderId="29" xfId="0" applyFont="1" applyFill="1" applyBorder="1" applyAlignment="1" applyProtection="1">
      <alignment horizontal="center" vertical="center"/>
    </xf>
    <xf numFmtId="0" fontId="11" fillId="23" borderId="35" xfId="0" applyFont="1" applyFill="1" applyBorder="1" applyAlignment="1" applyProtection="1">
      <alignment horizontal="center" vertical="center" wrapText="1"/>
    </xf>
    <xf numFmtId="0" fontId="11" fillId="23" borderId="9" xfId="0" applyFont="1" applyFill="1" applyBorder="1" applyAlignment="1" applyProtection="1">
      <alignment horizontal="center" vertical="center" wrapText="1"/>
    </xf>
    <xf numFmtId="0" fontId="10" fillId="23" borderId="1" xfId="0" applyFont="1" applyFill="1" applyBorder="1" applyAlignment="1" applyProtection="1">
      <alignment horizontal="center" vertical="center"/>
    </xf>
    <xf numFmtId="8" fontId="0" fillId="0" borderId="31" xfId="0" applyNumberFormat="1" applyBorder="1" applyProtection="1"/>
    <xf numFmtId="8" fontId="0" fillId="0" borderId="32" xfId="0" applyNumberFormat="1" applyBorder="1" applyProtection="1"/>
    <xf numFmtId="8" fontId="0" fillId="0" borderId="33" xfId="0" applyNumberFormat="1" applyBorder="1" applyProtection="1"/>
    <xf numFmtId="0" fontId="4" fillId="0" borderId="0" xfId="0" applyFont="1" applyProtection="1"/>
    <xf numFmtId="0" fontId="3" fillId="6" borderId="12" xfId="0" applyFont="1" applyFill="1" applyBorder="1" applyAlignment="1" applyProtection="1">
      <alignment horizontal="center" vertical="center"/>
    </xf>
    <xf numFmtId="9" fontId="11" fillId="6" borderId="12" xfId="0" applyNumberFormat="1" applyFont="1" applyFill="1" applyBorder="1" applyAlignment="1" applyProtection="1">
      <alignment horizontal="center" vertical="center" wrapText="1"/>
    </xf>
    <xf numFmtId="0" fontId="11" fillId="6" borderId="12" xfId="0" applyFont="1" applyFill="1" applyBorder="1" applyAlignment="1" applyProtection="1">
      <alignment horizontal="center" vertical="center" wrapText="1"/>
    </xf>
    <xf numFmtId="0" fontId="0" fillId="21" borderId="12" xfId="0" applyFill="1" applyBorder="1" applyAlignment="1" applyProtection="1">
      <alignment horizontal="center" vertical="center" wrapText="1"/>
    </xf>
    <xf numFmtId="1" fontId="0" fillId="21" borderId="12" xfId="0" applyNumberFormat="1" applyFill="1" applyBorder="1" applyProtection="1"/>
    <xf numFmtId="0" fontId="0" fillId="21" borderId="12" xfId="0" applyFill="1" applyBorder="1" applyProtection="1"/>
    <xf numFmtId="0" fontId="10" fillId="6" borderId="12" xfId="0" applyFont="1" applyFill="1" applyBorder="1" applyAlignment="1" applyProtection="1">
      <alignment horizontal="center" vertical="center"/>
    </xf>
    <xf numFmtId="0" fontId="10" fillId="3" borderId="0" xfId="0" applyFont="1" applyFill="1" applyAlignment="1" applyProtection="1">
      <alignment horizontal="center" vertical="center" wrapText="1"/>
    </xf>
    <xf numFmtId="0" fontId="0" fillId="5" borderId="0" xfId="0" applyFill="1" applyAlignment="1" applyProtection="1">
      <alignment horizontal="centerContinuous" vertical="center" wrapText="1"/>
    </xf>
    <xf numFmtId="0" fontId="0" fillId="5" borderId="0" xfId="0" applyFill="1" applyAlignment="1" applyProtection="1">
      <alignment wrapText="1"/>
    </xf>
    <xf numFmtId="0" fontId="0" fillId="4" borderId="0" xfId="0" applyFill="1" applyAlignment="1" applyProtection="1">
      <alignment horizontal="centerContinuous" vertical="center" wrapText="1"/>
    </xf>
    <xf numFmtId="0" fontId="0" fillId="4" borderId="0" xfId="0" applyFill="1" applyAlignment="1" applyProtection="1">
      <alignment horizontal="center" wrapText="1"/>
    </xf>
    <xf numFmtId="0" fontId="0" fillId="4" borderId="0" xfId="0" applyFill="1" applyAlignment="1" applyProtection="1">
      <alignment wrapText="1"/>
    </xf>
    <xf numFmtId="0" fontId="0" fillId="4" borderId="25" xfId="0" applyFont="1" applyFill="1" applyBorder="1" applyAlignment="1" applyProtection="1">
      <alignment vertical="center" wrapText="1"/>
      <protection locked="0"/>
    </xf>
    <xf numFmtId="0" fontId="0" fillId="4" borderId="25" xfId="0" applyFill="1" applyBorder="1" applyAlignment="1" applyProtection="1">
      <alignment vertical="center" wrapText="1"/>
      <protection locked="0"/>
    </xf>
    <xf numFmtId="0" fontId="0" fillId="4" borderId="12" xfId="0" applyFont="1" applyFill="1" applyBorder="1" applyAlignment="1" applyProtection="1">
      <alignment vertical="center" wrapText="1"/>
      <protection locked="0"/>
    </xf>
    <xf numFmtId="0" fontId="0" fillId="4" borderId="12" xfId="0" applyFill="1" applyBorder="1" applyAlignment="1" applyProtection="1">
      <alignment vertical="center" wrapText="1"/>
      <protection locked="0"/>
    </xf>
    <xf numFmtId="0" fontId="0" fillId="5" borderId="15" xfId="0" applyFont="1" applyFill="1" applyBorder="1" applyAlignment="1" applyProtection="1">
      <alignment vertical="center" wrapText="1"/>
      <protection locked="0"/>
    </xf>
    <xf numFmtId="0" fontId="0" fillId="5" borderId="12" xfId="0" applyFont="1" applyFill="1" applyBorder="1" applyAlignment="1" applyProtection="1">
      <alignment vertical="center" wrapText="1"/>
      <protection locked="0"/>
    </xf>
    <xf numFmtId="0" fontId="10" fillId="3" borderId="47" xfId="0" applyFont="1" applyFill="1" applyBorder="1" applyAlignment="1" applyProtection="1">
      <alignment horizontal="center" vertical="center" wrapText="1"/>
    </xf>
    <xf numFmtId="0" fontId="10" fillId="3" borderId="28" xfId="0" applyFont="1" applyFill="1" applyBorder="1" applyAlignment="1" applyProtection="1">
      <alignment horizontal="center" vertical="center" wrapText="1"/>
    </xf>
    <xf numFmtId="0" fontId="10" fillId="3" borderId="48"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0" fontId="32" fillId="41" borderId="1" xfId="0" applyFont="1" applyFill="1" applyBorder="1" applyAlignment="1" applyProtection="1">
      <alignment vertical="center" wrapText="1"/>
    </xf>
    <xf numFmtId="0" fontId="32" fillId="41" borderId="29" xfId="0" applyFont="1" applyFill="1" applyBorder="1" applyAlignment="1" applyProtection="1">
      <alignment vertical="center" wrapText="1"/>
    </xf>
    <xf numFmtId="0" fontId="32" fillId="41" borderId="2" xfId="0" applyFont="1" applyFill="1" applyBorder="1" applyAlignment="1" applyProtection="1">
      <alignment vertical="center" wrapText="1"/>
    </xf>
    <xf numFmtId="44" fontId="23" fillId="16" borderId="16" xfId="1" applyFont="1" applyFill="1" applyBorder="1" applyAlignment="1" applyProtection="1">
      <alignment vertical="center" wrapText="1"/>
    </xf>
    <xf numFmtId="44" fontId="23" fillId="16" borderId="18" xfId="1" applyFont="1" applyFill="1" applyBorder="1" applyAlignment="1" applyProtection="1">
      <alignment vertical="center" wrapText="1"/>
    </xf>
    <xf numFmtId="0" fontId="24" fillId="16" borderId="20" xfId="0" applyFont="1" applyFill="1" applyBorder="1" applyAlignment="1" applyProtection="1">
      <alignment vertical="center" wrapText="1"/>
    </xf>
    <xf numFmtId="0" fontId="24" fillId="16" borderId="30" xfId="0" applyFont="1" applyFill="1" applyBorder="1" applyAlignment="1" applyProtection="1">
      <alignment vertical="center" wrapText="1"/>
    </xf>
    <xf numFmtId="0" fontId="24" fillId="16" borderId="19" xfId="0" applyFont="1" applyFill="1" applyBorder="1" applyAlignment="1" applyProtection="1">
      <alignment vertical="center" wrapText="1"/>
    </xf>
    <xf numFmtId="9" fontId="24" fillId="16" borderId="19" xfId="0" applyNumberFormat="1" applyFont="1" applyFill="1" applyBorder="1" applyAlignment="1" applyProtection="1">
      <alignment vertical="center" wrapText="1"/>
    </xf>
    <xf numFmtId="2" fontId="24" fillId="16" borderId="20" xfId="0" applyNumberFormat="1" applyFont="1" applyFill="1" applyBorder="1" applyAlignment="1" applyProtection="1">
      <alignment vertical="center" wrapText="1"/>
    </xf>
    <xf numFmtId="44" fontId="24" fillId="16" borderId="20" xfId="1" applyFont="1" applyFill="1" applyBorder="1" applyAlignment="1" applyProtection="1">
      <alignment vertical="center" wrapText="1"/>
    </xf>
    <xf numFmtId="9" fontId="8" fillId="4" borderId="25" xfId="2" applyFont="1" applyFill="1" applyBorder="1" applyAlignment="1" applyProtection="1">
      <alignment vertical="center" wrapText="1"/>
    </xf>
    <xf numFmtId="2" fontId="8" fillId="4" borderId="18" xfId="0" applyNumberFormat="1" applyFont="1" applyFill="1" applyBorder="1" applyAlignment="1" applyProtection="1">
      <alignment vertical="center" wrapText="1"/>
    </xf>
    <xf numFmtId="44" fontId="6" fillId="4" borderId="26" xfId="1" applyFont="1" applyFill="1" applyBorder="1" applyAlignment="1" applyProtection="1">
      <alignment vertical="center" wrapText="1"/>
    </xf>
    <xf numFmtId="0" fontId="0" fillId="8" borderId="14" xfId="0" applyFill="1" applyBorder="1" applyProtection="1"/>
    <xf numFmtId="0" fontId="0" fillId="8" borderId="45" xfId="0" applyFill="1" applyBorder="1" applyProtection="1"/>
    <xf numFmtId="0" fontId="0" fillId="8" borderId="15" xfId="0" applyFill="1" applyBorder="1" applyProtection="1"/>
    <xf numFmtId="9" fontId="8" fillId="4" borderId="12" xfId="2" applyFont="1" applyFill="1" applyBorder="1" applyAlignment="1" applyProtection="1">
      <alignment vertical="center" wrapText="1"/>
    </xf>
    <xf numFmtId="44" fontId="6" fillId="4" borderId="18" xfId="1" applyFont="1" applyFill="1" applyBorder="1" applyAlignment="1" applyProtection="1">
      <alignment vertical="center" wrapText="1"/>
    </xf>
    <xf numFmtId="0" fontId="0" fillId="8" borderId="17" xfId="0" applyFill="1" applyBorder="1" applyProtection="1"/>
    <xf numFmtId="0" fontId="0" fillId="8" borderId="42" xfId="0" applyFill="1" applyBorder="1" applyProtection="1"/>
    <xf numFmtId="0" fontId="0" fillId="8" borderId="12" xfId="0" applyFill="1" applyBorder="1" applyProtection="1"/>
    <xf numFmtId="0" fontId="8" fillId="4" borderId="18" xfId="0" applyFont="1" applyFill="1" applyBorder="1" applyAlignment="1" applyProtection="1">
      <alignment vertical="center" wrapText="1"/>
    </xf>
    <xf numFmtId="0" fontId="1" fillId="4" borderId="46" xfId="0" applyFont="1" applyFill="1" applyBorder="1" applyAlignment="1" applyProtection="1">
      <alignment vertical="center" wrapText="1"/>
    </xf>
    <xf numFmtId="0" fontId="1" fillId="4" borderId="30" xfId="0" applyFont="1" applyFill="1" applyBorder="1" applyAlignment="1" applyProtection="1">
      <alignment vertical="center" wrapText="1"/>
    </xf>
    <xf numFmtId="0" fontId="1" fillId="4" borderId="19" xfId="0" applyFont="1" applyFill="1" applyBorder="1" applyAlignment="1" applyProtection="1">
      <alignment vertical="center" wrapText="1"/>
    </xf>
    <xf numFmtId="9" fontId="9" fillId="4" borderId="13" xfId="0" applyNumberFormat="1" applyFont="1" applyFill="1" applyBorder="1" applyAlignment="1" applyProtection="1">
      <alignment vertical="center" wrapText="1"/>
    </xf>
    <xf numFmtId="2" fontId="9" fillId="4" borderId="39" xfId="0" applyNumberFormat="1" applyFont="1" applyFill="1" applyBorder="1" applyAlignment="1" applyProtection="1">
      <alignment vertical="center" wrapText="1"/>
    </xf>
    <xf numFmtId="44" fontId="1" fillId="4" borderId="20" xfId="1" applyFont="1" applyFill="1" applyBorder="1" applyAlignment="1" applyProtection="1">
      <alignment vertical="center" wrapText="1"/>
    </xf>
    <xf numFmtId="0" fontId="34" fillId="8" borderId="21" xfId="0" applyFont="1" applyFill="1" applyBorder="1" applyAlignment="1" applyProtection="1">
      <alignment vertical="center" wrapText="1"/>
    </xf>
    <xf numFmtId="0" fontId="34" fillId="8" borderId="22" xfId="0" applyFont="1" applyFill="1" applyBorder="1" applyAlignment="1" applyProtection="1">
      <alignment vertical="center" wrapText="1"/>
    </xf>
    <xf numFmtId="0" fontId="34" fillId="8" borderId="23" xfId="0" applyFont="1" applyFill="1" applyBorder="1" applyAlignment="1" applyProtection="1">
      <alignment vertical="center" wrapText="1"/>
    </xf>
    <xf numFmtId="9" fontId="8" fillId="5" borderId="15" xfId="2" applyFont="1" applyFill="1" applyBorder="1" applyAlignment="1" applyProtection="1">
      <alignment vertical="center" wrapText="1"/>
    </xf>
    <xf numFmtId="2" fontId="8" fillId="5" borderId="16" xfId="0" applyNumberFormat="1" applyFont="1" applyFill="1" applyBorder="1" applyAlignment="1" applyProtection="1">
      <alignment vertical="center" wrapText="1"/>
    </xf>
    <xf numFmtId="44" fontId="6" fillId="5" borderId="16" xfId="1" applyFont="1" applyFill="1" applyBorder="1" applyAlignment="1" applyProtection="1">
      <alignment vertical="center" wrapText="1"/>
    </xf>
    <xf numFmtId="0" fontId="0" fillId="37" borderId="24" xfId="0" applyFill="1" applyBorder="1" applyProtection="1"/>
    <xf numFmtId="0" fontId="0" fillId="37" borderId="41" xfId="0" applyFill="1" applyBorder="1" applyProtection="1"/>
    <xf numFmtId="0" fontId="0" fillId="37" borderId="25" xfId="0" applyFill="1" applyBorder="1" applyProtection="1"/>
    <xf numFmtId="9" fontId="8" fillId="5" borderId="12" xfId="2" applyFont="1" applyFill="1" applyBorder="1" applyAlignment="1" applyProtection="1">
      <alignment vertical="center" wrapText="1"/>
    </xf>
    <xf numFmtId="2" fontId="8" fillId="5" borderId="18" xfId="0" applyNumberFormat="1" applyFont="1" applyFill="1" applyBorder="1" applyAlignment="1" applyProtection="1">
      <alignment vertical="center" wrapText="1"/>
    </xf>
    <xf numFmtId="44" fontId="6" fillId="5" borderId="18" xfId="1" applyFont="1" applyFill="1" applyBorder="1" applyAlignment="1" applyProtection="1">
      <alignment vertical="center" wrapText="1"/>
    </xf>
    <xf numFmtId="0" fontId="0" fillId="37" borderId="17" xfId="0" applyFill="1" applyBorder="1" applyProtection="1"/>
    <xf numFmtId="0" fontId="0" fillId="37" borderId="42" xfId="0" applyFill="1" applyBorder="1" applyProtection="1"/>
    <xf numFmtId="0" fontId="0" fillId="37" borderId="12" xfId="0" applyFill="1" applyBorder="1" applyProtection="1"/>
    <xf numFmtId="0" fontId="1" fillId="5" borderId="20" xfId="0" applyFont="1" applyFill="1" applyBorder="1" applyAlignment="1" applyProtection="1">
      <alignment vertical="center" wrapText="1"/>
    </xf>
    <xf numFmtId="0" fontId="1" fillId="5" borderId="30" xfId="0" applyFont="1" applyFill="1" applyBorder="1" applyAlignment="1" applyProtection="1">
      <alignment vertical="center" wrapText="1"/>
    </xf>
    <xf numFmtId="0" fontId="1" fillId="5" borderId="19" xfId="0" applyFont="1" applyFill="1" applyBorder="1" applyAlignment="1" applyProtection="1">
      <alignment vertical="center" wrapText="1"/>
    </xf>
    <xf numFmtId="9" fontId="9" fillId="5" borderId="19" xfId="0" applyNumberFormat="1" applyFont="1" applyFill="1" applyBorder="1" applyAlignment="1" applyProtection="1">
      <alignment vertical="center" wrapText="1"/>
    </xf>
    <xf numFmtId="2" fontId="9" fillId="5" borderId="20" xfId="0" applyNumberFormat="1" applyFont="1" applyFill="1" applyBorder="1" applyAlignment="1" applyProtection="1">
      <alignment vertical="center" wrapText="1"/>
    </xf>
    <xf numFmtId="44" fontId="1" fillId="5" borderId="20" xfId="1" applyFont="1" applyFill="1" applyBorder="1" applyAlignment="1" applyProtection="1">
      <alignment vertical="center" wrapText="1"/>
    </xf>
    <xf numFmtId="0" fontId="34" fillId="37" borderId="52" xfId="0" applyFont="1" applyFill="1" applyBorder="1" applyAlignment="1" applyProtection="1">
      <alignment vertical="center" wrapText="1"/>
    </xf>
    <xf numFmtId="0" fontId="34" fillId="37" borderId="50" xfId="0" applyFont="1" applyFill="1" applyBorder="1" applyAlignment="1" applyProtection="1">
      <alignment vertical="center" wrapText="1"/>
    </xf>
    <xf numFmtId="0" fontId="34" fillId="37" borderId="51" xfId="0" applyFont="1" applyFill="1" applyBorder="1" applyAlignment="1" applyProtection="1">
      <alignment vertical="center" wrapText="1"/>
    </xf>
    <xf numFmtId="2" fontId="8" fillId="4" borderId="26" xfId="0" applyNumberFormat="1" applyFont="1" applyFill="1" applyBorder="1" applyAlignment="1" applyProtection="1">
      <alignment vertical="center" wrapText="1"/>
    </xf>
    <xf numFmtId="0" fontId="1" fillId="4" borderId="20" xfId="0" applyFont="1" applyFill="1" applyBorder="1" applyAlignment="1" applyProtection="1">
      <alignment vertical="center" wrapText="1"/>
    </xf>
    <xf numFmtId="0" fontId="1" fillId="5" borderId="46" xfId="0" applyFont="1" applyFill="1" applyBorder="1" applyAlignment="1" applyProtection="1">
      <alignment vertical="center" wrapText="1"/>
    </xf>
    <xf numFmtId="0" fontId="3" fillId="3" borderId="32" xfId="0" applyFont="1" applyFill="1" applyBorder="1" applyAlignment="1" applyProtection="1">
      <alignment horizontal="right" vertical="center" wrapText="1"/>
    </xf>
    <xf numFmtId="0" fontId="3" fillId="3" borderId="32" xfId="0" applyFont="1" applyFill="1" applyBorder="1" applyAlignment="1" applyProtection="1">
      <alignment vertical="center" wrapText="1"/>
    </xf>
    <xf numFmtId="9" fontId="3" fillId="3" borderId="32" xfId="0" applyNumberFormat="1" applyFont="1" applyFill="1" applyBorder="1" applyAlignment="1" applyProtection="1">
      <alignment vertical="center" wrapText="1"/>
    </xf>
    <xf numFmtId="2" fontId="3" fillId="3" borderId="32" xfId="0" applyNumberFormat="1" applyFont="1" applyFill="1" applyBorder="1" applyAlignment="1" applyProtection="1">
      <alignment vertical="center" wrapText="1"/>
    </xf>
    <xf numFmtId="44" fontId="3" fillId="3" borderId="33" xfId="1" applyFont="1" applyFill="1" applyBorder="1" applyAlignment="1" applyProtection="1">
      <alignment vertical="center" wrapText="1"/>
    </xf>
    <xf numFmtId="0" fontId="10" fillId="3" borderId="35" xfId="0" applyFont="1" applyFill="1" applyBorder="1" applyAlignment="1" applyProtection="1">
      <alignment horizontal="center" vertical="center" wrapText="1"/>
    </xf>
    <xf numFmtId="0" fontId="10" fillId="3" borderId="37" xfId="0" applyFont="1" applyFill="1" applyBorder="1" applyAlignment="1" applyProtection="1">
      <alignment horizontal="center" vertical="center" wrapText="1"/>
    </xf>
    <xf numFmtId="0" fontId="32" fillId="41" borderId="4" xfId="0" applyFont="1" applyFill="1" applyBorder="1" applyAlignment="1" applyProtection="1">
      <alignment vertical="center" wrapText="1"/>
    </xf>
    <xf numFmtId="0" fontId="32" fillId="41" borderId="9" xfId="0" applyFont="1" applyFill="1" applyBorder="1" applyAlignment="1" applyProtection="1">
      <alignment vertical="center" wrapText="1"/>
    </xf>
    <xf numFmtId="0" fontId="32" fillId="41" borderId="8" xfId="0" applyFont="1" applyFill="1" applyBorder="1" applyAlignment="1" applyProtection="1">
      <alignment vertical="center" wrapText="1"/>
    </xf>
    <xf numFmtId="0" fontId="32" fillId="41" borderId="5" xfId="0" applyFont="1" applyFill="1" applyBorder="1" applyAlignment="1" applyProtection="1">
      <alignment vertical="center" wrapText="1"/>
    </xf>
    <xf numFmtId="0" fontId="8" fillId="16" borderId="6" xfId="0" applyFont="1" applyFill="1" applyBorder="1" applyAlignment="1" applyProtection="1">
      <alignment horizontal="centerContinuous" vertical="center" wrapText="1"/>
    </xf>
    <xf numFmtId="0" fontId="8" fillId="16" borderId="0" xfId="0" applyFont="1" applyFill="1" applyBorder="1" applyAlignment="1" applyProtection="1">
      <alignment horizontal="centerContinuous" vertical="center" wrapText="1"/>
    </xf>
    <xf numFmtId="0" fontId="8" fillId="16" borderId="17" xfId="0" applyFont="1" applyFill="1" applyBorder="1" applyAlignment="1" applyProtection="1">
      <alignment vertical="center" wrapText="1"/>
    </xf>
    <xf numFmtId="9" fontId="8" fillId="16" borderId="40" xfId="2" applyFont="1" applyFill="1" applyBorder="1" applyAlignment="1" applyProtection="1">
      <alignment vertical="center" wrapText="1"/>
    </xf>
    <xf numFmtId="0" fontId="0" fillId="41" borderId="10" xfId="0" applyFill="1" applyBorder="1" applyProtection="1"/>
    <xf numFmtId="2" fontId="0" fillId="37" borderId="14" xfId="0" applyNumberFormat="1" applyFill="1" applyBorder="1" applyProtection="1"/>
    <xf numFmtId="2" fontId="0" fillId="37" borderId="15" xfId="0" applyNumberFormat="1" applyFill="1" applyBorder="1" applyProtection="1"/>
    <xf numFmtId="2" fontId="0" fillId="37" borderId="16" xfId="0" applyNumberFormat="1" applyFill="1" applyBorder="1" applyProtection="1"/>
    <xf numFmtId="2" fontId="0" fillId="37" borderId="17" xfId="0" applyNumberFormat="1" applyFill="1" applyBorder="1" applyProtection="1"/>
    <xf numFmtId="2" fontId="0" fillId="37" borderId="12" xfId="0" applyNumberFormat="1" applyFill="1" applyBorder="1" applyProtection="1"/>
    <xf numFmtId="2" fontId="0" fillId="37" borderId="18" xfId="0" applyNumberFormat="1" applyFill="1" applyBorder="1" applyProtection="1"/>
    <xf numFmtId="0" fontId="8" fillId="16" borderId="7" xfId="0" applyFont="1" applyFill="1" applyBorder="1" applyAlignment="1" applyProtection="1">
      <alignment horizontal="centerContinuous" vertical="center" wrapText="1"/>
    </xf>
    <xf numFmtId="0" fontId="8" fillId="16" borderId="49" xfId="0" applyFont="1" applyFill="1" applyBorder="1" applyAlignment="1" applyProtection="1">
      <alignment horizontal="centerContinuous" vertical="center" wrapText="1"/>
    </xf>
    <xf numFmtId="9" fontId="8" fillId="16" borderId="43" xfId="2" applyFont="1" applyFill="1" applyBorder="1" applyAlignment="1" applyProtection="1">
      <alignment vertical="center" wrapText="1"/>
    </xf>
    <xf numFmtId="2" fontId="0" fillId="37" borderId="13" xfId="0" applyNumberFormat="1" applyFill="1" applyBorder="1" applyProtection="1"/>
    <xf numFmtId="2" fontId="0" fillId="37" borderId="39" xfId="0" applyNumberFormat="1" applyFill="1" applyBorder="1" applyProtection="1"/>
    <xf numFmtId="0" fontId="10" fillId="3" borderId="31" xfId="0" applyFont="1" applyFill="1" applyBorder="1" applyAlignment="1" applyProtection="1">
      <alignment horizontal="center" vertical="center" wrapText="1"/>
    </xf>
    <xf numFmtId="9" fontId="10" fillId="3" borderId="34" xfId="2" applyFont="1" applyFill="1" applyBorder="1" applyAlignment="1" applyProtection="1">
      <alignment horizontal="center" vertical="center" wrapText="1"/>
    </xf>
    <xf numFmtId="2" fontId="10" fillId="42" borderId="29" xfId="0" applyNumberFormat="1" applyFont="1" applyFill="1" applyBorder="1" applyProtection="1"/>
    <xf numFmtId="9" fontId="10" fillId="3" borderId="33" xfId="2" applyFont="1" applyFill="1" applyBorder="1" applyAlignment="1" applyProtection="1">
      <alignment horizontal="center" vertical="center" wrapText="1"/>
    </xf>
    <xf numFmtId="0" fontId="24" fillId="16" borderId="15" xfId="0" applyFont="1" applyFill="1" applyBorder="1" applyAlignment="1" applyProtection="1">
      <alignment vertical="center" wrapText="1"/>
    </xf>
    <xf numFmtId="0" fontId="24" fillId="16" borderId="12" xfId="0" applyFont="1" applyFill="1" applyBorder="1" applyAlignment="1" applyProtection="1">
      <alignment vertical="center" wrapText="1"/>
    </xf>
    <xf numFmtId="9" fontId="24" fillId="16" borderId="15" xfId="2" applyFont="1" applyFill="1" applyBorder="1" applyAlignment="1" applyProtection="1">
      <alignment vertical="center" wrapText="1"/>
    </xf>
    <xf numFmtId="2" fontId="24" fillId="16" borderId="16" xfId="0" applyNumberFormat="1" applyFont="1" applyFill="1" applyBorder="1" applyAlignment="1" applyProtection="1">
      <alignment vertical="center" wrapText="1"/>
    </xf>
    <xf numFmtId="9" fontId="24" fillId="16" borderId="12" xfId="2" applyFont="1" applyFill="1" applyBorder="1" applyAlignment="1" applyProtection="1">
      <alignment vertical="center" wrapText="1"/>
    </xf>
    <xf numFmtId="2" fontId="24" fillId="16" borderId="18" xfId="0" applyNumberFormat="1" applyFont="1" applyFill="1" applyBorder="1" applyAlignment="1" applyProtection="1">
      <alignment vertical="center" wrapText="1"/>
    </xf>
    <xf numFmtId="0" fontId="24" fillId="16" borderId="18" xfId="0" applyFont="1" applyFill="1" applyBorder="1" applyAlignment="1" applyProtection="1">
      <alignment vertical="center" wrapText="1"/>
    </xf>
    <xf numFmtId="0" fontId="10" fillId="3" borderId="0" xfId="0" applyFont="1" applyFill="1" applyBorder="1" applyAlignment="1" applyProtection="1">
      <alignment horizontal="center" vertical="center" wrapText="1"/>
    </xf>
    <xf numFmtId="2" fontId="24" fillId="16" borderId="58" xfId="0" applyNumberFormat="1" applyFont="1" applyFill="1" applyBorder="1" applyAlignment="1" applyProtection="1">
      <alignment vertical="center" wrapText="1"/>
    </xf>
    <xf numFmtId="2" fontId="24" fillId="16" borderId="59" xfId="0" applyNumberFormat="1" applyFont="1" applyFill="1" applyBorder="1" applyAlignment="1" applyProtection="1">
      <alignment vertical="center" wrapText="1"/>
    </xf>
    <xf numFmtId="0" fontId="24" fillId="16" borderId="59" xfId="0" applyFont="1" applyFill="1" applyBorder="1" applyAlignment="1" applyProtection="1">
      <alignment vertical="center" wrapText="1"/>
    </xf>
    <xf numFmtId="2" fontId="24" fillId="16" borderId="22" xfId="0" applyNumberFormat="1" applyFont="1" applyFill="1" applyBorder="1" applyAlignment="1" applyProtection="1">
      <alignment vertical="center" wrapText="1"/>
    </xf>
    <xf numFmtId="2" fontId="8" fillId="4" borderId="0" xfId="0" applyNumberFormat="1" applyFont="1" applyFill="1" applyBorder="1" applyAlignment="1" applyProtection="1">
      <alignment vertical="center" wrapText="1"/>
    </xf>
    <xf numFmtId="2" fontId="9" fillId="4" borderId="50" xfId="0" applyNumberFormat="1" applyFont="1" applyFill="1" applyBorder="1" applyAlignment="1" applyProtection="1">
      <alignment vertical="center" wrapText="1"/>
    </xf>
    <xf numFmtId="2" fontId="8" fillId="5" borderId="58" xfId="0" applyNumberFormat="1" applyFont="1" applyFill="1" applyBorder="1" applyAlignment="1" applyProtection="1">
      <alignment vertical="center" wrapText="1"/>
    </xf>
    <xf numFmtId="2" fontId="8" fillId="5" borderId="59" xfId="0" applyNumberFormat="1" applyFont="1" applyFill="1" applyBorder="1" applyAlignment="1" applyProtection="1">
      <alignment vertical="center" wrapText="1"/>
    </xf>
    <xf numFmtId="2" fontId="9" fillId="5" borderId="22" xfId="0" applyNumberFormat="1" applyFont="1" applyFill="1" applyBorder="1" applyAlignment="1" applyProtection="1">
      <alignment vertical="center" wrapText="1"/>
    </xf>
    <xf numFmtId="172" fontId="0" fillId="6" borderId="12" xfId="0" applyNumberFormat="1" applyFill="1" applyBorder="1" applyAlignment="1" applyProtection="1"/>
    <xf numFmtId="0" fontId="0" fillId="15" borderId="18" xfId="0" applyFill="1" applyBorder="1"/>
    <xf numFmtId="0" fontId="0" fillId="9" borderId="18" xfId="0" applyFill="1" applyBorder="1"/>
    <xf numFmtId="1" fontId="0" fillId="8" borderId="60" xfId="0" applyNumberFormat="1" applyFill="1" applyBorder="1" applyProtection="1"/>
    <xf numFmtId="1" fontId="0" fillId="8" borderId="40" xfId="0" applyNumberFormat="1" applyFill="1" applyBorder="1" applyProtection="1"/>
    <xf numFmtId="0" fontId="0" fillId="37" borderId="44" xfId="0" applyFill="1" applyBorder="1" applyProtection="1"/>
    <xf numFmtId="0" fontId="0" fillId="37" borderId="40" xfId="0" applyFill="1" applyBorder="1" applyProtection="1"/>
    <xf numFmtId="0" fontId="1" fillId="37" borderId="61" xfId="0" applyFont="1" applyFill="1" applyBorder="1" applyProtection="1"/>
    <xf numFmtId="0" fontId="0" fillId="8" borderId="60" xfId="0" applyFill="1" applyBorder="1" applyProtection="1"/>
    <xf numFmtId="0" fontId="0" fillId="8" borderId="40" xfId="0" applyFill="1" applyBorder="1" applyProtection="1"/>
    <xf numFmtId="0" fontId="1" fillId="8" borderId="43" xfId="0" applyFont="1" applyFill="1" applyBorder="1" applyProtection="1"/>
    <xf numFmtId="17" fontId="0" fillId="9" borderId="20" xfId="0" applyNumberFormat="1" applyFill="1" applyBorder="1" applyProtection="1">
      <protection locked="0"/>
    </xf>
    <xf numFmtId="2" fontId="8" fillId="16" borderId="17" xfId="0" applyNumberFormat="1" applyFont="1" applyFill="1" applyBorder="1" applyAlignment="1" applyProtection="1">
      <alignment vertical="center" wrapText="1"/>
    </xf>
    <xf numFmtId="1" fontId="0" fillId="0" borderId="0" xfId="0" applyNumberFormat="1" applyProtection="1"/>
    <xf numFmtId="1" fontId="0" fillId="37" borderId="14" xfId="0" applyNumberFormat="1" applyFill="1" applyBorder="1" applyProtection="1"/>
    <xf numFmtId="0" fontId="33" fillId="41" borderId="4" xfId="0" applyFont="1" applyFill="1" applyBorder="1" applyAlignment="1" applyProtection="1">
      <alignment wrapText="1"/>
    </xf>
    <xf numFmtId="0" fontId="33" fillId="41" borderId="8" xfId="0" applyFont="1" applyFill="1" applyBorder="1" applyAlignment="1" applyProtection="1">
      <alignment wrapText="1"/>
    </xf>
    <xf numFmtId="0" fontId="33" fillId="41" borderId="5" xfId="0" applyFont="1" applyFill="1" applyBorder="1" applyAlignment="1" applyProtection="1">
      <alignment wrapText="1"/>
    </xf>
    <xf numFmtId="173" fontId="8" fillId="4" borderId="18" xfId="0" applyNumberFormat="1" applyFont="1" applyFill="1" applyBorder="1" applyAlignment="1" applyProtection="1">
      <alignment vertical="center" wrapText="1"/>
    </xf>
    <xf numFmtId="0" fontId="3" fillId="29" borderId="1" xfId="0" applyFont="1" applyFill="1" applyBorder="1" applyAlignment="1" applyProtection="1">
      <alignment horizontal="center"/>
    </xf>
    <xf numFmtId="0" fontId="3" fillId="29" borderId="2" xfId="0" applyFont="1" applyFill="1" applyBorder="1" applyAlignment="1" applyProtection="1">
      <alignment horizontal="center"/>
    </xf>
    <xf numFmtId="0" fontId="3" fillId="29" borderId="3" xfId="0" applyFont="1" applyFill="1" applyBorder="1" applyAlignment="1" applyProtection="1">
      <alignment horizontal="center"/>
    </xf>
    <xf numFmtId="171" fontId="0" fillId="6" borderId="12" xfId="0" applyNumberFormat="1" applyFill="1" applyBorder="1" applyAlignment="1" applyProtection="1">
      <alignment horizontal="center"/>
    </xf>
    <xf numFmtId="0" fontId="10" fillId="3" borderId="0" xfId="0" applyFont="1" applyFill="1" applyAlignment="1" applyProtection="1">
      <alignment horizontal="center" vertical="center" wrapText="1"/>
    </xf>
    <xf numFmtId="0" fontId="20" fillId="0" borderId="1" xfId="0" applyFont="1" applyBorder="1" applyAlignment="1" applyProtection="1">
      <alignment horizontal="center"/>
    </xf>
    <xf numFmtId="0" fontId="20" fillId="0" borderId="2" xfId="0" applyFont="1" applyBorder="1" applyAlignment="1" applyProtection="1">
      <alignment horizontal="center"/>
    </xf>
    <xf numFmtId="0" fontId="20" fillId="0" borderId="3" xfId="0" applyFont="1" applyBorder="1" applyAlignment="1" applyProtection="1">
      <alignment horizontal="center"/>
    </xf>
    <xf numFmtId="0" fontId="3" fillId="14" borderId="4" xfId="0" applyFont="1" applyFill="1" applyBorder="1" applyProtection="1"/>
    <xf numFmtId="0" fontId="3" fillId="14" borderId="5" xfId="0" applyFont="1" applyFill="1" applyBorder="1" applyProtection="1"/>
    <xf numFmtId="0" fontId="3" fillId="29" borderId="31" xfId="0" applyFont="1" applyFill="1" applyBorder="1" applyAlignment="1" applyProtection="1">
      <alignment horizontal="center"/>
    </xf>
    <xf numFmtId="0" fontId="3" fillId="29" borderId="32" xfId="0" applyFont="1" applyFill="1" applyBorder="1" applyAlignment="1" applyProtection="1">
      <alignment horizontal="center"/>
    </xf>
    <xf numFmtId="0" fontId="3" fillId="29" borderId="33" xfId="0" applyFont="1" applyFill="1" applyBorder="1" applyAlignment="1" applyProtection="1">
      <alignment horizontal="center"/>
    </xf>
    <xf numFmtId="0" fontId="3" fillId="17" borderId="1" xfId="0" applyFont="1" applyFill="1" applyBorder="1" applyAlignment="1" applyProtection="1">
      <alignment horizontal="left" vertical="top" wrapText="1"/>
    </xf>
    <xf numFmtId="0" fontId="3" fillId="17" borderId="3" xfId="0" applyFont="1" applyFill="1" applyBorder="1" applyAlignment="1" applyProtection="1">
      <alignment horizontal="left" vertical="top" wrapText="1"/>
    </xf>
    <xf numFmtId="0" fontId="33" fillId="43" borderId="62" xfId="0" applyFont="1" applyFill="1" applyBorder="1" applyAlignment="1" applyProtection="1">
      <alignment horizontal="center" wrapText="1"/>
    </xf>
    <xf numFmtId="0" fontId="33" fillId="43" borderId="0" xfId="0" applyFont="1" applyFill="1" applyBorder="1" applyAlignment="1" applyProtection="1">
      <alignment horizontal="center" wrapText="1"/>
    </xf>
    <xf numFmtId="0" fontId="0" fillId="5" borderId="18"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right" vertical="center" wrapText="1"/>
    </xf>
    <xf numFmtId="0" fontId="1" fillId="5" borderId="22" xfId="0" applyFont="1" applyFill="1" applyBorder="1" applyAlignment="1" applyProtection="1">
      <alignment horizontal="right" vertical="center" wrapText="1"/>
    </xf>
    <xf numFmtId="0" fontId="1" fillId="5" borderId="23" xfId="0" applyFont="1" applyFill="1" applyBorder="1" applyAlignment="1" applyProtection="1">
      <alignment horizontal="right" vertical="center" wrapText="1"/>
    </xf>
    <xf numFmtId="0" fontId="1" fillId="5" borderId="19" xfId="0" applyFont="1" applyFill="1" applyBorder="1" applyAlignment="1" applyProtection="1">
      <alignment horizontal="right" vertical="center" wrapText="1"/>
    </xf>
    <xf numFmtId="0" fontId="0" fillId="4" borderId="25" xfId="0" applyFont="1" applyFill="1" applyBorder="1" applyAlignment="1" applyProtection="1">
      <alignment horizontal="center" vertical="center" wrapText="1"/>
      <protection locked="0"/>
    </xf>
    <xf numFmtId="0" fontId="0" fillId="4" borderId="12" xfId="0" applyFont="1" applyFill="1" applyBorder="1" applyAlignment="1" applyProtection="1">
      <alignment horizontal="center" vertical="center" wrapText="1"/>
      <protection locked="0"/>
    </xf>
    <xf numFmtId="9" fontId="0" fillId="4" borderId="25" xfId="2" applyFont="1" applyFill="1" applyBorder="1" applyAlignment="1" applyProtection="1">
      <alignment horizontal="center" vertical="center" wrapText="1"/>
      <protection locked="0"/>
    </xf>
    <xf numFmtId="9" fontId="0" fillId="4" borderId="12" xfId="2" applyFont="1" applyFill="1" applyBorder="1" applyAlignment="1" applyProtection="1">
      <alignment horizontal="center" vertical="center" wrapText="1"/>
      <protection locked="0"/>
    </xf>
    <xf numFmtId="0" fontId="0" fillId="4" borderId="18"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0" fillId="4" borderId="41" xfId="0" applyFont="1" applyFill="1" applyBorder="1" applyAlignment="1" applyProtection="1">
      <alignment horizontal="center" vertical="center" wrapText="1"/>
      <protection locked="0"/>
    </xf>
    <xf numFmtId="0" fontId="0" fillId="4" borderId="42" xfId="0" applyFont="1" applyFill="1" applyBorder="1" applyAlignment="1" applyProtection="1">
      <alignment horizontal="center" vertical="center" wrapText="1"/>
      <protection locked="0"/>
    </xf>
    <xf numFmtId="0" fontId="33" fillId="41" borderId="1" xfId="0" applyFont="1" applyFill="1" applyBorder="1" applyAlignment="1" applyProtection="1">
      <alignment horizontal="center" wrapText="1"/>
    </xf>
    <xf numFmtId="0" fontId="33" fillId="41" borderId="2" xfId="0" applyFont="1" applyFill="1" applyBorder="1" applyAlignment="1" applyProtection="1">
      <alignment horizontal="center" wrapText="1"/>
    </xf>
    <xf numFmtId="0" fontId="33" fillId="7" borderId="4" xfId="0" applyFont="1" applyFill="1" applyBorder="1" applyAlignment="1" applyProtection="1">
      <alignment horizontal="center" vertical="center" wrapText="1"/>
    </xf>
    <xf numFmtId="0" fontId="33" fillId="7" borderId="8" xfId="0" applyFont="1" applyFill="1" applyBorder="1" applyAlignment="1" applyProtection="1">
      <alignment horizontal="center" vertical="center" wrapText="1"/>
    </xf>
    <xf numFmtId="0" fontId="33" fillId="7" borderId="6" xfId="0" applyFont="1" applyFill="1" applyBorder="1" applyAlignment="1" applyProtection="1">
      <alignment horizontal="center" vertical="center" wrapText="1"/>
    </xf>
    <xf numFmtId="0" fontId="33" fillId="7" borderId="0" xfId="0" applyFont="1" applyFill="1" applyBorder="1" applyAlignment="1" applyProtection="1">
      <alignment horizontal="center" vertical="center" wrapText="1"/>
    </xf>
    <xf numFmtId="0" fontId="33" fillId="7" borderId="7" xfId="0" applyFont="1" applyFill="1" applyBorder="1" applyAlignment="1" applyProtection="1">
      <alignment horizontal="center" vertical="center" wrapText="1"/>
    </xf>
    <xf numFmtId="0" fontId="33" fillId="7" borderId="49" xfId="0" applyFont="1" applyFill="1" applyBorder="1" applyAlignment="1" applyProtection="1">
      <alignment horizontal="center" vertical="center" wrapText="1"/>
    </xf>
    <xf numFmtId="0" fontId="1" fillId="4" borderId="21" xfId="0" applyFont="1" applyFill="1" applyBorder="1" applyAlignment="1" applyProtection="1">
      <alignment horizontal="right" vertical="center" wrapText="1"/>
    </xf>
    <xf numFmtId="0" fontId="1" fillId="4" borderId="22" xfId="0" applyFont="1" applyFill="1" applyBorder="1" applyAlignment="1" applyProtection="1">
      <alignment horizontal="right" vertical="center" wrapText="1"/>
    </xf>
    <xf numFmtId="0" fontId="1" fillId="4" borderId="23" xfId="0" applyFont="1" applyFill="1" applyBorder="1" applyAlignment="1" applyProtection="1">
      <alignment horizontal="right" vertical="center" wrapText="1"/>
    </xf>
    <xf numFmtId="0" fontId="1" fillId="4" borderId="19" xfId="0" applyFont="1" applyFill="1" applyBorder="1" applyAlignment="1" applyProtection="1">
      <alignment horizontal="right" vertical="center" wrapText="1"/>
    </xf>
    <xf numFmtId="0" fontId="0" fillId="5" borderId="14" xfId="0" applyFont="1" applyFill="1" applyBorder="1" applyAlignment="1" applyProtection="1">
      <alignment horizontal="center" vertical="center" wrapText="1"/>
    </xf>
    <xf numFmtId="0" fontId="0" fillId="5" borderId="17"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27" xfId="0" applyFont="1" applyFill="1" applyBorder="1" applyAlignment="1" applyProtection="1">
      <alignment horizontal="center" vertical="center" wrapText="1"/>
      <protection locked="0"/>
    </xf>
    <xf numFmtId="0" fontId="0" fillId="5" borderId="28" xfId="0" applyFont="1" applyFill="1" applyBorder="1" applyAlignment="1" applyProtection="1">
      <alignment horizontal="center" vertical="center" wrapText="1"/>
      <protection locked="0"/>
    </xf>
    <xf numFmtId="0" fontId="0" fillId="5" borderId="25"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2" xfId="0" applyFont="1" applyFill="1" applyBorder="1" applyAlignment="1" applyProtection="1">
      <alignment horizontal="center" vertical="center" wrapText="1"/>
      <protection locked="0"/>
    </xf>
    <xf numFmtId="0" fontId="0" fillId="5" borderId="16"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2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0" fillId="5" borderId="45" xfId="0" applyFont="1" applyFill="1" applyBorder="1" applyAlignment="1" applyProtection="1">
      <alignment horizontal="center" vertical="center" wrapText="1"/>
      <protection locked="0"/>
    </xf>
    <xf numFmtId="0" fontId="0" fillId="5" borderId="42" xfId="0" applyFont="1" applyFill="1" applyBorder="1" applyAlignment="1" applyProtection="1">
      <alignment horizontal="center" vertical="center" wrapText="1"/>
      <protection locked="0"/>
    </xf>
    <xf numFmtId="9" fontId="0" fillId="5" borderId="15" xfId="2" applyFont="1" applyFill="1" applyBorder="1" applyAlignment="1" applyProtection="1">
      <alignment horizontal="center" vertical="center" wrapText="1"/>
      <protection locked="0"/>
    </xf>
    <xf numFmtId="9" fontId="0" fillId="5" borderId="12" xfId="2" applyFont="1" applyFill="1" applyBorder="1" applyAlignment="1" applyProtection="1">
      <alignment horizontal="center" vertical="center" wrapText="1"/>
      <protection locked="0"/>
    </xf>
    <xf numFmtId="0" fontId="0" fillId="4" borderId="24" xfId="0" applyFont="1" applyFill="1" applyBorder="1" applyAlignment="1" applyProtection="1">
      <alignment horizontal="center" vertical="center" wrapText="1"/>
    </xf>
    <xf numFmtId="0" fontId="0" fillId="4" borderId="17" xfId="0" applyFont="1" applyFill="1" applyBorder="1" applyAlignment="1" applyProtection="1">
      <alignment horizontal="center" vertical="center" wrapText="1"/>
    </xf>
    <xf numFmtId="0" fontId="0" fillId="4" borderId="25" xfId="0" applyFont="1" applyFill="1" applyBorder="1" applyAlignment="1" applyProtection="1">
      <alignment horizontal="center" vertical="center" wrapText="1"/>
    </xf>
    <xf numFmtId="0" fontId="0" fillId="4" borderId="12" xfId="0" applyFont="1" applyFill="1" applyBorder="1" applyAlignment="1" applyProtection="1">
      <alignment horizontal="center" vertical="center" wrapText="1"/>
    </xf>
    <xf numFmtId="0" fontId="0" fillId="4" borderId="27" xfId="0" applyFont="1" applyFill="1" applyBorder="1" applyAlignment="1" applyProtection="1">
      <alignment horizontal="center" vertical="center" wrapText="1"/>
      <protection locked="0"/>
    </xf>
    <xf numFmtId="0" fontId="0" fillId="4" borderId="28" xfId="0" applyFont="1" applyFill="1" applyBorder="1" applyAlignment="1" applyProtection="1">
      <alignment horizontal="center" vertical="center" wrapText="1"/>
      <protection locked="0"/>
    </xf>
    <xf numFmtId="0" fontId="0"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wrapText="1"/>
      <protection locked="0"/>
    </xf>
    <xf numFmtId="0" fontId="24" fillId="16" borderId="27" xfId="0" applyFont="1" applyFill="1" applyBorder="1" applyAlignment="1" applyProtection="1">
      <alignment horizontal="center" vertical="center" wrapText="1"/>
    </xf>
    <xf numFmtId="0" fontId="24" fillId="16" borderId="28" xfId="0" applyFont="1" applyFill="1" applyBorder="1" applyAlignment="1" applyProtection="1">
      <alignment horizontal="center" vertical="center" wrapText="1"/>
    </xf>
    <xf numFmtId="0" fontId="24" fillId="16" borderId="25" xfId="0" applyFont="1" applyFill="1" applyBorder="1" applyAlignment="1" applyProtection="1">
      <alignment horizontal="center" vertical="center" wrapText="1"/>
    </xf>
    <xf numFmtId="0" fontId="0" fillId="4" borderId="27"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9" fontId="0" fillId="4" borderId="27" xfId="2" applyFont="1" applyFill="1" applyBorder="1" applyAlignment="1" applyProtection="1">
      <alignment horizontal="center" vertical="center" wrapText="1"/>
      <protection locked="0"/>
    </xf>
    <xf numFmtId="9" fontId="0" fillId="4" borderId="28" xfId="2" applyFont="1"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0" fillId="4" borderId="35" xfId="0" applyFont="1" applyFill="1" applyBorder="1" applyAlignment="1" applyProtection="1">
      <alignment horizontal="center" vertical="center" wrapText="1"/>
    </xf>
    <xf numFmtId="0" fontId="0" fillId="4" borderId="47" xfId="0" applyFont="1" applyFill="1" applyBorder="1" applyAlignment="1" applyProtection="1">
      <alignment horizontal="center" vertical="center" wrapText="1"/>
    </xf>
    <xf numFmtId="0" fontId="24" fillId="16" borderId="15" xfId="0" applyFont="1" applyFill="1" applyBorder="1" applyAlignment="1" applyProtection="1">
      <alignment horizontal="center" vertical="center" wrapText="1"/>
    </xf>
    <xf numFmtId="0" fontId="24" fillId="16" borderId="12" xfId="0" applyFont="1" applyFill="1" applyBorder="1" applyAlignment="1" applyProtection="1">
      <alignment horizontal="center" vertical="center" wrapText="1"/>
    </xf>
    <xf numFmtId="9" fontId="0" fillId="5" borderId="15" xfId="2" applyFont="1" applyFill="1" applyBorder="1" applyAlignment="1" applyProtection="1">
      <alignment horizontal="center" vertical="center" wrapText="1"/>
    </xf>
    <xf numFmtId="9" fontId="0" fillId="5" borderId="12" xfId="2" applyFont="1" applyFill="1" applyBorder="1" applyAlignment="1" applyProtection="1">
      <alignment horizontal="center" vertical="center" wrapText="1"/>
    </xf>
    <xf numFmtId="0" fontId="21" fillId="3" borderId="31" xfId="0" applyFont="1" applyFill="1" applyBorder="1" applyAlignment="1" applyProtection="1">
      <alignment horizontal="center" wrapText="1"/>
    </xf>
    <xf numFmtId="0" fontId="21" fillId="3" borderId="32" xfId="0" applyFont="1" applyFill="1" applyBorder="1" applyAlignment="1" applyProtection="1">
      <alignment horizontal="center" wrapText="1"/>
    </xf>
    <xf numFmtId="0" fontId="21" fillId="3" borderId="33" xfId="0" applyFont="1" applyFill="1" applyBorder="1" applyAlignment="1" applyProtection="1">
      <alignment horizontal="center" wrapText="1"/>
    </xf>
    <xf numFmtId="0" fontId="24" fillId="16" borderId="14" xfId="0" applyFont="1" applyFill="1" applyBorder="1" applyAlignment="1" applyProtection="1">
      <alignment horizontal="center" vertical="center" wrapText="1"/>
    </xf>
    <xf numFmtId="0" fontId="24" fillId="16" borderId="17" xfId="0" applyFont="1" applyFill="1" applyBorder="1" applyAlignment="1" applyProtection="1">
      <alignment horizontal="center" vertical="center" wrapText="1"/>
    </xf>
    <xf numFmtId="0" fontId="24" fillId="16" borderId="45" xfId="0" applyFont="1" applyFill="1" applyBorder="1" applyAlignment="1" applyProtection="1">
      <alignment horizontal="center" vertical="center" wrapText="1"/>
    </xf>
    <xf numFmtId="0" fontId="24" fillId="16" borderId="42" xfId="0" applyFont="1" applyFill="1" applyBorder="1" applyAlignment="1" applyProtection="1">
      <alignment horizontal="center" vertical="center" wrapText="1"/>
    </xf>
    <xf numFmtId="9" fontId="24" fillId="16" borderId="15" xfId="2" applyFont="1" applyFill="1" applyBorder="1" applyAlignment="1" applyProtection="1">
      <alignment horizontal="center" vertical="center" wrapText="1"/>
    </xf>
    <xf numFmtId="9" fontId="24" fillId="16" borderId="12" xfId="2" applyFont="1" applyFill="1" applyBorder="1" applyAlignment="1" applyProtection="1">
      <alignment horizontal="center" vertical="center" wrapText="1"/>
    </xf>
    <xf numFmtId="0" fontId="21" fillId="3" borderId="36"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wrapText="1"/>
    </xf>
    <xf numFmtId="0" fontId="0" fillId="4" borderId="24"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pplyProtection="1">
      <alignment horizontal="center" vertical="center" wrapText="1"/>
      <protection locked="0"/>
    </xf>
    <xf numFmtId="0" fontId="24" fillId="16" borderId="23" xfId="0" applyFont="1" applyFill="1" applyBorder="1" applyAlignment="1" applyProtection="1">
      <alignment horizontal="right" vertical="center" wrapText="1"/>
    </xf>
    <xf numFmtId="0" fontId="24" fillId="16" borderId="19" xfId="0" applyFont="1" applyFill="1" applyBorder="1" applyAlignment="1" applyProtection="1">
      <alignment horizontal="right" vertical="center" wrapText="1"/>
    </xf>
    <xf numFmtId="0" fontId="24" fillId="16" borderId="16" xfId="0" applyFont="1" applyFill="1" applyBorder="1" applyAlignment="1" applyProtection="1">
      <alignment horizontal="center" vertical="center" wrapText="1"/>
    </xf>
    <xf numFmtId="0" fontId="24" fillId="16" borderId="18" xfId="0" applyFont="1" applyFill="1" applyBorder="1" applyAlignment="1" applyProtection="1">
      <alignment horizontal="center" vertical="center" wrapText="1"/>
    </xf>
    <xf numFmtId="2" fontId="0" fillId="4" borderId="35" xfId="0" applyNumberFormat="1" applyFill="1" applyBorder="1" applyAlignment="1" applyProtection="1">
      <alignment horizontal="center" vertical="center" wrapText="1"/>
      <protection locked="0"/>
    </xf>
    <xf numFmtId="2" fontId="0" fillId="4" borderId="47" xfId="0" applyNumberFormat="1" applyFill="1" applyBorder="1" applyAlignment="1" applyProtection="1">
      <alignment horizontal="center" vertical="center" wrapText="1"/>
      <protection locked="0"/>
    </xf>
    <xf numFmtId="2" fontId="0" fillId="4" borderId="24" xfId="0" applyNumberFormat="1" applyFill="1" applyBorder="1" applyAlignment="1" applyProtection="1">
      <alignment horizontal="center" vertical="center" wrapText="1"/>
      <protection locked="0"/>
    </xf>
    <xf numFmtId="2" fontId="0" fillId="4" borderId="25" xfId="0" applyNumberFormat="1" applyFill="1" applyBorder="1" applyAlignment="1" applyProtection="1">
      <alignment horizontal="center" vertical="center" wrapText="1"/>
      <protection locked="0"/>
    </xf>
    <xf numFmtId="2" fontId="0" fillId="4" borderId="12" xfId="0" applyNumberFormat="1" applyFill="1" applyBorder="1" applyAlignment="1" applyProtection="1">
      <alignment horizontal="center" vertical="center" wrapText="1"/>
      <protection locked="0"/>
    </xf>
    <xf numFmtId="0" fontId="0" fillId="5" borderId="35" xfId="0" applyFont="1" applyFill="1" applyBorder="1" applyAlignment="1" applyProtection="1">
      <alignment horizontal="center" vertical="center" wrapText="1"/>
    </xf>
    <xf numFmtId="0" fontId="0" fillId="5" borderId="47" xfId="0" applyFont="1" applyFill="1" applyBorder="1" applyAlignment="1" applyProtection="1">
      <alignment horizontal="center" vertical="center" wrapText="1"/>
    </xf>
    <xf numFmtId="0" fontId="0" fillId="5" borderId="24" xfId="0" applyFont="1" applyFill="1" applyBorder="1" applyAlignment="1" applyProtection="1">
      <alignment horizontal="center" vertical="center" wrapText="1"/>
    </xf>
    <xf numFmtId="0" fontId="3" fillId="3" borderId="31" xfId="0" applyFont="1" applyFill="1" applyBorder="1" applyAlignment="1" applyProtection="1">
      <alignment horizontal="right" vertical="center" wrapText="1"/>
    </xf>
    <xf numFmtId="0" fontId="3" fillId="3" borderId="32" xfId="0" applyFont="1" applyFill="1" applyBorder="1" applyAlignment="1" applyProtection="1">
      <alignment horizontal="right" vertical="center" wrapText="1"/>
    </xf>
    <xf numFmtId="0" fontId="3" fillId="3" borderId="34" xfId="0" applyFont="1" applyFill="1" applyBorder="1" applyAlignment="1" applyProtection="1">
      <alignment horizontal="right" vertical="center" wrapText="1"/>
    </xf>
    <xf numFmtId="0" fontId="3" fillId="3" borderId="2" xfId="0" applyFont="1" applyFill="1" applyBorder="1" applyAlignment="1" applyProtection="1">
      <alignment horizontal="right" vertical="center" wrapText="1"/>
    </xf>
    <xf numFmtId="0" fontId="3" fillId="3" borderId="36" xfId="0" applyFont="1" applyFill="1" applyBorder="1" applyAlignment="1" applyProtection="1">
      <alignment horizontal="right" vertical="center" wrapText="1"/>
    </xf>
    <xf numFmtId="0" fontId="24" fillId="16" borderId="21" xfId="0" applyFont="1" applyFill="1" applyBorder="1" applyAlignment="1" applyProtection="1">
      <alignment horizontal="right" vertical="center" wrapText="1"/>
    </xf>
    <xf numFmtId="0" fontId="24" fillId="16" borderId="22" xfId="0" applyFont="1" applyFill="1" applyBorder="1" applyAlignment="1" applyProtection="1">
      <alignment horizontal="right" vertical="center" wrapText="1"/>
    </xf>
    <xf numFmtId="0" fontId="10" fillId="42" borderId="1" xfId="0" applyFont="1" applyFill="1" applyBorder="1" applyAlignment="1" applyProtection="1">
      <alignment horizontal="center"/>
    </xf>
    <xf numFmtId="0" fontId="10" fillId="42" borderId="3" xfId="0" applyFont="1" applyFill="1" applyBorder="1" applyAlignment="1" applyProtection="1">
      <alignment horizontal="center"/>
    </xf>
    <xf numFmtId="0" fontId="3" fillId="22" borderId="31" xfId="0" applyFont="1" applyFill="1" applyBorder="1" applyAlignment="1" applyProtection="1">
      <alignment horizontal="center"/>
      <protection locked="0"/>
    </xf>
    <xf numFmtId="0" fontId="3" fillId="22" borderId="32" xfId="0" applyFont="1" applyFill="1" applyBorder="1" applyAlignment="1" applyProtection="1">
      <alignment horizontal="center"/>
      <protection locked="0"/>
    </xf>
    <xf numFmtId="0" fontId="3" fillId="22" borderId="33" xfId="0" applyFont="1" applyFill="1" applyBorder="1" applyAlignment="1" applyProtection="1">
      <alignment horizontal="center"/>
      <protection locked="0"/>
    </xf>
    <xf numFmtId="0" fontId="1" fillId="0" borderId="0" xfId="0" applyFont="1" applyAlignment="1">
      <alignment horizontal="center"/>
    </xf>
    <xf numFmtId="0" fontId="1" fillId="35" borderId="0" xfId="0" applyFont="1" applyFill="1" applyAlignment="1">
      <alignment horizontal="left" vertical="center" wrapText="1"/>
    </xf>
    <xf numFmtId="0" fontId="28" fillId="0" borderId="0" xfId="0" applyFont="1" applyAlignment="1">
      <alignment horizontal="center" vertical="top" wrapText="1"/>
    </xf>
    <xf numFmtId="0" fontId="1" fillId="40" borderId="13" xfId="0" applyFont="1" applyFill="1" applyBorder="1" applyAlignment="1">
      <alignment horizontal="center" vertical="center"/>
    </xf>
    <xf numFmtId="0" fontId="1" fillId="40" borderId="25" xfId="0" applyFont="1" applyFill="1" applyBorder="1" applyAlignment="1">
      <alignment horizontal="center" vertical="center"/>
    </xf>
  </cellXfs>
  <cellStyles count="3">
    <cellStyle name="Monétaire" xfId="1" builtinId="4"/>
    <cellStyle name="Normal" xfId="0" builtinId="0"/>
    <cellStyle name="Pourcentage" xfId="2" builtinId="5"/>
  </cellStyles>
  <dxfs count="0"/>
  <tableStyles count="0" defaultTableStyle="TableStyleMedium2" defaultPivotStyle="PivotStyleLight16"/>
  <colors>
    <mruColors>
      <color rgb="FFFA9082"/>
      <color rgb="FFCC0000"/>
      <color rgb="FF33CCCC"/>
      <color rgb="FF009999"/>
      <color rgb="FFEBDFF3"/>
      <color rgb="FFE5FFF1"/>
      <color rgb="FFFEE6F4"/>
      <color rgb="FFFFB9E8"/>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FR"/>
              <a:t>Diagramme de Kiviat </a:t>
            </a:r>
          </a:p>
          <a:p>
            <a:pPr>
              <a:defRPr/>
            </a:pPr>
            <a:r>
              <a:rPr lang="fr-FR" sz="1000"/>
              <a:t>Notation du projet vis-à-vis des co-bénéfices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FR"/>
        </a:p>
      </c:txPr>
    </c:title>
    <c:autoTitleDeleted val="0"/>
    <c:plotArea>
      <c:layout>
        <c:manualLayout>
          <c:layoutTarget val="inner"/>
          <c:xMode val="edge"/>
          <c:yMode val="edge"/>
          <c:x val="0.28881178813687253"/>
          <c:y val="0.34564766932737528"/>
          <c:w val="0.41732414698162729"/>
          <c:h val="0.60923233136003985"/>
        </c:manualLayout>
      </c:layout>
      <c:radarChart>
        <c:radarStyle val="marker"/>
        <c:varyColors val="0"/>
        <c:ser>
          <c:idx val="0"/>
          <c:order val="0"/>
          <c:spPr>
            <a:ln w="25400" cap="rnd" cmpd="sng" algn="ctr">
              <a:solidFill>
                <a:schemeClr val="accent1"/>
              </a:solidFill>
              <a:prstDash val="sysDot"/>
              <a:round/>
            </a:ln>
            <a:effectLst/>
          </c:spPr>
          <c:marker>
            <c:symbol val="circle"/>
            <c:size val="6"/>
            <c:spPr>
              <a:solidFill>
                <a:schemeClr val="accent1"/>
              </a:solidFill>
              <a:ln>
                <a:noFill/>
              </a:ln>
              <a:effectLst/>
            </c:spPr>
          </c:marker>
          <c:cat>
            <c:multiLvlStrRef>
              <c:f>Fiche_signalétique_projet!$B$35:$B$38</c:f>
            </c:multiLvlStrRef>
          </c:cat>
          <c:val>
            <c:numRef>
              <c:f>Fiche_signalétique_projet!$F$35:$F$38</c:f>
            </c:numRef>
          </c:val>
          <c:extLst>
            <c:ext xmlns:c16="http://schemas.microsoft.com/office/drawing/2014/chart" uri="{C3380CC4-5D6E-409C-BE32-E72D297353CC}">
              <c16:uniqueId val="{00000000-EB70-49B8-B674-8C42BEDBCC82}"/>
            </c:ext>
          </c:extLst>
        </c:ser>
        <c:dLbls>
          <c:showLegendKey val="0"/>
          <c:showVal val="0"/>
          <c:showCatName val="0"/>
          <c:showSerName val="0"/>
          <c:showPercent val="0"/>
          <c:showBubbleSize val="0"/>
        </c:dLbls>
        <c:axId val="439893968"/>
        <c:axId val="435596272"/>
      </c:radarChart>
      <c:catAx>
        <c:axId val="4398939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35596272"/>
        <c:crosses val="autoZero"/>
        <c:auto val="1"/>
        <c:lblAlgn val="ctr"/>
        <c:lblOffset val="100"/>
        <c:noMultiLvlLbl val="0"/>
      </c:catAx>
      <c:valAx>
        <c:axId val="435596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989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600" b="1" i="0" cap="all" baseline="0">
                <a:effectLst/>
              </a:rPr>
              <a:t>Diagramme de Kiviat </a:t>
            </a:r>
            <a:endParaRPr lang="fr-FR" sz="1200">
              <a:effectLst/>
            </a:endParaRPr>
          </a:p>
          <a:p>
            <a:pPr>
              <a:defRPr/>
            </a:pPr>
            <a:r>
              <a:rPr lang="fr-FR" sz="1100" b="1" i="0" cap="all" baseline="0">
                <a:effectLst/>
              </a:rPr>
              <a:t>Notation du projet vis-à-vis des co-bénéfices</a:t>
            </a:r>
          </a:p>
          <a:p>
            <a:pPr>
              <a:defRPr/>
            </a:pPr>
            <a:r>
              <a:rPr lang="fr-FR" sz="1100" b="1" i="0" cap="all" baseline="0">
                <a:effectLst/>
              </a:rPr>
              <a:t>pROJETS EN ABSENCE DE COURS D'EAU</a:t>
            </a:r>
            <a:endParaRPr lang="fr-FR" sz="1000">
              <a:effectLst/>
            </a:endParaRPr>
          </a:p>
        </c:rich>
      </c:tx>
      <c:layout>
        <c:manualLayout>
          <c:xMode val="edge"/>
          <c:yMode val="edge"/>
          <c:x val="0.1232915573053368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547681539807526"/>
          <c:y val="0.34044828256703707"/>
          <c:w val="0.374838145231846"/>
          <c:h val="0.55446003268342858"/>
        </c:manualLayout>
      </c:layout>
      <c:radarChart>
        <c:radarStyle val="marker"/>
        <c:varyColors val="0"/>
        <c:ser>
          <c:idx val="0"/>
          <c:order val="0"/>
          <c:spPr>
            <a:ln w="28575" cap="rnd">
              <a:solidFill>
                <a:schemeClr val="accent1"/>
              </a:solidFill>
              <a:round/>
            </a:ln>
            <a:effectLst/>
          </c:spPr>
          <c:marker>
            <c:symbol val="none"/>
          </c:marker>
          <c:cat>
            <c:multiLvlStrRef>
              <c:f>Fiche_signalétique_projet!$B$35:$B$37</c:f>
            </c:multiLvlStrRef>
          </c:cat>
          <c:val>
            <c:numRef>
              <c:f>Fiche_signalétique_projet!$F$35:$F$37</c:f>
            </c:numRef>
          </c:val>
          <c:extLst>
            <c:ext xmlns:c16="http://schemas.microsoft.com/office/drawing/2014/chart" uri="{C3380CC4-5D6E-409C-BE32-E72D297353CC}">
              <c16:uniqueId val="{00000000-DAC1-4378-B3ED-A28AC8A5F426}"/>
            </c:ext>
          </c:extLst>
        </c:ser>
        <c:dLbls>
          <c:showLegendKey val="0"/>
          <c:showVal val="0"/>
          <c:showCatName val="0"/>
          <c:showSerName val="0"/>
          <c:showPercent val="0"/>
          <c:showBubbleSize val="0"/>
        </c:dLbls>
        <c:axId val="727378032"/>
        <c:axId val="727292928"/>
      </c:radarChart>
      <c:catAx>
        <c:axId val="7273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7292928"/>
        <c:crosses val="autoZero"/>
        <c:auto val="1"/>
        <c:lblAlgn val="ctr"/>
        <c:lblOffset val="100"/>
        <c:noMultiLvlLbl val="0"/>
      </c:catAx>
      <c:valAx>
        <c:axId val="7272929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7378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chêne sessile</a:t>
            </a:r>
            <a:endParaRPr lang="fr-FR" b="1" baseline="0"/>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'[1]Quantification C'!$J$1</c:f>
              <c:strCache>
                <c:ptCount val="1"/>
                <c:pt idx="0">
                  <c:v>Biomasse totale chêne sessile
(tCO₂/ha)</c:v>
                </c:pt>
              </c:strCache>
            </c:strRef>
          </c:tx>
          <c:spPr>
            <a:ln w="19050" cap="rnd">
              <a:solidFill>
                <a:srgbClr val="92D050"/>
              </a:solidFill>
              <a:round/>
            </a:ln>
            <a:effectLst/>
          </c:spPr>
          <c:marker>
            <c:symbol val="none"/>
          </c:marker>
          <c:xVal>
            <c:numRef>
              <c:f>'[1]Quantification C'!$F$2:$F$166</c:f>
              <c:numCache>
                <c:formatCode>General</c:formatCode>
                <c:ptCount val="16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45</c:v>
                </c:pt>
                <c:pt idx="49">
                  <c:v>46</c:v>
                </c:pt>
                <c:pt idx="50">
                  <c:v>47</c:v>
                </c:pt>
                <c:pt idx="51">
                  <c:v>48</c:v>
                </c:pt>
                <c:pt idx="52">
                  <c:v>49</c:v>
                </c:pt>
                <c:pt idx="53">
                  <c:v>50</c:v>
                </c:pt>
                <c:pt idx="54">
                  <c:v>51</c:v>
                </c:pt>
                <c:pt idx="55">
                  <c:v>52</c:v>
                </c:pt>
                <c:pt idx="56">
                  <c:v>53</c:v>
                </c:pt>
                <c:pt idx="57">
                  <c:v>54</c:v>
                </c:pt>
                <c:pt idx="58">
                  <c:v>55</c:v>
                </c:pt>
                <c:pt idx="59">
                  <c:v>55</c:v>
                </c:pt>
                <c:pt idx="60">
                  <c:v>56</c:v>
                </c:pt>
                <c:pt idx="61">
                  <c:v>57</c:v>
                </c:pt>
                <c:pt idx="62">
                  <c:v>58</c:v>
                </c:pt>
                <c:pt idx="63">
                  <c:v>59</c:v>
                </c:pt>
                <c:pt idx="64">
                  <c:v>60</c:v>
                </c:pt>
                <c:pt idx="65">
                  <c:v>61</c:v>
                </c:pt>
                <c:pt idx="66">
                  <c:v>62</c:v>
                </c:pt>
                <c:pt idx="67">
                  <c:v>63</c:v>
                </c:pt>
                <c:pt idx="68">
                  <c:v>64</c:v>
                </c:pt>
                <c:pt idx="69">
                  <c:v>65</c:v>
                </c:pt>
                <c:pt idx="70">
                  <c:v>65</c:v>
                </c:pt>
                <c:pt idx="71">
                  <c:v>66</c:v>
                </c:pt>
                <c:pt idx="72">
                  <c:v>67</c:v>
                </c:pt>
                <c:pt idx="73">
                  <c:v>68</c:v>
                </c:pt>
                <c:pt idx="74">
                  <c:v>69</c:v>
                </c:pt>
                <c:pt idx="75">
                  <c:v>70</c:v>
                </c:pt>
                <c:pt idx="76">
                  <c:v>71</c:v>
                </c:pt>
                <c:pt idx="77">
                  <c:v>72</c:v>
                </c:pt>
                <c:pt idx="78">
                  <c:v>73</c:v>
                </c:pt>
                <c:pt idx="79">
                  <c:v>74</c:v>
                </c:pt>
                <c:pt idx="80">
                  <c:v>75</c:v>
                </c:pt>
                <c:pt idx="81">
                  <c:v>75</c:v>
                </c:pt>
                <c:pt idx="82">
                  <c:v>76</c:v>
                </c:pt>
                <c:pt idx="83">
                  <c:v>77</c:v>
                </c:pt>
                <c:pt idx="84">
                  <c:v>78</c:v>
                </c:pt>
                <c:pt idx="85">
                  <c:v>79</c:v>
                </c:pt>
                <c:pt idx="86">
                  <c:v>80</c:v>
                </c:pt>
                <c:pt idx="87">
                  <c:v>81</c:v>
                </c:pt>
                <c:pt idx="88">
                  <c:v>82</c:v>
                </c:pt>
                <c:pt idx="89">
                  <c:v>83</c:v>
                </c:pt>
                <c:pt idx="90">
                  <c:v>84</c:v>
                </c:pt>
                <c:pt idx="91">
                  <c:v>85</c:v>
                </c:pt>
                <c:pt idx="92">
                  <c:v>85</c:v>
                </c:pt>
                <c:pt idx="93">
                  <c:v>86</c:v>
                </c:pt>
                <c:pt idx="94">
                  <c:v>87</c:v>
                </c:pt>
                <c:pt idx="95">
                  <c:v>88</c:v>
                </c:pt>
                <c:pt idx="96">
                  <c:v>89</c:v>
                </c:pt>
                <c:pt idx="97">
                  <c:v>90</c:v>
                </c:pt>
                <c:pt idx="98">
                  <c:v>91</c:v>
                </c:pt>
                <c:pt idx="99">
                  <c:v>92</c:v>
                </c:pt>
                <c:pt idx="100">
                  <c:v>93</c:v>
                </c:pt>
                <c:pt idx="101">
                  <c:v>94</c:v>
                </c:pt>
                <c:pt idx="102">
                  <c:v>95</c:v>
                </c:pt>
                <c:pt idx="103">
                  <c:v>95</c:v>
                </c:pt>
                <c:pt idx="104">
                  <c:v>96</c:v>
                </c:pt>
                <c:pt idx="105">
                  <c:v>97</c:v>
                </c:pt>
                <c:pt idx="106">
                  <c:v>98</c:v>
                </c:pt>
                <c:pt idx="107">
                  <c:v>99</c:v>
                </c:pt>
                <c:pt idx="108">
                  <c:v>100</c:v>
                </c:pt>
                <c:pt idx="109">
                  <c:v>101</c:v>
                </c:pt>
                <c:pt idx="110">
                  <c:v>102</c:v>
                </c:pt>
                <c:pt idx="111">
                  <c:v>103</c:v>
                </c:pt>
                <c:pt idx="112">
                  <c:v>104</c:v>
                </c:pt>
                <c:pt idx="113">
                  <c:v>105</c:v>
                </c:pt>
                <c:pt idx="114">
                  <c:v>105</c:v>
                </c:pt>
                <c:pt idx="115">
                  <c:v>106</c:v>
                </c:pt>
                <c:pt idx="116">
                  <c:v>107</c:v>
                </c:pt>
                <c:pt idx="117">
                  <c:v>108</c:v>
                </c:pt>
                <c:pt idx="118">
                  <c:v>109</c:v>
                </c:pt>
                <c:pt idx="119">
                  <c:v>110</c:v>
                </c:pt>
                <c:pt idx="120">
                  <c:v>111</c:v>
                </c:pt>
                <c:pt idx="121">
                  <c:v>112</c:v>
                </c:pt>
                <c:pt idx="122">
                  <c:v>113</c:v>
                </c:pt>
                <c:pt idx="123">
                  <c:v>114</c:v>
                </c:pt>
                <c:pt idx="124">
                  <c:v>115</c:v>
                </c:pt>
                <c:pt idx="125">
                  <c:v>115</c:v>
                </c:pt>
                <c:pt idx="126">
                  <c:v>116</c:v>
                </c:pt>
                <c:pt idx="127">
                  <c:v>117</c:v>
                </c:pt>
                <c:pt idx="128">
                  <c:v>118</c:v>
                </c:pt>
                <c:pt idx="129">
                  <c:v>119</c:v>
                </c:pt>
                <c:pt idx="130">
                  <c:v>120</c:v>
                </c:pt>
                <c:pt idx="131">
                  <c:v>121</c:v>
                </c:pt>
                <c:pt idx="132">
                  <c:v>122</c:v>
                </c:pt>
                <c:pt idx="133">
                  <c:v>123</c:v>
                </c:pt>
                <c:pt idx="134">
                  <c:v>124</c:v>
                </c:pt>
                <c:pt idx="135">
                  <c:v>125</c:v>
                </c:pt>
                <c:pt idx="136">
                  <c:v>125</c:v>
                </c:pt>
                <c:pt idx="137">
                  <c:v>126</c:v>
                </c:pt>
                <c:pt idx="138">
                  <c:v>127</c:v>
                </c:pt>
                <c:pt idx="139">
                  <c:v>128</c:v>
                </c:pt>
                <c:pt idx="140">
                  <c:v>129</c:v>
                </c:pt>
                <c:pt idx="141">
                  <c:v>130</c:v>
                </c:pt>
                <c:pt idx="142">
                  <c:v>131</c:v>
                </c:pt>
                <c:pt idx="143">
                  <c:v>132</c:v>
                </c:pt>
                <c:pt idx="144">
                  <c:v>133</c:v>
                </c:pt>
                <c:pt idx="145">
                  <c:v>134</c:v>
                </c:pt>
                <c:pt idx="146">
                  <c:v>135</c:v>
                </c:pt>
                <c:pt idx="147">
                  <c:v>135</c:v>
                </c:pt>
                <c:pt idx="148">
                  <c:v>136</c:v>
                </c:pt>
                <c:pt idx="149">
                  <c:v>137</c:v>
                </c:pt>
                <c:pt idx="150">
                  <c:v>138</c:v>
                </c:pt>
                <c:pt idx="151">
                  <c:v>139</c:v>
                </c:pt>
                <c:pt idx="152">
                  <c:v>140</c:v>
                </c:pt>
                <c:pt idx="153">
                  <c:v>141</c:v>
                </c:pt>
                <c:pt idx="154">
                  <c:v>142</c:v>
                </c:pt>
                <c:pt idx="155">
                  <c:v>143</c:v>
                </c:pt>
                <c:pt idx="156">
                  <c:v>144</c:v>
                </c:pt>
                <c:pt idx="157">
                  <c:v>145</c:v>
                </c:pt>
                <c:pt idx="158">
                  <c:v>146</c:v>
                </c:pt>
                <c:pt idx="159">
                  <c:v>147</c:v>
                </c:pt>
                <c:pt idx="160">
                  <c:v>148</c:v>
                </c:pt>
                <c:pt idx="161">
                  <c:v>149</c:v>
                </c:pt>
                <c:pt idx="162">
                  <c:v>150</c:v>
                </c:pt>
                <c:pt idx="163">
                  <c:v>150</c:v>
                </c:pt>
              </c:numCache>
            </c:numRef>
          </c:xVal>
          <c:yVal>
            <c:numRef>
              <c:f>'[1]Quantification C'!$J$2:$J$166</c:f>
              <c:numCache>
                <c:formatCode>General</c:formatCode>
                <c:ptCount val="165"/>
                <c:pt idx="0">
                  <c:v>0</c:v>
                </c:pt>
                <c:pt idx="1">
                  <c:v>1.1861626566213483</c:v>
                </c:pt>
                <c:pt idx="2">
                  <c:v>2.3105886501740986</c:v>
                </c:pt>
                <c:pt idx="3">
                  <c:v>3.4150768005423173</c:v>
                </c:pt>
                <c:pt idx="4">
                  <c:v>4.5072748004691539</c:v>
                </c:pt>
                <c:pt idx="5">
                  <c:v>5.5906488350137495</c:v>
                </c:pt>
                <c:pt idx="6">
                  <c:v>6.6671761608511035</c:v>
                </c:pt>
                <c:pt idx="7">
                  <c:v>8.8044025208429719</c:v>
                </c:pt>
                <c:pt idx="8">
                  <c:v>10.925348899606076</c:v>
                </c:pt>
                <c:pt idx="9">
                  <c:v>13.033663283069531</c:v>
                </c:pt>
                <c:pt idx="10">
                  <c:v>15.131697386710426</c:v>
                </c:pt>
                <c:pt idx="11">
                  <c:v>17.221089273204196</c:v>
                </c:pt>
                <c:pt idx="12">
                  <c:v>19.303042939455146</c:v>
                </c:pt>
                <c:pt idx="13">
                  <c:v>21.378479131358745</c:v>
                </c:pt>
                <c:pt idx="14">
                  <c:v>25.512563294459923</c:v>
                </c:pt>
                <c:pt idx="15">
                  <c:v>31.679106437289079</c:v>
                </c:pt>
                <c:pt idx="16">
                  <c:v>39.850427353608758</c:v>
                </c:pt>
                <c:pt idx="17">
                  <c:v>50.00160312094232</c:v>
                </c:pt>
                <c:pt idx="18">
                  <c:v>62.111611813038422</c:v>
                </c:pt>
                <c:pt idx="19">
                  <c:v>76.163060165576709</c:v>
                </c:pt>
                <c:pt idx="20">
                  <c:v>86.158510470515964</c:v>
                </c:pt>
                <c:pt idx="21">
                  <c:v>97.318927922969621</c:v>
                </c:pt>
                <c:pt idx="22">
                  <c:v>108.4475019129206</c:v>
                </c:pt>
                <c:pt idx="23">
                  <c:v>119.54796628555846</c:v>
                </c:pt>
                <c:pt idx="24">
                  <c:v>130.62330272297189</c:v>
                </c:pt>
                <c:pt idx="25">
                  <c:v>141.67594470663133</c:v>
                </c:pt>
                <c:pt idx="26">
                  <c:v>125.87964006712114</c:v>
                </c:pt>
                <c:pt idx="27">
                  <c:v>139.70382844505221</c:v>
                </c:pt>
                <c:pt idx="28">
                  <c:v>153.49516770691636</c:v>
                </c:pt>
                <c:pt idx="29">
                  <c:v>167.25702755094338</c:v>
                </c:pt>
                <c:pt idx="30">
                  <c:v>180.99217685858619</c:v>
                </c:pt>
                <c:pt idx="31">
                  <c:v>194.70292931794017</c:v>
                </c:pt>
                <c:pt idx="32">
                  <c:v>210.34498910896306</c:v>
                </c:pt>
                <c:pt idx="33">
                  <c:v>225.96022281826015</c:v>
                </c:pt>
                <c:pt idx="34">
                  <c:v>241.5507456503326</c:v>
                </c:pt>
                <c:pt idx="35">
                  <c:v>257.11837729187425</c:v>
                </c:pt>
                <c:pt idx="36">
                  <c:v>272.6646989766358</c:v>
                </c:pt>
                <c:pt idx="37">
                  <c:v>190.78794083960554</c:v>
                </c:pt>
                <c:pt idx="38">
                  <c:v>207.21879690654114</c:v>
                </c:pt>
                <c:pt idx="39">
                  <c:v>223.61956111075634</c:v>
                </c:pt>
                <c:pt idx="40">
                  <c:v>239.99275146392384</c:v>
                </c:pt>
                <c:pt idx="41">
                  <c:v>256.34051411178768</c:v>
                </c:pt>
                <c:pt idx="42">
                  <c:v>272.6646989766358</c:v>
                </c:pt>
                <c:pt idx="43">
                  <c:v>288.96691630985214</c:v>
                </c:pt>
                <c:pt idx="44">
                  <c:v>305.24857979967942</c:v>
                </c:pt>
                <c:pt idx="45">
                  <c:v>321.51093999187793</c:v>
                </c:pt>
                <c:pt idx="46">
                  <c:v>337.75511058999291</c:v>
                </c:pt>
                <c:pt idx="47">
                  <c:v>353.98208942867717</c:v>
                </c:pt>
                <c:pt idx="48">
                  <c:v>272.6646989766358</c:v>
                </c:pt>
                <c:pt idx="49">
                  <c:v>288.57901240448899</c:v>
                </c:pt>
                <c:pt idx="50">
                  <c:v>304.47370954373423</c:v>
                </c:pt>
                <c:pt idx="51">
                  <c:v>320.34995854628932</c:v>
                </c:pt>
                <c:pt idx="52">
                  <c:v>336.20880231759617</c:v>
                </c:pt>
                <c:pt idx="53">
                  <c:v>352.05117734371055</c:v>
                </c:pt>
                <c:pt idx="54">
                  <c:v>367.49209034996028</c:v>
                </c:pt>
                <c:pt idx="55">
                  <c:v>382.9188457551441</c:v>
                </c:pt>
                <c:pt idx="56">
                  <c:v>398.33209414857441</c:v>
                </c:pt>
                <c:pt idx="57">
                  <c:v>413.73243167051174</c:v>
                </c:pt>
                <c:pt idx="58">
                  <c:v>429.1204064684805</c:v>
                </c:pt>
                <c:pt idx="59">
                  <c:v>348.18865493629556</c:v>
                </c:pt>
                <c:pt idx="60">
                  <c:v>362.8613341480654</c:v>
                </c:pt>
                <c:pt idx="61">
                  <c:v>377.52104986809326</c:v>
                </c:pt>
                <c:pt idx="62">
                  <c:v>392.16837634017293</c:v>
                </c:pt>
                <c:pt idx="63">
                  <c:v>406.80384141548689</c:v>
                </c:pt>
                <c:pt idx="64">
                  <c:v>421.42793186976104</c:v>
                </c:pt>
                <c:pt idx="65">
                  <c:v>435.27224940464242</c:v>
                </c:pt>
                <c:pt idx="66">
                  <c:v>449.10711821530077</c:v>
                </c:pt>
                <c:pt idx="67">
                  <c:v>462.93287033289994</c:v>
                </c:pt>
                <c:pt idx="68">
                  <c:v>476.74981634160116</c:v>
                </c:pt>
                <c:pt idx="69">
                  <c:v>490.55824735832425</c:v>
                </c:pt>
                <c:pt idx="70">
                  <c:v>409.88352694182043</c:v>
                </c:pt>
                <c:pt idx="71">
                  <c:v>422.96666682108599</c:v>
                </c:pt>
                <c:pt idx="72">
                  <c:v>436.04109794385869</c:v>
                </c:pt>
                <c:pt idx="73">
                  <c:v>449.10711821530077</c:v>
                </c:pt>
                <c:pt idx="74">
                  <c:v>462.16500679362116</c:v>
                </c:pt>
                <c:pt idx="75">
                  <c:v>475.21502577729046</c:v>
                </c:pt>
                <c:pt idx="76">
                  <c:v>487.10692264565654</c:v>
                </c:pt>
                <c:pt idx="77">
                  <c:v>498.99265901764267</c:v>
                </c:pt>
                <c:pt idx="78">
                  <c:v>510.87240230317917</c:v>
                </c:pt>
                <c:pt idx="79">
                  <c:v>522.74631149207426</c:v>
                </c:pt>
                <c:pt idx="80">
                  <c:v>534.61453776319547</c:v>
                </c:pt>
                <c:pt idx="81">
                  <c:v>454.10078588624373</c:v>
                </c:pt>
                <c:pt idx="82">
                  <c:v>465.62017905920681</c:v>
                </c:pt>
                <c:pt idx="83">
                  <c:v>477.13349754486762</c:v>
                </c:pt>
                <c:pt idx="84">
                  <c:v>488.64090858857702</c:v>
                </c:pt>
                <c:pt idx="85">
                  <c:v>500.14257091604287</c:v>
                </c:pt>
                <c:pt idx="86">
                  <c:v>511.63863535742718</c:v>
                </c:pt>
                <c:pt idx="87">
                  <c:v>522.74631149207426</c:v>
                </c:pt>
                <c:pt idx="88">
                  <c:v>533.84901440052897</c:v>
                </c:pt>
                <c:pt idx="89">
                  <c:v>544.94686208460519</c:v>
                </c:pt>
                <c:pt idx="90">
                  <c:v>556.03996734839518</c:v>
                </c:pt>
                <c:pt idx="91">
                  <c:v>567.12843812854373</c:v>
                </c:pt>
                <c:pt idx="92">
                  <c:v>486.72341015001916</c:v>
                </c:pt>
                <c:pt idx="93">
                  <c:v>497.07601440225955</c:v>
                </c:pt>
                <c:pt idx="94">
                  <c:v>507.42405248193251</c:v>
                </c:pt>
                <c:pt idx="95">
                  <c:v>517.76763064124975</c:v>
                </c:pt>
                <c:pt idx="96">
                  <c:v>528.10685054075066</c:v>
                </c:pt>
                <c:pt idx="97">
                  <c:v>538.44180953565854</c:v>
                </c:pt>
                <c:pt idx="98">
                  <c:v>548.00749806060492</c:v>
                </c:pt>
                <c:pt idx="99">
                  <c:v>557.56968475025803</c:v>
                </c:pt>
                <c:pt idx="100">
                  <c:v>567.12843812854373</c:v>
                </c:pt>
                <c:pt idx="101">
                  <c:v>576.68382422111188</c:v>
                </c:pt>
                <c:pt idx="102">
                  <c:v>586.23590668718828</c:v>
                </c:pt>
                <c:pt idx="103">
                  <c:v>505.89129373820583</c:v>
                </c:pt>
                <c:pt idx="104">
                  <c:v>515.08638473795327</c:v>
                </c:pt>
                <c:pt idx="105">
                  <c:v>524.27801174542878</c:v>
                </c:pt>
                <c:pt idx="106">
                  <c:v>533.46624406259446</c:v>
                </c:pt>
                <c:pt idx="107">
                  <c:v>542.65114840915601</c:v>
                </c:pt>
                <c:pt idx="108">
                  <c:v>551.83278906179714</c:v>
                </c:pt>
                <c:pt idx="109">
                  <c:v>560.62885616584492</c:v>
                </c:pt>
                <c:pt idx="110">
                  <c:v>569.42203544921153</c:v>
                </c:pt>
                <c:pt idx="111">
                  <c:v>578.21237779735463</c:v>
                </c:pt>
                <c:pt idx="112">
                  <c:v>586.99993242228993</c:v>
                </c:pt>
                <c:pt idx="113">
                  <c:v>595.7847469423931</c:v>
                </c:pt>
                <c:pt idx="114">
                  <c:v>517.38461348648968</c:v>
                </c:pt>
                <c:pt idx="115">
                  <c:v>525.42672503969118</c:v>
                </c:pt>
                <c:pt idx="116">
                  <c:v>533.46624406259446</c:v>
                </c:pt>
                <c:pt idx="117">
                  <c:v>541.50321514452025</c:v>
                </c:pt>
                <c:pt idx="118">
                  <c:v>549.53768144295771</c:v>
                </c:pt>
                <c:pt idx="119">
                  <c:v>557.56968475025803</c:v>
                </c:pt>
                <c:pt idx="120">
                  <c:v>564.83464686291802</c:v>
                </c:pt>
                <c:pt idx="121">
                  <c:v>572.09765505476253</c:v>
                </c:pt>
                <c:pt idx="122">
                  <c:v>579.35873763530469</c:v>
                </c:pt>
                <c:pt idx="123">
                  <c:v>586.61792214643719</c:v>
                </c:pt>
                <c:pt idx="124">
                  <c:v>593.87523539269284</c:v>
                </c:pt>
                <c:pt idx="125">
                  <c:v>523.12924541243819</c:v>
                </c:pt>
                <c:pt idx="126">
                  <c:v>530.02105046908662</c:v>
                </c:pt>
                <c:pt idx="127">
                  <c:v>536.91096968482668</c:v>
                </c:pt>
                <c:pt idx="128">
                  <c:v>543.79903068153806</c:v>
                </c:pt>
                <c:pt idx="129">
                  <c:v>550.68526032404009</c:v>
                </c:pt>
                <c:pt idx="130">
                  <c:v>557.56968475025803</c:v>
                </c:pt>
                <c:pt idx="131">
                  <c:v>563.68767821983909</c:v>
                </c:pt>
                <c:pt idx="132">
                  <c:v>569.80428287631264</c:v>
                </c:pt>
                <c:pt idx="133">
                  <c:v>575.91951573593758</c:v>
                </c:pt>
                <c:pt idx="134">
                  <c:v>582.03339342401421</c:v>
                </c:pt>
                <c:pt idx="135">
                  <c:v>588.14593218796983</c:v>
                </c:pt>
                <c:pt idx="136">
                  <c:v>525.04382649327351</c:v>
                </c:pt>
                <c:pt idx="137">
                  <c:v>531.1695005439999</c:v>
                </c:pt>
                <c:pt idx="138">
                  <c:v>537.29368823845232</c:v>
                </c:pt>
                <c:pt idx="139">
                  <c:v>543.4164089156161</c:v>
                </c:pt>
                <c:pt idx="140">
                  <c:v>549.53768144295771</c:v>
                </c:pt>
                <c:pt idx="141">
                  <c:v>555.65752423315951</c:v>
                </c:pt>
                <c:pt idx="142">
                  <c:v>561.01122798366885</c:v>
                </c:pt>
                <c:pt idx="143">
                  <c:v>566.36386263371833</c:v>
                </c:pt>
                <c:pt idx="144">
                  <c:v>571.71543971696565</c:v>
                </c:pt>
                <c:pt idx="145">
                  <c:v>577.06597053344126</c:v>
                </c:pt>
                <c:pt idx="146">
                  <c:v>582.4154661564512</c:v>
                </c:pt>
                <c:pt idx="147">
                  <c:v>526.95826048952063</c:v>
                </c:pt>
                <c:pt idx="148">
                  <c:v>531.93510488968684</c:v>
                </c:pt>
                <c:pt idx="149">
                  <c:v>536.91096968482668</c:v>
                </c:pt>
                <c:pt idx="150">
                  <c:v>541.88586523948345</c:v>
                </c:pt>
                <c:pt idx="151">
                  <c:v>546.8598017122614</c:v>
                </c:pt>
                <c:pt idx="152">
                  <c:v>551.83278906179714</c:v>
                </c:pt>
                <c:pt idx="153">
                  <c:v>556.80483705250049</c:v>
                </c:pt>
                <c:pt idx="154">
                  <c:v>561.7759552600827</c:v>
                </c:pt>
                <c:pt idx="155">
                  <c:v>566.7461530768777</c:v>
                </c:pt>
                <c:pt idx="156">
                  <c:v>571.71543971696565</c:v>
                </c:pt>
                <c:pt idx="157">
                  <c:v>576.68382422111188</c:v>
                </c:pt>
                <c:pt idx="158">
                  <c:v>580.88714383067781</c:v>
                </c:pt>
                <c:pt idx="159">
                  <c:v>585.08982917045773</c:v>
                </c:pt>
                <c:pt idx="160">
                  <c:v>589.29188544145154</c:v>
                </c:pt>
                <c:pt idx="161">
                  <c:v>593.49331776439851</c:v>
                </c:pt>
                <c:pt idx="162">
                  <c:v>597.6941311815882</c:v>
                </c:pt>
                <c:pt idx="163">
                  <c:v>0</c:v>
                </c:pt>
              </c:numCache>
            </c:numRef>
          </c:yVal>
          <c:smooth val="1"/>
          <c:extLst>
            <c:ext xmlns:c16="http://schemas.microsoft.com/office/drawing/2014/chart" uri="{C3380CC4-5D6E-409C-BE32-E72D297353CC}">
              <c16:uniqueId val="{00000000-2201-450C-9A31-0CF2020A0962}"/>
            </c:ext>
          </c:extLst>
        </c:ser>
        <c:ser>
          <c:idx val="2"/>
          <c:order val="1"/>
          <c:tx>
            <c:strRef>
              <c:f>'[1]Quantification C'!$E$1</c:f>
              <c:strCache>
                <c:ptCount val="1"/>
                <c:pt idx="0">
                  <c:v>Biomasse 
totale accrus (tCO₂/ha)</c:v>
                </c:pt>
              </c:strCache>
            </c:strRef>
          </c:tx>
          <c:spPr>
            <a:ln w="19050" cap="rnd">
              <a:solidFill>
                <a:srgbClr val="00B0F0"/>
              </a:solidFill>
              <a:round/>
            </a:ln>
            <a:effectLst/>
          </c:spPr>
          <c:marker>
            <c:symbol val="none"/>
          </c:marker>
          <c:xVal>
            <c:numRef>
              <c:f>'[1]Quantification C'!$A$2:$A$152</c:f>
              <c:numCache>
                <c:formatCode>General</c:formatCode>
                <c:ptCount val="1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numCache>
            </c:numRef>
          </c:xVal>
          <c:yVal>
            <c:numRef>
              <c:f>'[1]Quantification C'!$E$2:$E$152</c:f>
              <c:numCache>
                <c:formatCode>General</c:formatCode>
                <c:ptCount val="151"/>
                <c:pt idx="0">
                  <c:v>0</c:v>
                </c:pt>
                <c:pt idx="1">
                  <c:v>2.2722141346836602</c:v>
                </c:pt>
                <c:pt idx="2">
                  <c:v>4.4322627676630342</c:v>
                </c:pt>
                <c:pt idx="3">
                  <c:v>6.5560875739478979</c:v>
                </c:pt>
                <c:pt idx="4">
                  <c:v>8.6575831706227913</c:v>
                </c:pt>
                <c:pt idx="5">
                  <c:v>10.743047053646096</c:v>
                </c:pt>
                <c:pt idx="6">
                  <c:v>12.816071577640278</c:v>
                </c:pt>
                <c:pt idx="7">
                  <c:v>14.87897259473001</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35.172319671970541</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55.125487819385427</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76.853424242090853</c:v>
                </c:pt>
                <c:pt idx="39">
                  <c:v>78.820101157900638</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96.467953961397711</c:v>
                </c:pt>
                <c:pt idx="49">
                  <c:v>98.423545555293359</c:v>
                </c:pt>
                <c:pt idx="50">
                  <c:v>100.37817162662895</c:v>
                </c:pt>
                <c:pt idx="51">
                  <c:v>102.33185371141566</c:v>
                </c:pt>
                <c:pt idx="52">
                  <c:v>104.28461245280987</c:v>
                </c:pt>
                <c:pt idx="53">
                  <c:v>106.23646765457613</c:v>
                </c:pt>
                <c:pt idx="54">
                  <c:v>108.18743833040095</c:v>
                </c:pt>
                <c:pt idx="55">
                  <c:v>110.13754274945018</c:v>
                </c:pt>
                <c:pt idx="56">
                  <c:v>112.08679847851977</c:v>
                </c:pt>
                <c:pt idx="57">
                  <c:v>114.03522242109018</c:v>
                </c:pt>
                <c:pt idx="58">
                  <c:v>115.98283085356282</c:v>
                </c:pt>
                <c:pt idx="59">
                  <c:v>117.92963945892645</c:v>
                </c:pt>
                <c:pt idx="60">
                  <c:v>119.87566335807644</c:v>
                </c:pt>
                <c:pt idx="61">
                  <c:v>121.82091713898713</c:v>
                </c:pt>
                <c:pt idx="62">
                  <c:v>123.7654148839167</c:v>
                </c:pt>
                <c:pt idx="63">
                  <c:v>125.70917019480748</c:v>
                </c:pt>
                <c:pt idx="64">
                  <c:v>127.65219621702742</c:v>
                </c:pt>
                <c:pt idx="65">
                  <c:v>129.59450566158586</c:v>
                </c:pt>
                <c:pt idx="66">
                  <c:v>131.53611082594338</c:v>
                </c:pt>
                <c:pt idx="67">
                  <c:v>133.47702361352444</c:v>
                </c:pt>
                <c:pt idx="68">
                  <c:v>135.41725555203229</c:v>
                </c:pt>
                <c:pt idx="69">
                  <c:v>137.35681781065566</c:v>
                </c:pt>
                <c:pt idx="70">
                  <c:v>139.29572121624977</c:v>
                </c:pt>
                <c:pt idx="71">
                  <c:v>141.23397626856661</c:v>
                </c:pt>
                <c:pt idx="72">
                  <c:v>143.17159315460216</c:v>
                </c:pt>
                <c:pt idx="73">
                  <c:v>145.10858176212471</c:v>
                </c:pt>
                <c:pt idx="74">
                  <c:v>147.04495169244021</c:v>
                </c:pt>
                <c:pt idx="75">
                  <c:v>148.98071227244827</c:v>
                </c:pt>
                <c:pt idx="76">
                  <c:v>150.91587256603665</c:v>
                </c:pt>
                <c:pt idx="77">
                  <c:v>152.85044138485929</c:v>
                </c:pt>
                <c:pt idx="78">
                  <c:v>154.78442729853825</c:v>
                </c:pt>
                <c:pt idx="79">
                  <c:v>156.7178386443274</c:v>
                </c:pt>
                <c:pt idx="80">
                  <c:v>158.65068353627368</c:v>
                </c:pt>
                <c:pt idx="81">
                  <c:v>160.58296987390614</c:v>
                </c:pt>
                <c:pt idx="82">
                  <c:v>162.51470535048455</c:v>
                </c:pt>
                <c:pt idx="83">
                  <c:v>164.44589746083363</c:v>
                </c:pt>
                <c:pt idx="84">
                  <c:v>166.37655350878956</c:v>
                </c:pt>
                <c:pt idx="85">
                  <c:v>168.30668061428082</c:v>
                </c:pt>
                <c:pt idx="86">
                  <c:v>170.23628572006746</c:v>
                </c:pt>
                <c:pt idx="87">
                  <c:v>172.165375598157</c:v>
                </c:pt>
                <c:pt idx="88">
                  <c:v>174.09395685591764</c:v>
                </c:pt>
                <c:pt idx="89">
                  <c:v>176.02203594190519</c:v>
                </c:pt>
                <c:pt idx="90">
                  <c:v>177.94961915142096</c:v>
                </c:pt>
                <c:pt idx="91">
                  <c:v>179.87671263181528</c:v>
                </c:pt>
                <c:pt idx="92">
                  <c:v>181.80332238755173</c:v>
                </c:pt>
                <c:pt idx="93">
                  <c:v>183.72945428504417</c:v>
                </c:pt>
                <c:pt idx="94">
                  <c:v>185.65511405728049</c:v>
                </c:pt>
                <c:pt idx="95">
                  <c:v>187.5803073082437</c:v>
                </c:pt>
                <c:pt idx="96">
                  <c:v>189.50503951714131</c:v>
                </c:pt>
                <c:pt idx="97">
                  <c:v>191.42931604245396</c:v>
                </c:pt>
                <c:pt idx="98">
                  <c:v>193.35314212581196</c:v>
                </c:pt>
                <c:pt idx="99">
                  <c:v>195.27652289570918</c:v>
                </c:pt>
                <c:pt idx="100">
                  <c:v>197.19946337106239</c:v>
                </c:pt>
                <c:pt idx="101">
                  <c:v>199.12196846462484</c:v>
                </c:pt>
                <c:pt idx="102">
                  <c:v>201.04404298625983</c:v>
                </c:pt>
                <c:pt idx="103">
                  <c:v>202.96569164608289</c:v>
                </c:pt>
                <c:pt idx="104">
                  <c:v>204.88691905747837</c:v>
                </c:pt>
                <c:pt idx="105">
                  <c:v>206.80772973999626</c:v>
                </c:pt>
                <c:pt idx="106">
                  <c:v>208.72812812213627</c:v>
                </c:pt>
                <c:pt idx="107">
                  <c:v>210.64811854402308</c:v>
                </c:pt>
                <c:pt idx="108">
                  <c:v>212.56770525997899</c:v>
                </c:pt>
                <c:pt idx="109">
                  <c:v>214.48689244099899</c:v>
                </c:pt>
                <c:pt idx="110">
                  <c:v>216.40568417713132</c:v>
                </c:pt>
                <c:pt idx="111">
                  <c:v>218.32408447977059</c:v>
                </c:pt>
                <c:pt idx="112">
                  <c:v>220.24209728386407</c:v>
                </c:pt>
                <c:pt idx="113">
                  <c:v>222.15972645003862</c:v>
                </c:pt>
                <c:pt idx="114">
                  <c:v>224.0769757666487</c:v>
                </c:pt>
                <c:pt idx="115">
                  <c:v>225.99384895175194</c:v>
                </c:pt>
                <c:pt idx="116">
                  <c:v>227.91034965501251</c:v>
                </c:pt>
                <c:pt idx="117">
                  <c:v>229.8264814595382</c:v>
                </c:pt>
                <c:pt idx="118">
                  <c:v>231.7422478836522</c:v>
                </c:pt>
                <c:pt idx="119">
                  <c:v>233.65765238260346</c:v>
                </c:pt>
                <c:pt idx="120">
                  <c:v>235.57269835021734</c:v>
                </c:pt>
                <c:pt idx="121">
                  <c:v>237.48738912049089</c:v>
                </c:pt>
                <c:pt idx="122">
                  <c:v>239.40172796913217</c:v>
                </c:pt>
                <c:pt idx="123">
                  <c:v>241.31571811504921</c:v>
                </c:pt>
                <c:pt idx="124">
                  <c:v>243.22936272178819</c:v>
                </c:pt>
                <c:pt idx="125">
                  <c:v>245.14266489892438</c:v>
                </c:pt>
                <c:pt idx="126">
                  <c:v>247.05562770340683</c:v>
                </c:pt>
                <c:pt idx="127">
                  <c:v>248.96825414086001</c:v>
                </c:pt>
                <c:pt idx="128">
                  <c:v>250.88054716684209</c:v>
                </c:pt>
                <c:pt idx="129">
                  <c:v>252.79250968806375</c:v>
                </c:pt>
                <c:pt idx="130">
                  <c:v>254.70414456356775</c:v>
                </c:pt>
                <c:pt idx="131">
                  <c:v>256.61545460587098</c:v>
                </c:pt>
                <c:pt idx="132">
                  <c:v>258.52644258207124</c:v>
                </c:pt>
                <c:pt idx="133">
                  <c:v>260.43711121491833</c:v>
                </c:pt>
                <c:pt idx="134">
                  <c:v>262.34746318385379</c:v>
                </c:pt>
                <c:pt idx="135">
                  <c:v>264.25750112601685</c:v>
                </c:pt>
                <c:pt idx="136">
                  <c:v>266.16722763722106</c:v>
                </c:pt>
                <c:pt idx="137">
                  <c:v>268.07664527290075</c:v>
                </c:pt>
                <c:pt idx="138">
                  <c:v>269.98575654902891</c:v>
                </c:pt>
                <c:pt idx="139">
                  <c:v>271.89456394300873</c:v>
                </c:pt>
                <c:pt idx="140">
                  <c:v>273.80306989453715</c:v>
                </c:pt>
                <c:pt idx="141">
                  <c:v>275.71127680644446</c:v>
                </c:pt>
                <c:pt idx="142">
                  <c:v>277.6191870455084</c:v>
                </c:pt>
                <c:pt idx="143">
                  <c:v>279.52680294324551</c:v>
                </c:pt>
                <c:pt idx="144">
                  <c:v>281.43412679667932</c:v>
                </c:pt>
                <c:pt idx="145">
                  <c:v>283.34116086908551</c:v>
                </c:pt>
                <c:pt idx="146">
                  <c:v>285.24790739071892</c:v>
                </c:pt>
                <c:pt idx="147">
                  <c:v>287.15436855951606</c:v>
                </c:pt>
                <c:pt idx="148">
                  <c:v>289.06054654178126</c:v>
                </c:pt>
                <c:pt idx="149">
                  <c:v>290.9664434728524</c:v>
                </c:pt>
                <c:pt idx="150">
                  <c:v>292.8720614577478</c:v>
                </c:pt>
              </c:numCache>
            </c:numRef>
          </c:yVal>
          <c:smooth val="1"/>
          <c:extLst>
            <c:ext xmlns:c16="http://schemas.microsoft.com/office/drawing/2014/chart" uri="{C3380CC4-5D6E-409C-BE32-E72D297353CC}">
              <c16:uniqueId val="{00000001-2201-450C-9A31-0CF2020A0962}"/>
            </c:ext>
          </c:extLst>
        </c:ser>
        <c:dLbls>
          <c:showLegendKey val="0"/>
          <c:showVal val="0"/>
          <c:showCatName val="0"/>
          <c:showSerName val="0"/>
          <c:showPercent val="0"/>
          <c:showBubbleSize val="0"/>
        </c:dLbls>
        <c:axId val="-1480109312"/>
        <c:axId val="-1480106592"/>
      </c:scatterChart>
      <c:valAx>
        <c:axId val="-1480109312"/>
        <c:scaling>
          <c:orientation val="minMax"/>
          <c:max val="15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106592"/>
        <c:crosses val="autoZero"/>
        <c:crossBetween val="midCat"/>
      </c:valAx>
      <c:valAx>
        <c:axId val="-1480106592"/>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1093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tilleul (fertilité 3/6)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'[2]Quantification C'!$J$1</c:f>
              <c:strCache>
                <c:ptCount val="1"/>
                <c:pt idx="0">
                  <c:v>Biomasse totale tilleul
(tCO₂/ha)</c:v>
                </c:pt>
              </c:strCache>
            </c:strRef>
          </c:tx>
          <c:spPr>
            <a:ln w="19050" cap="rnd">
              <a:solidFill>
                <a:schemeClr val="accent1"/>
              </a:solidFill>
              <a:round/>
            </a:ln>
            <a:effectLst/>
          </c:spPr>
          <c:marker>
            <c:symbol val="none"/>
          </c:marker>
          <c:xVal>
            <c:numRef>
              <c:f>'[2]Quantification C'!$F$2:$F$121</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45</c:v>
                </c:pt>
                <c:pt idx="49">
                  <c:v>46</c:v>
                </c:pt>
                <c:pt idx="50">
                  <c:v>47</c:v>
                </c:pt>
                <c:pt idx="51">
                  <c:v>48</c:v>
                </c:pt>
                <c:pt idx="52">
                  <c:v>49</c:v>
                </c:pt>
                <c:pt idx="53">
                  <c:v>50</c:v>
                </c:pt>
                <c:pt idx="54">
                  <c:v>51</c:v>
                </c:pt>
                <c:pt idx="55">
                  <c:v>52</c:v>
                </c:pt>
                <c:pt idx="56">
                  <c:v>53</c:v>
                </c:pt>
                <c:pt idx="57">
                  <c:v>54</c:v>
                </c:pt>
                <c:pt idx="58">
                  <c:v>55</c:v>
                </c:pt>
                <c:pt idx="59">
                  <c:v>55</c:v>
                </c:pt>
                <c:pt idx="60">
                  <c:v>56</c:v>
                </c:pt>
                <c:pt idx="61">
                  <c:v>57</c:v>
                </c:pt>
                <c:pt idx="62">
                  <c:v>58</c:v>
                </c:pt>
                <c:pt idx="63">
                  <c:v>59</c:v>
                </c:pt>
                <c:pt idx="64">
                  <c:v>60</c:v>
                </c:pt>
                <c:pt idx="65">
                  <c:v>61</c:v>
                </c:pt>
                <c:pt idx="66">
                  <c:v>62</c:v>
                </c:pt>
                <c:pt idx="67">
                  <c:v>63</c:v>
                </c:pt>
                <c:pt idx="68">
                  <c:v>64</c:v>
                </c:pt>
                <c:pt idx="69">
                  <c:v>65</c:v>
                </c:pt>
                <c:pt idx="70">
                  <c:v>65</c:v>
                </c:pt>
                <c:pt idx="71">
                  <c:v>66</c:v>
                </c:pt>
                <c:pt idx="72">
                  <c:v>67</c:v>
                </c:pt>
                <c:pt idx="73">
                  <c:v>68</c:v>
                </c:pt>
                <c:pt idx="74">
                  <c:v>69</c:v>
                </c:pt>
                <c:pt idx="75">
                  <c:v>70</c:v>
                </c:pt>
                <c:pt idx="76">
                  <c:v>71</c:v>
                </c:pt>
                <c:pt idx="77">
                  <c:v>72</c:v>
                </c:pt>
                <c:pt idx="78">
                  <c:v>73</c:v>
                </c:pt>
                <c:pt idx="79">
                  <c:v>74</c:v>
                </c:pt>
                <c:pt idx="80">
                  <c:v>75</c:v>
                </c:pt>
                <c:pt idx="81">
                  <c:v>75</c:v>
                </c:pt>
                <c:pt idx="82">
                  <c:v>76</c:v>
                </c:pt>
                <c:pt idx="83">
                  <c:v>77</c:v>
                </c:pt>
                <c:pt idx="84">
                  <c:v>78</c:v>
                </c:pt>
                <c:pt idx="85">
                  <c:v>79</c:v>
                </c:pt>
                <c:pt idx="86">
                  <c:v>80</c:v>
                </c:pt>
                <c:pt idx="87">
                  <c:v>81</c:v>
                </c:pt>
                <c:pt idx="88">
                  <c:v>82</c:v>
                </c:pt>
                <c:pt idx="89">
                  <c:v>83</c:v>
                </c:pt>
                <c:pt idx="90">
                  <c:v>84</c:v>
                </c:pt>
                <c:pt idx="91">
                  <c:v>85</c:v>
                </c:pt>
                <c:pt idx="92">
                  <c:v>85</c:v>
                </c:pt>
                <c:pt idx="93">
                  <c:v>86</c:v>
                </c:pt>
                <c:pt idx="94">
                  <c:v>87</c:v>
                </c:pt>
                <c:pt idx="95">
                  <c:v>88</c:v>
                </c:pt>
                <c:pt idx="96">
                  <c:v>89</c:v>
                </c:pt>
                <c:pt idx="97">
                  <c:v>90</c:v>
                </c:pt>
                <c:pt idx="98">
                  <c:v>91</c:v>
                </c:pt>
                <c:pt idx="99">
                  <c:v>92</c:v>
                </c:pt>
                <c:pt idx="100">
                  <c:v>93</c:v>
                </c:pt>
                <c:pt idx="101">
                  <c:v>94</c:v>
                </c:pt>
                <c:pt idx="102">
                  <c:v>95</c:v>
                </c:pt>
                <c:pt idx="103">
                  <c:v>95</c:v>
                </c:pt>
                <c:pt idx="104">
                  <c:v>96</c:v>
                </c:pt>
                <c:pt idx="105">
                  <c:v>97</c:v>
                </c:pt>
                <c:pt idx="106">
                  <c:v>98</c:v>
                </c:pt>
                <c:pt idx="107">
                  <c:v>99</c:v>
                </c:pt>
                <c:pt idx="108">
                  <c:v>100</c:v>
                </c:pt>
                <c:pt idx="109">
                  <c:v>101</c:v>
                </c:pt>
                <c:pt idx="110">
                  <c:v>102</c:v>
                </c:pt>
                <c:pt idx="111">
                  <c:v>103</c:v>
                </c:pt>
                <c:pt idx="112">
                  <c:v>104</c:v>
                </c:pt>
                <c:pt idx="113">
                  <c:v>105</c:v>
                </c:pt>
                <c:pt idx="114">
                  <c:v>106</c:v>
                </c:pt>
                <c:pt idx="115">
                  <c:v>107</c:v>
                </c:pt>
                <c:pt idx="116">
                  <c:v>108</c:v>
                </c:pt>
                <c:pt idx="117">
                  <c:v>109</c:v>
                </c:pt>
                <c:pt idx="118">
                  <c:v>110</c:v>
                </c:pt>
                <c:pt idx="119">
                  <c:v>110</c:v>
                </c:pt>
              </c:numCache>
            </c:numRef>
          </c:xVal>
          <c:yVal>
            <c:numRef>
              <c:f>'[2]Quantification C'!$J$2:$J$121</c:f>
              <c:numCache>
                <c:formatCode>General</c:formatCode>
                <c:ptCount val="120"/>
                <c:pt idx="0">
                  <c:v>0</c:v>
                </c:pt>
                <c:pt idx="1">
                  <c:v>1.1296753639631136</c:v>
                </c:pt>
                <c:pt idx="2">
                  <c:v>2.2003229937246598</c:v>
                </c:pt>
                <c:pt idx="3">
                  <c:v>3.2519076283460024</c:v>
                </c:pt>
                <c:pt idx="4">
                  <c:v>4.2917413892159546</c:v>
                </c:pt>
                <c:pt idx="5">
                  <c:v>6.3479890661467318</c:v>
                </c:pt>
                <c:pt idx="6">
                  <c:v>9.3937464663867924</c:v>
                </c:pt>
                <c:pt idx="7">
                  <c:v>13.408149238555248</c:v>
                </c:pt>
                <c:pt idx="8">
                  <c:v>18.376130342149079</c:v>
                </c:pt>
                <c:pt idx="9">
                  <c:v>24.286544976498547</c:v>
                </c:pt>
                <c:pt idx="10">
                  <c:v>31.130798969508078</c:v>
                </c:pt>
                <c:pt idx="11">
                  <c:v>38.902006779696443</c:v>
                </c:pt>
                <c:pt idx="12">
                  <c:v>47.594477436319387</c:v>
                </c:pt>
                <c:pt idx="13">
                  <c:v>57.203389887100847</c:v>
                </c:pt>
                <c:pt idx="14">
                  <c:v>67.724579331966666</c:v>
                </c:pt>
                <c:pt idx="15">
                  <c:v>76.301145689172856</c:v>
                </c:pt>
                <c:pt idx="16">
                  <c:v>88.457340034120918</c:v>
                </c:pt>
                <c:pt idx="17">
                  <c:v>100.57156022593183</c:v>
                </c:pt>
                <c:pt idx="18">
                  <c:v>112.64958590196655</c:v>
                </c:pt>
                <c:pt idx="19">
                  <c:v>124.69585112217389</c:v>
                </c:pt>
                <c:pt idx="20">
                  <c:v>136.71386058122562</c:v>
                </c:pt>
                <c:pt idx="21">
                  <c:v>149.0808364262418</c:v>
                </c:pt>
                <c:pt idx="22">
                  <c:v>161.42333771015896</c:v>
                </c:pt>
                <c:pt idx="23">
                  <c:v>173.7435009812958</c:v>
                </c:pt>
                <c:pt idx="24">
                  <c:v>186.04313457943746</c:v>
                </c:pt>
                <c:pt idx="25">
                  <c:v>198.32378790230177</c:v>
                </c:pt>
                <c:pt idx="26">
                  <c:v>139.52681109706691</c:v>
                </c:pt>
                <c:pt idx="27">
                  <c:v>151.32668038460233</c:v>
                </c:pt>
                <c:pt idx="28">
                  <c:v>163.10463194167394</c:v>
                </c:pt>
                <c:pt idx="29">
                  <c:v>174.86247286052662</c:v>
                </c:pt>
                <c:pt idx="30">
                  <c:v>186.60174701218963</c:v>
                </c:pt>
                <c:pt idx="31">
                  <c:v>198.32378790230177</c:v>
                </c:pt>
                <c:pt idx="32">
                  <c:v>209.47268002053463</c:v>
                </c:pt>
                <c:pt idx="33">
                  <c:v>220.60788240530164</c:v>
                </c:pt>
                <c:pt idx="34">
                  <c:v>231.73018391404946</c:v>
                </c:pt>
                <c:pt idx="35">
                  <c:v>242.84029142815555</c:v>
                </c:pt>
                <c:pt idx="36">
                  <c:v>253.93884181380471</c:v>
                </c:pt>
                <c:pt idx="37">
                  <c:v>204.82902043085244</c:v>
                </c:pt>
                <c:pt idx="38">
                  <c:v>215.22752536323196</c:v>
                </c:pt>
                <c:pt idx="39">
                  <c:v>225.61447053517372</c:v>
                </c:pt>
                <c:pt idx="40">
                  <c:v>235.99046358292776</c:v>
                </c:pt>
                <c:pt idx="41">
                  <c:v>246.3560542968282</c:v>
                </c:pt>
                <c:pt idx="42">
                  <c:v>256.71174238331622</c:v>
                </c:pt>
                <c:pt idx="43">
                  <c:v>266.50395342082282</c:v>
                </c:pt>
                <c:pt idx="44">
                  <c:v>276.28805817875144</c:v>
                </c:pt>
                <c:pt idx="45">
                  <c:v>286.06438440827787</c:v>
                </c:pt>
                <c:pt idx="46">
                  <c:v>295.83323561247488</c:v>
                </c:pt>
                <c:pt idx="47">
                  <c:v>305.59489359914369</c:v>
                </c:pt>
                <c:pt idx="48">
                  <c:v>256.71174238331622</c:v>
                </c:pt>
                <c:pt idx="49">
                  <c:v>265.76520570407024</c:v>
                </c:pt>
                <c:pt idx="50">
                  <c:v>274.81171839209094</c:v>
                </c:pt>
                <c:pt idx="51">
                  <c:v>283.85154171752504</c:v>
                </c:pt>
                <c:pt idx="52">
                  <c:v>292.88491893596603</c:v>
                </c:pt>
                <c:pt idx="53">
                  <c:v>301.91207706001939</c:v>
                </c:pt>
                <c:pt idx="54">
                  <c:v>310.19702819862079</c:v>
                </c:pt>
                <c:pt idx="55">
                  <c:v>318.47706788363638</c:v>
                </c:pt>
                <c:pt idx="56">
                  <c:v>326.75234192487522</c:v>
                </c:pt>
                <c:pt idx="57">
                  <c:v>335.02298813768715</c:v>
                </c:pt>
                <c:pt idx="58">
                  <c:v>343.28913697215444</c:v>
                </c:pt>
                <c:pt idx="59">
                  <c:v>298.22825996252726</c:v>
                </c:pt>
                <c:pt idx="60">
                  <c:v>305.96312075604669</c:v>
                </c:pt>
                <c:pt idx="61">
                  <c:v>313.69363540885178</c:v>
                </c:pt>
                <c:pt idx="62">
                  <c:v>321.41992623463267</c:v>
                </c:pt>
                <c:pt idx="63">
                  <c:v>329.14210918127696</c:v>
                </c:pt>
                <c:pt idx="64">
                  <c:v>336.86029430705378</c:v>
                </c:pt>
                <c:pt idx="65">
                  <c:v>344.20732577147555</c:v>
                </c:pt>
                <c:pt idx="66">
                  <c:v>351.5509120784784</c:v>
                </c:pt>
                <c:pt idx="67">
                  <c:v>358.89113540947892</c:v>
                </c:pt>
                <c:pt idx="68">
                  <c:v>366.22807430704466</c:v>
                </c:pt>
                <c:pt idx="69">
                  <c:v>373.56180390729855</c:v>
                </c:pt>
                <c:pt idx="70">
                  <c:v>333.18545990213522</c:v>
                </c:pt>
                <c:pt idx="71">
                  <c:v>340.3505691822013</c:v>
                </c:pt>
                <c:pt idx="72">
                  <c:v>347.51236094515139</c:v>
                </c:pt>
                <c:pt idx="73">
                  <c:v>354.67091326876107</c:v>
                </c:pt>
                <c:pt idx="74">
                  <c:v>361.82630081896735</c:v>
                </c:pt>
                <c:pt idx="75">
                  <c:v>368.97859506497747</c:v>
                </c:pt>
                <c:pt idx="76">
                  <c:v>375.57802655568094</c:v>
                </c:pt>
                <c:pt idx="77">
                  <c:v>382.17493242028701</c:v>
                </c:pt>
                <c:pt idx="78">
                  <c:v>388.76936244388736</c:v>
                </c:pt>
                <c:pt idx="79">
                  <c:v>395.36136458336074</c:v>
                </c:pt>
                <c:pt idx="80">
                  <c:v>401.95098506454968</c:v>
                </c:pt>
                <c:pt idx="81">
                  <c:v>362.56001063918211</c:v>
                </c:pt>
                <c:pt idx="82">
                  <c:v>368.61188489876855</c:v>
                </c:pt>
                <c:pt idx="83">
                  <c:v>374.66159103269348</c:v>
                </c:pt>
                <c:pt idx="84">
                  <c:v>380.70916902435761</c:v>
                </c:pt>
                <c:pt idx="85">
                  <c:v>386.75465748199395</c:v>
                </c:pt>
                <c:pt idx="86">
                  <c:v>392.79809370720182</c:v>
                </c:pt>
                <c:pt idx="87">
                  <c:v>398.65646970722736</c:v>
                </c:pt>
                <c:pt idx="88">
                  <c:v>404.51298169693905</c:v>
                </c:pt>
                <c:pt idx="89">
                  <c:v>410.36766049564739</c:v>
                </c:pt>
                <c:pt idx="90">
                  <c:v>416.2205359707321</c:v>
                </c:pt>
                <c:pt idx="91">
                  <c:v>422.07163708031629</c:v>
                </c:pt>
                <c:pt idx="92">
                  <c:v>386.38832303118897</c:v>
                </c:pt>
                <c:pt idx="93">
                  <c:v>391.88255202569809</c:v>
                </c:pt>
                <c:pt idx="94">
                  <c:v>397.375110324182</c:v>
                </c:pt>
                <c:pt idx="95">
                  <c:v>402.86602430053182</c:v>
                </c:pt>
                <c:pt idx="96">
                  <c:v>408.35531955034372</c:v>
                </c:pt>
                <c:pt idx="97">
                  <c:v>413.84302092427464</c:v>
                </c:pt>
                <c:pt idx="98">
                  <c:v>419.14630654573187</c:v>
                </c:pt>
                <c:pt idx="99">
                  <c:v>424.44814653245061</c:v>
                </c:pt>
                <c:pt idx="100">
                  <c:v>429.74856150658383</c:v>
                </c:pt>
                <c:pt idx="101">
                  <c:v>435.04757153962379</c:v>
                </c:pt>
                <c:pt idx="102">
                  <c:v>440.34519617378447</c:v>
                </c:pt>
                <c:pt idx="103">
                  <c:v>406.52573277661151</c:v>
                </c:pt>
                <c:pt idx="104">
                  <c:v>411.64813007939983</c:v>
                </c:pt>
                <c:pt idx="105">
                  <c:v>416.76915163430567</c:v>
                </c:pt>
                <c:pt idx="106">
                  <c:v>421.88881674752457</c:v>
                </c:pt>
                <c:pt idx="107">
                  <c:v>427.00714421800609</c:v>
                </c:pt>
                <c:pt idx="108">
                  <c:v>432.12415235683949</c:v>
                </c:pt>
                <c:pt idx="109">
                  <c:v>436.69180930289576</c:v>
                </c:pt>
                <c:pt idx="110">
                  <c:v>441.2584411094569</c:v>
                </c:pt>
                <c:pt idx="111">
                  <c:v>445.82405989308478</c:v>
                </c:pt>
                <c:pt idx="112">
                  <c:v>450.38867750169055</c:v>
                </c:pt>
                <c:pt idx="113">
                  <c:v>454.95230552321544</c:v>
                </c:pt>
                <c:pt idx="114">
                  <c:v>459.69744109486123</c:v>
                </c:pt>
                <c:pt idx="115">
                  <c:v>464.44153106100697</c:v>
                </c:pt>
                <c:pt idx="116">
                  <c:v>469.18458761820074</c:v>
                </c:pt>
                <c:pt idx="117">
                  <c:v>473.92662269607291</c:v>
                </c:pt>
                <c:pt idx="118">
                  <c:v>478.66764796584999</c:v>
                </c:pt>
                <c:pt idx="119">
                  <c:v>0</c:v>
                </c:pt>
              </c:numCache>
            </c:numRef>
          </c:yVal>
          <c:smooth val="1"/>
          <c:extLst>
            <c:ext xmlns:c16="http://schemas.microsoft.com/office/drawing/2014/chart" uri="{C3380CC4-5D6E-409C-BE32-E72D297353CC}">
              <c16:uniqueId val="{00000000-9CF2-4BC6-A315-EBA2EC9EDECF}"/>
            </c:ext>
          </c:extLst>
        </c:ser>
        <c:ser>
          <c:idx val="2"/>
          <c:order val="1"/>
          <c:tx>
            <c:strRef>
              <c:f>'[2]Quantification C'!$E$1</c:f>
              <c:strCache>
                <c:ptCount val="1"/>
                <c:pt idx="0">
                  <c:v>Biomasse 
totale accrus (tCO₂/ha)</c:v>
                </c:pt>
              </c:strCache>
            </c:strRef>
          </c:tx>
          <c:spPr>
            <a:ln w="19050" cap="rnd">
              <a:solidFill>
                <a:srgbClr val="92D050"/>
              </a:solidFill>
              <a:round/>
            </a:ln>
            <a:effectLst/>
          </c:spPr>
          <c:marker>
            <c:symbol val="none"/>
          </c:marker>
          <c:xVal>
            <c:numRef>
              <c:f>'[2]Quantification C'!$A$2:$A$112</c:f>
              <c:numCache>
                <c:formatCode>General</c:formatCode>
                <c:ptCount val="11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numCache>
            </c:numRef>
          </c:xVal>
          <c:yVal>
            <c:numRef>
              <c:f>'[2]Quantification C'!$E$2:$E$112</c:f>
              <c:numCache>
                <c:formatCode>General</c:formatCode>
                <c:ptCount val="111"/>
                <c:pt idx="0">
                  <c:v>0</c:v>
                </c:pt>
                <c:pt idx="1">
                  <c:v>2.2722141346836602</c:v>
                </c:pt>
                <c:pt idx="2">
                  <c:v>4.4322627676630342</c:v>
                </c:pt>
                <c:pt idx="3">
                  <c:v>6.5560875739478979</c:v>
                </c:pt>
                <c:pt idx="4">
                  <c:v>8.6575831706227913</c:v>
                </c:pt>
                <c:pt idx="5">
                  <c:v>10.743047053646096</c:v>
                </c:pt>
                <c:pt idx="6">
                  <c:v>12.816071577640272</c:v>
                </c:pt>
                <c:pt idx="7">
                  <c:v>14.878972594730007</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35.172319671970534</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55.125487819385434</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76.853424242090881</c:v>
                </c:pt>
                <c:pt idx="39">
                  <c:v>78.820101157900652</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96.467953961397697</c:v>
                </c:pt>
                <c:pt idx="49">
                  <c:v>98.423545555293359</c:v>
                </c:pt>
                <c:pt idx="50">
                  <c:v>100.37817162662895</c:v>
                </c:pt>
                <c:pt idx="51">
                  <c:v>102.33185371141566</c:v>
                </c:pt>
                <c:pt idx="52">
                  <c:v>104.28461245280987</c:v>
                </c:pt>
                <c:pt idx="53">
                  <c:v>106.23646765457615</c:v>
                </c:pt>
                <c:pt idx="54">
                  <c:v>108.18743833040098</c:v>
                </c:pt>
                <c:pt idx="55">
                  <c:v>110.13754274945018</c:v>
                </c:pt>
                <c:pt idx="56">
                  <c:v>112.08679847851975</c:v>
                </c:pt>
                <c:pt idx="57">
                  <c:v>114.03522242109018</c:v>
                </c:pt>
                <c:pt idx="58">
                  <c:v>115.98283085356285</c:v>
                </c:pt>
                <c:pt idx="59">
                  <c:v>117.92963945892645</c:v>
                </c:pt>
                <c:pt idx="60">
                  <c:v>119.87566335807644</c:v>
                </c:pt>
                <c:pt idx="61">
                  <c:v>121.82091713898711</c:v>
                </c:pt>
                <c:pt idx="62">
                  <c:v>123.7654148839167</c:v>
                </c:pt>
                <c:pt idx="63">
                  <c:v>125.70917019480748</c:v>
                </c:pt>
                <c:pt idx="64">
                  <c:v>127.65219621702742</c:v>
                </c:pt>
                <c:pt idx="65">
                  <c:v>129.59450566158588</c:v>
                </c:pt>
                <c:pt idx="66">
                  <c:v>131.53611082594338</c:v>
                </c:pt>
                <c:pt idx="67">
                  <c:v>133.47702361352444</c:v>
                </c:pt>
                <c:pt idx="68">
                  <c:v>135.41725555203226</c:v>
                </c:pt>
                <c:pt idx="69">
                  <c:v>137.35681781065566</c:v>
                </c:pt>
                <c:pt idx="70">
                  <c:v>139.29572121624977</c:v>
                </c:pt>
                <c:pt idx="71">
                  <c:v>141.23397626856661</c:v>
                </c:pt>
                <c:pt idx="72">
                  <c:v>143.17159315460216</c:v>
                </c:pt>
                <c:pt idx="73">
                  <c:v>145.10858176212469</c:v>
                </c:pt>
                <c:pt idx="74">
                  <c:v>147.04495169244021</c:v>
                </c:pt>
                <c:pt idx="75">
                  <c:v>148.98071227244827</c:v>
                </c:pt>
                <c:pt idx="76">
                  <c:v>150.91587256603668</c:v>
                </c:pt>
                <c:pt idx="77">
                  <c:v>152.85044138485935</c:v>
                </c:pt>
                <c:pt idx="78">
                  <c:v>154.78442729853825</c:v>
                </c:pt>
                <c:pt idx="79">
                  <c:v>156.7178386443274</c:v>
                </c:pt>
                <c:pt idx="80">
                  <c:v>158.65068353627368</c:v>
                </c:pt>
                <c:pt idx="81">
                  <c:v>160.58296987390614</c:v>
                </c:pt>
                <c:pt idx="82">
                  <c:v>162.51470535048455</c:v>
                </c:pt>
                <c:pt idx="83">
                  <c:v>164.44589746083366</c:v>
                </c:pt>
                <c:pt idx="84">
                  <c:v>166.37655350878956</c:v>
                </c:pt>
                <c:pt idx="85">
                  <c:v>168.30668061428082</c:v>
                </c:pt>
                <c:pt idx="86">
                  <c:v>170.23628572006746</c:v>
                </c:pt>
                <c:pt idx="87">
                  <c:v>172.165375598157</c:v>
                </c:pt>
                <c:pt idx="88">
                  <c:v>174.09395685591764</c:v>
                </c:pt>
                <c:pt idx="89">
                  <c:v>176.02203594190516</c:v>
                </c:pt>
                <c:pt idx="90">
                  <c:v>177.94961915142096</c:v>
                </c:pt>
                <c:pt idx="91">
                  <c:v>179.87671263181528</c:v>
                </c:pt>
                <c:pt idx="92">
                  <c:v>181.80332238755173</c:v>
                </c:pt>
                <c:pt idx="93">
                  <c:v>183.72945428504417</c:v>
                </c:pt>
                <c:pt idx="94">
                  <c:v>185.65511405728049</c:v>
                </c:pt>
                <c:pt idx="95">
                  <c:v>187.5803073082437</c:v>
                </c:pt>
                <c:pt idx="96">
                  <c:v>189.50503951714128</c:v>
                </c:pt>
                <c:pt idx="97">
                  <c:v>191.42931604245396</c:v>
                </c:pt>
                <c:pt idx="98">
                  <c:v>193.35314212581196</c:v>
                </c:pt>
                <c:pt idx="99">
                  <c:v>195.27652289570918</c:v>
                </c:pt>
                <c:pt idx="100">
                  <c:v>197.19946337106239</c:v>
                </c:pt>
                <c:pt idx="101">
                  <c:v>199.12196846462484</c:v>
                </c:pt>
                <c:pt idx="102">
                  <c:v>201.04404298625983</c:v>
                </c:pt>
                <c:pt idx="103">
                  <c:v>202.96569164608289</c:v>
                </c:pt>
                <c:pt idx="104">
                  <c:v>204.88691905747837</c:v>
                </c:pt>
                <c:pt idx="105">
                  <c:v>206.80772973999626</c:v>
                </c:pt>
                <c:pt idx="106">
                  <c:v>208.72812812213633</c:v>
                </c:pt>
                <c:pt idx="107">
                  <c:v>210.64811854402308</c:v>
                </c:pt>
                <c:pt idx="108">
                  <c:v>212.56770525997908</c:v>
                </c:pt>
                <c:pt idx="109">
                  <c:v>214.48689244099896</c:v>
                </c:pt>
                <c:pt idx="110">
                  <c:v>216.40568417713132</c:v>
                </c:pt>
              </c:numCache>
            </c:numRef>
          </c:yVal>
          <c:smooth val="1"/>
          <c:extLst>
            <c:ext xmlns:c16="http://schemas.microsoft.com/office/drawing/2014/chart" uri="{C3380CC4-5D6E-409C-BE32-E72D297353CC}">
              <c16:uniqueId val="{00000001-9CF2-4BC6-A315-EBA2EC9EDECF}"/>
            </c:ext>
          </c:extLst>
        </c:ser>
        <c:dLbls>
          <c:showLegendKey val="0"/>
          <c:showVal val="0"/>
          <c:showCatName val="0"/>
          <c:showSerName val="0"/>
          <c:showPercent val="0"/>
          <c:showBubbleSize val="0"/>
        </c:dLbls>
        <c:axId val="-456339248"/>
        <c:axId val="-456337072"/>
      </c:scatterChart>
      <c:valAx>
        <c:axId val="-456339248"/>
        <c:scaling>
          <c:orientation val="minMax"/>
          <c:max val="11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6337072"/>
        <c:crosses val="autoZero"/>
        <c:crossBetween val="midCat"/>
      </c:valAx>
      <c:valAx>
        <c:axId val="-456337072"/>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6339248"/>
        <c:crosses val="autoZero"/>
        <c:crossBetween val="midCat"/>
      </c:valAx>
      <c:spPr>
        <a:noFill/>
        <a:ln>
          <a:noFill/>
        </a:ln>
        <a:effectLst/>
      </c:spPr>
    </c:plotArea>
    <c:legend>
      <c:legendPos val="b"/>
      <c:layout>
        <c:manualLayout>
          <c:xMode val="edge"/>
          <c:yMode val="edge"/>
          <c:x val="7.941884287138512E-2"/>
          <c:y val="0.90672918986136863"/>
          <c:w val="0.81440527059024459"/>
          <c:h val="7.44825732234020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chêne rouge</a:t>
            </a:r>
            <a:endParaRPr lang="fr-FR" b="1" baseline="0"/>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'[3]Quantification C'!$J$1</c:f>
              <c:strCache>
                <c:ptCount val="1"/>
                <c:pt idx="0">
                  <c:v>Biomasse totale chêne rouge
(tCO₂/ha)</c:v>
                </c:pt>
              </c:strCache>
            </c:strRef>
          </c:tx>
          <c:spPr>
            <a:ln w="19050" cap="rnd">
              <a:solidFill>
                <a:srgbClr val="92D050"/>
              </a:solidFill>
              <a:round/>
            </a:ln>
            <a:effectLst/>
          </c:spPr>
          <c:marker>
            <c:symbol val="none"/>
          </c:marker>
          <c:xVal>
            <c:numRef>
              <c:f>'[3]Quantification C'!$F$2:$F$166</c:f>
              <c:numCache>
                <c:formatCode>General</c:formatCode>
                <c:ptCount val="16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20</c:v>
                </c:pt>
                <c:pt idx="22">
                  <c:v>21</c:v>
                </c:pt>
                <c:pt idx="23">
                  <c:v>22</c:v>
                </c:pt>
                <c:pt idx="24">
                  <c:v>23</c:v>
                </c:pt>
                <c:pt idx="25">
                  <c:v>24</c:v>
                </c:pt>
                <c:pt idx="26">
                  <c:v>25</c:v>
                </c:pt>
                <c:pt idx="27">
                  <c:v>26</c:v>
                </c:pt>
                <c:pt idx="28">
                  <c:v>27</c:v>
                </c:pt>
                <c:pt idx="29">
                  <c:v>28</c:v>
                </c:pt>
                <c:pt idx="30">
                  <c:v>29</c:v>
                </c:pt>
                <c:pt idx="31">
                  <c:v>30</c:v>
                </c:pt>
                <c:pt idx="32">
                  <c:v>30</c:v>
                </c:pt>
                <c:pt idx="33">
                  <c:v>31</c:v>
                </c:pt>
                <c:pt idx="34">
                  <c:v>32</c:v>
                </c:pt>
                <c:pt idx="35">
                  <c:v>33</c:v>
                </c:pt>
                <c:pt idx="36">
                  <c:v>34</c:v>
                </c:pt>
                <c:pt idx="37">
                  <c:v>35</c:v>
                </c:pt>
                <c:pt idx="38">
                  <c:v>36</c:v>
                </c:pt>
                <c:pt idx="39">
                  <c:v>37</c:v>
                </c:pt>
                <c:pt idx="40">
                  <c:v>38</c:v>
                </c:pt>
                <c:pt idx="41">
                  <c:v>39</c:v>
                </c:pt>
                <c:pt idx="42">
                  <c:v>40</c:v>
                </c:pt>
                <c:pt idx="43">
                  <c:v>40</c:v>
                </c:pt>
                <c:pt idx="44">
                  <c:v>41</c:v>
                </c:pt>
                <c:pt idx="45">
                  <c:v>42</c:v>
                </c:pt>
                <c:pt idx="46">
                  <c:v>43</c:v>
                </c:pt>
                <c:pt idx="47">
                  <c:v>44</c:v>
                </c:pt>
                <c:pt idx="48">
                  <c:v>45</c:v>
                </c:pt>
                <c:pt idx="49">
                  <c:v>46</c:v>
                </c:pt>
                <c:pt idx="50">
                  <c:v>47</c:v>
                </c:pt>
                <c:pt idx="51">
                  <c:v>48</c:v>
                </c:pt>
                <c:pt idx="52">
                  <c:v>49</c:v>
                </c:pt>
                <c:pt idx="53">
                  <c:v>50</c:v>
                </c:pt>
                <c:pt idx="54">
                  <c:v>50</c:v>
                </c:pt>
                <c:pt idx="55">
                  <c:v>51</c:v>
                </c:pt>
                <c:pt idx="56">
                  <c:v>52</c:v>
                </c:pt>
                <c:pt idx="57">
                  <c:v>53</c:v>
                </c:pt>
                <c:pt idx="58">
                  <c:v>54</c:v>
                </c:pt>
                <c:pt idx="59">
                  <c:v>55</c:v>
                </c:pt>
                <c:pt idx="60">
                  <c:v>56</c:v>
                </c:pt>
                <c:pt idx="61">
                  <c:v>57</c:v>
                </c:pt>
                <c:pt idx="62">
                  <c:v>58</c:v>
                </c:pt>
                <c:pt idx="63">
                  <c:v>59</c:v>
                </c:pt>
                <c:pt idx="64">
                  <c:v>60</c:v>
                </c:pt>
                <c:pt idx="65">
                  <c:v>60</c:v>
                </c:pt>
                <c:pt idx="66">
                  <c:v>61</c:v>
                </c:pt>
                <c:pt idx="67">
                  <c:v>62</c:v>
                </c:pt>
                <c:pt idx="68">
                  <c:v>63</c:v>
                </c:pt>
                <c:pt idx="69">
                  <c:v>64</c:v>
                </c:pt>
                <c:pt idx="70">
                  <c:v>65</c:v>
                </c:pt>
                <c:pt idx="71">
                  <c:v>66</c:v>
                </c:pt>
                <c:pt idx="72">
                  <c:v>67</c:v>
                </c:pt>
                <c:pt idx="73">
                  <c:v>68</c:v>
                </c:pt>
                <c:pt idx="74">
                  <c:v>69</c:v>
                </c:pt>
                <c:pt idx="75">
                  <c:v>70</c:v>
                </c:pt>
                <c:pt idx="76">
                  <c:v>70</c:v>
                </c:pt>
              </c:numCache>
            </c:numRef>
          </c:xVal>
          <c:yVal>
            <c:numRef>
              <c:f>'[3]Quantification C'!$J$2:$J$166</c:f>
              <c:numCache>
                <c:formatCode>General</c:formatCode>
                <c:ptCount val="165"/>
                <c:pt idx="0">
                  <c:v>0</c:v>
                </c:pt>
                <c:pt idx="1">
                  <c:v>1.4561904473698064</c:v>
                </c:pt>
                <c:pt idx="2">
                  <c:v>2.837835241238285</c:v>
                </c:pt>
                <c:pt idx="3">
                  <c:v>4.1954055309835594</c:v>
                </c:pt>
                <c:pt idx="4">
                  <c:v>5.5381357362353691</c:v>
                </c:pt>
                <c:pt idx="5">
                  <c:v>8.1940194120089327</c:v>
                </c:pt>
                <c:pt idx="6">
                  <c:v>12.129079468420692</c:v>
                </c:pt>
                <c:pt idx="7">
                  <c:v>17.316966482955831</c:v>
                </c:pt>
                <c:pt idx="8">
                  <c:v>23.738652410648342</c:v>
                </c:pt>
                <c:pt idx="9">
                  <c:v>31.380062571853042</c:v>
                </c:pt>
                <c:pt idx="10">
                  <c:v>40.230343455354699</c:v>
                </c:pt>
                <c:pt idx="11">
                  <c:v>50.28079936587767</c:v>
                </c:pt>
                <c:pt idx="12">
                  <c:v>61.524243221977486</c:v>
                </c:pt>
                <c:pt idx="13">
                  <c:v>73.954586555286809</c:v>
                </c:pt>
                <c:pt idx="14">
                  <c:v>87.566569673096254</c:v>
                </c:pt>
                <c:pt idx="15">
                  <c:v>109.72969694198621</c:v>
                </c:pt>
                <c:pt idx="16">
                  <c:v>127.13482571082706</c:v>
                </c:pt>
                <c:pt idx="17">
                  <c:v>144.48215651976611</c:v>
                </c:pt>
                <c:pt idx="18">
                  <c:v>161.77961540626072</c:v>
                </c:pt>
                <c:pt idx="19">
                  <c:v>179.03328984797801</c:v>
                </c:pt>
                <c:pt idx="20">
                  <c:v>196.24799558904303</c:v>
                </c:pt>
                <c:pt idx="21">
                  <c:v>118.31750572588324</c:v>
                </c:pt>
                <c:pt idx="22">
                  <c:v>135.20432553963505</c:v>
                </c:pt>
                <c:pt idx="23">
                  <c:v>152.04030877911342</c:v>
                </c:pt>
                <c:pt idx="24">
                  <c:v>168.83188321450658</c:v>
                </c:pt>
                <c:pt idx="25">
                  <c:v>185.58409039382227</c:v>
                </c:pt>
                <c:pt idx="26">
                  <c:v>202.30098567963509</c:v>
                </c:pt>
                <c:pt idx="27">
                  <c:v>218.01947919404824</c:v>
                </c:pt>
                <c:pt idx="28">
                  <c:v>233.71192986094192</c:v>
                </c:pt>
                <c:pt idx="29">
                  <c:v>249.38033276546039</c:v>
                </c:pt>
                <c:pt idx="30">
                  <c:v>265.02641168010274</c:v>
                </c:pt>
                <c:pt idx="31">
                  <c:v>280.6516701430192</c:v>
                </c:pt>
                <c:pt idx="32">
                  <c:v>174.42010880774242</c:v>
                </c:pt>
                <c:pt idx="33">
                  <c:v>189.22107722501735</c:v>
                </c:pt>
                <c:pt idx="34">
                  <c:v>203.99506531146554</c:v>
                </c:pt>
                <c:pt idx="35">
                  <c:v>218.74430293221735</c:v>
                </c:pt>
                <c:pt idx="36">
                  <c:v>233.47069441931134</c:v>
                </c:pt>
                <c:pt idx="37">
                  <c:v>248.17588407773692</c:v>
                </c:pt>
                <c:pt idx="38">
                  <c:v>261.17705554472872</c:v>
                </c:pt>
                <c:pt idx="39">
                  <c:v>274.16361765690334</c:v>
                </c:pt>
                <c:pt idx="40">
                  <c:v>287.13636013322338</c:v>
                </c:pt>
                <c:pt idx="41">
                  <c:v>300.09599547754289</c:v>
                </c:pt>
                <c:pt idx="42">
                  <c:v>313.04316960794102</c:v>
                </c:pt>
                <c:pt idx="43">
                  <c:v>215.60299864573813</c:v>
                </c:pt>
                <c:pt idx="44">
                  <c:v>227.43794033454233</c:v>
                </c:pt>
                <c:pt idx="45">
                  <c:v>239.25878897679539</c:v>
                </c:pt>
                <c:pt idx="46">
                  <c:v>251.06633935220006</c:v>
                </c:pt>
                <c:pt idx="47">
                  <c:v>262.86130532679209</c:v>
                </c:pt>
                <c:pt idx="48">
                  <c:v>274.64433142982574</c:v>
                </c:pt>
                <c:pt idx="49">
                  <c:v>285.21531583652148</c:v>
                </c:pt>
                <c:pt idx="50">
                  <c:v>295.77753223914277</c:v>
                </c:pt>
                <c:pt idx="51">
                  <c:v>306.33133805905373</c:v>
                </c:pt>
                <c:pt idx="52">
                  <c:v>316.87706406452611</c:v>
                </c:pt>
                <c:pt idx="53">
                  <c:v>327.41501719828841</c:v>
                </c:pt>
                <c:pt idx="54">
                  <c:v>245.76658779902243</c:v>
                </c:pt>
                <c:pt idx="55">
                  <c:v>254.91910787155106</c:v>
                </c:pt>
                <c:pt idx="56">
                  <c:v>264.06419165614346</c:v>
                </c:pt>
                <c:pt idx="57">
                  <c:v>273.2021332283814</c:v>
                </c:pt>
                <c:pt idx="58">
                  <c:v>282.33320536766536</c:v>
                </c:pt>
                <c:pt idx="59">
                  <c:v>291.45766175336962</c:v>
                </c:pt>
                <c:pt idx="60">
                  <c:v>299.61623499670998</c:v>
                </c:pt>
                <c:pt idx="61">
                  <c:v>307.76986029720541</c:v>
                </c:pt>
                <c:pt idx="62">
                  <c:v>315.91868734548365</c:v>
                </c:pt>
                <c:pt idx="63">
                  <c:v>324.0628574727225</c:v>
                </c:pt>
                <c:pt idx="64">
                  <c:v>332.20250432045793</c:v>
                </c:pt>
                <c:pt idx="65">
                  <c:v>266.22907594974964</c:v>
                </c:pt>
                <c:pt idx="66">
                  <c:v>273.4425114577536</c:v>
                </c:pt>
                <c:pt idx="67">
                  <c:v>280.6516701430192</c:v>
                </c:pt>
                <c:pt idx="68">
                  <c:v>287.85667749117118</c:v>
                </c:pt>
                <c:pt idx="69">
                  <c:v>295.05765218605109</c:v>
                </c:pt>
                <c:pt idx="70">
                  <c:v>302.25470663909721</c:v>
                </c:pt>
                <c:pt idx="71">
                  <c:v>308.48906533934479</c:v>
                </c:pt>
                <c:pt idx="72">
                  <c:v>314.7206257919425</c:v>
                </c:pt>
                <c:pt idx="73">
                  <c:v>320.94945128744183</c:v>
                </c:pt>
                <c:pt idx="74">
                  <c:v>327.17560245636969</c:v>
                </c:pt>
                <c:pt idx="75">
                  <c:v>333.39913743065421</c:v>
                </c:pt>
                <c:pt idx="76">
                  <c:v>0</c:v>
                </c:pt>
              </c:numCache>
            </c:numRef>
          </c:yVal>
          <c:smooth val="1"/>
          <c:extLst>
            <c:ext xmlns:c16="http://schemas.microsoft.com/office/drawing/2014/chart" uri="{C3380CC4-5D6E-409C-BE32-E72D297353CC}">
              <c16:uniqueId val="{00000000-4564-4380-9E7C-2AF90E9749AB}"/>
            </c:ext>
          </c:extLst>
        </c:ser>
        <c:ser>
          <c:idx val="2"/>
          <c:order val="1"/>
          <c:tx>
            <c:strRef>
              <c:f>'[3]Quantification C'!$E$1</c:f>
              <c:strCache>
                <c:ptCount val="1"/>
                <c:pt idx="0">
                  <c:v>Biomasse 
totale accrus (tCO₂/ha)</c:v>
                </c:pt>
              </c:strCache>
            </c:strRef>
          </c:tx>
          <c:spPr>
            <a:ln w="19050" cap="rnd">
              <a:solidFill>
                <a:srgbClr val="00B0F0"/>
              </a:solidFill>
              <a:round/>
            </a:ln>
            <a:effectLst/>
          </c:spPr>
          <c:marker>
            <c:symbol val="none"/>
          </c:marker>
          <c:xVal>
            <c:numRef>
              <c:f>'[3]Quantification C'!$A$2:$A$78</c:f>
              <c:numCache>
                <c:formatCode>General</c:formatCode>
                <c:ptCount val="7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numCache>
            </c:numRef>
          </c:xVal>
          <c:yVal>
            <c:numRef>
              <c:f>'[3]Quantification C'!$E$2:$E$78</c:f>
              <c:numCache>
                <c:formatCode>General</c:formatCode>
                <c:ptCount val="77"/>
                <c:pt idx="0">
                  <c:v>0</c:v>
                </c:pt>
                <c:pt idx="1">
                  <c:v>2.2722141346836602</c:v>
                </c:pt>
                <c:pt idx="2">
                  <c:v>4.4322627676630342</c:v>
                </c:pt>
                <c:pt idx="3">
                  <c:v>6.5560875739478979</c:v>
                </c:pt>
                <c:pt idx="4">
                  <c:v>8.6575831706227913</c:v>
                </c:pt>
                <c:pt idx="5">
                  <c:v>10.743047053646096</c:v>
                </c:pt>
                <c:pt idx="6">
                  <c:v>12.816071577640278</c:v>
                </c:pt>
                <c:pt idx="7">
                  <c:v>14.87897259473001</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35.172319671970541</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55.125487819385427</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76.853424242090853</c:v>
                </c:pt>
                <c:pt idx="39">
                  <c:v>78.820101157900638</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96.467953961397711</c:v>
                </c:pt>
                <c:pt idx="49">
                  <c:v>98.423545555293359</c:v>
                </c:pt>
                <c:pt idx="50">
                  <c:v>100.37817162662895</c:v>
                </c:pt>
                <c:pt idx="51">
                  <c:v>102.33185371141566</c:v>
                </c:pt>
                <c:pt idx="52">
                  <c:v>104.28461245280987</c:v>
                </c:pt>
                <c:pt idx="53">
                  <c:v>106.23646765457613</c:v>
                </c:pt>
                <c:pt idx="54">
                  <c:v>108.18743833040095</c:v>
                </c:pt>
                <c:pt idx="55">
                  <c:v>110.13754274945018</c:v>
                </c:pt>
                <c:pt idx="56">
                  <c:v>112.08679847851977</c:v>
                </c:pt>
                <c:pt idx="57">
                  <c:v>114.03522242109018</c:v>
                </c:pt>
                <c:pt idx="58">
                  <c:v>115.98283085356282</c:v>
                </c:pt>
                <c:pt idx="59">
                  <c:v>117.92963945892645</c:v>
                </c:pt>
                <c:pt idx="60">
                  <c:v>119.87566335807644</c:v>
                </c:pt>
                <c:pt idx="61">
                  <c:v>121.82091713898713</c:v>
                </c:pt>
                <c:pt idx="62">
                  <c:v>123.7654148839167</c:v>
                </c:pt>
                <c:pt idx="63">
                  <c:v>125.70917019480748</c:v>
                </c:pt>
                <c:pt idx="64">
                  <c:v>127.65219621702742</c:v>
                </c:pt>
                <c:pt idx="65">
                  <c:v>129.59450566158586</c:v>
                </c:pt>
                <c:pt idx="66">
                  <c:v>131.53611082594338</c:v>
                </c:pt>
                <c:pt idx="67">
                  <c:v>133.47702361352444</c:v>
                </c:pt>
                <c:pt idx="68">
                  <c:v>135.41725555203229</c:v>
                </c:pt>
                <c:pt idx="69">
                  <c:v>137.35681781065566</c:v>
                </c:pt>
                <c:pt idx="70">
                  <c:v>139.29572121624977</c:v>
                </c:pt>
              </c:numCache>
            </c:numRef>
          </c:yVal>
          <c:smooth val="1"/>
          <c:extLst>
            <c:ext xmlns:c16="http://schemas.microsoft.com/office/drawing/2014/chart" uri="{C3380CC4-5D6E-409C-BE32-E72D297353CC}">
              <c16:uniqueId val="{00000001-4564-4380-9E7C-2AF90E9749AB}"/>
            </c:ext>
          </c:extLst>
        </c:ser>
        <c:dLbls>
          <c:showLegendKey val="0"/>
          <c:showVal val="0"/>
          <c:showCatName val="0"/>
          <c:showSerName val="0"/>
          <c:showPercent val="0"/>
          <c:showBubbleSize val="0"/>
        </c:dLbls>
        <c:axId val="-1480911312"/>
        <c:axId val="-1480910768"/>
      </c:scatterChart>
      <c:valAx>
        <c:axId val="-1480911312"/>
        <c:scaling>
          <c:orientation val="minMax"/>
          <c:max val="7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910768"/>
        <c:crosses val="autoZero"/>
        <c:crossBetween val="midCat"/>
      </c:valAx>
      <c:valAx>
        <c:axId val="-1480910768"/>
        <c:scaling>
          <c:orientation val="minMax"/>
          <c:max val="35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9113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peuplier Koster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9425214904420502"/>
          <c:h val="0.63662829603069404"/>
        </c:manualLayout>
      </c:layout>
      <c:scatterChart>
        <c:scatterStyle val="smoothMarker"/>
        <c:varyColors val="0"/>
        <c:ser>
          <c:idx val="0"/>
          <c:order val="0"/>
          <c:tx>
            <c:strRef>
              <c:f>'[4]Quantification C'!$K$1</c:f>
              <c:strCache>
                <c:ptCount val="1"/>
                <c:pt idx="0">
                  <c:v>Biomasse totale peuplier
(tCO₂/ha)</c:v>
                </c:pt>
              </c:strCache>
            </c:strRef>
          </c:tx>
          <c:spPr>
            <a:ln w="19050" cap="rnd">
              <a:solidFill>
                <a:srgbClr val="00B050"/>
              </a:solidFill>
              <a:round/>
            </a:ln>
            <a:effectLst/>
          </c:spPr>
          <c:marker>
            <c:symbol val="none"/>
          </c:marker>
          <c:xVal>
            <c:numRef>
              <c:f>'[4]Quantification C'!$G$2:$G$28</c:f>
              <c:numCache>
                <c:formatCode>General</c:formatCode>
                <c:ptCount val="2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numCache>
            </c:numRef>
          </c:xVal>
          <c:yVal>
            <c:numRef>
              <c:f>'[4]Quantification C'!$K$2:$K$28</c:f>
              <c:numCache>
                <c:formatCode>General</c:formatCode>
                <c:ptCount val="27"/>
                <c:pt idx="0">
                  <c:v>0</c:v>
                </c:pt>
                <c:pt idx="1">
                  <c:v>0.47684596418035402</c:v>
                </c:pt>
                <c:pt idx="2">
                  <c:v>0.92701893201423669</c:v>
                </c:pt>
                <c:pt idx="3">
                  <c:v>1.368577860928869</c:v>
                </c:pt>
                <c:pt idx="4">
                  <c:v>1.8048268958271001</c:v>
                </c:pt>
                <c:pt idx="5">
                  <c:v>2.6667421871469945</c:v>
                </c:pt>
                <c:pt idx="6">
                  <c:v>3.5188608653605269</c:v>
                </c:pt>
                <c:pt idx="7">
                  <c:v>5.2035732772208965</c:v>
                </c:pt>
                <c:pt idx="8">
                  <c:v>6.7320927153074983</c:v>
                </c:pt>
                <c:pt idx="9">
                  <c:v>23.677266169664545</c:v>
                </c:pt>
                <c:pt idx="10">
                  <c:v>42.295698771109151</c:v>
                </c:pt>
                <c:pt idx="11">
                  <c:v>60.686723341593456</c:v>
                </c:pt>
                <c:pt idx="12">
                  <c:v>80.950986488725434</c:v>
                </c:pt>
                <c:pt idx="13">
                  <c:v>99.077304204986476</c:v>
                </c:pt>
                <c:pt idx="14">
                  <c:v>117.12106124808359</c:v>
                </c:pt>
                <c:pt idx="15">
                  <c:v>135.09681026687412</c:v>
                </c:pt>
                <c:pt idx="16">
                  <c:v>151.02658441288187</c:v>
                </c:pt>
                <c:pt idx="17">
                  <c:v>164.93212907851941</c:v>
                </c:pt>
                <c:pt idx="18">
                  <c:v>178.80997960509694</c:v>
                </c:pt>
                <c:pt idx="19">
                  <c:v>190.68510840623094</c:v>
                </c:pt>
                <c:pt idx="20">
                  <c:v>200.56784414619597</c:v>
                </c:pt>
                <c:pt idx="21">
                  <c:v>210.4392971238349</c:v>
                </c:pt>
                <c:pt idx="22">
                  <c:v>216.35700713789331</c:v>
                </c:pt>
                <c:pt idx="23">
                  <c:v>224.24151561847327</c:v>
                </c:pt>
                <c:pt idx="24">
                  <c:v>230.15071367444057</c:v>
                </c:pt>
                <c:pt idx="25">
                  <c:v>234.08824579764129</c:v>
                </c:pt>
                <c:pt idx="26">
                  <c:v>0</c:v>
                </c:pt>
              </c:numCache>
            </c:numRef>
          </c:yVal>
          <c:smooth val="1"/>
          <c:extLst>
            <c:ext xmlns:c16="http://schemas.microsoft.com/office/drawing/2014/chart" uri="{C3380CC4-5D6E-409C-BE32-E72D297353CC}">
              <c16:uniqueId val="{00000000-AC40-47D0-B9F5-E5FAC752BDC1}"/>
            </c:ext>
          </c:extLst>
        </c:ser>
        <c:ser>
          <c:idx val="2"/>
          <c:order val="1"/>
          <c:tx>
            <c:strRef>
              <c:f>'[4]Quantification C'!$E$1</c:f>
              <c:strCache>
                <c:ptCount val="1"/>
                <c:pt idx="0">
                  <c:v>Biomasse 
totale accrus (tCO₂/ha)</c:v>
                </c:pt>
              </c:strCache>
            </c:strRef>
          </c:tx>
          <c:spPr>
            <a:ln w="19050" cap="rnd">
              <a:solidFill>
                <a:srgbClr val="00B0F0"/>
              </a:solidFill>
              <a:round/>
            </a:ln>
            <a:effectLst/>
          </c:spPr>
          <c:marker>
            <c:symbol val="none"/>
          </c:marker>
          <c:xVal>
            <c:numRef>
              <c:f>'[4]Quantification C'!$A$2:$A$28</c:f>
              <c:numCache>
                <c:formatCode>General</c:formatCode>
                <c:ptCount val="2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C'!$E$2:$E$28</c:f>
              <c:numCache>
                <c:formatCode>General</c:formatCode>
                <c:ptCount val="27"/>
                <c:pt idx="0">
                  <c:v>0</c:v>
                </c:pt>
                <c:pt idx="1">
                  <c:v>2.2722141346836602</c:v>
                </c:pt>
                <c:pt idx="2">
                  <c:v>4.4322627676630342</c:v>
                </c:pt>
                <c:pt idx="3">
                  <c:v>6.5560875739478979</c:v>
                </c:pt>
                <c:pt idx="4">
                  <c:v>8.6575831706227913</c:v>
                </c:pt>
                <c:pt idx="5">
                  <c:v>10.743047053646096</c:v>
                </c:pt>
                <c:pt idx="6">
                  <c:v>12.816071577640272</c:v>
                </c:pt>
                <c:pt idx="7">
                  <c:v>14.878972594730007</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35.172319671970534</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numCache>
            </c:numRef>
          </c:yVal>
          <c:smooth val="1"/>
          <c:extLst>
            <c:ext xmlns:c16="http://schemas.microsoft.com/office/drawing/2014/chart" uri="{C3380CC4-5D6E-409C-BE32-E72D297353CC}">
              <c16:uniqueId val="{00000001-AC40-47D0-B9F5-E5FAC752BDC1}"/>
            </c:ext>
          </c:extLst>
        </c:ser>
        <c:ser>
          <c:idx val="1"/>
          <c:order val="2"/>
          <c:tx>
            <c:strRef>
              <c:f>'[4]Quantification C'!$L$1</c:f>
              <c:strCache>
                <c:ptCount val="1"/>
                <c:pt idx="0">
                  <c:v>Carbone moyen (tCO₂/ha)</c:v>
                </c:pt>
              </c:strCache>
            </c:strRef>
          </c:tx>
          <c:spPr>
            <a:ln w="19050" cap="rnd">
              <a:solidFill>
                <a:srgbClr val="00B050"/>
              </a:solidFill>
              <a:prstDash val="dash"/>
              <a:round/>
            </a:ln>
            <a:effectLst/>
          </c:spPr>
          <c:marker>
            <c:symbol val="none"/>
          </c:marker>
          <c:xVal>
            <c:numRef>
              <c:f>'[4]Quantification C'!$G$2:$G$27</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C'!$L$2:$L$27</c:f>
              <c:numCache>
                <c:formatCode>General</c:formatCode>
                <c:ptCount val="26"/>
                <c:pt idx="0">
                  <c:v>99.342415930393528</c:v>
                </c:pt>
                <c:pt idx="1">
                  <c:v>99.342415930393528</c:v>
                </c:pt>
                <c:pt idx="2">
                  <c:v>99.342415930393528</c:v>
                </c:pt>
                <c:pt idx="3">
                  <c:v>99.342415930393528</c:v>
                </c:pt>
                <c:pt idx="4">
                  <c:v>99.342415930393528</c:v>
                </c:pt>
                <c:pt idx="5">
                  <c:v>99.342415930393528</c:v>
                </c:pt>
                <c:pt idx="6">
                  <c:v>99.342415930393528</c:v>
                </c:pt>
                <c:pt idx="7">
                  <c:v>99.342415930393528</c:v>
                </c:pt>
                <c:pt idx="8">
                  <c:v>99.342415930393528</c:v>
                </c:pt>
                <c:pt idx="9">
                  <c:v>99.342415930393528</c:v>
                </c:pt>
                <c:pt idx="10">
                  <c:v>99.342415930393528</c:v>
                </c:pt>
                <c:pt idx="11">
                  <c:v>99.342415930393528</c:v>
                </c:pt>
                <c:pt idx="12">
                  <c:v>99.342415930393528</c:v>
                </c:pt>
                <c:pt idx="13">
                  <c:v>99.342415930393528</c:v>
                </c:pt>
                <c:pt idx="14">
                  <c:v>99.342415930393528</c:v>
                </c:pt>
                <c:pt idx="15">
                  <c:v>99.342415930393528</c:v>
                </c:pt>
                <c:pt idx="16">
                  <c:v>99.342415930393528</c:v>
                </c:pt>
                <c:pt idx="17">
                  <c:v>99.342415930393528</c:v>
                </c:pt>
                <c:pt idx="18">
                  <c:v>99.342415930393528</c:v>
                </c:pt>
                <c:pt idx="19">
                  <c:v>99.342415930393528</c:v>
                </c:pt>
                <c:pt idx="20">
                  <c:v>99.342415930393528</c:v>
                </c:pt>
                <c:pt idx="21">
                  <c:v>99.342415930393528</c:v>
                </c:pt>
                <c:pt idx="22">
                  <c:v>99.342415930393528</c:v>
                </c:pt>
                <c:pt idx="23">
                  <c:v>99.342415930393528</c:v>
                </c:pt>
                <c:pt idx="24">
                  <c:v>99.342415930393528</c:v>
                </c:pt>
                <c:pt idx="25">
                  <c:v>99.342415930393528</c:v>
                </c:pt>
              </c:numCache>
            </c:numRef>
          </c:yVal>
          <c:smooth val="1"/>
          <c:extLst>
            <c:ext xmlns:c16="http://schemas.microsoft.com/office/drawing/2014/chart" uri="{C3380CC4-5D6E-409C-BE32-E72D297353CC}">
              <c16:uniqueId val="{00000002-AC40-47D0-B9F5-E5FAC752BDC1}"/>
            </c:ext>
          </c:extLst>
        </c:ser>
        <c:ser>
          <c:idx val="3"/>
          <c:order val="3"/>
          <c:tx>
            <c:strRef>
              <c:f>'[4]Quantification C'!$F$1</c:f>
              <c:strCache>
                <c:ptCount val="1"/>
                <c:pt idx="0">
                  <c:v>Carbone moyen (tCO₂/ha)</c:v>
                </c:pt>
              </c:strCache>
            </c:strRef>
          </c:tx>
          <c:spPr>
            <a:ln w="19050" cap="rnd">
              <a:solidFill>
                <a:srgbClr val="00B0F0"/>
              </a:solidFill>
              <a:prstDash val="dash"/>
              <a:round/>
            </a:ln>
            <a:effectLst/>
          </c:spPr>
          <c:marker>
            <c:symbol val="none"/>
          </c:marker>
          <c:xVal>
            <c:numRef>
              <c:f>'[4]Quantification C'!$A$2:$A$27</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C'!$F$2:$F$27</c:f>
              <c:numCache>
                <c:formatCode>General</c:formatCode>
                <c:ptCount val="26"/>
                <c:pt idx="0">
                  <c:v>25.944481104378426</c:v>
                </c:pt>
                <c:pt idx="1">
                  <c:v>25.944481104378426</c:v>
                </c:pt>
                <c:pt idx="2">
                  <c:v>25.944481104378426</c:v>
                </c:pt>
                <c:pt idx="3">
                  <c:v>25.944481104378426</c:v>
                </c:pt>
                <c:pt idx="4">
                  <c:v>25.944481104378426</c:v>
                </c:pt>
                <c:pt idx="5">
                  <c:v>25.944481104378426</c:v>
                </c:pt>
                <c:pt idx="6">
                  <c:v>25.944481104378426</c:v>
                </c:pt>
                <c:pt idx="7">
                  <c:v>25.944481104378426</c:v>
                </c:pt>
                <c:pt idx="8">
                  <c:v>25.944481104378426</c:v>
                </c:pt>
                <c:pt idx="9">
                  <c:v>25.944481104378426</c:v>
                </c:pt>
                <c:pt idx="10">
                  <c:v>25.944481104378426</c:v>
                </c:pt>
                <c:pt idx="11">
                  <c:v>25.944481104378426</c:v>
                </c:pt>
                <c:pt idx="12">
                  <c:v>25.944481104378426</c:v>
                </c:pt>
                <c:pt idx="13">
                  <c:v>25.944481104378426</c:v>
                </c:pt>
                <c:pt idx="14">
                  <c:v>25.944481104378426</c:v>
                </c:pt>
                <c:pt idx="15">
                  <c:v>25.944481104378426</c:v>
                </c:pt>
                <c:pt idx="16">
                  <c:v>25.944481104378426</c:v>
                </c:pt>
                <c:pt idx="17">
                  <c:v>25.944481104378426</c:v>
                </c:pt>
                <c:pt idx="18">
                  <c:v>25.944481104378426</c:v>
                </c:pt>
                <c:pt idx="19">
                  <c:v>25.944481104378426</c:v>
                </c:pt>
                <c:pt idx="20">
                  <c:v>25.944481104378426</c:v>
                </c:pt>
                <c:pt idx="21">
                  <c:v>25.944481104378426</c:v>
                </c:pt>
                <c:pt idx="22">
                  <c:v>25.944481104378426</c:v>
                </c:pt>
                <c:pt idx="23">
                  <c:v>25.944481104378426</c:v>
                </c:pt>
                <c:pt idx="24">
                  <c:v>25.944481104378426</c:v>
                </c:pt>
                <c:pt idx="25">
                  <c:v>25.944481104378426</c:v>
                </c:pt>
              </c:numCache>
            </c:numRef>
          </c:yVal>
          <c:smooth val="1"/>
          <c:extLst>
            <c:ext xmlns:c16="http://schemas.microsoft.com/office/drawing/2014/chart" uri="{C3380CC4-5D6E-409C-BE32-E72D297353CC}">
              <c16:uniqueId val="{00000003-AC40-47D0-B9F5-E5FAC752BDC1}"/>
            </c:ext>
          </c:extLst>
        </c:ser>
        <c:dLbls>
          <c:showLegendKey val="0"/>
          <c:showVal val="0"/>
          <c:showCatName val="0"/>
          <c:showSerName val="0"/>
          <c:showPercent val="0"/>
          <c:showBubbleSize val="0"/>
        </c:dLbls>
        <c:axId val="-1918924256"/>
        <c:axId val="-1918913376"/>
      </c:scatterChart>
      <c:valAx>
        <c:axId val="-1918924256"/>
        <c:scaling>
          <c:orientation val="minMax"/>
          <c:max val="2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90512445549485132"/>
              <c:y val="0.82828742366582786"/>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918913376"/>
        <c:crosses val="autoZero"/>
        <c:crossBetween val="midCat"/>
      </c:valAx>
      <c:valAx>
        <c:axId val="-1918913376"/>
        <c:scaling>
          <c:orientation val="minMax"/>
          <c:max val="25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918924256"/>
        <c:crosses val="autoZero"/>
        <c:crossBetween val="midCat"/>
      </c:valAx>
      <c:spPr>
        <a:noFill/>
        <a:ln>
          <a:noFill/>
        </a:ln>
        <a:effectLst/>
      </c:spPr>
    </c:plotArea>
    <c:legend>
      <c:legendPos val="b"/>
      <c:layout>
        <c:manualLayout>
          <c:xMode val="edge"/>
          <c:yMode val="edge"/>
          <c:x val="3.3056660782152615E-2"/>
          <c:y val="0.83465709741689842"/>
          <c:w val="0.88001417029112361"/>
          <c:h val="0.165342902583101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7</xdr:col>
      <xdr:colOff>0</xdr:colOff>
      <xdr:row>17</xdr:row>
      <xdr:rowOff>0</xdr:rowOff>
    </xdr:from>
    <xdr:ext cx="184731" cy="264560"/>
    <xdr:sp macro="" textlink="">
      <xdr:nvSpPr>
        <xdr:cNvPr id="2" name="ZoneTexte 1">
          <a:extLst>
            <a:ext uri="{FF2B5EF4-FFF2-40B4-BE49-F238E27FC236}">
              <a16:creationId xmlns:a16="http://schemas.microsoft.com/office/drawing/2014/main" id="{EA9A8024-BF05-4002-A51F-E8E74DBA55DC}"/>
            </a:ext>
          </a:extLst>
        </xdr:cNvPr>
        <xdr:cNvSpPr txBox="1"/>
      </xdr:nvSpPr>
      <xdr:spPr>
        <a:xfrm>
          <a:off x="986155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9</xdr:col>
      <xdr:colOff>190500</xdr:colOff>
      <xdr:row>35</xdr:row>
      <xdr:rowOff>51435</xdr:rowOff>
    </xdr:from>
    <xdr:to>
      <xdr:col>15</xdr:col>
      <xdr:colOff>432435</xdr:colOff>
      <xdr:row>48</xdr:row>
      <xdr:rowOff>205740</xdr:rowOff>
    </xdr:to>
    <xdr:graphicFrame macro="">
      <xdr:nvGraphicFramePr>
        <xdr:cNvPr id="3" name="Graphique 2">
          <a:extLst>
            <a:ext uri="{FF2B5EF4-FFF2-40B4-BE49-F238E27FC236}">
              <a16:creationId xmlns:a16="http://schemas.microsoft.com/office/drawing/2014/main" id="{016EEBA1-9D37-4798-88C3-677CF3A536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259080</xdr:colOff>
      <xdr:row>38</xdr:row>
      <xdr:rowOff>181926</xdr:rowOff>
    </xdr:from>
    <xdr:to>
      <xdr:col>3</xdr:col>
      <xdr:colOff>815340</xdr:colOff>
      <xdr:row>51</xdr:row>
      <xdr:rowOff>148589</xdr:rowOff>
    </xdr:to>
    <xdr:graphicFrame macro="">
      <xdr:nvGraphicFramePr>
        <xdr:cNvPr id="9" name="Graphique 8">
          <a:extLst>
            <a:ext uri="{FF2B5EF4-FFF2-40B4-BE49-F238E27FC236}">
              <a16:creationId xmlns:a16="http://schemas.microsoft.com/office/drawing/2014/main" id="{83FFCF84-8CCC-4EDF-9B3F-861D1CD89E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255106</xdr:colOff>
      <xdr:row>20</xdr:row>
      <xdr:rowOff>76286</xdr:rowOff>
    </xdr:from>
    <xdr:to>
      <xdr:col>25</xdr:col>
      <xdr:colOff>612014</xdr:colOff>
      <xdr:row>45</xdr:row>
      <xdr:rowOff>45470</xdr:rowOff>
    </xdr:to>
    <xdr:graphicFrame macro="">
      <xdr:nvGraphicFramePr>
        <xdr:cNvPr id="2" name="Graphique 1">
          <a:extLst>
            <a:ext uri="{FF2B5EF4-FFF2-40B4-BE49-F238E27FC236}">
              <a16:creationId xmlns:a16="http://schemas.microsoft.com/office/drawing/2014/main" id="{A7BAE0EE-BEDD-480F-8723-78569C320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236056</xdr:colOff>
      <xdr:row>17</xdr:row>
      <xdr:rowOff>28574</xdr:rowOff>
    </xdr:from>
    <xdr:to>
      <xdr:col>24</xdr:col>
      <xdr:colOff>704850</xdr:colOff>
      <xdr:row>41</xdr:row>
      <xdr:rowOff>180975</xdr:rowOff>
    </xdr:to>
    <xdr:graphicFrame macro="">
      <xdr:nvGraphicFramePr>
        <xdr:cNvPr id="2" name="Graphique 1">
          <a:extLst>
            <a:ext uri="{FF2B5EF4-FFF2-40B4-BE49-F238E27FC236}">
              <a16:creationId xmlns:a16="http://schemas.microsoft.com/office/drawing/2014/main" id="{FE973FB2-AD20-401F-B7C0-E68DFF39E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150762</xdr:colOff>
      <xdr:row>43</xdr:row>
      <xdr:rowOff>98024</xdr:rowOff>
    </xdr:to>
    <xdr:pic>
      <xdr:nvPicPr>
        <xdr:cNvPr id="2" name="Image 1">
          <a:extLst>
            <a:ext uri="{FF2B5EF4-FFF2-40B4-BE49-F238E27FC236}">
              <a16:creationId xmlns:a16="http://schemas.microsoft.com/office/drawing/2014/main" id="{D2560460-99A6-4297-872E-CD7305288427}"/>
            </a:ext>
          </a:extLst>
        </xdr:cNvPr>
        <xdr:cNvPicPr>
          <a:picLocks noChangeAspect="1"/>
        </xdr:cNvPicPr>
      </xdr:nvPicPr>
      <xdr:blipFill>
        <a:blip xmlns:r="http://schemas.openxmlformats.org/officeDocument/2006/relationships" r:embed="rId1"/>
        <a:stretch>
          <a:fillRect/>
        </a:stretch>
      </xdr:blipFill>
      <xdr:spPr>
        <a:xfrm>
          <a:off x="0" y="0"/>
          <a:ext cx="12457062" cy="828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255106</xdr:colOff>
      <xdr:row>20</xdr:row>
      <xdr:rowOff>76286</xdr:rowOff>
    </xdr:from>
    <xdr:to>
      <xdr:col>25</xdr:col>
      <xdr:colOff>612014</xdr:colOff>
      <xdr:row>45</xdr:row>
      <xdr:rowOff>45470</xdr:rowOff>
    </xdr:to>
    <xdr:graphicFrame macro="">
      <xdr:nvGraphicFramePr>
        <xdr:cNvPr id="2" name="Graphique 1">
          <a:extLst>
            <a:ext uri="{FF2B5EF4-FFF2-40B4-BE49-F238E27FC236}">
              <a16:creationId xmlns:a16="http://schemas.microsoft.com/office/drawing/2014/main" id="{53DC295F-F731-4759-9439-65C671535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684952</xdr:colOff>
      <xdr:row>40</xdr:row>
      <xdr:rowOff>35239</xdr:rowOff>
    </xdr:to>
    <xdr:pic>
      <xdr:nvPicPr>
        <xdr:cNvPr id="2" name="Image 1">
          <a:extLst>
            <a:ext uri="{FF2B5EF4-FFF2-40B4-BE49-F238E27FC236}">
              <a16:creationId xmlns:a16="http://schemas.microsoft.com/office/drawing/2014/main" id="{8D72E5FD-197C-4CE0-AEF7-DFD114507907}"/>
            </a:ext>
          </a:extLst>
        </xdr:cNvPr>
        <xdr:cNvPicPr>
          <a:picLocks noChangeAspect="1"/>
        </xdr:cNvPicPr>
      </xdr:nvPicPr>
      <xdr:blipFill>
        <a:blip xmlns:r="http://schemas.openxmlformats.org/officeDocument/2006/relationships" r:embed="rId1"/>
        <a:stretch>
          <a:fillRect/>
        </a:stretch>
      </xdr:blipFill>
      <xdr:spPr>
        <a:xfrm>
          <a:off x="0" y="0"/>
          <a:ext cx="6780952" cy="77028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217007</xdr:colOff>
      <xdr:row>16</xdr:row>
      <xdr:rowOff>190498</xdr:rowOff>
    </xdr:from>
    <xdr:to>
      <xdr:col>25</xdr:col>
      <xdr:colOff>1419225</xdr:colOff>
      <xdr:row>39</xdr:row>
      <xdr:rowOff>38100</xdr:rowOff>
    </xdr:to>
    <xdr:graphicFrame macro="">
      <xdr:nvGraphicFramePr>
        <xdr:cNvPr id="2" name="Graphique 1">
          <a:extLst>
            <a:ext uri="{FF2B5EF4-FFF2-40B4-BE49-F238E27FC236}">
              <a16:creationId xmlns:a16="http://schemas.microsoft.com/office/drawing/2014/main" id="{9D0051CD-2349-4620-A786-83C12A188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ch&#234;ne%20sess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tilleu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ch&#234;ne%20rou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peuplier%20Ko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chêne sessile
(tCO₂/ha)</v>
          </cell>
        </row>
        <row r="2">
          <cell r="A2">
            <v>0</v>
          </cell>
          <cell r="E2">
            <v>0</v>
          </cell>
          <cell r="F2">
            <v>0</v>
          </cell>
          <cell r="J2">
            <v>0</v>
          </cell>
        </row>
        <row r="3">
          <cell r="A3">
            <v>1</v>
          </cell>
          <cell r="E3">
            <v>2.2722141346836602</v>
          </cell>
          <cell r="F3">
            <v>1</v>
          </cell>
          <cell r="J3">
            <v>1.1861626566213483</v>
          </cell>
        </row>
        <row r="4">
          <cell r="A4">
            <v>2</v>
          </cell>
          <cell r="E4">
            <v>4.4322627676630342</v>
          </cell>
          <cell r="F4">
            <v>2</v>
          </cell>
          <cell r="J4">
            <v>2.3105886501740986</v>
          </cell>
        </row>
        <row r="5">
          <cell r="A5">
            <v>3</v>
          </cell>
          <cell r="E5">
            <v>6.5560875739478979</v>
          </cell>
          <cell r="F5">
            <v>3</v>
          </cell>
          <cell r="J5">
            <v>3.4150768005423173</v>
          </cell>
        </row>
        <row r="6">
          <cell r="A6">
            <v>4</v>
          </cell>
          <cell r="E6">
            <v>8.6575831706227913</v>
          </cell>
          <cell r="F6">
            <v>4</v>
          </cell>
          <cell r="J6">
            <v>4.5072748004691539</v>
          </cell>
        </row>
        <row r="7">
          <cell r="A7">
            <v>5</v>
          </cell>
          <cell r="E7">
            <v>10.743047053646096</v>
          </cell>
          <cell r="F7">
            <v>5</v>
          </cell>
          <cell r="J7">
            <v>5.5906488350137495</v>
          </cell>
        </row>
        <row r="8">
          <cell r="A8">
            <v>6</v>
          </cell>
          <cell r="E8">
            <v>12.816071577640278</v>
          </cell>
          <cell r="F8">
            <v>6</v>
          </cell>
          <cell r="J8">
            <v>6.6671761608511035</v>
          </cell>
        </row>
        <row r="9">
          <cell r="A9">
            <v>7</v>
          </cell>
          <cell r="E9">
            <v>14.87897259473001</v>
          </cell>
          <cell r="F9">
            <v>7</v>
          </cell>
          <cell r="J9">
            <v>8.8044025208429719</v>
          </cell>
        </row>
        <row r="10">
          <cell r="A10">
            <v>8</v>
          </cell>
          <cell r="E10">
            <v>16.933363187349929</v>
          </cell>
          <cell r="F10">
            <v>8</v>
          </cell>
          <cell r="J10">
            <v>10.925348899606076</v>
          </cell>
        </row>
        <row r="11">
          <cell r="A11">
            <v>9</v>
          </cell>
          <cell r="E11">
            <v>18.980428991609543</v>
          </cell>
          <cell r="F11">
            <v>9</v>
          </cell>
          <cell r="J11">
            <v>13.033663283069531</v>
          </cell>
        </row>
        <row r="12">
          <cell r="A12">
            <v>10</v>
          </cell>
          <cell r="E12">
            <v>21.021076712150265</v>
          </cell>
          <cell r="F12">
            <v>10</v>
          </cell>
          <cell r="J12">
            <v>15.131697386710426</v>
          </cell>
        </row>
        <row r="13">
          <cell r="A13">
            <v>11</v>
          </cell>
          <cell r="E13">
            <v>23.056021218970372</v>
          </cell>
          <cell r="F13">
            <v>11</v>
          </cell>
          <cell r="J13">
            <v>17.221089273204196</v>
          </cell>
        </row>
        <row r="14">
          <cell r="A14">
            <v>12</v>
          </cell>
          <cell r="E14">
            <v>25.085839950688193</v>
          </cell>
          <cell r="F14">
            <v>12</v>
          </cell>
          <cell r="J14">
            <v>19.303042939455146</v>
          </cell>
        </row>
        <row r="15">
          <cell r="A15">
            <v>13</v>
          </cell>
          <cell r="E15">
            <v>27.111008618154589</v>
          </cell>
          <cell r="F15">
            <v>13</v>
          </cell>
          <cell r="J15">
            <v>21.378479131358745</v>
          </cell>
        </row>
        <row r="16">
          <cell r="A16">
            <v>14</v>
          </cell>
          <cell r="E16">
            <v>29.131925588483782</v>
          </cell>
          <cell r="F16">
            <v>14</v>
          </cell>
          <cell r="J16">
            <v>25.512563294459923</v>
          </cell>
        </row>
        <row r="17">
          <cell r="A17">
            <v>15</v>
          </cell>
          <cell r="E17">
            <v>31.148929094436621</v>
          </cell>
          <cell r="F17">
            <v>15</v>
          </cell>
          <cell r="J17">
            <v>31.679106437289079</v>
          </cell>
        </row>
        <row r="18">
          <cell r="A18">
            <v>16</v>
          </cell>
          <cell r="E18">
            <v>33.162309719687322</v>
          </cell>
          <cell r="F18">
            <v>16</v>
          </cell>
          <cell r="J18">
            <v>39.850427353608758</v>
          </cell>
        </row>
        <row r="19">
          <cell r="A19">
            <v>17</v>
          </cell>
          <cell r="E19">
            <v>35.172319671970541</v>
          </cell>
          <cell r="F19">
            <v>17</v>
          </cell>
          <cell r="J19">
            <v>50.00160312094232</v>
          </cell>
        </row>
        <row r="20">
          <cell r="A20">
            <v>18</v>
          </cell>
          <cell r="E20">
            <v>37.179179811358189</v>
          </cell>
          <cell r="F20">
            <v>18</v>
          </cell>
          <cell r="J20">
            <v>62.111611813038422</v>
          </cell>
        </row>
        <row r="21">
          <cell r="A21">
            <v>19</v>
          </cell>
          <cell r="E21">
            <v>39.183085071920395</v>
          </cell>
          <cell r="F21">
            <v>19</v>
          </cell>
          <cell r="J21">
            <v>76.163060165576709</v>
          </cell>
        </row>
        <row r="22">
          <cell r="A22">
            <v>20</v>
          </cell>
          <cell r="E22">
            <v>41.184208709422556</v>
          </cell>
          <cell r="F22">
            <v>20</v>
          </cell>
          <cell r="J22">
            <v>86.158510470515964</v>
          </cell>
        </row>
        <row r="23">
          <cell r="A23">
            <v>21</v>
          </cell>
          <cell r="E23">
            <v>43.182705675340429</v>
          </cell>
          <cell r="F23">
            <v>21</v>
          </cell>
          <cell r="J23">
            <v>97.318927922969621</v>
          </cell>
        </row>
        <row r="24">
          <cell r="A24">
            <v>22</v>
          </cell>
          <cell r="E24">
            <v>45.178715329996784</v>
          </cell>
          <cell r="F24">
            <v>22</v>
          </cell>
          <cell r="J24">
            <v>108.4475019129206</v>
          </cell>
        </row>
        <row r="25">
          <cell r="A25">
            <v>23</v>
          </cell>
          <cell r="E25">
            <v>47.172363648455985</v>
          </cell>
          <cell r="F25">
            <v>23</v>
          </cell>
          <cell r="J25">
            <v>119.54796628555846</v>
          </cell>
        </row>
        <row r="26">
          <cell r="A26">
            <v>24</v>
          </cell>
          <cell r="E26">
            <v>49.163765031959791</v>
          </cell>
          <cell r="F26">
            <v>24</v>
          </cell>
          <cell r="J26">
            <v>130.62330272297189</v>
          </cell>
        </row>
        <row r="27">
          <cell r="A27">
            <v>25</v>
          </cell>
          <cell r="E27">
            <v>51.153023808950088</v>
          </cell>
          <cell r="F27">
            <v>25</v>
          </cell>
          <cell r="J27">
            <v>141.67594470663133</v>
          </cell>
        </row>
        <row r="28">
          <cell r="A28">
            <v>26</v>
          </cell>
          <cell r="E28">
            <v>53.140235489167587</v>
          </cell>
          <cell r="F28">
            <v>25</v>
          </cell>
          <cell r="J28">
            <v>125.87964006712114</v>
          </cell>
        </row>
        <row r="29">
          <cell r="A29">
            <v>27</v>
          </cell>
          <cell r="E29">
            <v>55.125487819385427</v>
          </cell>
          <cell r="F29">
            <v>26</v>
          </cell>
          <cell r="J29">
            <v>139.70382844505221</v>
          </cell>
        </row>
        <row r="30">
          <cell r="A30">
            <v>28</v>
          </cell>
          <cell r="E30">
            <v>57.10886167834105</v>
          </cell>
          <cell r="F30">
            <v>27</v>
          </cell>
          <cell r="J30">
            <v>153.49516770691636</v>
          </cell>
        </row>
        <row r="31">
          <cell r="A31">
            <v>29</v>
          </cell>
          <cell r="E31">
            <v>59.090431840228007</v>
          </cell>
          <cell r="F31">
            <v>28</v>
          </cell>
          <cell r="J31">
            <v>167.25702755094338</v>
          </cell>
        </row>
        <row r="32">
          <cell r="A32">
            <v>30</v>
          </cell>
          <cell r="E32">
            <v>61.07026762991989</v>
          </cell>
          <cell r="F32">
            <v>29</v>
          </cell>
          <cell r="J32">
            <v>180.99217685858619</v>
          </cell>
        </row>
        <row r="33">
          <cell r="A33">
            <v>31</v>
          </cell>
          <cell r="E33">
            <v>63.048433488376901</v>
          </cell>
          <cell r="F33">
            <v>30</v>
          </cell>
          <cell r="J33">
            <v>194.70292931794017</v>
          </cell>
        </row>
        <row r="34">
          <cell r="A34">
            <v>32</v>
          </cell>
          <cell r="E34">
            <v>65.024989463047447</v>
          </cell>
          <cell r="F34">
            <v>31</v>
          </cell>
          <cell r="J34">
            <v>210.34498910896306</v>
          </cell>
        </row>
        <row r="35">
          <cell r="A35">
            <v>33</v>
          </cell>
          <cell r="E35">
            <v>66.999991635247355</v>
          </cell>
          <cell r="F35">
            <v>32</v>
          </cell>
          <cell r="J35">
            <v>225.96022281826015</v>
          </cell>
        </row>
        <row r="36">
          <cell r="A36">
            <v>34</v>
          </cell>
          <cell r="E36">
            <v>68.97349249428018</v>
          </cell>
          <cell r="F36">
            <v>33</v>
          </cell>
          <cell r="J36">
            <v>241.5507456503326</v>
          </cell>
        </row>
        <row r="37">
          <cell r="A37">
            <v>35</v>
          </cell>
          <cell r="E37">
            <v>70.945541266306407</v>
          </cell>
          <cell r="F37">
            <v>34</v>
          </cell>
          <cell r="J37">
            <v>257.11837729187425</v>
          </cell>
        </row>
        <row r="38">
          <cell r="A38">
            <v>36</v>
          </cell>
          <cell r="E38">
            <v>72.916184204571309</v>
          </cell>
          <cell r="F38">
            <v>35</v>
          </cell>
          <cell r="J38">
            <v>272.6646989766358</v>
          </cell>
        </row>
        <row r="39">
          <cell r="A39">
            <v>37</v>
          </cell>
          <cell r="E39">
            <v>74.885464846478598</v>
          </cell>
          <cell r="F39">
            <v>35</v>
          </cell>
          <cell r="J39">
            <v>190.78794083960554</v>
          </cell>
        </row>
        <row r="40">
          <cell r="A40">
            <v>38</v>
          </cell>
          <cell r="E40">
            <v>76.853424242090853</v>
          </cell>
          <cell r="F40">
            <v>36</v>
          </cell>
          <cell r="J40">
            <v>207.21879690654114</v>
          </cell>
        </row>
        <row r="41">
          <cell r="A41">
            <v>39</v>
          </cell>
          <cell r="E41">
            <v>78.820101157900638</v>
          </cell>
          <cell r="F41">
            <v>37</v>
          </cell>
          <cell r="J41">
            <v>223.61956111075634</v>
          </cell>
        </row>
        <row r="42">
          <cell r="A42">
            <v>40</v>
          </cell>
          <cell r="E42">
            <v>80.785532259113808</v>
          </cell>
          <cell r="F42">
            <v>38</v>
          </cell>
          <cell r="J42">
            <v>239.99275146392384</v>
          </cell>
        </row>
        <row r="43">
          <cell r="A43">
            <v>41</v>
          </cell>
          <cell r="E43">
            <v>82.749752273191604</v>
          </cell>
          <cell r="F43">
            <v>39</v>
          </cell>
          <cell r="J43">
            <v>256.34051411178768</v>
          </cell>
        </row>
        <row r="44">
          <cell r="A44">
            <v>42</v>
          </cell>
          <cell r="E44">
            <v>84.712794136987995</v>
          </cell>
          <cell r="F44">
            <v>40</v>
          </cell>
          <cell r="J44">
            <v>272.6646989766358</v>
          </cell>
        </row>
        <row r="45">
          <cell r="A45">
            <v>43</v>
          </cell>
          <cell r="E45">
            <v>86.674689129479319</v>
          </cell>
          <cell r="F45">
            <v>41</v>
          </cell>
          <cell r="J45">
            <v>288.96691630985214</v>
          </cell>
        </row>
        <row r="46">
          <cell r="A46">
            <v>44</v>
          </cell>
          <cell r="E46">
            <v>88.635466991799021</v>
          </cell>
          <cell r="F46">
            <v>42</v>
          </cell>
          <cell r="J46">
            <v>305.24857979967942</v>
          </cell>
        </row>
        <row r="47">
          <cell r="A47">
            <v>45</v>
          </cell>
          <cell r="E47">
            <v>90.595156036052515</v>
          </cell>
          <cell r="F47">
            <v>43</v>
          </cell>
          <cell r="J47">
            <v>321.51093999187793</v>
          </cell>
        </row>
        <row r="48">
          <cell r="A48">
            <v>46</v>
          </cell>
          <cell r="E48">
            <v>92.553783244187045</v>
          </cell>
          <cell r="F48">
            <v>44</v>
          </cell>
          <cell r="J48">
            <v>337.75511058999291</v>
          </cell>
        </row>
        <row r="49">
          <cell r="A49">
            <v>47</v>
          </cell>
          <cell r="E49">
            <v>94.511374358021442</v>
          </cell>
          <cell r="F49">
            <v>45</v>
          </cell>
          <cell r="J49">
            <v>353.98208942867717</v>
          </cell>
        </row>
        <row r="50">
          <cell r="A50">
            <v>48</v>
          </cell>
          <cell r="E50">
            <v>96.467953961397711</v>
          </cell>
          <cell r="F50">
            <v>45</v>
          </cell>
          <cell r="J50">
            <v>272.6646989766358</v>
          </cell>
        </row>
        <row r="51">
          <cell r="A51">
            <v>49</v>
          </cell>
          <cell r="E51">
            <v>98.423545555293359</v>
          </cell>
          <cell r="F51">
            <v>46</v>
          </cell>
          <cell r="J51">
            <v>288.57901240448899</v>
          </cell>
        </row>
        <row r="52">
          <cell r="A52">
            <v>50</v>
          </cell>
          <cell r="E52">
            <v>100.37817162662895</v>
          </cell>
          <cell r="F52">
            <v>47</v>
          </cell>
          <cell r="J52">
            <v>304.47370954373423</v>
          </cell>
        </row>
        <row r="53">
          <cell r="A53">
            <v>51</v>
          </cell>
          <cell r="E53">
            <v>102.33185371141566</v>
          </cell>
          <cell r="F53">
            <v>48</v>
          </cell>
          <cell r="J53">
            <v>320.34995854628932</v>
          </cell>
        </row>
        <row r="54">
          <cell r="A54">
            <v>52</v>
          </cell>
          <cell r="E54">
            <v>104.28461245280987</v>
          </cell>
          <cell r="F54">
            <v>49</v>
          </cell>
          <cell r="J54">
            <v>336.20880231759617</v>
          </cell>
        </row>
        <row r="55">
          <cell r="A55">
            <v>53</v>
          </cell>
          <cell r="E55">
            <v>106.23646765457613</v>
          </cell>
          <cell r="F55">
            <v>50</v>
          </cell>
          <cell r="J55">
            <v>352.05117734371055</v>
          </cell>
        </row>
        <row r="56">
          <cell r="A56">
            <v>54</v>
          </cell>
          <cell r="E56">
            <v>108.18743833040095</v>
          </cell>
          <cell r="F56">
            <v>51</v>
          </cell>
          <cell r="J56">
            <v>367.49209034996028</v>
          </cell>
        </row>
        <row r="57">
          <cell r="A57">
            <v>55</v>
          </cell>
          <cell r="E57">
            <v>110.13754274945018</v>
          </cell>
          <cell r="F57">
            <v>52</v>
          </cell>
          <cell r="J57">
            <v>382.9188457551441</v>
          </cell>
        </row>
        <row r="58">
          <cell r="A58">
            <v>56</v>
          </cell>
          <cell r="E58">
            <v>112.08679847851977</v>
          </cell>
          <cell r="F58">
            <v>53</v>
          </cell>
          <cell r="J58">
            <v>398.33209414857441</v>
          </cell>
        </row>
        <row r="59">
          <cell r="A59">
            <v>57</v>
          </cell>
          <cell r="E59">
            <v>114.03522242109018</v>
          </cell>
          <cell r="F59">
            <v>54</v>
          </cell>
          <cell r="J59">
            <v>413.73243167051174</v>
          </cell>
        </row>
        <row r="60">
          <cell r="A60">
            <v>58</v>
          </cell>
          <cell r="E60">
            <v>115.98283085356282</v>
          </cell>
          <cell r="F60">
            <v>55</v>
          </cell>
          <cell r="J60">
            <v>429.1204064684805</v>
          </cell>
        </row>
        <row r="61">
          <cell r="A61">
            <v>59</v>
          </cell>
          <cell r="E61">
            <v>117.92963945892645</v>
          </cell>
          <cell r="F61">
            <v>55</v>
          </cell>
          <cell r="J61">
            <v>348.18865493629556</v>
          </cell>
        </row>
        <row r="62">
          <cell r="A62">
            <v>60</v>
          </cell>
          <cell r="E62">
            <v>119.87566335807644</v>
          </cell>
          <cell r="F62">
            <v>56</v>
          </cell>
          <cell r="J62">
            <v>362.8613341480654</v>
          </cell>
        </row>
        <row r="63">
          <cell r="A63">
            <v>61</v>
          </cell>
          <cell r="E63">
            <v>121.82091713898713</v>
          </cell>
          <cell r="F63">
            <v>57</v>
          </cell>
          <cell r="J63">
            <v>377.52104986809326</v>
          </cell>
        </row>
        <row r="64">
          <cell r="A64">
            <v>62</v>
          </cell>
          <cell r="E64">
            <v>123.7654148839167</v>
          </cell>
          <cell r="F64">
            <v>58</v>
          </cell>
          <cell r="J64">
            <v>392.16837634017293</v>
          </cell>
        </row>
        <row r="65">
          <cell r="A65">
            <v>63</v>
          </cell>
          <cell r="E65">
            <v>125.70917019480748</v>
          </cell>
          <cell r="F65">
            <v>59</v>
          </cell>
          <cell r="J65">
            <v>406.80384141548689</v>
          </cell>
        </row>
        <row r="66">
          <cell r="A66">
            <v>64</v>
          </cell>
          <cell r="E66">
            <v>127.65219621702742</v>
          </cell>
          <cell r="F66">
            <v>60</v>
          </cell>
          <cell r="J66">
            <v>421.42793186976104</v>
          </cell>
        </row>
        <row r="67">
          <cell r="A67">
            <v>65</v>
          </cell>
          <cell r="E67">
            <v>129.59450566158586</v>
          </cell>
          <cell r="F67">
            <v>61</v>
          </cell>
          <cell r="J67">
            <v>435.27224940464242</v>
          </cell>
        </row>
        <row r="68">
          <cell r="A68">
            <v>66</v>
          </cell>
          <cell r="E68">
            <v>131.53611082594338</v>
          </cell>
          <cell r="F68">
            <v>62</v>
          </cell>
          <cell r="J68">
            <v>449.10711821530077</v>
          </cell>
        </row>
        <row r="69">
          <cell r="A69">
            <v>67</v>
          </cell>
          <cell r="E69">
            <v>133.47702361352444</v>
          </cell>
          <cell r="F69">
            <v>63</v>
          </cell>
          <cell r="J69">
            <v>462.93287033289994</v>
          </cell>
        </row>
        <row r="70">
          <cell r="A70">
            <v>68</v>
          </cell>
          <cell r="E70">
            <v>135.41725555203229</v>
          </cell>
          <cell r="F70">
            <v>64</v>
          </cell>
          <cell r="J70">
            <v>476.74981634160116</v>
          </cell>
        </row>
        <row r="71">
          <cell r="A71">
            <v>69</v>
          </cell>
          <cell r="E71">
            <v>137.35681781065566</v>
          </cell>
          <cell r="F71">
            <v>65</v>
          </cell>
          <cell r="J71">
            <v>490.55824735832425</v>
          </cell>
        </row>
        <row r="72">
          <cell r="A72">
            <v>70</v>
          </cell>
          <cell r="E72">
            <v>139.29572121624977</v>
          </cell>
          <cell r="F72">
            <v>65</v>
          </cell>
          <cell r="J72">
            <v>409.88352694182043</v>
          </cell>
        </row>
        <row r="73">
          <cell r="A73">
            <v>71</v>
          </cell>
          <cell r="E73">
            <v>141.23397626856661</v>
          </cell>
          <cell r="F73">
            <v>66</v>
          </cell>
          <cell r="J73">
            <v>422.96666682108599</v>
          </cell>
        </row>
        <row r="74">
          <cell r="A74">
            <v>72</v>
          </cell>
          <cell r="E74">
            <v>143.17159315460216</v>
          </cell>
          <cell r="F74">
            <v>67</v>
          </cell>
          <cell r="J74">
            <v>436.04109794385869</v>
          </cell>
        </row>
        <row r="75">
          <cell r="A75">
            <v>73</v>
          </cell>
          <cell r="E75">
            <v>145.10858176212471</v>
          </cell>
          <cell r="F75">
            <v>68</v>
          </cell>
          <cell r="J75">
            <v>449.10711821530077</v>
          </cell>
        </row>
        <row r="76">
          <cell r="A76">
            <v>74</v>
          </cell>
          <cell r="E76">
            <v>147.04495169244021</v>
          </cell>
          <cell r="F76">
            <v>69</v>
          </cell>
          <cell r="J76">
            <v>462.16500679362116</v>
          </cell>
        </row>
        <row r="77">
          <cell r="A77">
            <v>75</v>
          </cell>
          <cell r="E77">
            <v>148.98071227244827</v>
          </cell>
          <cell r="F77">
            <v>70</v>
          </cell>
          <cell r="J77">
            <v>475.21502577729046</v>
          </cell>
        </row>
        <row r="78">
          <cell r="A78">
            <v>76</v>
          </cell>
          <cell r="E78">
            <v>150.91587256603665</v>
          </cell>
          <cell r="F78">
            <v>71</v>
          </cell>
          <cell r="J78">
            <v>487.10692264565654</v>
          </cell>
        </row>
        <row r="79">
          <cell r="A79">
            <v>77</v>
          </cell>
          <cell r="E79">
            <v>152.85044138485929</v>
          </cell>
          <cell r="F79">
            <v>72</v>
          </cell>
          <cell r="J79">
            <v>498.99265901764267</v>
          </cell>
        </row>
        <row r="80">
          <cell r="A80">
            <v>78</v>
          </cell>
          <cell r="E80">
            <v>154.78442729853825</v>
          </cell>
          <cell r="F80">
            <v>73</v>
          </cell>
          <cell r="J80">
            <v>510.87240230317917</v>
          </cell>
        </row>
        <row r="81">
          <cell r="A81">
            <v>79</v>
          </cell>
          <cell r="E81">
            <v>156.7178386443274</v>
          </cell>
          <cell r="F81">
            <v>74</v>
          </cell>
          <cell r="J81">
            <v>522.74631149207426</v>
          </cell>
        </row>
        <row r="82">
          <cell r="A82">
            <v>80</v>
          </cell>
          <cell r="E82">
            <v>158.65068353627368</v>
          </cell>
          <cell r="F82">
            <v>75</v>
          </cell>
          <cell r="J82">
            <v>534.61453776319547</v>
          </cell>
        </row>
        <row r="83">
          <cell r="A83">
            <v>81</v>
          </cell>
          <cell r="E83">
            <v>160.58296987390614</v>
          </cell>
          <cell r="F83">
            <v>75</v>
          </cell>
          <cell r="J83">
            <v>454.10078588624373</v>
          </cell>
        </row>
        <row r="84">
          <cell r="A84">
            <v>82</v>
          </cell>
          <cell r="E84">
            <v>162.51470535048455</v>
          </cell>
          <cell r="F84">
            <v>76</v>
          </cell>
          <cell r="J84">
            <v>465.62017905920681</v>
          </cell>
        </row>
        <row r="85">
          <cell r="A85">
            <v>83</v>
          </cell>
          <cell r="E85">
            <v>164.44589746083363</v>
          </cell>
          <cell r="F85">
            <v>77</v>
          </cell>
          <cell r="J85">
            <v>477.13349754486762</v>
          </cell>
        </row>
        <row r="86">
          <cell r="A86">
            <v>84</v>
          </cell>
          <cell r="E86">
            <v>166.37655350878956</v>
          </cell>
          <cell r="F86">
            <v>78</v>
          </cell>
          <cell r="J86">
            <v>488.64090858857702</v>
          </cell>
        </row>
        <row r="87">
          <cell r="A87">
            <v>85</v>
          </cell>
          <cell r="E87">
            <v>168.30668061428082</v>
          </cell>
          <cell r="F87">
            <v>79</v>
          </cell>
          <cell r="J87">
            <v>500.14257091604287</v>
          </cell>
        </row>
        <row r="88">
          <cell r="A88">
            <v>86</v>
          </cell>
          <cell r="E88">
            <v>170.23628572006746</v>
          </cell>
          <cell r="F88">
            <v>80</v>
          </cell>
          <cell r="J88">
            <v>511.63863535742718</v>
          </cell>
        </row>
        <row r="89">
          <cell r="A89">
            <v>87</v>
          </cell>
          <cell r="E89">
            <v>172.165375598157</v>
          </cell>
          <cell r="F89">
            <v>81</v>
          </cell>
          <cell r="J89">
            <v>522.74631149207426</v>
          </cell>
        </row>
        <row r="90">
          <cell r="A90">
            <v>88</v>
          </cell>
          <cell r="E90">
            <v>174.09395685591764</v>
          </cell>
          <cell r="F90">
            <v>82</v>
          </cell>
          <cell r="J90">
            <v>533.84901440052897</v>
          </cell>
        </row>
        <row r="91">
          <cell r="A91">
            <v>89</v>
          </cell>
          <cell r="E91">
            <v>176.02203594190519</v>
          </cell>
          <cell r="F91">
            <v>83</v>
          </cell>
          <cell r="J91">
            <v>544.94686208460519</v>
          </cell>
        </row>
        <row r="92">
          <cell r="A92">
            <v>90</v>
          </cell>
          <cell r="E92">
            <v>177.94961915142096</v>
          </cell>
          <cell r="F92">
            <v>84</v>
          </cell>
          <cell r="J92">
            <v>556.03996734839518</v>
          </cell>
        </row>
        <row r="93">
          <cell r="A93">
            <v>91</v>
          </cell>
          <cell r="E93">
            <v>179.87671263181528</v>
          </cell>
          <cell r="F93">
            <v>85</v>
          </cell>
          <cell r="J93">
            <v>567.12843812854373</v>
          </cell>
        </row>
        <row r="94">
          <cell r="A94">
            <v>92</v>
          </cell>
          <cell r="E94">
            <v>181.80332238755173</v>
          </cell>
          <cell r="F94">
            <v>85</v>
          </cell>
          <cell r="J94">
            <v>486.72341015001916</v>
          </cell>
        </row>
        <row r="95">
          <cell r="A95">
            <v>93</v>
          </cell>
          <cell r="E95">
            <v>183.72945428504417</v>
          </cell>
          <cell r="F95">
            <v>86</v>
          </cell>
          <cell r="J95">
            <v>497.07601440225955</v>
          </cell>
        </row>
        <row r="96">
          <cell r="A96">
            <v>94</v>
          </cell>
          <cell r="E96">
            <v>185.65511405728049</v>
          </cell>
          <cell r="F96">
            <v>87</v>
          </cell>
          <cell r="J96">
            <v>507.42405248193251</v>
          </cell>
        </row>
        <row r="97">
          <cell r="A97">
            <v>95</v>
          </cell>
          <cell r="E97">
            <v>187.5803073082437</v>
          </cell>
          <cell r="F97">
            <v>88</v>
          </cell>
          <cell r="J97">
            <v>517.76763064124975</v>
          </cell>
        </row>
        <row r="98">
          <cell r="A98">
            <v>96</v>
          </cell>
          <cell r="E98">
            <v>189.50503951714131</v>
          </cell>
          <cell r="F98">
            <v>89</v>
          </cell>
          <cell r="J98">
            <v>528.10685054075066</v>
          </cell>
        </row>
        <row r="99">
          <cell r="A99">
            <v>97</v>
          </cell>
          <cell r="E99">
            <v>191.42931604245396</v>
          </cell>
          <cell r="F99">
            <v>90</v>
          </cell>
          <cell r="J99">
            <v>538.44180953565854</v>
          </cell>
        </row>
        <row r="100">
          <cell r="A100">
            <v>98</v>
          </cell>
          <cell r="E100">
            <v>193.35314212581196</v>
          </cell>
          <cell r="F100">
            <v>91</v>
          </cell>
          <cell r="J100">
            <v>548.00749806060492</v>
          </cell>
        </row>
        <row r="101">
          <cell r="A101">
            <v>99</v>
          </cell>
          <cell r="E101">
            <v>195.27652289570918</v>
          </cell>
          <cell r="F101">
            <v>92</v>
          </cell>
          <cell r="J101">
            <v>557.56968475025803</v>
          </cell>
        </row>
        <row r="102">
          <cell r="A102">
            <v>100</v>
          </cell>
          <cell r="E102">
            <v>197.19946337106239</v>
          </cell>
          <cell r="F102">
            <v>93</v>
          </cell>
          <cell r="J102">
            <v>567.12843812854373</v>
          </cell>
        </row>
        <row r="103">
          <cell r="A103">
            <v>101</v>
          </cell>
          <cell r="E103">
            <v>199.12196846462484</v>
          </cell>
          <cell r="F103">
            <v>94</v>
          </cell>
          <cell r="J103">
            <v>576.68382422111188</v>
          </cell>
        </row>
        <row r="104">
          <cell r="A104">
            <v>102</v>
          </cell>
          <cell r="E104">
            <v>201.04404298625983</v>
          </cell>
          <cell r="F104">
            <v>95</v>
          </cell>
          <cell r="J104">
            <v>586.23590668718828</v>
          </cell>
        </row>
        <row r="105">
          <cell r="A105">
            <v>103</v>
          </cell>
          <cell r="E105">
            <v>202.96569164608289</v>
          </cell>
          <cell r="F105">
            <v>95</v>
          </cell>
          <cell r="J105">
            <v>505.89129373820583</v>
          </cell>
        </row>
        <row r="106">
          <cell r="A106">
            <v>104</v>
          </cell>
          <cell r="E106">
            <v>204.88691905747837</v>
          </cell>
          <cell r="F106">
            <v>96</v>
          </cell>
          <cell r="J106">
            <v>515.08638473795327</v>
          </cell>
        </row>
        <row r="107">
          <cell r="A107">
            <v>105</v>
          </cell>
          <cell r="E107">
            <v>206.80772973999626</v>
          </cell>
          <cell r="F107">
            <v>97</v>
          </cell>
          <cell r="J107">
            <v>524.27801174542878</v>
          </cell>
        </row>
        <row r="108">
          <cell r="A108">
            <v>106</v>
          </cell>
          <cell r="E108">
            <v>208.72812812213627</v>
          </cell>
          <cell r="F108">
            <v>98</v>
          </cell>
          <cell r="J108">
            <v>533.46624406259446</v>
          </cell>
        </row>
        <row r="109">
          <cell r="A109">
            <v>107</v>
          </cell>
          <cell r="E109">
            <v>210.64811854402308</v>
          </cell>
          <cell r="F109">
            <v>99</v>
          </cell>
          <cell r="J109">
            <v>542.65114840915601</v>
          </cell>
        </row>
        <row r="110">
          <cell r="A110">
            <v>108</v>
          </cell>
          <cell r="E110">
            <v>212.56770525997899</v>
          </cell>
          <cell r="F110">
            <v>100</v>
          </cell>
          <cell r="J110">
            <v>551.83278906179714</v>
          </cell>
        </row>
        <row r="111">
          <cell r="A111">
            <v>109</v>
          </cell>
          <cell r="E111">
            <v>214.48689244099899</v>
          </cell>
          <cell r="F111">
            <v>101</v>
          </cell>
          <cell r="J111">
            <v>560.62885616584492</v>
          </cell>
        </row>
        <row r="112">
          <cell r="A112">
            <v>110</v>
          </cell>
          <cell r="E112">
            <v>216.40568417713132</v>
          </cell>
          <cell r="F112">
            <v>102</v>
          </cell>
          <cell r="J112">
            <v>569.42203544921153</v>
          </cell>
        </row>
        <row r="113">
          <cell r="A113">
            <v>111</v>
          </cell>
          <cell r="E113">
            <v>218.32408447977059</v>
          </cell>
          <cell r="F113">
            <v>103</v>
          </cell>
          <cell r="J113">
            <v>578.21237779735463</v>
          </cell>
        </row>
        <row r="114">
          <cell r="A114">
            <v>112</v>
          </cell>
          <cell r="E114">
            <v>220.24209728386407</v>
          </cell>
          <cell r="F114">
            <v>104</v>
          </cell>
          <cell r="J114">
            <v>586.99993242228993</v>
          </cell>
        </row>
        <row r="115">
          <cell r="A115">
            <v>113</v>
          </cell>
          <cell r="E115">
            <v>222.15972645003862</v>
          </cell>
          <cell r="F115">
            <v>105</v>
          </cell>
          <cell r="J115">
            <v>595.7847469423931</v>
          </cell>
        </row>
        <row r="116">
          <cell r="A116">
            <v>114</v>
          </cell>
          <cell r="E116">
            <v>224.0769757666487</v>
          </cell>
          <cell r="F116">
            <v>105</v>
          </cell>
          <cell r="J116">
            <v>517.38461348648968</v>
          </cell>
        </row>
        <row r="117">
          <cell r="A117">
            <v>115</v>
          </cell>
          <cell r="E117">
            <v>225.99384895175194</v>
          </cell>
          <cell r="F117">
            <v>106</v>
          </cell>
          <cell r="J117">
            <v>525.42672503969118</v>
          </cell>
        </row>
        <row r="118">
          <cell r="A118">
            <v>116</v>
          </cell>
          <cell r="E118">
            <v>227.91034965501251</v>
          </cell>
          <cell r="F118">
            <v>107</v>
          </cell>
          <cell r="J118">
            <v>533.46624406259446</v>
          </cell>
        </row>
        <row r="119">
          <cell r="A119">
            <v>117</v>
          </cell>
          <cell r="E119">
            <v>229.8264814595382</v>
          </cell>
          <cell r="F119">
            <v>108</v>
          </cell>
          <cell r="J119">
            <v>541.50321514452025</v>
          </cell>
        </row>
        <row r="120">
          <cell r="A120">
            <v>118</v>
          </cell>
          <cell r="E120">
            <v>231.7422478836522</v>
          </cell>
          <cell r="F120">
            <v>109</v>
          </cell>
          <cell r="J120">
            <v>549.53768144295771</v>
          </cell>
        </row>
        <row r="121">
          <cell r="A121">
            <v>119</v>
          </cell>
          <cell r="E121">
            <v>233.65765238260346</v>
          </cell>
          <cell r="F121">
            <v>110</v>
          </cell>
          <cell r="J121">
            <v>557.56968475025803</v>
          </cell>
        </row>
        <row r="122">
          <cell r="A122">
            <v>120</v>
          </cell>
          <cell r="E122">
            <v>235.57269835021734</v>
          </cell>
          <cell r="F122">
            <v>111</v>
          </cell>
          <cell r="J122">
            <v>564.83464686291802</v>
          </cell>
        </row>
        <row r="123">
          <cell r="A123">
            <v>121</v>
          </cell>
          <cell r="E123">
            <v>237.48738912049089</v>
          </cell>
          <cell r="F123">
            <v>112</v>
          </cell>
          <cell r="J123">
            <v>572.09765505476253</v>
          </cell>
        </row>
        <row r="124">
          <cell r="A124">
            <v>122</v>
          </cell>
          <cell r="E124">
            <v>239.40172796913217</v>
          </cell>
          <cell r="F124">
            <v>113</v>
          </cell>
          <cell r="J124">
            <v>579.35873763530469</v>
          </cell>
        </row>
        <row r="125">
          <cell r="A125">
            <v>123</v>
          </cell>
          <cell r="E125">
            <v>241.31571811504921</v>
          </cell>
          <cell r="F125">
            <v>114</v>
          </cell>
          <cell r="J125">
            <v>586.61792214643719</v>
          </cell>
        </row>
        <row r="126">
          <cell r="A126">
            <v>124</v>
          </cell>
          <cell r="E126">
            <v>243.22936272178819</v>
          </cell>
          <cell r="F126">
            <v>115</v>
          </cell>
          <cell r="J126">
            <v>593.87523539269284</v>
          </cell>
        </row>
        <row r="127">
          <cell r="A127">
            <v>125</v>
          </cell>
          <cell r="E127">
            <v>245.14266489892438</v>
          </cell>
          <cell r="F127">
            <v>115</v>
          </cell>
          <cell r="J127">
            <v>523.12924541243819</v>
          </cell>
        </row>
        <row r="128">
          <cell r="A128">
            <v>126</v>
          </cell>
          <cell r="E128">
            <v>247.05562770340683</v>
          </cell>
          <cell r="F128">
            <v>116</v>
          </cell>
          <cell r="J128">
            <v>530.02105046908662</v>
          </cell>
        </row>
        <row r="129">
          <cell r="A129">
            <v>127</v>
          </cell>
          <cell r="E129">
            <v>248.96825414086001</v>
          </cell>
          <cell r="F129">
            <v>117</v>
          </cell>
          <cell r="J129">
            <v>536.91096968482668</v>
          </cell>
        </row>
        <row r="130">
          <cell r="A130">
            <v>128</v>
          </cell>
          <cell r="E130">
            <v>250.88054716684209</v>
          </cell>
          <cell r="F130">
            <v>118</v>
          </cell>
          <cell r="J130">
            <v>543.79903068153806</v>
          </cell>
        </row>
        <row r="131">
          <cell r="A131">
            <v>129</v>
          </cell>
          <cell r="E131">
            <v>252.79250968806375</v>
          </cell>
          <cell r="F131">
            <v>119</v>
          </cell>
          <cell r="J131">
            <v>550.68526032404009</v>
          </cell>
        </row>
        <row r="132">
          <cell r="A132">
            <v>130</v>
          </cell>
          <cell r="E132">
            <v>254.70414456356775</v>
          </cell>
          <cell r="F132">
            <v>120</v>
          </cell>
          <cell r="J132">
            <v>557.56968475025803</v>
          </cell>
        </row>
        <row r="133">
          <cell r="A133">
            <v>131</v>
          </cell>
          <cell r="E133">
            <v>256.61545460587098</v>
          </cell>
          <cell r="F133">
            <v>121</v>
          </cell>
          <cell r="J133">
            <v>563.68767821983909</v>
          </cell>
        </row>
        <row r="134">
          <cell r="A134">
            <v>132</v>
          </cell>
          <cell r="E134">
            <v>258.52644258207124</v>
          </cell>
          <cell r="F134">
            <v>122</v>
          </cell>
          <cell r="J134">
            <v>569.80428287631264</v>
          </cell>
        </row>
        <row r="135">
          <cell r="A135">
            <v>133</v>
          </cell>
          <cell r="E135">
            <v>260.43711121491833</v>
          </cell>
          <cell r="F135">
            <v>123</v>
          </cell>
          <cell r="J135">
            <v>575.91951573593758</v>
          </cell>
        </row>
        <row r="136">
          <cell r="A136">
            <v>134</v>
          </cell>
          <cell r="E136">
            <v>262.34746318385379</v>
          </cell>
          <cell r="F136">
            <v>124</v>
          </cell>
          <cell r="J136">
            <v>582.03339342401421</v>
          </cell>
        </row>
        <row r="137">
          <cell r="A137">
            <v>135</v>
          </cell>
          <cell r="E137">
            <v>264.25750112601685</v>
          </cell>
          <cell r="F137">
            <v>125</v>
          </cell>
          <cell r="J137">
            <v>588.14593218796983</v>
          </cell>
        </row>
        <row r="138">
          <cell r="A138">
            <v>136</v>
          </cell>
          <cell r="E138">
            <v>266.16722763722106</v>
          </cell>
          <cell r="F138">
            <v>125</v>
          </cell>
          <cell r="J138">
            <v>525.04382649327351</v>
          </cell>
        </row>
        <row r="139">
          <cell r="A139">
            <v>137</v>
          </cell>
          <cell r="E139">
            <v>268.07664527290075</v>
          </cell>
          <cell r="F139">
            <v>126</v>
          </cell>
          <cell r="J139">
            <v>531.1695005439999</v>
          </cell>
        </row>
        <row r="140">
          <cell r="A140">
            <v>138</v>
          </cell>
          <cell r="E140">
            <v>269.98575654902891</v>
          </cell>
          <cell r="F140">
            <v>127</v>
          </cell>
          <cell r="J140">
            <v>537.29368823845232</v>
          </cell>
        </row>
        <row r="141">
          <cell r="A141">
            <v>139</v>
          </cell>
          <cell r="E141">
            <v>271.89456394300873</v>
          </cell>
          <cell r="F141">
            <v>128</v>
          </cell>
          <cell r="J141">
            <v>543.4164089156161</v>
          </cell>
        </row>
        <row r="142">
          <cell r="A142">
            <v>140</v>
          </cell>
          <cell r="E142">
            <v>273.80306989453715</v>
          </cell>
          <cell r="F142">
            <v>129</v>
          </cell>
          <cell r="J142">
            <v>549.53768144295771</v>
          </cell>
        </row>
        <row r="143">
          <cell r="A143">
            <v>141</v>
          </cell>
          <cell r="E143">
            <v>275.71127680644446</v>
          </cell>
          <cell r="F143">
            <v>130</v>
          </cell>
          <cell r="J143">
            <v>555.65752423315951</v>
          </cell>
        </row>
        <row r="144">
          <cell r="A144">
            <v>142</v>
          </cell>
          <cell r="E144">
            <v>277.6191870455084</v>
          </cell>
          <cell r="F144">
            <v>131</v>
          </cell>
          <cell r="J144">
            <v>561.01122798366885</v>
          </cell>
        </row>
        <row r="145">
          <cell r="A145">
            <v>143</v>
          </cell>
          <cell r="E145">
            <v>279.52680294324551</v>
          </cell>
          <cell r="F145">
            <v>132</v>
          </cell>
          <cell r="J145">
            <v>566.36386263371833</v>
          </cell>
        </row>
        <row r="146">
          <cell r="A146">
            <v>144</v>
          </cell>
          <cell r="E146">
            <v>281.43412679667932</v>
          </cell>
          <cell r="F146">
            <v>133</v>
          </cell>
          <cell r="J146">
            <v>571.71543971696565</v>
          </cell>
        </row>
        <row r="147">
          <cell r="A147">
            <v>145</v>
          </cell>
          <cell r="E147">
            <v>283.34116086908551</v>
          </cell>
          <cell r="F147">
            <v>134</v>
          </cell>
          <cell r="J147">
            <v>577.06597053344126</v>
          </cell>
        </row>
        <row r="148">
          <cell r="A148">
            <v>146</v>
          </cell>
          <cell r="E148">
            <v>285.24790739071892</v>
          </cell>
          <cell r="F148">
            <v>135</v>
          </cell>
          <cell r="J148">
            <v>582.4154661564512</v>
          </cell>
        </row>
        <row r="149">
          <cell r="A149">
            <v>147</v>
          </cell>
          <cell r="E149">
            <v>287.15436855951606</v>
          </cell>
          <cell r="F149">
            <v>135</v>
          </cell>
          <cell r="J149">
            <v>526.95826048952063</v>
          </cell>
        </row>
        <row r="150">
          <cell r="A150">
            <v>148</v>
          </cell>
          <cell r="E150">
            <v>289.06054654178126</v>
          </cell>
          <cell r="F150">
            <v>136</v>
          </cell>
          <cell r="J150">
            <v>531.93510488968684</v>
          </cell>
        </row>
        <row r="151">
          <cell r="A151">
            <v>149</v>
          </cell>
          <cell r="E151">
            <v>290.9664434728524</v>
          </cell>
          <cell r="F151">
            <v>137</v>
          </cell>
          <cell r="J151">
            <v>536.91096968482668</v>
          </cell>
        </row>
        <row r="152">
          <cell r="A152">
            <v>150</v>
          </cell>
          <cell r="E152">
            <v>292.8720614577478</v>
          </cell>
          <cell r="F152">
            <v>138</v>
          </cell>
          <cell r="J152">
            <v>541.88586523948345</v>
          </cell>
        </row>
        <row r="153">
          <cell r="F153">
            <v>139</v>
          </cell>
          <cell r="J153">
            <v>546.8598017122614</v>
          </cell>
        </row>
        <row r="154">
          <cell r="F154">
            <v>140</v>
          </cell>
          <cell r="J154">
            <v>551.83278906179714</v>
          </cell>
        </row>
        <row r="155">
          <cell r="F155">
            <v>141</v>
          </cell>
          <cell r="J155">
            <v>556.80483705250049</v>
          </cell>
        </row>
        <row r="156">
          <cell r="F156">
            <v>142</v>
          </cell>
          <cell r="J156">
            <v>561.7759552600827</v>
          </cell>
        </row>
        <row r="157">
          <cell r="F157">
            <v>143</v>
          </cell>
          <cell r="J157">
            <v>566.7461530768777</v>
          </cell>
        </row>
        <row r="158">
          <cell r="F158">
            <v>144</v>
          </cell>
          <cell r="J158">
            <v>571.71543971696565</v>
          </cell>
        </row>
        <row r="159">
          <cell r="F159">
            <v>145</v>
          </cell>
          <cell r="J159">
            <v>576.68382422111188</v>
          </cell>
        </row>
        <row r="160">
          <cell r="F160">
            <v>146</v>
          </cell>
          <cell r="J160">
            <v>580.88714383067781</v>
          </cell>
        </row>
        <row r="161">
          <cell r="F161">
            <v>147</v>
          </cell>
          <cell r="J161">
            <v>585.08982917045773</v>
          </cell>
        </row>
        <row r="162">
          <cell r="F162">
            <v>148</v>
          </cell>
          <cell r="J162">
            <v>589.29188544145154</v>
          </cell>
        </row>
        <row r="163">
          <cell r="F163">
            <v>149</v>
          </cell>
          <cell r="J163">
            <v>593.49331776439851</v>
          </cell>
        </row>
        <row r="164">
          <cell r="F164">
            <v>150</v>
          </cell>
          <cell r="J164">
            <v>597.6941311815882</v>
          </cell>
        </row>
        <row r="165">
          <cell r="F165">
            <v>150</v>
          </cell>
          <cell r="J165">
            <v>0</v>
          </cell>
        </row>
        <row r="166">
          <cell r="F166"/>
          <cell r="J166"/>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tilleul
(tCO₂/ha)</v>
          </cell>
        </row>
        <row r="2">
          <cell r="A2">
            <v>0</v>
          </cell>
          <cell r="E2">
            <v>0</v>
          </cell>
          <cell r="F2">
            <v>0</v>
          </cell>
          <cell r="J2">
            <v>0</v>
          </cell>
        </row>
        <row r="3">
          <cell r="A3">
            <v>1</v>
          </cell>
          <cell r="E3">
            <v>2.2722141346836602</v>
          </cell>
          <cell r="F3">
            <v>1</v>
          </cell>
          <cell r="J3">
            <v>1.1296753639631136</v>
          </cell>
        </row>
        <row r="4">
          <cell r="A4">
            <v>2</v>
          </cell>
          <cell r="E4">
            <v>4.4322627676630342</v>
          </cell>
          <cell r="F4">
            <v>2</v>
          </cell>
          <cell r="J4">
            <v>2.2003229937246598</v>
          </cell>
        </row>
        <row r="5">
          <cell r="A5">
            <v>3</v>
          </cell>
          <cell r="E5">
            <v>6.5560875739478979</v>
          </cell>
          <cell r="F5">
            <v>3</v>
          </cell>
          <cell r="J5">
            <v>3.2519076283460024</v>
          </cell>
        </row>
        <row r="6">
          <cell r="A6">
            <v>4</v>
          </cell>
          <cell r="E6">
            <v>8.6575831706227913</v>
          </cell>
          <cell r="F6">
            <v>4</v>
          </cell>
          <cell r="J6">
            <v>4.2917413892159546</v>
          </cell>
        </row>
        <row r="7">
          <cell r="A7">
            <v>5</v>
          </cell>
          <cell r="E7">
            <v>10.743047053646096</v>
          </cell>
          <cell r="F7">
            <v>5</v>
          </cell>
          <cell r="J7">
            <v>6.3479890661467318</v>
          </cell>
        </row>
        <row r="8">
          <cell r="A8">
            <v>6</v>
          </cell>
          <cell r="E8">
            <v>12.816071577640272</v>
          </cell>
          <cell r="F8">
            <v>6</v>
          </cell>
          <cell r="J8">
            <v>9.3937464663867924</v>
          </cell>
        </row>
        <row r="9">
          <cell r="A9">
            <v>7</v>
          </cell>
          <cell r="E9">
            <v>14.878972594730007</v>
          </cell>
          <cell r="F9">
            <v>7</v>
          </cell>
          <cell r="J9">
            <v>13.408149238555248</v>
          </cell>
        </row>
        <row r="10">
          <cell r="A10">
            <v>8</v>
          </cell>
          <cell r="E10">
            <v>16.933363187349929</v>
          </cell>
          <cell r="F10">
            <v>8</v>
          </cell>
          <cell r="J10">
            <v>18.376130342149079</v>
          </cell>
        </row>
        <row r="11">
          <cell r="A11">
            <v>9</v>
          </cell>
          <cell r="E11">
            <v>18.980428991609543</v>
          </cell>
          <cell r="F11">
            <v>9</v>
          </cell>
          <cell r="J11">
            <v>24.286544976498547</v>
          </cell>
        </row>
        <row r="12">
          <cell r="A12">
            <v>10</v>
          </cell>
          <cell r="E12">
            <v>21.021076712150265</v>
          </cell>
          <cell r="F12">
            <v>10</v>
          </cell>
          <cell r="J12">
            <v>31.130798969508078</v>
          </cell>
        </row>
        <row r="13">
          <cell r="A13">
            <v>11</v>
          </cell>
          <cell r="E13">
            <v>23.056021218970372</v>
          </cell>
          <cell r="F13">
            <v>11</v>
          </cell>
          <cell r="J13">
            <v>38.902006779696443</v>
          </cell>
        </row>
        <row r="14">
          <cell r="A14">
            <v>12</v>
          </cell>
          <cell r="E14">
            <v>25.085839950688193</v>
          </cell>
          <cell r="F14">
            <v>12</v>
          </cell>
          <cell r="J14">
            <v>47.594477436319387</v>
          </cell>
        </row>
        <row r="15">
          <cell r="A15">
            <v>13</v>
          </cell>
          <cell r="E15">
            <v>27.111008618154589</v>
          </cell>
          <cell r="F15">
            <v>13</v>
          </cell>
          <cell r="J15">
            <v>57.203389887100847</v>
          </cell>
        </row>
        <row r="16">
          <cell r="A16">
            <v>14</v>
          </cell>
          <cell r="E16">
            <v>29.131925588483782</v>
          </cell>
          <cell r="F16">
            <v>14</v>
          </cell>
          <cell r="J16">
            <v>67.724579331966666</v>
          </cell>
        </row>
        <row r="17">
          <cell r="A17">
            <v>15</v>
          </cell>
          <cell r="E17">
            <v>31.148929094436621</v>
          </cell>
          <cell r="F17">
            <v>15</v>
          </cell>
          <cell r="J17">
            <v>76.301145689172856</v>
          </cell>
        </row>
        <row r="18">
          <cell r="A18">
            <v>16</v>
          </cell>
          <cell r="E18">
            <v>33.162309719687322</v>
          </cell>
          <cell r="F18">
            <v>16</v>
          </cell>
          <cell r="J18">
            <v>88.457340034120918</v>
          </cell>
        </row>
        <row r="19">
          <cell r="A19">
            <v>17</v>
          </cell>
          <cell r="E19">
            <v>35.172319671970534</v>
          </cell>
          <cell r="F19">
            <v>17</v>
          </cell>
          <cell r="J19">
            <v>100.57156022593183</v>
          </cell>
        </row>
        <row r="20">
          <cell r="A20">
            <v>18</v>
          </cell>
          <cell r="E20">
            <v>37.179179811358189</v>
          </cell>
          <cell r="F20">
            <v>18</v>
          </cell>
          <cell r="J20">
            <v>112.64958590196655</v>
          </cell>
        </row>
        <row r="21">
          <cell r="A21">
            <v>19</v>
          </cell>
          <cell r="E21">
            <v>39.183085071920395</v>
          </cell>
          <cell r="F21">
            <v>19</v>
          </cell>
          <cell r="J21">
            <v>124.69585112217389</v>
          </cell>
        </row>
        <row r="22">
          <cell r="A22">
            <v>20</v>
          </cell>
          <cell r="E22">
            <v>41.184208709422556</v>
          </cell>
          <cell r="F22">
            <v>20</v>
          </cell>
          <cell r="J22">
            <v>136.71386058122562</v>
          </cell>
        </row>
        <row r="23">
          <cell r="A23">
            <v>21</v>
          </cell>
          <cell r="E23">
            <v>43.182705675340429</v>
          </cell>
          <cell r="F23">
            <v>21</v>
          </cell>
          <cell r="J23">
            <v>149.0808364262418</v>
          </cell>
        </row>
        <row r="24">
          <cell r="A24">
            <v>22</v>
          </cell>
          <cell r="E24">
            <v>45.178715329996784</v>
          </cell>
          <cell r="F24">
            <v>22</v>
          </cell>
          <cell r="J24">
            <v>161.42333771015896</v>
          </cell>
        </row>
        <row r="25">
          <cell r="A25">
            <v>23</v>
          </cell>
          <cell r="E25">
            <v>47.172363648455985</v>
          </cell>
          <cell r="F25">
            <v>23</v>
          </cell>
          <cell r="J25">
            <v>173.7435009812958</v>
          </cell>
        </row>
        <row r="26">
          <cell r="A26">
            <v>24</v>
          </cell>
          <cell r="E26">
            <v>49.163765031959791</v>
          </cell>
          <cell r="F26">
            <v>24</v>
          </cell>
          <cell r="J26">
            <v>186.04313457943746</v>
          </cell>
        </row>
        <row r="27">
          <cell r="A27">
            <v>25</v>
          </cell>
          <cell r="E27">
            <v>51.153023808950088</v>
          </cell>
          <cell r="F27">
            <v>25</v>
          </cell>
          <cell r="J27">
            <v>198.32378790230177</v>
          </cell>
        </row>
        <row r="28">
          <cell r="A28">
            <v>26</v>
          </cell>
          <cell r="E28">
            <v>53.140235489167587</v>
          </cell>
          <cell r="F28">
            <v>25</v>
          </cell>
          <cell r="J28">
            <v>139.52681109706691</v>
          </cell>
        </row>
        <row r="29">
          <cell r="A29">
            <v>27</v>
          </cell>
          <cell r="E29">
            <v>55.125487819385434</v>
          </cell>
          <cell r="F29">
            <v>26</v>
          </cell>
          <cell r="J29">
            <v>151.32668038460233</v>
          </cell>
        </row>
        <row r="30">
          <cell r="A30">
            <v>28</v>
          </cell>
          <cell r="E30">
            <v>57.10886167834105</v>
          </cell>
          <cell r="F30">
            <v>27</v>
          </cell>
          <cell r="J30">
            <v>163.10463194167394</v>
          </cell>
        </row>
        <row r="31">
          <cell r="A31">
            <v>29</v>
          </cell>
          <cell r="E31">
            <v>59.090431840228007</v>
          </cell>
          <cell r="F31">
            <v>28</v>
          </cell>
          <cell r="J31">
            <v>174.86247286052662</v>
          </cell>
        </row>
        <row r="32">
          <cell r="A32">
            <v>30</v>
          </cell>
          <cell r="E32">
            <v>61.07026762991989</v>
          </cell>
          <cell r="F32">
            <v>29</v>
          </cell>
          <cell r="J32">
            <v>186.60174701218963</v>
          </cell>
        </row>
        <row r="33">
          <cell r="A33">
            <v>31</v>
          </cell>
          <cell r="E33">
            <v>63.048433488376901</v>
          </cell>
          <cell r="F33">
            <v>30</v>
          </cell>
          <cell r="J33">
            <v>198.32378790230177</v>
          </cell>
        </row>
        <row r="34">
          <cell r="A34">
            <v>32</v>
          </cell>
          <cell r="E34">
            <v>65.024989463047447</v>
          </cell>
          <cell r="F34">
            <v>31</v>
          </cell>
          <cell r="J34">
            <v>209.47268002053463</v>
          </cell>
        </row>
        <row r="35">
          <cell r="A35">
            <v>33</v>
          </cell>
          <cell r="E35">
            <v>66.999991635247355</v>
          </cell>
          <cell r="F35">
            <v>32</v>
          </cell>
          <cell r="J35">
            <v>220.60788240530164</v>
          </cell>
        </row>
        <row r="36">
          <cell r="A36">
            <v>34</v>
          </cell>
          <cell r="E36">
            <v>68.97349249428018</v>
          </cell>
          <cell r="F36">
            <v>33</v>
          </cell>
          <cell r="J36">
            <v>231.73018391404946</v>
          </cell>
        </row>
        <row r="37">
          <cell r="A37">
            <v>35</v>
          </cell>
          <cell r="E37">
            <v>70.945541266306407</v>
          </cell>
          <cell r="F37">
            <v>34</v>
          </cell>
          <cell r="J37">
            <v>242.84029142815555</v>
          </cell>
        </row>
        <row r="38">
          <cell r="A38">
            <v>36</v>
          </cell>
          <cell r="E38">
            <v>72.916184204571309</v>
          </cell>
          <cell r="F38">
            <v>35</v>
          </cell>
          <cell r="J38">
            <v>253.93884181380471</v>
          </cell>
        </row>
        <row r="39">
          <cell r="A39">
            <v>37</v>
          </cell>
          <cell r="E39">
            <v>74.885464846478598</v>
          </cell>
          <cell r="F39">
            <v>35</v>
          </cell>
          <cell r="J39">
            <v>204.82902043085244</v>
          </cell>
        </row>
        <row r="40">
          <cell r="A40">
            <v>38</v>
          </cell>
          <cell r="E40">
            <v>76.853424242090881</v>
          </cell>
          <cell r="F40">
            <v>36</v>
          </cell>
          <cell r="J40">
            <v>215.22752536323196</v>
          </cell>
        </row>
        <row r="41">
          <cell r="A41">
            <v>39</v>
          </cell>
          <cell r="E41">
            <v>78.820101157900652</v>
          </cell>
          <cell r="F41">
            <v>37</v>
          </cell>
          <cell r="J41">
            <v>225.61447053517372</v>
          </cell>
        </row>
        <row r="42">
          <cell r="A42">
            <v>40</v>
          </cell>
          <cell r="E42">
            <v>80.785532259113808</v>
          </cell>
          <cell r="F42">
            <v>38</v>
          </cell>
          <cell r="J42">
            <v>235.99046358292776</v>
          </cell>
        </row>
        <row r="43">
          <cell r="A43">
            <v>41</v>
          </cell>
          <cell r="E43">
            <v>82.749752273191604</v>
          </cell>
          <cell r="F43">
            <v>39</v>
          </cell>
          <cell r="J43">
            <v>246.3560542968282</v>
          </cell>
        </row>
        <row r="44">
          <cell r="A44">
            <v>42</v>
          </cell>
          <cell r="E44">
            <v>84.712794136987995</v>
          </cell>
          <cell r="F44">
            <v>40</v>
          </cell>
          <cell r="J44">
            <v>256.71174238331622</v>
          </cell>
        </row>
        <row r="45">
          <cell r="A45">
            <v>43</v>
          </cell>
          <cell r="E45">
            <v>86.674689129479319</v>
          </cell>
          <cell r="F45">
            <v>41</v>
          </cell>
          <cell r="J45">
            <v>266.50395342082282</v>
          </cell>
        </row>
        <row r="46">
          <cell r="A46">
            <v>44</v>
          </cell>
          <cell r="E46">
            <v>88.635466991799021</v>
          </cell>
          <cell r="F46">
            <v>42</v>
          </cell>
          <cell r="J46">
            <v>276.28805817875144</v>
          </cell>
        </row>
        <row r="47">
          <cell r="A47">
            <v>45</v>
          </cell>
          <cell r="E47">
            <v>90.595156036052515</v>
          </cell>
          <cell r="F47">
            <v>43</v>
          </cell>
          <cell r="J47">
            <v>286.06438440827787</v>
          </cell>
        </row>
        <row r="48">
          <cell r="A48">
            <v>46</v>
          </cell>
          <cell r="E48">
            <v>92.553783244187045</v>
          </cell>
          <cell r="F48">
            <v>44</v>
          </cell>
          <cell r="J48">
            <v>295.83323561247488</v>
          </cell>
        </row>
        <row r="49">
          <cell r="A49">
            <v>47</v>
          </cell>
          <cell r="E49">
            <v>94.511374358021442</v>
          </cell>
          <cell r="F49">
            <v>45</v>
          </cell>
          <cell r="J49">
            <v>305.59489359914369</v>
          </cell>
        </row>
        <row r="50">
          <cell r="A50">
            <v>48</v>
          </cell>
          <cell r="E50">
            <v>96.467953961397697</v>
          </cell>
          <cell r="F50">
            <v>45</v>
          </cell>
          <cell r="J50">
            <v>256.71174238331622</v>
          </cell>
        </row>
        <row r="51">
          <cell r="A51">
            <v>49</v>
          </cell>
          <cell r="E51">
            <v>98.423545555293359</v>
          </cell>
          <cell r="F51">
            <v>46</v>
          </cell>
          <cell r="J51">
            <v>265.76520570407024</v>
          </cell>
        </row>
        <row r="52">
          <cell r="A52">
            <v>50</v>
          </cell>
          <cell r="E52">
            <v>100.37817162662895</v>
          </cell>
          <cell r="F52">
            <v>47</v>
          </cell>
          <cell r="J52">
            <v>274.81171839209094</v>
          </cell>
        </row>
        <row r="53">
          <cell r="A53">
            <v>51</v>
          </cell>
          <cell r="E53">
            <v>102.33185371141566</v>
          </cell>
          <cell r="F53">
            <v>48</v>
          </cell>
          <cell r="J53">
            <v>283.85154171752504</v>
          </cell>
        </row>
        <row r="54">
          <cell r="A54">
            <v>52</v>
          </cell>
          <cell r="E54">
            <v>104.28461245280987</v>
          </cell>
          <cell r="F54">
            <v>49</v>
          </cell>
          <cell r="J54">
            <v>292.88491893596603</v>
          </cell>
        </row>
        <row r="55">
          <cell r="A55">
            <v>53</v>
          </cell>
          <cell r="E55">
            <v>106.23646765457615</v>
          </cell>
          <cell r="F55">
            <v>50</v>
          </cell>
          <cell r="J55">
            <v>301.91207706001939</v>
          </cell>
        </row>
        <row r="56">
          <cell r="A56">
            <v>54</v>
          </cell>
          <cell r="E56">
            <v>108.18743833040098</v>
          </cell>
          <cell r="F56">
            <v>51</v>
          </cell>
          <cell r="J56">
            <v>310.19702819862079</v>
          </cell>
        </row>
        <row r="57">
          <cell r="A57">
            <v>55</v>
          </cell>
          <cell r="E57">
            <v>110.13754274945018</v>
          </cell>
          <cell r="F57">
            <v>52</v>
          </cell>
          <cell r="J57">
            <v>318.47706788363638</v>
          </cell>
        </row>
        <row r="58">
          <cell r="A58">
            <v>56</v>
          </cell>
          <cell r="E58">
            <v>112.08679847851975</v>
          </cell>
          <cell r="F58">
            <v>53</v>
          </cell>
          <cell r="J58">
            <v>326.75234192487522</v>
          </cell>
        </row>
        <row r="59">
          <cell r="A59">
            <v>57</v>
          </cell>
          <cell r="E59">
            <v>114.03522242109018</v>
          </cell>
          <cell r="F59">
            <v>54</v>
          </cell>
          <cell r="J59">
            <v>335.02298813768715</v>
          </cell>
        </row>
        <row r="60">
          <cell r="A60">
            <v>58</v>
          </cell>
          <cell r="E60">
            <v>115.98283085356285</v>
          </cell>
          <cell r="F60">
            <v>55</v>
          </cell>
          <cell r="J60">
            <v>343.28913697215444</v>
          </cell>
        </row>
        <row r="61">
          <cell r="A61">
            <v>59</v>
          </cell>
          <cell r="E61">
            <v>117.92963945892645</v>
          </cell>
          <cell r="F61">
            <v>55</v>
          </cell>
          <cell r="J61">
            <v>298.22825996252726</v>
          </cell>
        </row>
        <row r="62">
          <cell r="A62">
            <v>60</v>
          </cell>
          <cell r="E62">
            <v>119.87566335807644</v>
          </cell>
          <cell r="F62">
            <v>56</v>
          </cell>
          <cell r="J62">
            <v>305.96312075604669</v>
          </cell>
        </row>
        <row r="63">
          <cell r="A63">
            <v>61</v>
          </cell>
          <cell r="E63">
            <v>121.82091713898711</v>
          </cell>
          <cell r="F63">
            <v>57</v>
          </cell>
          <cell r="J63">
            <v>313.69363540885178</v>
          </cell>
        </row>
        <row r="64">
          <cell r="A64">
            <v>62</v>
          </cell>
          <cell r="E64">
            <v>123.7654148839167</v>
          </cell>
          <cell r="F64">
            <v>58</v>
          </cell>
          <cell r="J64">
            <v>321.41992623463267</v>
          </cell>
        </row>
        <row r="65">
          <cell r="A65">
            <v>63</v>
          </cell>
          <cell r="E65">
            <v>125.70917019480748</v>
          </cell>
          <cell r="F65">
            <v>59</v>
          </cell>
          <cell r="J65">
            <v>329.14210918127696</v>
          </cell>
        </row>
        <row r="66">
          <cell r="A66">
            <v>64</v>
          </cell>
          <cell r="E66">
            <v>127.65219621702742</v>
          </cell>
          <cell r="F66">
            <v>60</v>
          </cell>
          <cell r="J66">
            <v>336.86029430705378</v>
          </cell>
        </row>
        <row r="67">
          <cell r="A67">
            <v>65</v>
          </cell>
          <cell r="E67">
            <v>129.59450566158588</v>
          </cell>
          <cell r="F67">
            <v>61</v>
          </cell>
          <cell r="J67">
            <v>344.20732577147555</v>
          </cell>
        </row>
        <row r="68">
          <cell r="A68">
            <v>66</v>
          </cell>
          <cell r="E68">
            <v>131.53611082594338</v>
          </cell>
          <cell r="F68">
            <v>62</v>
          </cell>
          <cell r="J68">
            <v>351.5509120784784</v>
          </cell>
        </row>
        <row r="69">
          <cell r="A69">
            <v>67</v>
          </cell>
          <cell r="E69">
            <v>133.47702361352444</v>
          </cell>
          <cell r="F69">
            <v>63</v>
          </cell>
          <cell r="J69">
            <v>358.89113540947892</v>
          </cell>
        </row>
        <row r="70">
          <cell r="A70">
            <v>68</v>
          </cell>
          <cell r="E70">
            <v>135.41725555203226</v>
          </cell>
          <cell r="F70">
            <v>64</v>
          </cell>
          <cell r="J70">
            <v>366.22807430704466</v>
          </cell>
        </row>
        <row r="71">
          <cell r="A71">
            <v>69</v>
          </cell>
          <cell r="E71">
            <v>137.35681781065566</v>
          </cell>
          <cell r="F71">
            <v>65</v>
          </cell>
          <cell r="J71">
            <v>373.56180390729855</v>
          </cell>
        </row>
        <row r="72">
          <cell r="A72">
            <v>70</v>
          </cell>
          <cell r="E72">
            <v>139.29572121624977</v>
          </cell>
          <cell r="F72">
            <v>65</v>
          </cell>
          <cell r="J72">
            <v>333.18545990213522</v>
          </cell>
        </row>
        <row r="73">
          <cell r="A73">
            <v>71</v>
          </cell>
          <cell r="E73">
            <v>141.23397626856661</v>
          </cell>
          <cell r="F73">
            <v>66</v>
          </cell>
          <cell r="J73">
            <v>340.3505691822013</v>
          </cell>
        </row>
        <row r="74">
          <cell r="A74">
            <v>72</v>
          </cell>
          <cell r="E74">
            <v>143.17159315460216</v>
          </cell>
          <cell r="F74">
            <v>67</v>
          </cell>
          <cell r="J74">
            <v>347.51236094515139</v>
          </cell>
        </row>
        <row r="75">
          <cell r="A75">
            <v>73</v>
          </cell>
          <cell r="E75">
            <v>145.10858176212469</v>
          </cell>
          <cell r="F75">
            <v>68</v>
          </cell>
          <cell r="J75">
            <v>354.67091326876107</v>
          </cell>
        </row>
        <row r="76">
          <cell r="A76">
            <v>74</v>
          </cell>
          <cell r="E76">
            <v>147.04495169244021</v>
          </cell>
          <cell r="F76">
            <v>69</v>
          </cell>
          <cell r="J76">
            <v>361.82630081896735</v>
          </cell>
        </row>
        <row r="77">
          <cell r="A77">
            <v>75</v>
          </cell>
          <cell r="E77">
            <v>148.98071227244827</v>
          </cell>
          <cell r="F77">
            <v>70</v>
          </cell>
          <cell r="J77">
            <v>368.97859506497747</v>
          </cell>
        </row>
        <row r="78">
          <cell r="A78">
            <v>76</v>
          </cell>
          <cell r="E78">
            <v>150.91587256603668</v>
          </cell>
          <cell r="F78">
            <v>71</v>
          </cell>
          <cell r="J78">
            <v>375.57802655568094</v>
          </cell>
        </row>
        <row r="79">
          <cell r="A79">
            <v>77</v>
          </cell>
          <cell r="E79">
            <v>152.85044138485935</v>
          </cell>
          <cell r="F79">
            <v>72</v>
          </cell>
          <cell r="J79">
            <v>382.17493242028701</v>
          </cell>
        </row>
        <row r="80">
          <cell r="A80">
            <v>78</v>
          </cell>
          <cell r="E80">
            <v>154.78442729853825</v>
          </cell>
          <cell r="F80">
            <v>73</v>
          </cell>
          <cell r="J80">
            <v>388.76936244388736</v>
          </cell>
        </row>
        <row r="81">
          <cell r="A81">
            <v>79</v>
          </cell>
          <cell r="E81">
            <v>156.7178386443274</v>
          </cell>
          <cell r="F81">
            <v>74</v>
          </cell>
          <cell r="J81">
            <v>395.36136458336074</v>
          </cell>
        </row>
        <row r="82">
          <cell r="A82">
            <v>80</v>
          </cell>
          <cell r="E82">
            <v>158.65068353627368</v>
          </cell>
          <cell r="F82">
            <v>75</v>
          </cell>
          <cell r="J82">
            <v>401.95098506454968</v>
          </cell>
        </row>
        <row r="83">
          <cell r="A83">
            <v>81</v>
          </cell>
          <cell r="E83">
            <v>160.58296987390614</v>
          </cell>
          <cell r="F83">
            <v>75</v>
          </cell>
          <cell r="J83">
            <v>362.56001063918211</v>
          </cell>
        </row>
        <row r="84">
          <cell r="A84">
            <v>82</v>
          </cell>
          <cell r="E84">
            <v>162.51470535048455</v>
          </cell>
          <cell r="F84">
            <v>76</v>
          </cell>
          <cell r="J84">
            <v>368.61188489876855</v>
          </cell>
        </row>
        <row r="85">
          <cell r="A85">
            <v>83</v>
          </cell>
          <cell r="E85">
            <v>164.44589746083366</v>
          </cell>
          <cell r="F85">
            <v>77</v>
          </cell>
          <cell r="J85">
            <v>374.66159103269348</v>
          </cell>
        </row>
        <row r="86">
          <cell r="A86">
            <v>84</v>
          </cell>
          <cell r="E86">
            <v>166.37655350878956</v>
          </cell>
          <cell r="F86">
            <v>78</v>
          </cell>
          <cell r="J86">
            <v>380.70916902435761</v>
          </cell>
        </row>
        <row r="87">
          <cell r="A87">
            <v>85</v>
          </cell>
          <cell r="E87">
            <v>168.30668061428082</v>
          </cell>
          <cell r="F87">
            <v>79</v>
          </cell>
          <cell r="J87">
            <v>386.75465748199395</v>
          </cell>
        </row>
        <row r="88">
          <cell r="A88">
            <v>86</v>
          </cell>
          <cell r="E88">
            <v>170.23628572006746</v>
          </cell>
          <cell r="F88">
            <v>80</v>
          </cell>
          <cell r="J88">
            <v>392.79809370720182</v>
          </cell>
        </row>
        <row r="89">
          <cell r="A89">
            <v>87</v>
          </cell>
          <cell r="E89">
            <v>172.165375598157</v>
          </cell>
          <cell r="F89">
            <v>81</v>
          </cell>
          <cell r="J89">
            <v>398.65646970722736</v>
          </cell>
        </row>
        <row r="90">
          <cell r="A90">
            <v>88</v>
          </cell>
          <cell r="E90">
            <v>174.09395685591764</v>
          </cell>
          <cell r="F90">
            <v>82</v>
          </cell>
          <cell r="J90">
            <v>404.51298169693905</v>
          </cell>
        </row>
        <row r="91">
          <cell r="A91">
            <v>89</v>
          </cell>
          <cell r="E91">
            <v>176.02203594190516</v>
          </cell>
          <cell r="F91">
            <v>83</v>
          </cell>
          <cell r="J91">
            <v>410.36766049564739</v>
          </cell>
        </row>
        <row r="92">
          <cell r="A92">
            <v>90</v>
          </cell>
          <cell r="E92">
            <v>177.94961915142096</v>
          </cell>
          <cell r="F92">
            <v>84</v>
          </cell>
          <cell r="J92">
            <v>416.2205359707321</v>
          </cell>
        </row>
        <row r="93">
          <cell r="A93">
            <v>91</v>
          </cell>
          <cell r="E93">
            <v>179.87671263181528</v>
          </cell>
          <cell r="F93">
            <v>85</v>
          </cell>
          <cell r="J93">
            <v>422.07163708031629</v>
          </cell>
        </row>
        <row r="94">
          <cell r="A94">
            <v>92</v>
          </cell>
          <cell r="E94">
            <v>181.80332238755173</v>
          </cell>
          <cell r="F94">
            <v>85</v>
          </cell>
          <cell r="J94">
            <v>386.38832303118897</v>
          </cell>
        </row>
        <row r="95">
          <cell r="A95">
            <v>93</v>
          </cell>
          <cell r="E95">
            <v>183.72945428504417</v>
          </cell>
          <cell r="F95">
            <v>86</v>
          </cell>
          <cell r="J95">
            <v>391.88255202569809</v>
          </cell>
        </row>
        <row r="96">
          <cell r="A96">
            <v>94</v>
          </cell>
          <cell r="E96">
            <v>185.65511405728049</v>
          </cell>
          <cell r="F96">
            <v>87</v>
          </cell>
          <cell r="J96">
            <v>397.375110324182</v>
          </cell>
        </row>
        <row r="97">
          <cell r="A97">
            <v>95</v>
          </cell>
          <cell r="E97">
            <v>187.5803073082437</v>
          </cell>
          <cell r="F97">
            <v>88</v>
          </cell>
          <cell r="J97">
            <v>402.86602430053182</v>
          </cell>
        </row>
        <row r="98">
          <cell r="A98">
            <v>96</v>
          </cell>
          <cell r="E98">
            <v>189.50503951714128</v>
          </cell>
          <cell r="F98">
            <v>89</v>
          </cell>
          <cell r="J98">
            <v>408.35531955034372</v>
          </cell>
        </row>
        <row r="99">
          <cell r="A99">
            <v>97</v>
          </cell>
          <cell r="E99">
            <v>191.42931604245396</v>
          </cell>
          <cell r="F99">
            <v>90</v>
          </cell>
          <cell r="J99">
            <v>413.84302092427464</v>
          </cell>
        </row>
        <row r="100">
          <cell r="A100">
            <v>98</v>
          </cell>
          <cell r="E100">
            <v>193.35314212581196</v>
          </cell>
          <cell r="F100">
            <v>91</v>
          </cell>
          <cell r="J100">
            <v>419.14630654573187</v>
          </cell>
        </row>
        <row r="101">
          <cell r="A101">
            <v>99</v>
          </cell>
          <cell r="E101">
            <v>195.27652289570918</v>
          </cell>
          <cell r="F101">
            <v>92</v>
          </cell>
          <cell r="J101">
            <v>424.44814653245061</v>
          </cell>
        </row>
        <row r="102">
          <cell r="A102">
            <v>100</v>
          </cell>
          <cell r="E102">
            <v>197.19946337106239</v>
          </cell>
          <cell r="F102">
            <v>93</v>
          </cell>
          <cell r="J102">
            <v>429.74856150658383</v>
          </cell>
        </row>
        <row r="103">
          <cell r="A103">
            <v>101</v>
          </cell>
          <cell r="E103">
            <v>199.12196846462484</v>
          </cell>
          <cell r="F103">
            <v>94</v>
          </cell>
          <cell r="J103">
            <v>435.04757153962379</v>
          </cell>
        </row>
        <row r="104">
          <cell r="A104">
            <v>102</v>
          </cell>
          <cell r="E104">
            <v>201.04404298625983</v>
          </cell>
          <cell r="F104">
            <v>95</v>
          </cell>
          <cell r="J104">
            <v>440.34519617378447</v>
          </cell>
        </row>
        <row r="105">
          <cell r="A105">
            <v>103</v>
          </cell>
          <cell r="E105">
            <v>202.96569164608289</v>
          </cell>
          <cell r="F105">
            <v>95</v>
          </cell>
          <cell r="J105">
            <v>406.52573277661151</v>
          </cell>
        </row>
        <row r="106">
          <cell r="A106">
            <v>104</v>
          </cell>
          <cell r="E106">
            <v>204.88691905747837</v>
          </cell>
          <cell r="F106">
            <v>96</v>
          </cell>
          <cell r="J106">
            <v>411.64813007939983</v>
          </cell>
        </row>
        <row r="107">
          <cell r="A107">
            <v>105</v>
          </cell>
          <cell r="E107">
            <v>206.80772973999626</v>
          </cell>
          <cell r="F107">
            <v>97</v>
          </cell>
          <cell r="J107">
            <v>416.76915163430567</v>
          </cell>
        </row>
        <row r="108">
          <cell r="A108">
            <v>106</v>
          </cell>
          <cell r="E108">
            <v>208.72812812213633</v>
          </cell>
          <cell r="F108">
            <v>98</v>
          </cell>
          <cell r="J108">
            <v>421.88881674752457</v>
          </cell>
        </row>
        <row r="109">
          <cell r="A109">
            <v>107</v>
          </cell>
          <cell r="E109">
            <v>210.64811854402308</v>
          </cell>
          <cell r="F109">
            <v>99</v>
          </cell>
          <cell r="J109">
            <v>427.00714421800609</v>
          </cell>
        </row>
        <row r="110">
          <cell r="A110">
            <v>108</v>
          </cell>
          <cell r="E110">
            <v>212.56770525997908</v>
          </cell>
          <cell r="F110">
            <v>100</v>
          </cell>
          <cell r="J110">
            <v>432.12415235683949</v>
          </cell>
        </row>
        <row r="111">
          <cell r="A111">
            <v>109</v>
          </cell>
          <cell r="E111">
            <v>214.48689244099896</v>
          </cell>
          <cell r="F111">
            <v>101</v>
          </cell>
          <cell r="J111">
            <v>436.69180930289576</v>
          </cell>
        </row>
        <row r="112">
          <cell r="A112">
            <v>110</v>
          </cell>
          <cell r="E112">
            <v>216.40568417713132</v>
          </cell>
          <cell r="F112">
            <v>102</v>
          </cell>
          <cell r="J112">
            <v>441.2584411094569</v>
          </cell>
        </row>
        <row r="113">
          <cell r="F113">
            <v>103</v>
          </cell>
          <cell r="J113">
            <v>445.82405989308478</v>
          </cell>
        </row>
        <row r="114">
          <cell r="F114">
            <v>104</v>
          </cell>
          <cell r="J114">
            <v>450.38867750169055</v>
          </cell>
        </row>
        <row r="115">
          <cell r="F115">
            <v>105</v>
          </cell>
          <cell r="J115">
            <v>454.95230552321544</v>
          </cell>
        </row>
        <row r="116">
          <cell r="F116">
            <v>106</v>
          </cell>
          <cell r="J116">
            <v>459.69744109486123</v>
          </cell>
        </row>
        <row r="117">
          <cell r="F117">
            <v>107</v>
          </cell>
          <cell r="J117">
            <v>464.44153106100697</v>
          </cell>
        </row>
        <row r="118">
          <cell r="F118">
            <v>108</v>
          </cell>
          <cell r="J118">
            <v>469.18458761820074</v>
          </cell>
        </row>
        <row r="119">
          <cell r="F119">
            <v>109</v>
          </cell>
          <cell r="J119">
            <v>473.92662269607291</v>
          </cell>
        </row>
        <row r="120">
          <cell r="F120">
            <v>110</v>
          </cell>
          <cell r="J120">
            <v>478.66764796584999</v>
          </cell>
        </row>
        <row r="121">
          <cell r="F121">
            <v>110</v>
          </cell>
          <cell r="J12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chêne rouge
(tCO₂/ha)</v>
          </cell>
        </row>
        <row r="2">
          <cell r="A2">
            <v>0</v>
          </cell>
          <cell r="E2">
            <v>0</v>
          </cell>
          <cell r="F2">
            <v>0</v>
          </cell>
          <cell r="J2">
            <v>0</v>
          </cell>
        </row>
        <row r="3">
          <cell r="A3">
            <v>1</v>
          </cell>
          <cell r="E3">
            <v>2.2722141346836602</v>
          </cell>
          <cell r="F3">
            <v>1</v>
          </cell>
          <cell r="J3">
            <v>1.4561904473698064</v>
          </cell>
        </row>
        <row r="4">
          <cell r="A4">
            <v>2</v>
          </cell>
          <cell r="E4">
            <v>4.4322627676630342</v>
          </cell>
          <cell r="F4">
            <v>2</v>
          </cell>
          <cell r="J4">
            <v>2.837835241238285</v>
          </cell>
        </row>
        <row r="5">
          <cell r="A5">
            <v>3</v>
          </cell>
          <cell r="E5">
            <v>6.5560875739478979</v>
          </cell>
          <cell r="F5">
            <v>3</v>
          </cell>
          <cell r="J5">
            <v>4.1954055309835594</v>
          </cell>
        </row>
        <row r="6">
          <cell r="A6">
            <v>4</v>
          </cell>
          <cell r="E6">
            <v>8.6575831706227913</v>
          </cell>
          <cell r="F6">
            <v>4</v>
          </cell>
          <cell r="J6">
            <v>5.5381357362353691</v>
          </cell>
        </row>
        <row r="7">
          <cell r="A7">
            <v>5</v>
          </cell>
          <cell r="E7">
            <v>10.743047053646096</v>
          </cell>
          <cell r="F7">
            <v>5</v>
          </cell>
          <cell r="J7">
            <v>8.1940194120089327</v>
          </cell>
        </row>
        <row r="8">
          <cell r="A8">
            <v>6</v>
          </cell>
          <cell r="E8">
            <v>12.816071577640278</v>
          </cell>
          <cell r="F8">
            <v>6</v>
          </cell>
          <cell r="J8">
            <v>12.129079468420692</v>
          </cell>
        </row>
        <row r="9">
          <cell r="A9">
            <v>7</v>
          </cell>
          <cell r="E9">
            <v>14.87897259473001</v>
          </cell>
          <cell r="F9">
            <v>7</v>
          </cell>
          <cell r="J9">
            <v>17.316966482955831</v>
          </cell>
        </row>
        <row r="10">
          <cell r="A10">
            <v>8</v>
          </cell>
          <cell r="E10">
            <v>16.933363187349929</v>
          </cell>
          <cell r="F10">
            <v>8</v>
          </cell>
          <cell r="J10">
            <v>23.738652410648342</v>
          </cell>
        </row>
        <row r="11">
          <cell r="A11">
            <v>9</v>
          </cell>
          <cell r="E11">
            <v>18.980428991609543</v>
          </cell>
          <cell r="F11">
            <v>9</v>
          </cell>
          <cell r="J11">
            <v>31.380062571853042</v>
          </cell>
        </row>
        <row r="12">
          <cell r="A12">
            <v>10</v>
          </cell>
          <cell r="E12">
            <v>21.021076712150265</v>
          </cell>
          <cell r="F12">
            <v>10</v>
          </cell>
          <cell r="J12">
            <v>40.230343455354699</v>
          </cell>
        </row>
        <row r="13">
          <cell r="A13">
            <v>11</v>
          </cell>
          <cell r="E13">
            <v>23.056021218970372</v>
          </cell>
          <cell r="F13">
            <v>11</v>
          </cell>
          <cell r="J13">
            <v>50.28079936587767</v>
          </cell>
        </row>
        <row r="14">
          <cell r="A14">
            <v>12</v>
          </cell>
          <cell r="E14">
            <v>25.085839950688193</v>
          </cell>
          <cell r="F14">
            <v>12</v>
          </cell>
          <cell r="J14">
            <v>61.524243221977486</v>
          </cell>
        </row>
        <row r="15">
          <cell r="A15">
            <v>13</v>
          </cell>
          <cell r="E15">
            <v>27.111008618154589</v>
          </cell>
          <cell r="F15">
            <v>13</v>
          </cell>
          <cell r="J15">
            <v>73.954586555286809</v>
          </cell>
        </row>
        <row r="16">
          <cell r="A16">
            <v>14</v>
          </cell>
          <cell r="E16">
            <v>29.131925588483782</v>
          </cell>
          <cell r="F16">
            <v>14</v>
          </cell>
          <cell r="J16">
            <v>87.566569673096254</v>
          </cell>
        </row>
        <row r="17">
          <cell r="A17">
            <v>15</v>
          </cell>
          <cell r="E17">
            <v>31.148929094436621</v>
          </cell>
          <cell r="F17">
            <v>15</v>
          </cell>
          <cell r="J17">
            <v>109.72969694198621</v>
          </cell>
        </row>
        <row r="18">
          <cell r="A18">
            <v>16</v>
          </cell>
          <cell r="E18">
            <v>33.162309719687322</v>
          </cell>
          <cell r="F18">
            <v>16</v>
          </cell>
          <cell r="J18">
            <v>127.13482571082706</v>
          </cell>
        </row>
        <row r="19">
          <cell r="A19">
            <v>17</v>
          </cell>
          <cell r="E19">
            <v>35.172319671970541</v>
          </cell>
          <cell r="F19">
            <v>17</v>
          </cell>
          <cell r="J19">
            <v>144.48215651976611</v>
          </cell>
        </row>
        <row r="20">
          <cell r="A20">
            <v>18</v>
          </cell>
          <cell r="E20">
            <v>37.179179811358189</v>
          </cell>
          <cell r="F20">
            <v>18</v>
          </cell>
          <cell r="J20">
            <v>161.77961540626072</v>
          </cell>
        </row>
        <row r="21">
          <cell r="A21">
            <v>19</v>
          </cell>
          <cell r="E21">
            <v>39.183085071920395</v>
          </cell>
          <cell r="F21">
            <v>19</v>
          </cell>
          <cell r="J21">
            <v>179.03328984797801</v>
          </cell>
        </row>
        <row r="22">
          <cell r="A22">
            <v>20</v>
          </cell>
          <cell r="E22">
            <v>41.184208709422556</v>
          </cell>
          <cell r="F22">
            <v>20</v>
          </cell>
          <cell r="J22">
            <v>196.24799558904303</v>
          </cell>
        </row>
        <row r="23">
          <cell r="A23">
            <v>21</v>
          </cell>
          <cell r="E23">
            <v>43.182705675340429</v>
          </cell>
          <cell r="F23">
            <v>20</v>
          </cell>
          <cell r="J23">
            <v>118.31750572588324</v>
          </cell>
        </row>
        <row r="24">
          <cell r="A24">
            <v>22</v>
          </cell>
          <cell r="E24">
            <v>45.178715329996784</v>
          </cell>
          <cell r="F24">
            <v>21</v>
          </cell>
          <cell r="J24">
            <v>135.20432553963505</v>
          </cell>
        </row>
        <row r="25">
          <cell r="A25">
            <v>23</v>
          </cell>
          <cell r="E25">
            <v>47.172363648455985</v>
          </cell>
          <cell r="F25">
            <v>22</v>
          </cell>
          <cell r="J25">
            <v>152.04030877911342</v>
          </cell>
        </row>
        <row r="26">
          <cell r="A26">
            <v>24</v>
          </cell>
          <cell r="E26">
            <v>49.163765031959791</v>
          </cell>
          <cell r="F26">
            <v>23</v>
          </cell>
          <cell r="J26">
            <v>168.83188321450658</v>
          </cell>
        </row>
        <row r="27">
          <cell r="A27">
            <v>25</v>
          </cell>
          <cell r="E27">
            <v>51.153023808950088</v>
          </cell>
          <cell r="F27">
            <v>24</v>
          </cell>
          <cell r="J27">
            <v>185.58409039382227</v>
          </cell>
        </row>
        <row r="28">
          <cell r="A28">
            <v>26</v>
          </cell>
          <cell r="E28">
            <v>53.140235489167587</v>
          </cell>
          <cell r="F28">
            <v>25</v>
          </cell>
          <cell r="J28">
            <v>202.30098567963509</v>
          </cell>
        </row>
        <row r="29">
          <cell r="A29">
            <v>27</v>
          </cell>
          <cell r="E29">
            <v>55.125487819385427</v>
          </cell>
          <cell r="F29">
            <v>26</v>
          </cell>
          <cell r="J29">
            <v>218.01947919404824</v>
          </cell>
        </row>
        <row r="30">
          <cell r="A30">
            <v>28</v>
          </cell>
          <cell r="E30">
            <v>57.10886167834105</v>
          </cell>
          <cell r="F30">
            <v>27</v>
          </cell>
          <cell r="J30">
            <v>233.71192986094192</v>
          </cell>
        </row>
        <row r="31">
          <cell r="A31">
            <v>29</v>
          </cell>
          <cell r="E31">
            <v>59.090431840228007</v>
          </cell>
          <cell r="F31">
            <v>28</v>
          </cell>
          <cell r="J31">
            <v>249.38033276546039</v>
          </cell>
        </row>
        <row r="32">
          <cell r="A32">
            <v>30</v>
          </cell>
          <cell r="E32">
            <v>61.07026762991989</v>
          </cell>
          <cell r="F32">
            <v>29</v>
          </cell>
          <cell r="J32">
            <v>265.02641168010274</v>
          </cell>
        </row>
        <row r="33">
          <cell r="A33">
            <v>31</v>
          </cell>
          <cell r="E33">
            <v>63.048433488376901</v>
          </cell>
          <cell r="F33">
            <v>30</v>
          </cell>
          <cell r="J33">
            <v>280.6516701430192</v>
          </cell>
        </row>
        <row r="34">
          <cell r="A34">
            <v>32</v>
          </cell>
          <cell r="E34">
            <v>65.024989463047447</v>
          </cell>
          <cell r="F34">
            <v>30</v>
          </cell>
          <cell r="J34">
            <v>174.42010880774242</v>
          </cell>
        </row>
        <row r="35">
          <cell r="A35">
            <v>33</v>
          </cell>
          <cell r="E35">
            <v>66.999991635247355</v>
          </cell>
          <cell r="F35">
            <v>31</v>
          </cell>
          <cell r="J35">
            <v>189.22107722501735</v>
          </cell>
        </row>
        <row r="36">
          <cell r="A36">
            <v>34</v>
          </cell>
          <cell r="E36">
            <v>68.97349249428018</v>
          </cell>
          <cell r="F36">
            <v>32</v>
          </cell>
          <cell r="J36">
            <v>203.99506531146554</v>
          </cell>
        </row>
        <row r="37">
          <cell r="A37">
            <v>35</v>
          </cell>
          <cell r="E37">
            <v>70.945541266306407</v>
          </cell>
          <cell r="F37">
            <v>33</v>
          </cell>
          <cell r="J37">
            <v>218.74430293221735</v>
          </cell>
        </row>
        <row r="38">
          <cell r="A38">
            <v>36</v>
          </cell>
          <cell r="E38">
            <v>72.916184204571309</v>
          </cell>
          <cell r="F38">
            <v>34</v>
          </cell>
          <cell r="J38">
            <v>233.47069441931134</v>
          </cell>
        </row>
        <row r="39">
          <cell r="A39">
            <v>37</v>
          </cell>
          <cell r="E39">
            <v>74.885464846478598</v>
          </cell>
          <cell r="F39">
            <v>35</v>
          </cell>
          <cell r="J39">
            <v>248.17588407773692</v>
          </cell>
        </row>
        <row r="40">
          <cell r="A40">
            <v>38</v>
          </cell>
          <cell r="E40">
            <v>76.853424242090853</v>
          </cell>
          <cell r="F40">
            <v>36</v>
          </cell>
          <cell r="J40">
            <v>261.17705554472872</v>
          </cell>
        </row>
        <row r="41">
          <cell r="A41">
            <v>39</v>
          </cell>
          <cell r="E41">
            <v>78.820101157900638</v>
          </cell>
          <cell r="F41">
            <v>37</v>
          </cell>
          <cell r="J41">
            <v>274.16361765690334</v>
          </cell>
        </row>
        <row r="42">
          <cell r="A42">
            <v>40</v>
          </cell>
          <cell r="E42">
            <v>80.785532259113808</v>
          </cell>
          <cell r="F42">
            <v>38</v>
          </cell>
          <cell r="J42">
            <v>287.13636013322338</v>
          </cell>
        </row>
        <row r="43">
          <cell r="A43">
            <v>41</v>
          </cell>
          <cell r="E43">
            <v>82.749752273191604</v>
          </cell>
          <cell r="F43">
            <v>39</v>
          </cell>
          <cell r="J43">
            <v>300.09599547754289</v>
          </cell>
        </row>
        <row r="44">
          <cell r="A44">
            <v>42</v>
          </cell>
          <cell r="E44">
            <v>84.712794136987995</v>
          </cell>
          <cell r="F44">
            <v>40</v>
          </cell>
          <cell r="J44">
            <v>313.04316960794102</v>
          </cell>
        </row>
        <row r="45">
          <cell r="A45">
            <v>43</v>
          </cell>
          <cell r="E45">
            <v>86.674689129479319</v>
          </cell>
          <cell r="F45">
            <v>40</v>
          </cell>
          <cell r="J45">
            <v>215.60299864573813</v>
          </cell>
        </row>
        <row r="46">
          <cell r="A46">
            <v>44</v>
          </cell>
          <cell r="E46">
            <v>88.635466991799021</v>
          </cell>
          <cell r="F46">
            <v>41</v>
          </cell>
          <cell r="J46">
            <v>227.43794033454233</v>
          </cell>
        </row>
        <row r="47">
          <cell r="A47">
            <v>45</v>
          </cell>
          <cell r="E47">
            <v>90.595156036052515</v>
          </cell>
          <cell r="F47">
            <v>42</v>
          </cell>
          <cell r="J47">
            <v>239.25878897679539</v>
          </cell>
        </row>
        <row r="48">
          <cell r="A48">
            <v>46</v>
          </cell>
          <cell r="E48">
            <v>92.553783244187045</v>
          </cell>
          <cell r="F48">
            <v>43</v>
          </cell>
          <cell r="J48">
            <v>251.06633935220006</v>
          </cell>
        </row>
        <row r="49">
          <cell r="A49">
            <v>47</v>
          </cell>
          <cell r="E49">
            <v>94.511374358021442</v>
          </cell>
          <cell r="F49">
            <v>44</v>
          </cell>
          <cell r="J49">
            <v>262.86130532679209</v>
          </cell>
        </row>
        <row r="50">
          <cell r="A50">
            <v>48</v>
          </cell>
          <cell r="E50">
            <v>96.467953961397711</v>
          </cell>
          <cell r="F50">
            <v>45</v>
          </cell>
          <cell r="J50">
            <v>274.64433142982574</v>
          </cell>
        </row>
        <row r="51">
          <cell r="A51">
            <v>49</v>
          </cell>
          <cell r="E51">
            <v>98.423545555293359</v>
          </cell>
          <cell r="F51">
            <v>46</v>
          </cell>
          <cell r="J51">
            <v>285.21531583652148</v>
          </cell>
        </row>
        <row r="52">
          <cell r="A52">
            <v>50</v>
          </cell>
          <cell r="E52">
            <v>100.37817162662895</v>
          </cell>
          <cell r="F52">
            <v>47</v>
          </cell>
          <cell r="J52">
            <v>295.77753223914277</v>
          </cell>
        </row>
        <row r="53">
          <cell r="A53">
            <v>51</v>
          </cell>
          <cell r="E53">
            <v>102.33185371141566</v>
          </cell>
          <cell r="F53">
            <v>48</v>
          </cell>
          <cell r="J53">
            <v>306.33133805905373</v>
          </cell>
        </row>
        <row r="54">
          <cell r="A54">
            <v>52</v>
          </cell>
          <cell r="E54">
            <v>104.28461245280987</v>
          </cell>
          <cell r="F54">
            <v>49</v>
          </cell>
          <cell r="J54">
            <v>316.87706406452611</v>
          </cell>
        </row>
        <row r="55">
          <cell r="A55">
            <v>53</v>
          </cell>
          <cell r="E55">
            <v>106.23646765457613</v>
          </cell>
          <cell r="F55">
            <v>50</v>
          </cell>
          <cell r="J55">
            <v>327.41501719828841</v>
          </cell>
        </row>
        <row r="56">
          <cell r="A56">
            <v>54</v>
          </cell>
          <cell r="E56">
            <v>108.18743833040095</v>
          </cell>
          <cell r="F56">
            <v>50</v>
          </cell>
          <cell r="J56">
            <v>245.76658779902243</v>
          </cell>
        </row>
        <row r="57">
          <cell r="A57">
            <v>55</v>
          </cell>
          <cell r="E57">
            <v>110.13754274945018</v>
          </cell>
          <cell r="F57">
            <v>51</v>
          </cell>
          <cell r="J57">
            <v>254.91910787155106</v>
          </cell>
        </row>
        <row r="58">
          <cell r="A58">
            <v>56</v>
          </cell>
          <cell r="E58">
            <v>112.08679847851977</v>
          </cell>
          <cell r="F58">
            <v>52</v>
          </cell>
          <cell r="J58">
            <v>264.06419165614346</v>
          </cell>
        </row>
        <row r="59">
          <cell r="A59">
            <v>57</v>
          </cell>
          <cell r="E59">
            <v>114.03522242109018</v>
          </cell>
          <cell r="F59">
            <v>53</v>
          </cell>
          <cell r="J59">
            <v>273.2021332283814</v>
          </cell>
        </row>
        <row r="60">
          <cell r="A60">
            <v>58</v>
          </cell>
          <cell r="E60">
            <v>115.98283085356282</v>
          </cell>
          <cell r="F60">
            <v>54</v>
          </cell>
          <cell r="J60">
            <v>282.33320536766536</v>
          </cell>
        </row>
        <row r="61">
          <cell r="A61">
            <v>59</v>
          </cell>
          <cell r="E61">
            <v>117.92963945892645</v>
          </cell>
          <cell r="F61">
            <v>55</v>
          </cell>
          <cell r="J61">
            <v>291.45766175336962</v>
          </cell>
        </row>
        <row r="62">
          <cell r="A62">
            <v>60</v>
          </cell>
          <cell r="E62">
            <v>119.87566335807644</v>
          </cell>
          <cell r="F62">
            <v>56</v>
          </cell>
          <cell r="J62">
            <v>299.61623499670998</v>
          </cell>
        </row>
        <row r="63">
          <cell r="A63">
            <v>61</v>
          </cell>
          <cell r="E63">
            <v>121.82091713898713</v>
          </cell>
          <cell r="F63">
            <v>57</v>
          </cell>
          <cell r="J63">
            <v>307.76986029720541</v>
          </cell>
        </row>
        <row r="64">
          <cell r="A64">
            <v>62</v>
          </cell>
          <cell r="E64">
            <v>123.7654148839167</v>
          </cell>
          <cell r="F64">
            <v>58</v>
          </cell>
          <cell r="J64">
            <v>315.91868734548365</v>
          </cell>
        </row>
        <row r="65">
          <cell r="A65">
            <v>63</v>
          </cell>
          <cell r="E65">
            <v>125.70917019480748</v>
          </cell>
          <cell r="F65">
            <v>59</v>
          </cell>
          <cell r="J65">
            <v>324.0628574727225</v>
          </cell>
        </row>
        <row r="66">
          <cell r="A66">
            <v>64</v>
          </cell>
          <cell r="E66">
            <v>127.65219621702742</v>
          </cell>
          <cell r="F66">
            <v>60</v>
          </cell>
          <cell r="J66">
            <v>332.20250432045793</v>
          </cell>
        </row>
        <row r="67">
          <cell r="A67">
            <v>65</v>
          </cell>
          <cell r="E67">
            <v>129.59450566158586</v>
          </cell>
          <cell r="F67">
            <v>60</v>
          </cell>
          <cell r="J67">
            <v>266.22907594974964</v>
          </cell>
        </row>
        <row r="68">
          <cell r="A68">
            <v>66</v>
          </cell>
          <cell r="E68">
            <v>131.53611082594338</v>
          </cell>
          <cell r="F68">
            <v>61</v>
          </cell>
          <cell r="J68">
            <v>273.4425114577536</v>
          </cell>
        </row>
        <row r="69">
          <cell r="A69">
            <v>67</v>
          </cell>
          <cell r="E69">
            <v>133.47702361352444</v>
          </cell>
          <cell r="F69">
            <v>62</v>
          </cell>
          <cell r="J69">
            <v>280.6516701430192</v>
          </cell>
        </row>
        <row r="70">
          <cell r="A70">
            <v>68</v>
          </cell>
          <cell r="E70">
            <v>135.41725555203229</v>
          </cell>
          <cell r="F70">
            <v>63</v>
          </cell>
          <cell r="J70">
            <v>287.85667749117118</v>
          </cell>
        </row>
        <row r="71">
          <cell r="A71">
            <v>69</v>
          </cell>
          <cell r="E71">
            <v>137.35681781065566</v>
          </cell>
          <cell r="F71">
            <v>64</v>
          </cell>
          <cell r="J71">
            <v>295.05765218605109</v>
          </cell>
        </row>
        <row r="72">
          <cell r="A72">
            <v>70</v>
          </cell>
          <cell r="E72">
            <v>139.29572121624977</v>
          </cell>
          <cell r="F72">
            <v>65</v>
          </cell>
          <cell r="J72">
            <v>302.25470663909721</v>
          </cell>
        </row>
        <row r="73">
          <cell r="A73"/>
          <cell r="E73"/>
          <cell r="F73">
            <v>66</v>
          </cell>
          <cell r="J73">
            <v>308.48906533934479</v>
          </cell>
        </row>
        <row r="74">
          <cell r="A74"/>
          <cell r="E74"/>
          <cell r="F74">
            <v>67</v>
          </cell>
          <cell r="J74">
            <v>314.7206257919425</v>
          </cell>
        </row>
        <row r="75">
          <cell r="A75"/>
          <cell r="E75"/>
          <cell r="F75">
            <v>68</v>
          </cell>
          <cell r="J75">
            <v>320.94945128744183</v>
          </cell>
        </row>
        <row r="76">
          <cell r="A76"/>
          <cell r="E76"/>
          <cell r="F76">
            <v>69</v>
          </cell>
          <cell r="J76">
            <v>327.17560245636969</v>
          </cell>
        </row>
        <row r="77">
          <cell r="A77"/>
          <cell r="E77"/>
          <cell r="F77">
            <v>70</v>
          </cell>
          <cell r="J77">
            <v>333.39913743065421</v>
          </cell>
        </row>
        <row r="78">
          <cell r="A78"/>
          <cell r="E78"/>
          <cell r="F78">
            <v>70</v>
          </cell>
          <cell r="J78">
            <v>0</v>
          </cell>
        </row>
        <row r="79">
          <cell r="F79"/>
        </row>
        <row r="80">
          <cell r="F80"/>
        </row>
        <row r="166">
          <cell r="F166"/>
          <cell r="J166"/>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F1" t="str">
            <v>Carbone moyen (tCO₂/ha)</v>
          </cell>
          <cell r="K1" t="str">
            <v>Biomasse totale peuplier
(tCO₂/ha)</v>
          </cell>
          <cell r="L1" t="str">
            <v>Carbone moyen (tCO₂/ha)</v>
          </cell>
        </row>
        <row r="2">
          <cell r="A2">
            <v>0</v>
          </cell>
          <cell r="E2">
            <v>0</v>
          </cell>
          <cell r="F2">
            <v>25.944481104378426</v>
          </cell>
          <cell r="G2">
            <v>0</v>
          </cell>
          <cell r="K2">
            <v>0</v>
          </cell>
          <cell r="L2">
            <v>99.342415930393528</v>
          </cell>
        </row>
        <row r="3">
          <cell r="A3">
            <v>1</v>
          </cell>
          <cell r="E3">
            <v>2.2722141346836602</v>
          </cell>
          <cell r="F3">
            <v>25.944481104378426</v>
          </cell>
          <cell r="G3">
            <v>1</v>
          </cell>
          <cell r="K3">
            <v>0.47684596418035402</v>
          </cell>
          <cell r="L3">
            <v>99.342415930393528</v>
          </cell>
        </row>
        <row r="4">
          <cell r="A4">
            <v>2</v>
          </cell>
          <cell r="E4">
            <v>4.4322627676630342</v>
          </cell>
          <cell r="F4">
            <v>25.944481104378426</v>
          </cell>
          <cell r="G4">
            <v>2</v>
          </cell>
          <cell r="K4">
            <v>0.92701893201423669</v>
          </cell>
          <cell r="L4">
            <v>99.342415930393528</v>
          </cell>
        </row>
        <row r="5">
          <cell r="A5">
            <v>3</v>
          </cell>
          <cell r="E5">
            <v>6.5560875739478979</v>
          </cell>
          <cell r="F5">
            <v>25.944481104378426</v>
          </cell>
          <cell r="G5">
            <v>3</v>
          </cell>
          <cell r="K5">
            <v>1.368577860928869</v>
          </cell>
          <cell r="L5">
            <v>99.342415930393528</v>
          </cell>
        </row>
        <row r="6">
          <cell r="A6">
            <v>4</v>
          </cell>
          <cell r="E6">
            <v>8.6575831706227913</v>
          </cell>
          <cell r="F6">
            <v>25.944481104378426</v>
          </cell>
          <cell r="G6">
            <v>4</v>
          </cell>
          <cell r="K6">
            <v>1.8048268958271001</v>
          </cell>
          <cell r="L6">
            <v>99.342415930393528</v>
          </cell>
        </row>
        <row r="7">
          <cell r="A7">
            <v>5</v>
          </cell>
          <cell r="E7">
            <v>10.743047053646096</v>
          </cell>
          <cell r="F7">
            <v>25.944481104378426</v>
          </cell>
          <cell r="G7">
            <v>5</v>
          </cell>
          <cell r="K7">
            <v>2.6667421871469945</v>
          </cell>
          <cell r="L7">
            <v>99.342415930393528</v>
          </cell>
        </row>
        <row r="8">
          <cell r="A8">
            <v>6</v>
          </cell>
          <cell r="E8">
            <v>12.816071577640272</v>
          </cell>
          <cell r="F8">
            <v>25.944481104378426</v>
          </cell>
          <cell r="G8">
            <v>6</v>
          </cell>
          <cell r="K8">
            <v>3.5188608653605269</v>
          </cell>
          <cell r="L8">
            <v>99.342415930393528</v>
          </cell>
        </row>
        <row r="9">
          <cell r="A9">
            <v>7</v>
          </cell>
          <cell r="E9">
            <v>14.878972594730007</v>
          </cell>
          <cell r="F9">
            <v>25.944481104378426</v>
          </cell>
          <cell r="G9">
            <v>7</v>
          </cell>
          <cell r="K9">
            <v>5.2035732772208965</v>
          </cell>
          <cell r="L9">
            <v>99.342415930393528</v>
          </cell>
        </row>
        <row r="10">
          <cell r="A10">
            <v>8</v>
          </cell>
          <cell r="E10">
            <v>16.933363187349929</v>
          </cell>
          <cell r="F10">
            <v>25.944481104378426</v>
          </cell>
          <cell r="G10">
            <v>8</v>
          </cell>
          <cell r="K10">
            <v>6.7320927153074983</v>
          </cell>
          <cell r="L10">
            <v>99.342415930393528</v>
          </cell>
        </row>
        <row r="11">
          <cell r="A11">
            <v>9</v>
          </cell>
          <cell r="E11">
            <v>18.980428991609543</v>
          </cell>
          <cell r="F11">
            <v>25.944481104378426</v>
          </cell>
          <cell r="G11">
            <v>9</v>
          </cell>
          <cell r="K11">
            <v>23.677266169664545</v>
          </cell>
          <cell r="L11">
            <v>99.342415930393528</v>
          </cell>
        </row>
        <row r="12">
          <cell r="A12">
            <v>10</v>
          </cell>
          <cell r="E12">
            <v>21.021076712150265</v>
          </cell>
          <cell r="F12">
            <v>25.944481104378426</v>
          </cell>
          <cell r="G12">
            <v>10</v>
          </cell>
          <cell r="K12">
            <v>42.295698771109151</v>
          </cell>
          <cell r="L12">
            <v>99.342415930393528</v>
          </cell>
        </row>
        <row r="13">
          <cell r="A13">
            <v>11</v>
          </cell>
          <cell r="E13">
            <v>23.056021218970372</v>
          </cell>
          <cell r="F13">
            <v>25.944481104378426</v>
          </cell>
          <cell r="G13">
            <v>11</v>
          </cell>
          <cell r="K13">
            <v>60.686723341593456</v>
          </cell>
          <cell r="L13">
            <v>99.342415930393528</v>
          </cell>
        </row>
        <row r="14">
          <cell r="A14">
            <v>12</v>
          </cell>
          <cell r="E14">
            <v>25.085839950688193</v>
          </cell>
          <cell r="F14">
            <v>25.944481104378426</v>
          </cell>
          <cell r="G14">
            <v>12</v>
          </cell>
          <cell r="K14">
            <v>80.950986488725434</v>
          </cell>
          <cell r="L14">
            <v>99.342415930393528</v>
          </cell>
        </row>
        <row r="15">
          <cell r="A15">
            <v>13</v>
          </cell>
          <cell r="E15">
            <v>27.111008618154589</v>
          </cell>
          <cell r="F15">
            <v>25.944481104378426</v>
          </cell>
          <cell r="G15">
            <v>13</v>
          </cell>
          <cell r="K15">
            <v>99.077304204986476</v>
          </cell>
          <cell r="L15">
            <v>99.342415930393528</v>
          </cell>
        </row>
        <row r="16">
          <cell r="A16">
            <v>14</v>
          </cell>
          <cell r="E16">
            <v>29.131925588483782</v>
          </cell>
          <cell r="F16">
            <v>25.944481104378426</v>
          </cell>
          <cell r="G16">
            <v>14</v>
          </cell>
          <cell r="K16">
            <v>117.12106124808359</v>
          </cell>
          <cell r="L16">
            <v>99.342415930393528</v>
          </cell>
        </row>
        <row r="17">
          <cell r="A17">
            <v>15</v>
          </cell>
          <cell r="E17">
            <v>31.148929094436621</v>
          </cell>
          <cell r="F17">
            <v>25.944481104378426</v>
          </cell>
          <cell r="G17">
            <v>15</v>
          </cell>
          <cell r="K17">
            <v>135.09681026687412</v>
          </cell>
          <cell r="L17">
            <v>99.342415930393528</v>
          </cell>
        </row>
        <row r="18">
          <cell r="A18">
            <v>16</v>
          </cell>
          <cell r="E18">
            <v>33.162309719687322</v>
          </cell>
          <cell r="F18">
            <v>25.944481104378426</v>
          </cell>
          <cell r="G18">
            <v>16</v>
          </cell>
          <cell r="K18">
            <v>151.02658441288187</v>
          </cell>
          <cell r="L18">
            <v>99.342415930393528</v>
          </cell>
        </row>
        <row r="19">
          <cell r="A19">
            <v>17</v>
          </cell>
          <cell r="E19">
            <v>35.172319671970534</v>
          </cell>
          <cell r="F19">
            <v>25.944481104378426</v>
          </cell>
          <cell r="G19">
            <v>17</v>
          </cell>
          <cell r="K19">
            <v>164.93212907851941</v>
          </cell>
          <cell r="L19">
            <v>99.342415930393528</v>
          </cell>
        </row>
        <row r="20">
          <cell r="A20">
            <v>18</v>
          </cell>
          <cell r="E20">
            <v>37.179179811358189</v>
          </cell>
          <cell r="F20">
            <v>25.944481104378426</v>
          </cell>
          <cell r="G20">
            <v>18</v>
          </cell>
          <cell r="K20">
            <v>178.80997960509694</v>
          </cell>
          <cell r="L20">
            <v>99.342415930393528</v>
          </cell>
        </row>
        <row r="21">
          <cell r="A21">
            <v>19</v>
          </cell>
          <cell r="E21">
            <v>39.183085071920395</v>
          </cell>
          <cell r="F21">
            <v>25.944481104378426</v>
          </cell>
          <cell r="G21">
            <v>19</v>
          </cell>
          <cell r="K21">
            <v>190.68510840623094</v>
          </cell>
          <cell r="L21">
            <v>99.342415930393528</v>
          </cell>
        </row>
        <row r="22">
          <cell r="A22">
            <v>20</v>
          </cell>
          <cell r="E22">
            <v>41.184208709422556</v>
          </cell>
          <cell r="F22">
            <v>25.944481104378426</v>
          </cell>
          <cell r="G22">
            <v>20</v>
          </cell>
          <cell r="K22">
            <v>200.56784414619597</v>
          </cell>
          <cell r="L22">
            <v>99.342415930393528</v>
          </cell>
        </row>
        <row r="23">
          <cell r="A23">
            <v>21</v>
          </cell>
          <cell r="E23">
            <v>43.182705675340429</v>
          </cell>
          <cell r="F23">
            <v>25.944481104378426</v>
          </cell>
          <cell r="G23">
            <v>21</v>
          </cell>
          <cell r="K23">
            <v>210.4392971238349</v>
          </cell>
          <cell r="L23">
            <v>99.342415930393528</v>
          </cell>
        </row>
        <row r="24">
          <cell r="A24">
            <v>22</v>
          </cell>
          <cell r="E24">
            <v>45.178715329996784</v>
          </cell>
          <cell r="F24">
            <v>25.944481104378426</v>
          </cell>
          <cell r="G24">
            <v>22</v>
          </cell>
          <cell r="K24">
            <v>216.35700713789331</v>
          </cell>
          <cell r="L24">
            <v>99.342415930393528</v>
          </cell>
        </row>
        <row r="25">
          <cell r="A25">
            <v>23</v>
          </cell>
          <cell r="E25">
            <v>47.172363648455985</v>
          </cell>
          <cell r="F25">
            <v>25.944481104378426</v>
          </cell>
          <cell r="G25">
            <v>23</v>
          </cell>
          <cell r="K25">
            <v>224.24151561847327</v>
          </cell>
          <cell r="L25">
            <v>99.342415930393528</v>
          </cell>
        </row>
        <row r="26">
          <cell r="A26">
            <v>24</v>
          </cell>
          <cell r="E26">
            <v>49.163765031959791</v>
          </cell>
          <cell r="F26">
            <v>25.944481104378426</v>
          </cell>
          <cell r="G26">
            <v>24</v>
          </cell>
          <cell r="K26">
            <v>230.15071367444057</v>
          </cell>
          <cell r="L26">
            <v>99.342415930393528</v>
          </cell>
        </row>
        <row r="27">
          <cell r="A27">
            <v>25</v>
          </cell>
          <cell r="E27">
            <v>51.153023808950088</v>
          </cell>
          <cell r="F27">
            <v>25.944481104378426</v>
          </cell>
          <cell r="G27">
            <v>25</v>
          </cell>
          <cell r="K27">
            <v>234.08824579764129</v>
          </cell>
          <cell r="L27">
            <v>99.342415930393528</v>
          </cell>
        </row>
        <row r="28">
          <cell r="A28"/>
          <cell r="E28"/>
          <cell r="G28">
            <v>25</v>
          </cell>
          <cell r="K28">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19A0E-E006-4F66-921C-E708BFAB1015}">
  <sheetPr>
    <tabColor theme="9"/>
    <pageSetUpPr fitToPage="1"/>
  </sheetPr>
  <dimension ref="A1:G90"/>
  <sheetViews>
    <sheetView tabSelected="1" topLeftCell="A2" workbookViewId="0">
      <selection activeCell="A64" sqref="A64:XFD90"/>
    </sheetView>
  </sheetViews>
  <sheetFormatPr baseColWidth="10" defaultColWidth="11.42578125" defaultRowHeight="15" x14ac:dyDescent="0.25"/>
  <cols>
    <col min="1" max="1" width="0.85546875" style="256" customWidth="1"/>
    <col min="2" max="2" width="30.5703125" style="256" customWidth="1"/>
    <col min="3" max="3" width="30" style="256" bestFit="1" customWidth="1"/>
    <col min="4" max="4" width="18.140625" style="256" bestFit="1" customWidth="1"/>
    <col min="5" max="5" width="54" style="256" bestFit="1" customWidth="1"/>
    <col min="6" max="6" width="13.7109375" style="256" bestFit="1" customWidth="1"/>
    <col min="7" max="16384" width="11.42578125" style="256"/>
  </cols>
  <sheetData>
    <row r="1" spans="1:7" hidden="1" x14ac:dyDescent="0.25">
      <c r="B1" s="257" t="s">
        <v>321</v>
      </c>
    </row>
    <row r="3" spans="1:7" ht="7.5" customHeight="1" thickBot="1" x14ac:dyDescent="0.3">
      <c r="A3" s="256" t="s">
        <v>125</v>
      </c>
    </row>
    <row r="4" spans="1:7" ht="21.75" thickBot="1" x14ac:dyDescent="0.4">
      <c r="B4" s="460" t="s">
        <v>264</v>
      </c>
      <c r="C4" s="461"/>
      <c r="D4" s="461"/>
      <c r="E4" s="461"/>
      <c r="F4" s="461"/>
      <c r="G4" s="462"/>
    </row>
    <row r="5" spans="1:7" ht="15.75" thickBot="1" x14ac:dyDescent="0.3"/>
    <row r="6" spans="1:7" ht="60" hidden="1" customHeight="1" thickBot="1" x14ac:dyDescent="0.35">
      <c r="B6" s="463" t="s">
        <v>16</v>
      </c>
      <c r="C6" s="464"/>
      <c r="E6" s="468" t="s">
        <v>481</v>
      </c>
      <c r="F6" s="469"/>
    </row>
    <row r="7" spans="1:7" hidden="1" x14ac:dyDescent="0.25">
      <c r="B7" s="258" t="s">
        <v>282</v>
      </c>
      <c r="C7" s="162" t="s">
        <v>489</v>
      </c>
      <c r="D7" s="259"/>
      <c r="E7" s="260" t="s">
        <v>480</v>
      </c>
      <c r="F7" s="108" t="s">
        <v>37</v>
      </c>
      <c r="G7" s="259"/>
    </row>
    <row r="8" spans="1:7" hidden="1" x14ac:dyDescent="0.25">
      <c r="B8" s="261" t="s">
        <v>157</v>
      </c>
      <c r="C8" s="161" t="s">
        <v>490</v>
      </c>
      <c r="D8" s="259"/>
      <c r="E8" s="262" t="s">
        <v>2</v>
      </c>
      <c r="F8" s="110">
        <v>25</v>
      </c>
      <c r="G8" s="259"/>
    </row>
    <row r="9" spans="1:7" hidden="1" x14ac:dyDescent="0.25">
      <c r="B9" s="118" t="s">
        <v>156</v>
      </c>
      <c r="C9" s="109" t="s">
        <v>491</v>
      </c>
      <c r="D9" s="259"/>
      <c r="E9" s="264" t="s">
        <v>159</v>
      </c>
      <c r="F9" s="112">
        <v>85</v>
      </c>
      <c r="G9" s="259"/>
    </row>
    <row r="10" spans="1:7" ht="15.75" hidden="1" thickBot="1" x14ac:dyDescent="0.3">
      <c r="B10" s="123" t="s">
        <v>158</v>
      </c>
      <c r="C10" s="111" t="s">
        <v>486</v>
      </c>
      <c r="D10" s="259"/>
      <c r="E10" s="265" t="s">
        <v>479</v>
      </c>
      <c r="F10" s="113">
        <v>2</v>
      </c>
      <c r="G10" s="259"/>
    </row>
    <row r="11" spans="1:7" hidden="1" x14ac:dyDescent="0.25">
      <c r="B11" s="118" t="s">
        <v>266</v>
      </c>
      <c r="C11" s="437" t="s">
        <v>265</v>
      </c>
      <c r="D11" s="259"/>
      <c r="E11" s="266"/>
      <c r="F11" s="266"/>
    </row>
    <row r="12" spans="1:7" hidden="1" x14ac:dyDescent="0.25">
      <c r="B12" s="123" t="s">
        <v>0</v>
      </c>
      <c r="C12" s="438" t="s">
        <v>265</v>
      </c>
      <c r="D12" s="259"/>
      <c r="E12" s="266"/>
      <c r="F12" s="266"/>
    </row>
    <row r="13" spans="1:7" hidden="1" x14ac:dyDescent="0.25">
      <c r="B13" s="118" t="s">
        <v>469</v>
      </c>
      <c r="C13" s="109"/>
      <c r="E13" s="266"/>
      <c r="F13" s="266"/>
    </row>
    <row r="14" spans="1:7" hidden="1" x14ac:dyDescent="0.25">
      <c r="B14" s="123" t="s">
        <v>1</v>
      </c>
      <c r="C14" s="267">
        <f>Annexe_îlots_boisements!D144</f>
        <v>3.84</v>
      </c>
      <c r="E14" s="268"/>
      <c r="F14" s="266"/>
    </row>
    <row r="15" spans="1:7" hidden="1" x14ac:dyDescent="0.25">
      <c r="B15" s="118" t="s">
        <v>477</v>
      </c>
      <c r="C15" s="263">
        <f>Annexe_îlots_boisements!D145</f>
        <v>0</v>
      </c>
      <c r="E15" s="268"/>
      <c r="F15" s="266"/>
    </row>
    <row r="16" spans="1:7" hidden="1" x14ac:dyDescent="0.25">
      <c r="B16" s="123" t="s">
        <v>283</v>
      </c>
      <c r="C16" s="267">
        <f>C14+C15</f>
        <v>3.84</v>
      </c>
      <c r="E16" s="268"/>
      <c r="F16" s="266"/>
    </row>
    <row r="17" spans="2:7" hidden="1" x14ac:dyDescent="0.25">
      <c r="B17" s="118" t="s">
        <v>14</v>
      </c>
      <c r="C17" s="171" t="s">
        <v>18</v>
      </c>
    </row>
    <row r="18" spans="2:7" ht="15.75" hidden="1" thickBot="1" x14ac:dyDescent="0.3">
      <c r="B18" s="269" t="s">
        <v>13</v>
      </c>
      <c r="C18" s="447">
        <v>44197</v>
      </c>
    </row>
    <row r="19" spans="2:7" ht="15.75" hidden="1" thickBot="1" x14ac:dyDescent="0.3"/>
    <row r="20" spans="2:7" ht="19.5" hidden="1" thickBot="1" x14ac:dyDescent="0.35">
      <c r="B20" s="465" t="s">
        <v>166</v>
      </c>
      <c r="C20" s="466"/>
      <c r="D20" s="466"/>
      <c r="E20" s="466"/>
      <c r="F20" s="466"/>
      <c r="G20" s="467"/>
    </row>
    <row r="21" spans="2:7" hidden="1" x14ac:dyDescent="0.25">
      <c r="B21" s="270" t="s">
        <v>3</v>
      </c>
      <c r="C21" s="271" t="s">
        <v>175</v>
      </c>
      <c r="D21" s="149" t="s">
        <v>167</v>
      </c>
      <c r="E21" s="272" t="s">
        <v>5</v>
      </c>
      <c r="F21" s="273" t="s">
        <v>175</v>
      </c>
      <c r="G21" s="148" t="s">
        <v>167</v>
      </c>
    </row>
    <row r="22" spans="2:7" ht="30" hidden="1" x14ac:dyDescent="0.25">
      <c r="B22" s="274" t="s">
        <v>164</v>
      </c>
      <c r="C22" s="150" t="s">
        <v>492</v>
      </c>
      <c r="D22" s="150"/>
      <c r="E22" s="275" t="s">
        <v>181</v>
      </c>
      <c r="F22" s="115" t="s">
        <v>23</v>
      </c>
      <c r="G22" s="142">
        <f>IF(F22="oui",5,0)</f>
        <v>5</v>
      </c>
    </row>
    <row r="23" spans="2:7" ht="30" hidden="1" x14ac:dyDescent="0.25">
      <c r="B23" s="274" t="s">
        <v>160</v>
      </c>
      <c r="C23" s="114" t="s">
        <v>121</v>
      </c>
      <c r="D23" s="151">
        <f>IF(C23="&lt;50km",3,IF(C23= "50&lt;&lt;100km",2,0))</f>
        <v>2</v>
      </c>
      <c r="E23" s="275" t="s">
        <v>182</v>
      </c>
      <c r="F23" s="115"/>
      <c r="G23" s="142">
        <f>IF(F23="oui",1,0)</f>
        <v>0</v>
      </c>
    </row>
    <row r="24" spans="2:7" ht="60" hidden="1" x14ac:dyDescent="0.25">
      <c r="B24" s="274" t="s">
        <v>161</v>
      </c>
      <c r="C24" s="114"/>
      <c r="D24" s="151">
        <f>IF(C24="oui",5,0)</f>
        <v>0</v>
      </c>
      <c r="E24" s="275" t="s">
        <v>176</v>
      </c>
      <c r="F24" s="115" t="s">
        <v>23</v>
      </c>
      <c r="G24" s="142">
        <f>IF(F24="oui",1,0)</f>
        <v>1</v>
      </c>
    </row>
    <row r="25" spans="2:7" ht="60" hidden="1" x14ac:dyDescent="0.25">
      <c r="B25" s="274" t="s">
        <v>475</v>
      </c>
      <c r="C25" s="114" t="s">
        <v>474</v>
      </c>
      <c r="D25" s="150">
        <f>IF(C17&lt;&gt;"Boisement","&lt;== NE PAS REMPLIR",IF(C25="A",5,IF(C25="B",2,IF(C25=("Non"),0,"0"))))</f>
        <v>2</v>
      </c>
      <c r="E25" s="275" t="s">
        <v>316</v>
      </c>
      <c r="F25" s="115"/>
      <c r="G25" s="168" t="str">
        <f>IF(C17="Boisement","&lt;== NE PAS REMPLIR", IF(F25="oui",5,0))</f>
        <v>&lt;== NE PAS REMPLIR</v>
      </c>
    </row>
    <row r="26" spans="2:7" ht="30.75" hidden="1" thickBot="1" x14ac:dyDescent="0.3">
      <c r="B26" s="274" t="s">
        <v>163</v>
      </c>
      <c r="C26" s="114" t="s">
        <v>23</v>
      </c>
      <c r="D26" s="151">
        <f>IF(C26="oui",5,0)</f>
        <v>5</v>
      </c>
      <c r="E26" s="275" t="s">
        <v>177</v>
      </c>
      <c r="F26" s="115" t="s">
        <v>23</v>
      </c>
      <c r="G26" s="142">
        <f>IF(F26="oui",2,0)</f>
        <v>2</v>
      </c>
    </row>
    <row r="27" spans="2:7" ht="45" hidden="1" x14ac:dyDescent="0.25">
      <c r="B27" s="274" t="s">
        <v>165</v>
      </c>
      <c r="C27" s="114"/>
      <c r="D27" s="166" t="str">
        <f>IF(ISBLANK(C27),IF(C17="Boisement","&lt;== NE PAS REMPLIR", ""),"")</f>
        <v>&lt;== NE PAS REMPLIR</v>
      </c>
      <c r="E27" s="276" t="s">
        <v>6</v>
      </c>
      <c r="F27" s="277" t="s">
        <v>175</v>
      </c>
      <c r="G27" s="158" t="s">
        <v>167</v>
      </c>
    </row>
    <row r="28" spans="2:7" ht="30" hidden="1" x14ac:dyDescent="0.25">
      <c r="B28" s="274" t="s">
        <v>160</v>
      </c>
      <c r="C28" s="114"/>
      <c r="D28" s="153">
        <f>IF(C28="&lt;50km",3,0)</f>
        <v>0</v>
      </c>
      <c r="E28" s="278" t="s">
        <v>314</v>
      </c>
      <c r="F28" s="167"/>
      <c r="G28" s="143" t="s">
        <v>313</v>
      </c>
    </row>
    <row r="29" spans="2:7" ht="30.75" hidden="1" thickBot="1" x14ac:dyDescent="0.3">
      <c r="B29" s="279" t="s">
        <v>162</v>
      </c>
      <c r="C29" s="152" t="s">
        <v>23</v>
      </c>
      <c r="D29" s="154">
        <f>IF(C29="oui",1,0)</f>
        <v>1</v>
      </c>
      <c r="E29" s="280" t="s">
        <v>180</v>
      </c>
      <c r="F29" s="116"/>
      <c r="G29" s="143" t="str">
        <f>IF(ISBLANK(F29),IF(C17&lt;&gt;"Boisement","&lt;== NE PAS REMPLIR","0"),IF(F29="oui",5,0))</f>
        <v>0</v>
      </c>
    </row>
    <row r="30" spans="2:7" ht="30" hidden="1" x14ac:dyDescent="0.25">
      <c r="B30" s="281" t="s">
        <v>4</v>
      </c>
      <c r="C30" s="282"/>
      <c r="D30" s="155" t="s">
        <v>167</v>
      </c>
      <c r="E30" s="280" t="s">
        <v>178</v>
      </c>
      <c r="F30" s="116"/>
      <c r="G30" s="144">
        <f>IF(F30="oui",1,0)</f>
        <v>0</v>
      </c>
    </row>
    <row r="31" spans="2:7" ht="30" hidden="1" x14ac:dyDescent="0.25">
      <c r="B31" s="283" t="s">
        <v>173</v>
      </c>
      <c r="C31" s="117"/>
      <c r="D31" s="156" t="str">
        <f>IF(ISBLANK(C31),IF(C17="Boisement","&lt;== NE PAS REMPLIR","0"),IF(C31="Nettoyage partiel (&lt; 50% de la surface totale)",3,5))</f>
        <v>&lt;== NE PAS REMPLIR</v>
      </c>
      <c r="E31" s="280" t="s">
        <v>179</v>
      </c>
      <c r="F31" s="116"/>
      <c r="G31" s="144">
        <f>IF(F31="oui",1,0)</f>
        <v>0</v>
      </c>
    </row>
    <row r="32" spans="2:7" ht="30.75" hidden="1" thickBot="1" x14ac:dyDescent="0.3">
      <c r="B32" s="284" t="s">
        <v>174</v>
      </c>
      <c r="C32" s="145" t="s">
        <v>171</v>
      </c>
      <c r="D32" s="157">
        <f>IF(AND(C17="Boisement",C32="En bandes"),2,IF(AND(C17="Boisement",C32="Par potets travaillés"),4,IF(AND(C17="Boisement",C32="Aucun travail du sol"),"Choix impossible",IF(C32="En bandes",1,IF(C32="Par potets travaillés",2,IF(C32="Aucun travail du sol",3,""))))))</f>
        <v>4</v>
      </c>
      <c r="E32" s="285" t="s">
        <v>7</v>
      </c>
      <c r="F32" s="146"/>
      <c r="G32" s="147">
        <f>IF(F32="oui",5,0)</f>
        <v>0</v>
      </c>
    </row>
    <row r="33" spans="1:7" ht="15.75" hidden="1" thickBot="1" x14ac:dyDescent="0.3">
      <c r="F33" s="107"/>
    </row>
    <row r="34" spans="1:7" ht="19.5" hidden="1" thickBot="1" x14ac:dyDescent="0.35">
      <c r="B34" s="465" t="s">
        <v>183</v>
      </c>
      <c r="C34" s="466"/>
      <c r="D34" s="466"/>
      <c r="E34" s="466"/>
      <c r="F34" s="467"/>
    </row>
    <row r="35" spans="1:7" hidden="1" x14ac:dyDescent="0.25">
      <c r="B35" s="118" t="s">
        <v>186</v>
      </c>
      <c r="C35" s="119">
        <f>SUM(D31:D32)</f>
        <v>4</v>
      </c>
      <c r="D35" s="120">
        <f>IF(C17="Boisement",4,8)</f>
        <v>4</v>
      </c>
      <c r="E35" s="121" t="s">
        <v>185</v>
      </c>
      <c r="F35" s="122">
        <f>C35/D35</f>
        <v>1</v>
      </c>
    </row>
    <row r="36" spans="1:7" hidden="1" x14ac:dyDescent="0.25">
      <c r="B36" s="123" t="s">
        <v>184</v>
      </c>
      <c r="C36" s="124">
        <f>SUM(G22:G27)</f>
        <v>8</v>
      </c>
      <c r="D36" s="125">
        <f>IF(AND(C17&lt;&gt;"Boisement",C16&lt;2),13,8)</f>
        <v>8</v>
      </c>
      <c r="E36" s="126" t="s">
        <v>185</v>
      </c>
      <c r="F36" s="127">
        <f>C36/D36</f>
        <v>1</v>
      </c>
    </row>
    <row r="37" spans="1:7" hidden="1" x14ac:dyDescent="0.25">
      <c r="B37" s="128" t="s">
        <v>493</v>
      </c>
      <c r="C37" s="129">
        <f>SUM(D22:D29)</f>
        <v>10</v>
      </c>
      <c r="D37" s="130">
        <f>IF(AND(C17&lt;&gt;"Boisement",C16&lt;2),22,24)</f>
        <v>24</v>
      </c>
      <c r="E37" s="131" t="s">
        <v>185</v>
      </c>
      <c r="F37" s="132">
        <f>C37/D37</f>
        <v>0.41666666666666669</v>
      </c>
    </row>
    <row r="38" spans="1:7" ht="15.75" hidden="1" thickBot="1" x14ac:dyDescent="0.3">
      <c r="B38" s="133" t="str">
        <f>IF(F28="oui","Préservation de l'eau","PAS DE MILIEU AQUATIQUE OU HUMIDE")</f>
        <v>PAS DE MILIEU AQUATIQUE OU HUMIDE</v>
      </c>
      <c r="C38" s="134">
        <f>SUM(G29:G32)</f>
        <v>0</v>
      </c>
      <c r="D38" s="135">
        <f>IF(C17="Boisement",12,7)</f>
        <v>12</v>
      </c>
      <c r="E38" s="136" t="s">
        <v>185</v>
      </c>
      <c r="F38" s="137">
        <f>C38/D38</f>
        <v>0</v>
      </c>
    </row>
    <row r="39" spans="1:7" ht="15.75" hidden="1" thickBot="1" x14ac:dyDescent="0.3">
      <c r="B39" s="286"/>
    </row>
    <row r="40" spans="1:7" ht="19.5" hidden="1" thickBot="1" x14ac:dyDescent="0.35">
      <c r="E40" s="455" t="s">
        <v>317</v>
      </c>
      <c r="F40" s="457"/>
      <c r="G40" s="287"/>
    </row>
    <row r="41" spans="1:7" s="288" customFormat="1" hidden="1" x14ac:dyDescent="0.25">
      <c r="A41" s="256"/>
      <c r="G41" s="289"/>
    </row>
    <row r="42" spans="1:7" hidden="1" x14ac:dyDescent="0.25">
      <c r="A42" s="288"/>
      <c r="E42" s="290" t="s">
        <v>318</v>
      </c>
      <c r="F42" s="169"/>
      <c r="G42" s="291" t="str">
        <f>IF(C17="Boisement","&lt;== NE PAS REMPLIR","")</f>
        <v>&lt;== NE PAS REMPLIR</v>
      </c>
    </row>
    <row r="43" spans="1:7" hidden="1" x14ac:dyDescent="0.25">
      <c r="E43" s="292" t="s">
        <v>319</v>
      </c>
      <c r="F43" s="170"/>
      <c r="G43" s="293" t="str">
        <f>IF(C17="Boisement","&lt;== NE PAS REMPLIR","")</f>
        <v>&lt;== NE PAS REMPLIR</v>
      </c>
    </row>
    <row r="44" spans="1:7" hidden="1" x14ac:dyDescent="0.25">
      <c r="E44" s="290" t="s">
        <v>320</v>
      </c>
      <c r="F44" s="290">
        <f>SUM(F42:F43)</f>
        <v>0</v>
      </c>
    </row>
    <row r="45" spans="1:7" ht="40.5" hidden="1" customHeight="1" x14ac:dyDescent="0.25"/>
    <row r="46" spans="1:7" ht="15.75" hidden="1" thickBot="1" x14ac:dyDescent="0.3"/>
    <row r="47" spans="1:7" ht="19.5" hidden="1" thickBot="1" x14ac:dyDescent="0.35">
      <c r="E47" s="455" t="s">
        <v>288</v>
      </c>
      <c r="F47" s="457"/>
    </row>
    <row r="48" spans="1:7" hidden="1" x14ac:dyDescent="0.25"/>
    <row r="49" spans="2:7" ht="30" hidden="1" x14ac:dyDescent="0.25">
      <c r="E49" s="294" t="s">
        <v>8</v>
      </c>
      <c r="F49" s="164" t="s">
        <v>114</v>
      </c>
    </row>
    <row r="50" spans="2:7" hidden="1" x14ac:dyDescent="0.25"/>
    <row r="51" spans="2:7" hidden="1" x14ac:dyDescent="0.25">
      <c r="E51" s="295" t="s">
        <v>290</v>
      </c>
      <c r="F51" s="296">
        <f>IF(F49="Très faible à faible",0.05,IF(F49="Moyen",0.1,IF(F49="Fort à très fort",0.15,0)))</f>
        <v>0</v>
      </c>
    </row>
    <row r="52" spans="2:7" hidden="1" x14ac:dyDescent="0.25"/>
    <row r="53" spans="2:7" ht="15.75" hidden="1" thickBot="1" x14ac:dyDescent="0.3"/>
    <row r="54" spans="2:7" ht="19.5" thickBot="1" x14ac:dyDescent="0.35">
      <c r="B54" s="465" t="s">
        <v>273</v>
      </c>
      <c r="C54" s="466"/>
      <c r="D54" s="466"/>
      <c r="E54" s="466"/>
      <c r="F54" s="466"/>
      <c r="G54" s="467"/>
    </row>
    <row r="55" spans="2:7" x14ac:dyDescent="0.25">
      <c r="G55" s="297"/>
    </row>
    <row r="56" spans="2:7" ht="30" x14ac:dyDescent="0.25">
      <c r="E56" s="298" t="s">
        <v>124</v>
      </c>
      <c r="F56" s="163" t="s">
        <v>24</v>
      </c>
      <c r="G56" s="297"/>
    </row>
    <row r="57" spans="2:7" ht="30" x14ac:dyDescent="0.25">
      <c r="C57" s="299" t="s">
        <v>233</v>
      </c>
      <c r="D57" s="300">
        <v>4.4999999999999998E-2</v>
      </c>
      <c r="E57" s="298" t="s">
        <v>123</v>
      </c>
      <c r="F57" s="163"/>
      <c r="G57" s="297"/>
    </row>
    <row r="58" spans="2:7" ht="15.75" thickBot="1" x14ac:dyDescent="0.3"/>
    <row r="59" spans="2:7" ht="45.75" customHeight="1" thickBot="1" x14ac:dyDescent="0.3">
      <c r="C59" s="301"/>
      <c r="D59" s="302" t="s">
        <v>272</v>
      </c>
      <c r="E59" s="302" t="s">
        <v>191</v>
      </c>
      <c r="F59" s="303" t="s">
        <v>232</v>
      </c>
    </row>
    <row r="60" spans="2:7" ht="16.5" thickBot="1" x14ac:dyDescent="0.3">
      <c r="C60" s="304" t="s">
        <v>231</v>
      </c>
      <c r="D60" s="305">
        <f>VAN_Accrus!F5</f>
        <v>2593.8752539195857</v>
      </c>
      <c r="E60" s="306">
        <f>NPV(D57,VAN_PROJET!D8:D127)+VAN_PROJET!D7</f>
        <v>-21513.611732014957</v>
      </c>
      <c r="F60" s="307">
        <f>E60-D60</f>
        <v>-24107.486985934542</v>
      </c>
    </row>
    <row r="62" spans="2:7" ht="18.75" x14ac:dyDescent="0.3">
      <c r="B62" s="308" t="str">
        <f>IF(Fiche_signalétique_projet!F60&lt;0,"L'additionnalité économique du projet est démontrée","Il n'existe pas d'additionnalité économique du projet")</f>
        <v>L'additionnalité économique du projet est démontrée</v>
      </c>
    </row>
    <row r="64" spans="2:7" ht="19.5" hidden="1" thickBot="1" x14ac:dyDescent="0.35">
      <c r="B64" s="455" t="s">
        <v>289</v>
      </c>
      <c r="C64" s="456"/>
      <c r="D64" s="456"/>
      <c r="E64" s="456"/>
      <c r="F64" s="456"/>
      <c r="G64" s="457"/>
    </row>
    <row r="65" spans="2:6" hidden="1" x14ac:dyDescent="0.25"/>
    <row r="66" spans="2:6" ht="18.75" hidden="1" x14ac:dyDescent="0.25">
      <c r="B66" s="309" t="s">
        <v>322</v>
      </c>
      <c r="C66" s="310">
        <f>0.1+F51</f>
        <v>0.1</v>
      </c>
    </row>
    <row r="67" spans="2:6" hidden="1" x14ac:dyDescent="0.25"/>
    <row r="68" spans="2:6" ht="26.25" hidden="1" customHeight="1" x14ac:dyDescent="0.25">
      <c r="B68" s="309" t="s">
        <v>291</v>
      </c>
      <c r="C68" s="311" t="s">
        <v>292</v>
      </c>
      <c r="D68" s="311" t="s">
        <v>296</v>
      </c>
    </row>
    <row r="69" spans="2:6" ht="26.25" hidden="1" customHeight="1" x14ac:dyDescent="0.25">
      <c r="B69" s="312" t="s">
        <v>293</v>
      </c>
      <c r="C69" s="313">
        <f>Annexe_îlots_boisements!U98*3.52</f>
        <v>470.3869691418314</v>
      </c>
      <c r="D69" s="314">
        <f>Annexe_îlots_boisements!V98</f>
        <v>421.44591220726824</v>
      </c>
    </row>
    <row r="70" spans="2:6" ht="30" hidden="1" x14ac:dyDescent="0.25">
      <c r="B70" s="312" t="s">
        <v>294</v>
      </c>
      <c r="C70" s="314">
        <f>Annexe_îlots_boisements!W98*3.52</f>
        <v>0</v>
      </c>
      <c r="D70" s="314">
        <f>Annexe_îlots_boisements!X98</f>
        <v>0</v>
      </c>
    </row>
    <row r="71" spans="2:6" ht="30" hidden="1" x14ac:dyDescent="0.25">
      <c r="B71" s="312" t="s">
        <v>295</v>
      </c>
      <c r="C71" s="314">
        <f>Annexe_îlots_boisements!Y98*3.52</f>
        <v>7.04</v>
      </c>
      <c r="D71" s="314">
        <f>Annexe_îlots_boisements!Z98</f>
        <v>6.3075285171102662</v>
      </c>
    </row>
    <row r="72" spans="2:6" ht="15.75" hidden="1" x14ac:dyDescent="0.25">
      <c r="B72" s="315" t="s">
        <v>231</v>
      </c>
      <c r="C72" s="458">
        <f>Annexe_îlots_boisements!AA98</f>
        <v>427.75344072437849</v>
      </c>
      <c r="D72" s="458"/>
    </row>
    <row r="73" spans="2:6" hidden="1" x14ac:dyDescent="0.25">
      <c r="B73" s="288"/>
      <c r="C73" s="288"/>
      <c r="D73" s="436">
        <f>Annexe_îlots_boisements!AC98</f>
        <v>3375.0168821292777</v>
      </c>
    </row>
    <row r="74" spans="2:6" hidden="1" x14ac:dyDescent="0.25"/>
    <row r="75" spans="2:6" hidden="1" x14ac:dyDescent="0.25"/>
    <row r="76" spans="2:6" ht="32.450000000000003" hidden="1" customHeight="1" x14ac:dyDescent="0.25">
      <c r="B76" s="459" t="s">
        <v>9</v>
      </c>
      <c r="C76" s="459"/>
      <c r="D76" s="459"/>
      <c r="E76" s="316" t="s">
        <v>307</v>
      </c>
      <c r="F76" s="316" t="s">
        <v>306</v>
      </c>
    </row>
    <row r="77" spans="2:6" s="286" customFormat="1" hidden="1" x14ac:dyDescent="0.25">
      <c r="B77" s="317" t="s">
        <v>300</v>
      </c>
      <c r="C77" s="317"/>
      <c r="D77" s="317"/>
      <c r="E77" s="318"/>
      <c r="F77" s="318"/>
    </row>
    <row r="78" spans="2:6" s="286" customFormat="1" hidden="1" x14ac:dyDescent="0.25">
      <c r="B78" s="319" t="s">
        <v>301</v>
      </c>
      <c r="C78" s="319"/>
      <c r="D78" s="319"/>
      <c r="E78" s="320"/>
      <c r="F78" s="321"/>
    </row>
    <row r="79" spans="2:6" s="286" customFormat="1" hidden="1" x14ac:dyDescent="0.25">
      <c r="B79" s="317" t="s">
        <v>302</v>
      </c>
      <c r="C79" s="317"/>
      <c r="D79" s="317"/>
      <c r="E79" s="318"/>
      <c r="F79" s="318"/>
    </row>
    <row r="80" spans="2:6" s="286" customFormat="1" ht="30" hidden="1" x14ac:dyDescent="0.25">
      <c r="B80" s="319" t="s">
        <v>303</v>
      </c>
      <c r="C80" s="319"/>
      <c r="D80" s="319"/>
      <c r="E80" s="321" t="s">
        <v>308</v>
      </c>
      <c r="F80" s="321"/>
    </row>
    <row r="81" spans="2:6" s="286" customFormat="1" hidden="1" x14ac:dyDescent="0.25">
      <c r="B81" s="317" t="s">
        <v>310</v>
      </c>
      <c r="C81" s="317"/>
      <c r="D81" s="317"/>
      <c r="E81" s="318"/>
      <c r="F81" s="318"/>
    </row>
    <row r="82" spans="2:6" s="286" customFormat="1" hidden="1" x14ac:dyDescent="0.25">
      <c r="B82" s="317" t="s">
        <v>311</v>
      </c>
      <c r="C82" s="317"/>
      <c r="D82" s="317"/>
      <c r="E82" s="318"/>
      <c r="F82" s="318"/>
    </row>
    <row r="83" spans="2:6" s="286" customFormat="1" hidden="1" x14ac:dyDescent="0.25">
      <c r="B83" s="319" t="s">
        <v>304</v>
      </c>
      <c r="C83" s="319"/>
      <c r="D83" s="319"/>
      <c r="E83" s="321" t="s">
        <v>309</v>
      </c>
      <c r="F83" s="321"/>
    </row>
    <row r="84" spans="2:6" s="286" customFormat="1" hidden="1" x14ac:dyDescent="0.25">
      <c r="B84" s="319" t="s">
        <v>312</v>
      </c>
      <c r="C84" s="319"/>
      <c r="D84" s="319"/>
      <c r="E84" s="321" t="str">
        <f>IF(C17="Reconstitution - Tempête","Pourcentage de tiges renversées (&gt; 40%)",IF(C17="Reconstitution - Incendie","Surface affectées par l'incendie",IF(C17="Balivage","Tiges d'avenir (en nombre)","NE PAS  RENSEIGNER")))</f>
        <v>NE PAS  RENSEIGNER</v>
      </c>
      <c r="F84" s="321"/>
    </row>
    <row r="85" spans="2:6" s="286" customFormat="1" ht="30" hidden="1" x14ac:dyDescent="0.25">
      <c r="B85" s="317" t="s">
        <v>305</v>
      </c>
      <c r="C85" s="317"/>
      <c r="D85" s="317"/>
      <c r="E85" s="318" t="str">
        <f>IF(C17="Reconstitution - Dépérissement","Diagnostic DEPERIS que si absence de coupe d'urgence ou extraordinaire","NE PAS RENSEIGNER")</f>
        <v>NE PAS RENSEIGNER</v>
      </c>
      <c r="F85" s="318"/>
    </row>
    <row r="86" spans="2:6" s="286" customFormat="1" hidden="1" x14ac:dyDescent="0.25">
      <c r="B86" s="319" t="s">
        <v>10</v>
      </c>
      <c r="C86" s="319"/>
      <c r="D86" s="319"/>
      <c r="E86" s="321" t="str">
        <f>IF(C17= "Boisement", "NE PAS RENSEIGNER", "Que pour les projets de plus de 2 ha")</f>
        <v>NE PAS RENSEIGNER</v>
      </c>
      <c r="F86" s="321"/>
    </row>
    <row r="87" spans="2:6" s="286" customFormat="1" hidden="1" x14ac:dyDescent="0.25">
      <c r="B87" s="317" t="s">
        <v>11</v>
      </c>
      <c r="C87" s="317"/>
      <c r="D87" s="317"/>
      <c r="E87" s="318"/>
      <c r="F87" s="318"/>
    </row>
    <row r="88" spans="2:6" s="286" customFormat="1" hidden="1" x14ac:dyDescent="0.25">
      <c r="B88" s="319" t="s">
        <v>12</v>
      </c>
      <c r="C88" s="319"/>
      <c r="D88" s="319"/>
      <c r="E88" s="321"/>
      <c r="F88" s="321"/>
    </row>
    <row r="89" spans="2:6" hidden="1" x14ac:dyDescent="0.25"/>
    <row r="90" spans="2:6" hidden="1" x14ac:dyDescent="0.25"/>
  </sheetData>
  <sheetProtection selectLockedCells="1"/>
  <protectedRanges>
    <protectedRange algorithmName="SHA-512" hashValue="jN2yLlcfl0kF/da6hibe7gEsd+DVOfnuTaUPCEAeV69E8KpJ+otoaD/ynauQpHAhcj+zfm7Unp0OnUZ2AOs9+Q==" saltValue="WN6VMkAVyTMG9TInC3RR4g==" spinCount="100000" sqref="D22:D29 G29:G32 D31:D32 G22:G26" name="Bonus"/>
  </protectedRanges>
  <mergeCells count="11">
    <mergeCell ref="B64:G64"/>
    <mergeCell ref="C72:D72"/>
    <mergeCell ref="B76:D76"/>
    <mergeCell ref="B4:G4"/>
    <mergeCell ref="B6:C6"/>
    <mergeCell ref="B20:G20"/>
    <mergeCell ref="B34:F34"/>
    <mergeCell ref="B54:G54"/>
    <mergeCell ref="E47:F47"/>
    <mergeCell ref="E40:F40"/>
    <mergeCell ref="E6:F6"/>
  </mergeCells>
  <dataValidations count="7">
    <dataValidation type="list" allowBlank="1" showInputMessage="1" showErrorMessage="1" sqref="C17" xr:uid="{47F9701E-5C58-4A75-AEE3-A646800E858A}">
      <formula1>methode_LBC</formula1>
    </dataValidation>
    <dataValidation type="list" allowBlank="1" showInputMessage="1" showErrorMessage="1" sqref="C28 C23" xr:uid="{7EA3F447-F419-41F7-AAB2-14E22CFEFB59}">
      <formula1>distance</formula1>
    </dataValidation>
    <dataValidation type="list" allowBlank="1" showInputMessage="1" showErrorMessage="1" sqref="F22:F32 C26 F77:F88 C24 C29" xr:uid="{C97D708C-C8CA-4F1A-8183-0A8C8530F2B7}">
      <formula1>oui_non</formula1>
    </dataValidation>
    <dataValidation type="list" allowBlank="1" showInputMessage="1" showErrorMessage="1" sqref="C31" xr:uid="{9C22981E-2CD6-4BA3-8800-D298EAC0FDD1}">
      <formula1>surface</formula1>
    </dataValidation>
    <dataValidation type="list" allowBlank="1" showInputMessage="1" showErrorMessage="1" sqref="C32" xr:uid="{FABD9826-47D0-42BF-9283-03B6C931FE6B}">
      <formula1>sol</formula1>
    </dataValidation>
    <dataValidation type="list" allowBlank="1" showInputMessage="1" showErrorMessage="1" sqref="F49" xr:uid="{E7908F56-7ED7-47AF-AC13-112401D4E25A}">
      <formula1>incendie</formula1>
    </dataValidation>
    <dataValidation type="list" allowBlank="1" showInputMessage="1" showErrorMessage="1" sqref="F7" xr:uid="{523C1CA9-EE79-4832-B82C-4254A382D623}">
      <formula1>essences</formula1>
    </dataValidation>
  </dataValidations>
  <pageMargins left="0.7" right="0.7" top="0.75" bottom="0.75" header="0.3" footer="0.3"/>
  <pageSetup paperSize="9" scale="6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585C-9599-4784-A9BE-2108CCDB6327}">
  <sheetPr>
    <tabColor rgb="FFC00000"/>
    <pageSetUpPr fitToPage="1"/>
  </sheetPr>
  <dimension ref="A1:X71"/>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277</v>
      </c>
      <c r="E1" s="592"/>
      <c r="F1" s="592"/>
      <c r="G1" s="592"/>
      <c r="H1" s="592"/>
      <c r="I1" s="592"/>
      <c r="J1" s="592"/>
      <c r="K1" s="81"/>
    </row>
    <row r="2" spans="1:24" ht="15.75" x14ac:dyDescent="0.25">
      <c r="C2" s="63"/>
      <c r="D2" s="78" t="s">
        <v>229</v>
      </c>
      <c r="E2" s="77">
        <f>IFERROR(IRR(J6:J71,0.045),0)</f>
        <v>0</v>
      </c>
      <c r="F2" s="77" t="e">
        <f>IRR(J6:J71,0.02)</f>
        <v>#NUM!</v>
      </c>
      <c r="L2" s="69"/>
      <c r="O2" s="68"/>
      <c r="P2" s="68"/>
      <c r="Q2" s="68"/>
      <c r="R2" s="68"/>
      <c r="S2" s="68"/>
      <c r="T2" s="68"/>
      <c r="U2" s="68"/>
      <c r="V2" s="68"/>
      <c r="W2" s="68"/>
    </row>
    <row r="3" spans="1:24" ht="15.75" x14ac:dyDescent="0.25">
      <c r="C3" s="61"/>
      <c r="D3" s="74" t="s">
        <v>228</v>
      </c>
      <c r="E3" s="103">
        <f>IFERROR(NPV(B8,J7:J71)+J6,0)</f>
        <v>0</v>
      </c>
      <c r="F3" s="75" t="e">
        <f>NPV(#REF!,J7:J71)+J6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70" si="0">J7/(1+B9)^D7</f>
        <v>0</v>
      </c>
      <c r="S7" s="30"/>
    </row>
    <row r="8" spans="1:24" ht="16.5" thickBot="1" x14ac:dyDescent="0.3">
      <c r="A8" s="79" t="s">
        <v>189</v>
      </c>
      <c r="B8" s="80">
        <f>Fiche_signalétique_projet!D57</f>
        <v>4.4999999999999998E-2</v>
      </c>
      <c r="C8" s="61"/>
      <c r="D8" s="22">
        <v>2</v>
      </c>
      <c r="E8" s="22" t="s">
        <v>242</v>
      </c>
      <c r="F8" s="22" t="s">
        <v>194</v>
      </c>
      <c r="G8" s="25">
        <v>100</v>
      </c>
      <c r="H8" s="22"/>
      <c r="I8" s="22"/>
      <c r="J8" s="23">
        <f>-B14*B9*(1+B15)</f>
        <v>0</v>
      </c>
      <c r="K8" s="21">
        <f t="shared" si="0"/>
        <v>0</v>
      </c>
      <c r="L8" s="27"/>
      <c r="N8" s="29"/>
      <c r="O8" s="27"/>
      <c r="P8" s="27"/>
      <c r="Q8" s="27"/>
      <c r="R8" s="27"/>
      <c r="S8" s="27"/>
      <c r="T8" s="27"/>
      <c r="U8" s="27"/>
      <c r="V8" s="27"/>
      <c r="W8" s="27"/>
    </row>
    <row r="9" spans="1:24" ht="16.5" thickBot="1" x14ac:dyDescent="0.3">
      <c r="A9" s="63" t="s">
        <v>190</v>
      </c>
      <c r="B9" s="67">
        <f>Annexe_îlots_boisements!D108</f>
        <v>0</v>
      </c>
      <c r="C9" s="60"/>
      <c r="D9" s="22">
        <v>3</v>
      </c>
      <c r="E9" s="22" t="s">
        <v>242</v>
      </c>
      <c r="F9" s="22" t="s">
        <v>194</v>
      </c>
      <c r="G9" s="25">
        <v>100</v>
      </c>
      <c r="H9" s="22"/>
      <c r="I9" s="22"/>
      <c r="J9" s="23">
        <f>-B14*B9*(1+B15)</f>
        <v>0</v>
      </c>
      <c r="K9" s="21">
        <f t="shared" si="0"/>
        <v>0</v>
      </c>
      <c r="L9" s="28"/>
      <c r="M9" s="28"/>
      <c r="N9" s="58"/>
      <c r="O9" s="26"/>
      <c r="P9" s="26"/>
      <c r="Q9" s="26"/>
      <c r="R9" s="26"/>
      <c r="S9" s="26"/>
      <c r="T9" s="26"/>
      <c r="U9" s="26"/>
      <c r="V9" s="26"/>
      <c r="W9" s="26"/>
      <c r="X9" s="26"/>
    </row>
    <row r="10" spans="1:24" ht="18.75" x14ac:dyDescent="0.3">
      <c r="A10" s="66" t="s">
        <v>215</v>
      </c>
      <c r="B10" s="65"/>
      <c r="C10" s="63"/>
      <c r="D10" s="22">
        <v>4</v>
      </c>
      <c r="E10" s="22" t="s">
        <v>242</v>
      </c>
      <c r="F10" s="22" t="s">
        <v>194</v>
      </c>
      <c r="G10" s="25">
        <v>100</v>
      </c>
      <c r="H10" s="22"/>
      <c r="I10" s="22"/>
      <c r="J10" s="23">
        <f>-B14*B9*(1+B15)</f>
        <v>0</v>
      </c>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108,Annexe_îlots_boisements!I8:L11,4)*Annexe_îlots_boisements!M8,0)+IFERROR(VLOOKUP(Annexe_îlots_boisements!A108,Annexe_îlots_boisements!I13:L16,4)*Annexe_îlots_boisements!M13,0)+IFERROR(VLOOKUP(Annexe_îlots_boisements!A108,Annexe_îlots_boisements!I18:L21,4)*Annexe_îlots_boisements!M18,0)+IFERROR(VLOOKUP(Annexe_îlots_boisements!A108,Annexe_îlots_boisements!I23:L26,4)*Annexe_îlots_boisements!M23,0)+IFERROR(VLOOKUP(Annexe_îlots_boisements!A108,Annexe_îlots_boisements!I28:L31,4)*Annexe_îlots_boisements!M28,0)+IFERROR(VLOOKUP(Annexe_îlots_boisements!A108,Annexe_îlots_boisements!I33:L36,4)*Annexe_îlots_boisements!M33,0)+IFERROR(VLOOKUP(Annexe_îlots_boisements!A108,Annexe_îlots_boisements!I38:L41,4)*Annexe_îlots_boisements!M38,0)+IFERROR(VLOOKUP(Annexe_îlots_boisements!A108,Annexe_îlots_boisements!I43:L46,4)*Annexe_îlots_boisements!M43,0)+IFERROR(VLOOKUP(Annexe_îlots_boisements!A108,Annexe_îlots_boisements!I48:L51,4)*Annexe_îlots_boisements!M48,0)+IFERROR(VLOOKUP(Annexe_îlots_boisements!A108,Annexe_îlots_boisements!I53:L56,4)*Annexe_îlots_boisements!M53,0)+IFERROR(VLOOKUP(Annexe_îlots_boisements!A108,Annexe_îlots_boisements!I58:L61,4)*Annexe_îlots_boisements!M58,0)+IFERROR(VLOOKUP(Annexe_îlots_boisements!A108,Annexe_îlots_boisements!I63:L66,4)*Annexe_îlots_boisements!M63,0)+IFERROR(VLOOKUP(Annexe_îlots_boisements!A108,Annexe_îlots_boisements!I68:L71,4)*Annexe_îlots_boisements!M68,0)+IFERROR(VLOOKUP(Annexe_îlots_boisements!A108,Annexe_îlots_boisements!I73:L76,4)*Annexe_îlots_boisements!M73,0)+IFERROR(VLOOKUP(Annexe_îlots_boisements!A108,Annexe_îlots_boisements!I78:L81,4)*Annexe_îlots_boisements!M78,0)+IFERROR(VLOOKUP(Annexe_îlots_boisements!A108,Annexe_îlots_boisements!I83:L86,4)*Annexe_îlots_boisements!M83,0)+IFERROR(VLOOKUP(Annexe_îlots_boisements!A108,Annexe_îlots_boisements!I88:L91,4)*Annexe_îlots_boisements!M88,0)+IFERROR(VLOOKUP(Annexe_îlots_boisements!A108,Annexe_îlots_boisements!I93:L96,4)*Annexe_îlots_boisements!M93,0))/Annexe_îlots_boisements!D108,0)</f>
        <v>0</v>
      </c>
      <c r="C11" s="61"/>
      <c r="D11" s="22">
        <v>5</v>
      </c>
      <c r="E11" s="22" t="s">
        <v>242</v>
      </c>
      <c r="F11" s="22"/>
      <c r="G11" s="25"/>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62">
        <f>IFERROR((IFERROR(VLOOKUP(Annexe_îlots_boisements!A108,Annexe_îlots_boisements!I6:L9,4),0)*IFERROR(VLOOKUP(Annexe_îlots_boisements!A108,Annexe_îlots_boisements!I6:O9,6),0)+IFERROR(VLOOKUP(Annexe_îlots_boisements!A108,Annexe_îlots_boisements!I11:L14,4)*IFERROR(VLOOKUP(Annexe_îlots_boisements!A108,Annexe_îlots_boisements!I11:O14,6),0)+IFERROR(VLOOKUP(Annexe_îlots_boisements!A108,Annexe_îlots_boisements!I16:L19,4),0)*IFERROR(VLOOKUP(Annexe_îlots_boisements!A108,Annexe_îlots_boisements!I16:O19,6),0)+IFERROR(VLOOKUP(Annexe_îlots_boisements!A108,Annexe_îlots_boisements!I21:L24,4),0)*IFERROR(VLOOKUP(Annexe_îlots_boisements!A108,Annexe_îlots_boisements!I21:O24,6),0)+IFERROR(VLOOKUP(Annexe_îlots_boisements!A108,Annexe_îlots_boisements!I26:L29,4),0)*IFERROR(VLOOKUP(Annexe_îlots_boisements!A108,Annexe_îlots_boisements!I26:O29,6),0)+IFERROR(VLOOKUP(Annexe_îlots_boisements!A108,Annexe_îlots_boisements!I31:L34,4),0)*IFERROR(VLOOKUP(Annexe_îlots_boisements!A108,Annexe_îlots_boisements!I31:O34,6),0)+IFERROR(VLOOKUP(Annexe_îlots_boisements!A108,Annexe_îlots_boisements!I36:L39,4),0)*IFERROR(VLOOKUP(Annexe_îlots_boisements!A108,Annexe_îlots_boisements!I36:O39,6),0)+IFERROR(VLOOKUP(Annexe_îlots_boisements!A108,Annexe_îlots_boisements!I41:L44,4),0)*IFERROR(VLOOKUP(Annexe_îlots_boisements!A108,Annexe_îlots_boisements!I41:O44,6),0)+IFERROR(VLOOKUP(Annexe_îlots_boisements!A108,Annexe_îlots_boisements!I46:L49,4),0)*IFERROR(VLOOKUP(Annexe_îlots_boisements!A108,Annexe_îlots_boisements!I46:O49,6),0)+IFERROR(VLOOKUP(Annexe_îlots_boisements!A108,Annexe_îlots_boisements!I51:L54,4),0)*IFERROR(VLOOKUP(Annexe_îlots_boisements!A108,Annexe_îlots_boisements!I51:O54,6),0)+IFERROR(VLOOKUP(Annexe_îlots_boisements!A108,Annexe_îlots_boisements!I56:L59,4),0)*VLOOKUP(Annexe_îlots_boisements!A108,Annexe_îlots_boisements!I56:O59,6),0)+IFERROR(VLOOKUP(Annexe_îlots_boisements!A108,Annexe_îlots_boisements!I61:L64,4),0)*IFERROR(VLOOKUP(Annexe_îlots_boisements!A108,Annexe_îlots_boisements!I61:O64,6),0)+IFERROR(VLOOKUP(Annexe_îlots_boisements!A108,Annexe_îlots_boisements!I66:L69,4),0)*IFERROR(VLOOKUP(Annexe_îlots_boisements!A108,Annexe_îlots_boisements!I66:O69,6),0)+IFERROR(VLOOKUP(Annexe_îlots_boisements!A108,Annexe_îlots_boisements!I71:L74,4),0)*IFERROR(VLOOKUP(Annexe_îlots_boisements!A108,Annexe_îlots_boisements!I71:O74,6),0)+IFERROR(VLOOKUP(Annexe_îlots_boisements!A108,Annexe_îlots_boisements!I76:L79,4),0)*IFERROR(VLOOKUP(Annexe_îlots_boisements!A108,Annexe_îlots_boisements!I76:O79,6),0)+IFERROR(VLOOKUP(Annexe_îlots_boisements!A108,Annexe_îlots_boisements!I81:L84,4),0)*IFERROR(VLOOKUP(Annexe_îlots_boisements!A108,Annexe_îlots_boisements!I81:O84,6),0)+IFERROR(VLOOKUP(Annexe_îlots_boisements!A108,Annexe_îlots_boisements!I86:L89,4),0)*IFERROR(VLOOKUP(Annexe_îlots_boisements!A108,Annexe_îlots_boisements!I86:O89,6),0)+IFERROR(VLOOKUP(Annexe_îlots_boisements!A108,Annexe_îlots_boisements!I91:L94,4),0)*IFERROR(VLOOKUP(Annexe_îlots_boisements!A108,Annexe_îlots_boisements!I91:O94,6),0))/Annexe_îlots_boisements!D108,0)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55">
        <f>IFERROR((IFERROR(VLOOKUP(Annexe_îlots_boisements!A108,Annexe_îlots_boisements!I6:L9,4),0)*IFERROR(VLOOKUP(Annexe_îlots_boisements!A108,Annexe_îlots_boisements!I6:O9,7),0)+IFERROR(VLOOKUP(Annexe_îlots_boisements!A108,Annexe_îlots_boisements!I11:L14,4)*IFERROR(VLOOKUP(Annexe_îlots_boisements!A108,Annexe_îlots_boisements!I11:O14,7),0)+IFERROR(VLOOKUP(Annexe_îlots_boisements!A108,Annexe_îlots_boisements!I16:L19,4),0)*IFERROR(VLOOKUP(Annexe_îlots_boisements!A108,Annexe_îlots_boisements!I16:O19,7),0)+IFERROR(VLOOKUP(Annexe_îlots_boisements!A108,Annexe_îlots_boisements!I21:L24,4),0)*IFERROR(VLOOKUP(Annexe_îlots_boisements!A108,Annexe_îlots_boisements!I21:O24,7),0)+IFERROR(VLOOKUP(Annexe_îlots_boisements!A108,Annexe_îlots_boisements!I26:L29,4),0)*IFERROR(VLOOKUP(Annexe_îlots_boisements!A108,Annexe_îlots_boisements!I26:O29,7),0)+IFERROR(VLOOKUP(Annexe_îlots_boisements!A108,Annexe_îlots_boisements!I31:L34,4),0)*IFERROR(VLOOKUP(Annexe_îlots_boisements!A108,Annexe_îlots_boisements!I31:O34,7),0)+IFERROR(VLOOKUP(Annexe_îlots_boisements!A108,Annexe_îlots_boisements!I36:L39,4),0)*IFERROR(VLOOKUP(Annexe_îlots_boisements!A108,Annexe_îlots_boisements!I36:O39,7),0)+IFERROR(VLOOKUP(Annexe_îlots_boisements!A108,Annexe_îlots_boisements!I41:L44,4),0)*IFERROR(VLOOKUP(Annexe_îlots_boisements!A108,Annexe_îlots_boisements!I41:O44,7),0)+IFERROR(VLOOKUP(Annexe_îlots_boisements!A108,Annexe_îlots_boisements!I46:L49,4),0)*IFERROR(VLOOKUP(Annexe_îlots_boisements!A108,Annexe_îlots_boisements!I46:O49,7),0)+IFERROR(VLOOKUP(Annexe_îlots_boisements!A108,Annexe_îlots_boisements!I51:L54,4),0)*IFERROR(VLOOKUP(Annexe_îlots_boisements!A108,Annexe_îlots_boisements!I51:O54,7),0)+IFERROR(VLOOKUP(Annexe_îlots_boisements!A108,Annexe_îlots_boisements!I56:L59,4),0)*VLOOKUP(Annexe_îlots_boisements!A108,Annexe_îlots_boisements!I56:O59,7),0)+IFERROR(VLOOKUP(Annexe_îlots_boisements!A108,Annexe_îlots_boisements!I61:L64,4),0)*IFERROR(VLOOKUP(Annexe_îlots_boisements!A108,Annexe_îlots_boisements!I61:O64,7),0)+IFERROR(VLOOKUP(Annexe_îlots_boisements!A108,Annexe_îlots_boisements!I66:L69,4),0)*IFERROR(VLOOKUP(Annexe_îlots_boisements!A108,Annexe_îlots_boisements!I66:O69,7),0)+IFERROR(VLOOKUP(Annexe_îlots_boisements!A108,Annexe_îlots_boisements!I71:L74,4),0)*IFERROR(VLOOKUP(Annexe_îlots_boisements!A108,Annexe_îlots_boisements!I71:O74,7),0)+IFERROR(VLOOKUP(Annexe_îlots_boisements!A108,Annexe_îlots_boisements!I76:L79,4),0)*IFERROR(VLOOKUP(Annexe_îlots_boisements!A108,Annexe_îlots_boisements!I76:O79,7),0)+IFERROR(VLOOKUP(Annexe_îlots_boisements!A108,Annexe_îlots_boisements!I81:L84,4),0)*IFERROR(VLOOKUP(Annexe_îlots_boisements!A108,Annexe_îlots_boisements!I81:O84,7),0)+IFERROR(VLOOKUP(Annexe_îlots_boisements!A108,Annexe_îlots_boisements!I86:L89,4),0)*IFERROR(VLOOKUP(Annexe_îlots_boisements!A108,Annexe_îlots_boisements!I86:O89,7),0)+IFERROR(VLOOKUP(Annexe_îlots_boisements!A108,Annexe_îlots_boisements!I91:L94,4),0)*IFERROR(VLOOKUP(Annexe_îlots_boisements!A108,Annexe_îlots_boisements!I91:O94,7),0))/Annexe_îlots_boisements!D108,0)</f>
        <v>0</v>
      </c>
      <c r="C13" s="63"/>
      <c r="D13" s="22">
        <v>7</v>
      </c>
      <c r="E13" s="22" t="s">
        <v>242</v>
      </c>
      <c r="F13" s="22"/>
      <c r="G13" s="25"/>
      <c r="H13" s="22"/>
      <c r="I13" s="22"/>
      <c r="J13" s="23">
        <f>-B14*B9*(1+B15)</f>
        <v>0</v>
      </c>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108,Annexe_îlots_boisements!I8:L11,4)*Annexe_îlots_boisements!P8,0)+IFERROR(VLOOKUP(Annexe_îlots_boisements!A108,Annexe_îlots_boisements!I13:L16,4)*Annexe_îlots_boisements!P13,0)+IFERROR(VLOOKUP(Annexe_îlots_boisements!A108,Annexe_îlots_boisements!I18:L21,4)*Annexe_îlots_boisements!P18,0)+IFERROR(VLOOKUP(Annexe_îlots_boisements!A108,Annexe_îlots_boisements!I23:L26,4)*Annexe_îlots_boisements!P23,0)+IFERROR(VLOOKUP(Annexe_îlots_boisements!A108,Annexe_îlots_boisements!I28:L31,4)*Annexe_îlots_boisements!P28,0)+IFERROR(VLOOKUP(Annexe_îlots_boisements!A108,Annexe_îlots_boisements!I33:L36,4)*Annexe_îlots_boisements!P33,0)+IFERROR(VLOOKUP(Annexe_îlots_boisements!A108,Annexe_îlots_boisements!I38:L41,4)*Annexe_îlots_boisements!P38,0)+IFERROR(VLOOKUP(Annexe_îlots_boisements!A108,Annexe_îlots_boisements!I43:L46,4)*Annexe_îlots_boisements!P43,0)+IFERROR(VLOOKUP(Annexe_îlots_boisements!A108,Annexe_îlots_boisements!I48:L51,4)*Annexe_îlots_boisements!P48,0)+IFERROR(VLOOKUP(Annexe_îlots_boisements!A108,Annexe_îlots_boisements!I53:L56,4)*Annexe_îlots_boisements!P53,0)+IFERROR(VLOOKUP(Annexe_îlots_boisements!A108,Annexe_îlots_boisements!I58:L61,4)*Annexe_îlots_boisements!P58,0)+IFERROR(VLOOKUP(Annexe_îlots_boisements!A108,Annexe_îlots_boisements!I63:L66,4)*Annexe_îlots_boisements!P63,0)+IFERROR(VLOOKUP(Annexe_îlots_boisements!A108,Annexe_îlots_boisements!I68:L71,4)*Annexe_îlots_boisements!P68,0)+IFERROR(VLOOKUP(Annexe_îlots_boisements!A108,Annexe_îlots_boisements!I73:L76,4)*Annexe_îlots_boisements!P73,0)+IFERROR(VLOOKUP(Annexe_îlots_boisements!A108,Annexe_îlots_boisements!I78:L81,4)*Annexe_îlots_boisements!P78,0)+IFERROR(VLOOKUP(Annexe_îlots_boisements!A108,Annexe_îlots_boisements!I83:L86,4)*Annexe_îlots_boisements!P83,0)+IFERROR(VLOOKUP(Annexe_îlots_boisements!A108,Annexe_îlots_boisements!I88:L91,4)*Annexe_îlots_boisements!P88,0)+IFERROR(VLOOKUP(Annexe_îlots_boisements!A108,Annexe_îlots_boisements!I93:L96,4)*Annexe_îlots_boisements!P93,0))/Annexe_îlots_boisements!D108,0)</f>
        <v>0</v>
      </c>
      <c r="C14" s="61"/>
      <c r="D14" s="22">
        <v>8</v>
      </c>
      <c r="E14" s="22"/>
      <c r="F14" s="22" t="s">
        <v>194</v>
      </c>
      <c r="G14" s="25">
        <v>100</v>
      </c>
      <c r="H14" s="22"/>
      <c r="I14" s="22"/>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t="s">
        <v>242</v>
      </c>
      <c r="F15" s="22" t="s">
        <v>194</v>
      </c>
      <c r="G15" s="25">
        <v>100</v>
      </c>
      <c r="H15" s="22"/>
      <c r="I15" s="22"/>
      <c r="J15" s="23">
        <f>-B14*B9*(1+B15)</f>
        <v>0</v>
      </c>
      <c r="K15" s="21">
        <f t="shared" si="0"/>
        <v>0</v>
      </c>
      <c r="L15" s="64"/>
      <c r="N15" s="29"/>
      <c r="O15" s="64"/>
      <c r="P15" s="64"/>
      <c r="Q15" s="64"/>
      <c r="R15" s="64"/>
      <c r="S15" s="64"/>
      <c r="T15" s="64"/>
      <c r="U15" s="64"/>
      <c r="V15" s="64"/>
      <c r="W15" s="26"/>
      <c r="X15" s="26"/>
    </row>
    <row r="16" spans="1:24" ht="19.5" thickBot="1" x14ac:dyDescent="0.35">
      <c r="A16" s="96" t="s">
        <v>243</v>
      </c>
      <c r="B16" s="139"/>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35</v>
      </c>
      <c r="C18" s="60"/>
      <c r="D18" s="22">
        <v>12</v>
      </c>
      <c r="E18" s="22"/>
      <c r="F18" s="22"/>
      <c r="G18" s="25"/>
      <c r="H18" s="22"/>
      <c r="I18" s="22"/>
      <c r="J18" s="23"/>
      <c r="K18" s="21">
        <f t="shared" si="0"/>
        <v>0</v>
      </c>
      <c r="L18" s="28"/>
      <c r="N18" s="58"/>
      <c r="O18" s="26"/>
      <c r="P18" s="26"/>
      <c r="Q18" s="26"/>
      <c r="R18" s="26"/>
      <c r="S18" s="26"/>
      <c r="T18" s="26"/>
      <c r="U18" s="26"/>
      <c r="V18" s="26"/>
    </row>
    <row r="19" spans="1:24" ht="18.75" x14ac:dyDescent="0.3">
      <c r="A19" s="45" t="s">
        <v>211</v>
      </c>
      <c r="B19" s="46">
        <v>40</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t="s">
        <v>210</v>
      </c>
      <c r="B20" s="46">
        <v>50</v>
      </c>
      <c r="C20" s="59"/>
      <c r="D20" s="22">
        <v>14</v>
      </c>
      <c r="E20" s="22"/>
      <c r="F20" s="22" t="s">
        <v>194</v>
      </c>
      <c r="G20" s="25">
        <v>100</v>
      </c>
      <c r="H20" s="22"/>
      <c r="I20" s="22"/>
      <c r="J20" s="23"/>
      <c r="K20" s="21">
        <f t="shared" si="0"/>
        <v>0</v>
      </c>
      <c r="N20" s="58"/>
    </row>
    <row r="21" spans="1:24" ht="18.75" x14ac:dyDescent="0.3">
      <c r="A21" s="47" t="s">
        <v>269</v>
      </c>
      <c r="B21" s="46">
        <v>60</v>
      </c>
      <c r="C21" s="57"/>
      <c r="D21" s="22">
        <v>15</v>
      </c>
      <c r="E21" s="22"/>
      <c r="F21" s="22" t="s">
        <v>194</v>
      </c>
      <c r="G21" s="25">
        <v>100</v>
      </c>
      <c r="H21" s="22"/>
      <c r="I21" s="22"/>
      <c r="J21" s="23"/>
      <c r="K21" s="21">
        <f t="shared" si="0"/>
        <v>0</v>
      </c>
      <c r="S21" s="30"/>
    </row>
    <row r="22" spans="1:24" ht="18.75" x14ac:dyDescent="0.3">
      <c r="A22" s="45"/>
      <c r="B22" s="46"/>
      <c r="C22" s="57"/>
      <c r="D22" s="22">
        <v>16</v>
      </c>
      <c r="E22" s="22"/>
      <c r="F22" s="22" t="s">
        <v>194</v>
      </c>
      <c r="G22" s="25">
        <v>100</v>
      </c>
      <c r="H22" s="22"/>
      <c r="I22" s="22"/>
      <c r="J22" s="23"/>
      <c r="K22" s="21">
        <f t="shared" si="0"/>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250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0"/>
      <c r="F26" s="20"/>
      <c r="G26" s="160"/>
      <c r="H26" s="20"/>
      <c r="I26" s="20"/>
      <c r="J26" s="20"/>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10</v>
      </c>
      <c r="D28" s="22">
        <v>22</v>
      </c>
      <c r="E28" s="20"/>
      <c r="F28" s="20"/>
      <c r="G28" s="160"/>
      <c r="H28" s="20"/>
      <c r="I28" s="20"/>
      <c r="J28" s="20"/>
      <c r="K28" s="21">
        <f t="shared" si="0"/>
        <v>0</v>
      </c>
      <c r="L28" s="34"/>
      <c r="O28" s="26"/>
      <c r="P28" s="26"/>
      <c r="Q28" s="26"/>
      <c r="R28" s="26"/>
      <c r="S28" s="26"/>
      <c r="T28" s="26"/>
      <c r="U28" s="26"/>
      <c r="V28" s="26"/>
      <c r="W28" s="26"/>
    </row>
    <row r="29" spans="1:24" ht="18.75" x14ac:dyDescent="0.3">
      <c r="A29" s="38" t="s">
        <v>201</v>
      </c>
      <c r="B29" s="35">
        <v>15</v>
      </c>
      <c r="D29" s="22">
        <v>23</v>
      </c>
      <c r="E29" s="22"/>
      <c r="F29" s="22" t="s">
        <v>194</v>
      </c>
      <c r="G29" s="25">
        <v>100</v>
      </c>
      <c r="H29" s="22"/>
      <c r="I29" s="22"/>
      <c r="J29" s="23"/>
      <c r="K29" s="21">
        <f t="shared" si="0"/>
        <v>0</v>
      </c>
      <c r="L29" s="34"/>
      <c r="O29" s="26"/>
      <c r="P29" s="26"/>
      <c r="Q29" s="26"/>
      <c r="R29" s="26"/>
      <c r="S29" s="26"/>
      <c r="T29" s="26"/>
      <c r="U29" s="26"/>
      <c r="V29" s="26"/>
      <c r="W29" s="26"/>
    </row>
    <row r="30" spans="1:24" ht="18.75" x14ac:dyDescent="0.3">
      <c r="A30" s="36" t="s">
        <v>270</v>
      </c>
      <c r="B30" s="35">
        <v>25</v>
      </c>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t="s">
        <v>271</v>
      </c>
      <c r="B31" s="35">
        <v>30</v>
      </c>
      <c r="D31" s="22">
        <v>25</v>
      </c>
      <c r="E31" s="22" t="s">
        <v>247</v>
      </c>
      <c r="F31" s="22" t="s">
        <v>194</v>
      </c>
      <c r="G31" s="25">
        <v>101</v>
      </c>
      <c r="H31" s="22"/>
      <c r="I31" s="22"/>
      <c r="J31" s="23">
        <f>(B28*B18)*B9</f>
        <v>0</v>
      </c>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22">
        <v>20</v>
      </c>
      <c r="J32" s="23"/>
      <c r="K32" s="21">
        <f t="shared" si="0"/>
        <v>0</v>
      </c>
    </row>
    <row r="33" spans="1:24" ht="18.75" x14ac:dyDescent="0.3">
      <c r="A33" s="38"/>
      <c r="B33" s="35"/>
      <c r="D33" s="22">
        <v>27</v>
      </c>
      <c r="E33" s="22"/>
      <c r="F33" s="22" t="s">
        <v>194</v>
      </c>
      <c r="G33" s="25">
        <v>100</v>
      </c>
      <c r="H33" s="22"/>
      <c r="I33" s="22"/>
      <c r="J33" s="23"/>
      <c r="K33" s="21">
        <f t="shared" si="0"/>
        <v>0</v>
      </c>
      <c r="S33" s="30"/>
    </row>
    <row r="34" spans="1:24" ht="18.75" x14ac:dyDescent="0.3">
      <c r="A34" s="36"/>
      <c r="B34" s="35"/>
      <c r="D34" s="22">
        <v>28</v>
      </c>
      <c r="E34" s="20"/>
      <c r="F34" s="20"/>
      <c r="G34" s="160"/>
      <c r="H34" s="20"/>
      <c r="I34" s="20"/>
      <c r="J34" s="20"/>
      <c r="K34" s="21">
        <f t="shared" si="0"/>
        <v>0</v>
      </c>
      <c r="N34" s="29"/>
    </row>
    <row r="35" spans="1:24" ht="19.5" thickBot="1" x14ac:dyDescent="0.35">
      <c r="A35" s="32" t="s">
        <v>195</v>
      </c>
      <c r="B35" s="31">
        <v>50</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0"/>
      <c r="F36" s="20"/>
      <c r="G36" s="160"/>
      <c r="H36" s="20"/>
      <c r="I36" s="20"/>
      <c r="J36" s="20"/>
      <c r="K36" s="21">
        <f t="shared" si="0"/>
        <v>0</v>
      </c>
      <c r="L36" s="28"/>
      <c r="M36" s="28"/>
      <c r="N36" s="27"/>
      <c r="O36" s="26"/>
      <c r="P36" s="26"/>
      <c r="Q36" s="26"/>
      <c r="R36" s="26"/>
      <c r="S36" s="26"/>
      <c r="T36" s="26"/>
      <c r="U36" s="26"/>
      <c r="V36" s="26"/>
      <c r="W36" s="26"/>
      <c r="X36" s="26"/>
    </row>
    <row r="37" spans="1:24" ht="19.5" thickBot="1" x14ac:dyDescent="0.35">
      <c r="A37" s="50"/>
      <c r="B37" s="49"/>
      <c r="D37" s="22">
        <v>31</v>
      </c>
      <c r="E37" s="22"/>
      <c r="F37" s="22"/>
      <c r="G37" s="25"/>
      <c r="H37" s="22"/>
      <c r="I37" s="22"/>
      <c r="J37" s="23"/>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2" t="s">
        <v>259</v>
      </c>
      <c r="F41" s="22" t="s">
        <v>192</v>
      </c>
      <c r="G41" s="25">
        <v>100</v>
      </c>
      <c r="H41" s="24" t="e">
        <f>#REF!*#REF!*#REF!</f>
        <v>#REF!</v>
      </c>
      <c r="I41" s="22">
        <v>30</v>
      </c>
      <c r="J41" s="23">
        <f>(B29*B19)*B9</f>
        <v>0</v>
      </c>
      <c r="K41" s="21">
        <f t="shared" si="0"/>
        <v>0</v>
      </c>
      <c r="L41" s="28"/>
      <c r="N41" s="27"/>
      <c r="O41" s="26"/>
      <c r="P41" s="26"/>
      <c r="Q41" s="26"/>
      <c r="R41" s="26"/>
      <c r="S41" s="26"/>
      <c r="T41" s="26"/>
      <c r="U41" s="26"/>
      <c r="V41" s="33"/>
      <c r="W41" s="33"/>
    </row>
    <row r="42" spans="1:24" x14ac:dyDescent="0.25">
      <c r="D42" s="22">
        <v>36</v>
      </c>
      <c r="E42" s="20"/>
      <c r="F42" s="20"/>
      <c r="G42" s="160"/>
      <c r="H42" s="20"/>
      <c r="I42" s="20"/>
      <c r="J42" s="20"/>
      <c r="K42" s="21">
        <f t="shared" si="0"/>
        <v>0</v>
      </c>
      <c r="L42" s="28"/>
      <c r="N42" s="27"/>
      <c r="O42" s="26"/>
      <c r="P42" s="26"/>
      <c r="Q42" s="26"/>
      <c r="R42" s="26"/>
      <c r="S42" s="26"/>
      <c r="T42" s="26"/>
      <c r="U42" s="26"/>
      <c r="V42" s="33"/>
      <c r="W42" s="33"/>
    </row>
    <row r="43" spans="1:24" x14ac:dyDescent="0.25">
      <c r="D43" s="22">
        <v>37</v>
      </c>
      <c r="E43" s="22"/>
      <c r="F43" s="22"/>
      <c r="G43" s="25"/>
      <c r="H43" s="22"/>
      <c r="I43" s="22"/>
      <c r="J43" s="23"/>
      <c r="K43" s="21">
        <f t="shared" si="0"/>
        <v>0</v>
      </c>
      <c r="L43" s="28"/>
      <c r="N43" s="27"/>
      <c r="O43" s="26"/>
      <c r="P43" s="26"/>
      <c r="Q43" s="26"/>
      <c r="R43" s="26"/>
      <c r="S43" s="26"/>
      <c r="T43" s="26"/>
      <c r="U43" s="26"/>
      <c r="V43" s="33"/>
      <c r="W43" s="33"/>
    </row>
    <row r="44" spans="1:24" x14ac:dyDescent="0.25">
      <c r="D44" s="22">
        <v>38</v>
      </c>
      <c r="E44" s="20"/>
      <c r="F44" s="20"/>
      <c r="G44" s="160"/>
      <c r="H44" s="20"/>
      <c r="I44" s="20"/>
      <c r="J44" s="20"/>
      <c r="K44" s="21">
        <f t="shared" si="0"/>
        <v>0</v>
      </c>
      <c r="L44" s="28"/>
      <c r="N44" s="27"/>
      <c r="O44" s="26"/>
      <c r="P44" s="26"/>
      <c r="Q44" s="26"/>
      <c r="R44" s="26"/>
      <c r="S44" s="26"/>
      <c r="T44" s="26"/>
      <c r="U44" s="26"/>
      <c r="V44" s="33"/>
      <c r="W44" s="33"/>
    </row>
    <row r="45" spans="1:24" x14ac:dyDescent="0.25">
      <c r="D45" s="22">
        <v>39</v>
      </c>
      <c r="E45" s="22"/>
      <c r="F45" s="22"/>
      <c r="G45" s="25"/>
      <c r="H45" s="22"/>
      <c r="I45" s="22"/>
      <c r="J45" s="23"/>
      <c r="K45" s="21">
        <f t="shared" si="0"/>
        <v>0</v>
      </c>
      <c r="L45" s="28"/>
      <c r="N45" s="27"/>
      <c r="O45" s="26"/>
      <c r="P45" s="26"/>
      <c r="Q45" s="26"/>
      <c r="R45" s="26"/>
      <c r="S45" s="26"/>
      <c r="T45" s="26"/>
      <c r="U45" s="26"/>
      <c r="V45" s="33"/>
      <c r="W45" s="33"/>
    </row>
    <row r="46" spans="1:24" x14ac:dyDescent="0.25">
      <c r="D46" s="22">
        <v>40</v>
      </c>
      <c r="E46" s="22"/>
      <c r="F46" s="22"/>
      <c r="G46" s="25"/>
      <c r="H46" s="22"/>
      <c r="I46" s="22"/>
      <c r="J46" s="23"/>
      <c r="K46" s="21">
        <f t="shared" si="0"/>
        <v>0</v>
      </c>
      <c r="L46" s="28"/>
      <c r="N46" s="27"/>
      <c r="O46" s="26"/>
      <c r="P46" s="26"/>
      <c r="Q46" s="26"/>
      <c r="R46" s="26"/>
      <c r="S46" s="26"/>
      <c r="T46" s="26"/>
      <c r="U46" s="26"/>
      <c r="V46" s="33"/>
      <c r="W46" s="33"/>
    </row>
    <row r="47" spans="1:24" x14ac:dyDescent="0.25">
      <c r="D47" s="22">
        <v>41</v>
      </c>
      <c r="E47" s="22"/>
      <c r="F47" s="22"/>
      <c r="G47" s="25"/>
      <c r="H47" s="22"/>
      <c r="I47" s="22"/>
      <c r="J47" s="23"/>
      <c r="K47" s="21">
        <f t="shared" si="0"/>
        <v>0</v>
      </c>
      <c r="L47" s="28"/>
      <c r="N47" s="27"/>
      <c r="O47" s="26"/>
      <c r="P47" s="26"/>
      <c r="Q47" s="26"/>
      <c r="R47" s="26"/>
      <c r="S47" s="26"/>
      <c r="T47" s="26"/>
      <c r="U47" s="26"/>
      <c r="V47" s="33"/>
      <c r="W47" s="33"/>
    </row>
    <row r="48" spans="1:24" x14ac:dyDescent="0.25">
      <c r="D48" s="22">
        <v>42</v>
      </c>
      <c r="E48" s="22"/>
      <c r="F48" s="22"/>
      <c r="G48" s="25"/>
      <c r="H48" s="22"/>
      <c r="I48" s="22"/>
      <c r="J48" s="23"/>
      <c r="K48" s="21">
        <f t="shared" si="0"/>
        <v>0</v>
      </c>
      <c r="N48" s="26"/>
      <c r="O48" s="26"/>
      <c r="P48" s="26"/>
      <c r="Q48" s="26"/>
      <c r="R48" s="26"/>
      <c r="S48" s="26"/>
      <c r="T48" s="26"/>
    </row>
    <row r="49" spans="4:23" x14ac:dyDescent="0.25">
      <c r="D49" s="22">
        <v>43</v>
      </c>
      <c r="E49" s="22"/>
      <c r="F49" s="22"/>
      <c r="G49" s="25"/>
      <c r="H49" s="22"/>
      <c r="I49" s="22"/>
      <c r="J49" s="23"/>
      <c r="K49" s="21">
        <f t="shared" si="0"/>
        <v>0</v>
      </c>
      <c r="S49" s="30"/>
    </row>
    <row r="50" spans="4:23" x14ac:dyDescent="0.25">
      <c r="D50" s="22">
        <v>44</v>
      </c>
      <c r="E50" s="20"/>
      <c r="F50" s="22" t="s">
        <v>192</v>
      </c>
      <c r="G50" s="25">
        <v>100</v>
      </c>
      <c r="H50" s="24" t="e">
        <f>B31*#REF!*#REF!</f>
        <v>#REF!</v>
      </c>
      <c r="I50" s="22">
        <v>30</v>
      </c>
      <c r="J50" s="20"/>
      <c r="K50" s="21">
        <f t="shared" si="0"/>
        <v>0</v>
      </c>
      <c r="N50" s="29"/>
    </row>
    <row r="51" spans="4:23" x14ac:dyDescent="0.25">
      <c r="D51" s="22">
        <v>45</v>
      </c>
      <c r="E51" s="22" t="s">
        <v>245</v>
      </c>
      <c r="F51" s="22" t="s">
        <v>192</v>
      </c>
      <c r="G51" s="25">
        <v>100</v>
      </c>
      <c r="H51" s="24" t="e">
        <f>B21*#REF!*#REF!</f>
        <v>#REF!</v>
      </c>
      <c r="I51" s="22">
        <v>30</v>
      </c>
      <c r="J51" s="23">
        <f>(B20*B30)*B9</f>
        <v>0</v>
      </c>
      <c r="K51" s="21">
        <f t="shared" si="0"/>
        <v>0</v>
      </c>
      <c r="L51" s="28"/>
      <c r="N51" s="37"/>
      <c r="O51" s="26"/>
      <c r="P51" s="26"/>
      <c r="Q51" s="26"/>
      <c r="R51" s="26"/>
      <c r="S51" s="26"/>
      <c r="T51" s="26"/>
      <c r="U51" s="26"/>
      <c r="V51" s="33"/>
      <c r="W51" s="33"/>
    </row>
    <row r="52" spans="4:23" x14ac:dyDescent="0.25">
      <c r="D52" s="22">
        <v>46</v>
      </c>
      <c r="E52" s="20"/>
      <c r="F52" s="20"/>
      <c r="G52" s="160"/>
      <c r="H52" s="20"/>
      <c r="I52" s="20"/>
      <c r="J52" s="20"/>
      <c r="K52" s="21">
        <f t="shared" si="0"/>
        <v>0</v>
      </c>
      <c r="L52" s="28"/>
      <c r="N52" s="37"/>
      <c r="O52" s="26"/>
      <c r="P52" s="26"/>
      <c r="Q52" s="26"/>
      <c r="R52" s="26"/>
      <c r="S52" s="26"/>
      <c r="T52" s="26"/>
      <c r="U52" s="26"/>
      <c r="V52" s="33"/>
      <c r="W52" s="33"/>
    </row>
    <row r="53" spans="4:23" x14ac:dyDescent="0.25">
      <c r="D53" s="22">
        <v>47</v>
      </c>
      <c r="E53" s="22"/>
      <c r="F53" s="22"/>
      <c r="G53" s="25"/>
      <c r="H53" s="22"/>
      <c r="I53" s="22"/>
      <c r="J53" s="23"/>
      <c r="K53" s="21">
        <f t="shared" si="0"/>
        <v>0</v>
      </c>
      <c r="L53" s="28"/>
      <c r="N53" s="37"/>
      <c r="O53" s="26"/>
      <c r="P53" s="26"/>
      <c r="Q53" s="26"/>
      <c r="R53" s="26"/>
      <c r="S53" s="26"/>
      <c r="T53" s="26"/>
      <c r="U53" s="26"/>
      <c r="V53" s="33"/>
      <c r="W53" s="33"/>
    </row>
    <row r="54" spans="4:23" x14ac:dyDescent="0.25">
      <c r="D54" s="22">
        <v>48</v>
      </c>
      <c r="E54" s="22"/>
      <c r="F54" s="22"/>
      <c r="G54" s="25"/>
      <c r="H54" s="22"/>
      <c r="I54" s="22"/>
      <c r="J54" s="22"/>
      <c r="K54" s="21">
        <f t="shared" si="0"/>
        <v>0</v>
      </c>
      <c r="L54" s="28"/>
      <c r="N54" s="37"/>
      <c r="O54" s="26"/>
      <c r="P54" s="26"/>
      <c r="Q54" s="26"/>
      <c r="R54" s="26"/>
      <c r="S54" s="26"/>
      <c r="T54" s="26"/>
      <c r="U54" s="26"/>
      <c r="V54" s="33"/>
      <c r="W54" s="33"/>
    </row>
    <row r="55" spans="4:23" x14ac:dyDescent="0.25">
      <c r="D55" s="22">
        <v>49</v>
      </c>
      <c r="E55" s="22"/>
      <c r="F55" s="22"/>
      <c r="G55" s="25"/>
      <c r="H55" s="22"/>
      <c r="I55" s="22"/>
      <c r="J55" s="23"/>
      <c r="K55" s="21">
        <f t="shared" si="0"/>
        <v>0</v>
      </c>
    </row>
    <row r="56" spans="4:23" x14ac:dyDescent="0.25">
      <c r="D56" s="22">
        <v>50</v>
      </c>
      <c r="E56" s="22"/>
      <c r="F56" s="22"/>
      <c r="G56" s="25"/>
      <c r="H56" s="22"/>
      <c r="I56" s="22"/>
      <c r="J56" s="23"/>
      <c r="K56" s="21">
        <f t="shared" si="0"/>
        <v>0</v>
      </c>
    </row>
    <row r="57" spans="4:23" x14ac:dyDescent="0.25">
      <c r="D57" s="22">
        <v>51</v>
      </c>
      <c r="E57" s="22"/>
      <c r="F57" s="22"/>
      <c r="G57" s="25"/>
      <c r="H57" s="22"/>
      <c r="I57" s="22"/>
      <c r="J57" s="23"/>
      <c r="K57" s="21">
        <f t="shared" si="0"/>
        <v>0</v>
      </c>
      <c r="S57" s="30"/>
    </row>
    <row r="58" spans="4:23" x14ac:dyDescent="0.25">
      <c r="D58" s="22">
        <v>52</v>
      </c>
      <c r="E58" s="22"/>
      <c r="F58" s="22"/>
      <c r="G58" s="25"/>
      <c r="H58" s="22"/>
      <c r="I58" s="22"/>
      <c r="J58" s="23"/>
      <c r="K58" s="21">
        <f t="shared" si="0"/>
        <v>0</v>
      </c>
      <c r="N58" s="29"/>
    </row>
    <row r="59" spans="4:23" x14ac:dyDescent="0.25">
      <c r="D59" s="22">
        <v>53</v>
      </c>
      <c r="E59" s="22"/>
      <c r="F59" s="22"/>
      <c r="G59" s="25"/>
      <c r="H59" s="22"/>
      <c r="I59" s="22"/>
      <c r="J59" s="23"/>
      <c r="K59" s="21">
        <f t="shared" si="0"/>
        <v>0</v>
      </c>
      <c r="L59" s="28"/>
      <c r="N59" s="37"/>
      <c r="O59" s="26"/>
      <c r="P59" s="26"/>
      <c r="Q59" s="26"/>
      <c r="R59" s="26"/>
      <c r="S59" s="26"/>
      <c r="T59" s="26"/>
      <c r="U59" s="26"/>
      <c r="V59" s="26"/>
      <c r="W59" s="26"/>
    </row>
    <row r="60" spans="4:23" x14ac:dyDescent="0.25">
      <c r="D60" s="22">
        <v>54</v>
      </c>
      <c r="E60" s="22"/>
      <c r="F60" s="22"/>
      <c r="G60" s="25"/>
      <c r="H60" s="24"/>
      <c r="I60" s="22"/>
      <c r="J60" s="23"/>
      <c r="K60" s="21">
        <f t="shared" si="0"/>
        <v>0</v>
      </c>
      <c r="L60" s="28"/>
      <c r="N60" s="37"/>
      <c r="O60" s="26"/>
      <c r="P60" s="26"/>
      <c r="Q60" s="26"/>
      <c r="R60" s="26"/>
      <c r="S60" s="26"/>
      <c r="T60" s="26"/>
      <c r="U60" s="26"/>
      <c r="V60" s="26"/>
      <c r="W60" s="26"/>
    </row>
    <row r="61" spans="4:23" x14ac:dyDescent="0.25">
      <c r="D61" s="22">
        <v>55</v>
      </c>
      <c r="E61" s="22" t="s">
        <v>268</v>
      </c>
      <c r="F61" s="22"/>
      <c r="G61" s="25"/>
      <c r="H61" s="22"/>
      <c r="I61" s="22"/>
      <c r="J61" s="23">
        <f>(B21*B31)*B9</f>
        <v>0</v>
      </c>
      <c r="K61" s="21">
        <f t="shared" si="0"/>
        <v>0</v>
      </c>
      <c r="L61" s="28"/>
      <c r="N61" s="37"/>
      <c r="O61" s="26"/>
      <c r="P61" s="26"/>
      <c r="Q61" s="26"/>
      <c r="R61" s="26"/>
      <c r="S61" s="26"/>
      <c r="T61" s="26"/>
      <c r="U61" s="26"/>
      <c r="V61" s="26"/>
      <c r="W61" s="26"/>
    </row>
    <row r="62" spans="4:23" x14ac:dyDescent="0.25">
      <c r="D62" s="22">
        <v>56</v>
      </c>
      <c r="E62" s="22"/>
      <c r="F62" s="22"/>
      <c r="G62" s="25"/>
      <c r="H62" s="22"/>
      <c r="I62" s="22"/>
      <c r="J62" s="23"/>
      <c r="K62" s="21">
        <f t="shared" si="0"/>
        <v>0</v>
      </c>
    </row>
    <row r="63" spans="4:23" x14ac:dyDescent="0.25">
      <c r="D63" s="22">
        <v>57</v>
      </c>
      <c r="E63" s="22"/>
      <c r="F63" s="22"/>
      <c r="G63" s="25"/>
      <c r="H63" s="24"/>
      <c r="I63" s="22"/>
      <c r="J63" s="23"/>
      <c r="K63" s="21">
        <f t="shared" si="0"/>
        <v>0</v>
      </c>
    </row>
    <row r="64" spans="4:23" x14ac:dyDescent="0.25">
      <c r="D64" s="22">
        <v>58</v>
      </c>
      <c r="E64" s="22"/>
      <c r="F64" s="22"/>
      <c r="G64" s="25"/>
      <c r="H64" s="22"/>
      <c r="I64" s="22"/>
      <c r="J64" s="23"/>
      <c r="K64" s="21">
        <f t="shared" si="0"/>
        <v>0</v>
      </c>
    </row>
    <row r="65" spans="4:11" x14ac:dyDescent="0.25">
      <c r="D65" s="22">
        <v>59</v>
      </c>
      <c r="E65" s="22"/>
      <c r="F65" s="22"/>
      <c r="G65" s="25"/>
      <c r="H65" s="22"/>
      <c r="I65" s="22"/>
      <c r="J65" s="23"/>
      <c r="K65" s="21">
        <f t="shared" si="0"/>
        <v>0</v>
      </c>
    </row>
    <row r="66" spans="4:11" x14ac:dyDescent="0.25">
      <c r="D66" s="22">
        <v>60</v>
      </c>
      <c r="E66" s="22"/>
      <c r="F66" s="22"/>
      <c r="G66" s="25"/>
      <c r="H66" s="24"/>
      <c r="I66" s="22"/>
      <c r="J66" s="23"/>
      <c r="K66" s="21">
        <f t="shared" si="0"/>
        <v>0</v>
      </c>
    </row>
    <row r="67" spans="4:11" x14ac:dyDescent="0.25">
      <c r="D67" s="22">
        <v>61</v>
      </c>
      <c r="E67" s="22"/>
      <c r="F67" s="22"/>
      <c r="G67" s="25"/>
      <c r="H67" s="22"/>
      <c r="I67" s="22"/>
      <c r="J67" s="23"/>
      <c r="K67" s="21">
        <f t="shared" si="0"/>
        <v>0</v>
      </c>
    </row>
    <row r="68" spans="4:11" x14ac:dyDescent="0.25">
      <c r="D68" s="22">
        <v>62</v>
      </c>
      <c r="E68" s="22"/>
      <c r="F68" s="22"/>
      <c r="G68" s="25"/>
      <c r="H68" s="22"/>
      <c r="I68" s="22"/>
      <c r="J68" s="23"/>
      <c r="K68" s="21">
        <f t="shared" si="0"/>
        <v>0</v>
      </c>
    </row>
    <row r="69" spans="4:11" x14ac:dyDescent="0.25">
      <c r="D69" s="22">
        <v>63</v>
      </c>
      <c r="E69" s="22"/>
      <c r="F69" s="22"/>
      <c r="G69" s="25"/>
      <c r="H69" s="24"/>
      <c r="I69" s="22"/>
      <c r="J69" s="23"/>
      <c r="K69" s="21">
        <f t="shared" si="0"/>
        <v>0</v>
      </c>
    </row>
    <row r="70" spans="4:11" x14ac:dyDescent="0.25">
      <c r="D70" s="22">
        <v>64</v>
      </c>
      <c r="E70" s="22"/>
      <c r="F70" s="22"/>
      <c r="G70" s="25"/>
      <c r="H70" s="22"/>
      <c r="I70" s="22"/>
      <c r="J70" s="23"/>
      <c r="K70" s="21">
        <f t="shared" si="0"/>
        <v>0</v>
      </c>
    </row>
    <row r="71" spans="4:11" x14ac:dyDescent="0.25">
      <c r="D71" s="22">
        <v>65</v>
      </c>
      <c r="E71" s="22" t="s">
        <v>261</v>
      </c>
      <c r="F71" s="22" t="s">
        <v>192</v>
      </c>
      <c r="G71" s="25">
        <v>100</v>
      </c>
      <c r="H71" s="24" t="e">
        <f>#REF!*#REF!*#REF!</f>
        <v>#REF!</v>
      </c>
      <c r="I71" s="22">
        <v>30</v>
      </c>
      <c r="J71" s="23">
        <f>(B35*B35)*B9</f>
        <v>0</v>
      </c>
      <c r="K71" s="21">
        <f>J71/(1+B73)^D71</f>
        <v>0</v>
      </c>
    </row>
  </sheetData>
  <sheetProtection algorithmName="SHA-512" hashValue="6ZGxHbTWlZLIEoDZ5shBAX1vbC4rq7oTSzhte0kFWRJCdLYo6T9iGtQ2HQSVxwwG/SmD3cBshCp96SK/MxqVIQ==" saltValue="rODoIIJFbLN6tmTyEEcmcw==" spinCount="100000" sheet="1" objects="1" scenarios="1" selectLockedCells="1"/>
  <mergeCells count="1">
    <mergeCell ref="D1:J1"/>
  </mergeCells>
  <conditionalFormatting sqref="L9:L13">
    <cfRule type="colorScale" priority="15">
      <colorScale>
        <cfvo type="min"/>
        <cfvo type="percentile" val="50"/>
        <cfvo type="max"/>
        <color rgb="FFF8696B"/>
        <color rgb="FFFCFCFF"/>
        <color rgb="FF63BE7B"/>
      </colorScale>
    </cfRule>
  </conditionalFormatting>
  <conditionalFormatting sqref="L9:M13">
    <cfRule type="colorScale" priority="14">
      <colorScale>
        <cfvo type="min"/>
        <cfvo type="percentile" val="50"/>
        <cfvo type="max"/>
        <color rgb="FFF8696B"/>
        <color rgb="FFFCFCFF"/>
        <color rgb="FF63BE7B"/>
      </colorScale>
    </cfRule>
  </conditionalFormatting>
  <conditionalFormatting sqref="O9:W13 W14:W17">
    <cfRule type="colorScale" priority="13">
      <colorScale>
        <cfvo type="min"/>
        <cfvo type="percentile" val="50"/>
        <cfvo type="max"/>
        <color rgb="FFF8696B"/>
        <color rgb="FFFCFCFF"/>
        <color rgb="FF63BE7B"/>
      </colorScale>
    </cfRule>
  </conditionalFormatting>
  <conditionalFormatting sqref="O9:X13 W14:X17">
    <cfRule type="colorScale" priority="12">
      <colorScale>
        <cfvo type="min"/>
        <cfvo type="percentile" val="50"/>
        <cfvo type="max"/>
        <color rgb="FFF8696B"/>
        <color rgb="FFFCFCFF"/>
        <color rgb="FF63BE7B"/>
      </colorScale>
    </cfRule>
  </conditionalFormatting>
  <conditionalFormatting sqref="O23:U31">
    <cfRule type="colorScale" priority="11">
      <colorScale>
        <cfvo type="min"/>
        <cfvo type="percentile" val="50"/>
        <cfvo type="max"/>
        <color rgb="FFF8696B"/>
        <color rgb="FFFCFCFF"/>
        <color rgb="FF63BE7B"/>
      </colorScale>
    </cfRule>
  </conditionalFormatting>
  <conditionalFormatting sqref="O23:V31">
    <cfRule type="colorScale" priority="10">
      <colorScale>
        <cfvo type="min"/>
        <cfvo type="percentile" val="50"/>
        <cfvo type="max"/>
        <color rgb="FFF8696B"/>
        <color rgb="FFFCFCFF"/>
        <color rgb="FF63BE7B"/>
      </colorScale>
    </cfRule>
  </conditionalFormatting>
  <conditionalFormatting sqref="O16:V19">
    <cfRule type="colorScale" priority="9">
      <colorScale>
        <cfvo type="min"/>
        <cfvo type="percentile" val="50"/>
        <cfvo type="max"/>
        <color rgb="FFF8696B"/>
        <color rgb="FFFCFCFF"/>
        <color rgb="FF63BE7B"/>
      </colorScale>
    </cfRule>
  </conditionalFormatting>
  <conditionalFormatting sqref="O16:V19">
    <cfRule type="colorScale" priority="8">
      <colorScale>
        <cfvo type="min"/>
        <cfvo type="percentile" val="50"/>
        <cfvo type="max"/>
        <color rgb="FFF8696B"/>
        <color rgb="FFFCFCFF"/>
        <color rgb="FF63BE7B"/>
      </colorScale>
    </cfRule>
  </conditionalFormatting>
  <conditionalFormatting sqref="O35:W36">
    <cfRule type="colorScale" priority="7">
      <colorScale>
        <cfvo type="min"/>
        <cfvo type="percentile" val="50"/>
        <cfvo type="max"/>
        <color rgb="FFF8696B"/>
        <color rgb="FFFCFCFF"/>
        <color rgb="FF63BE7B"/>
      </colorScale>
    </cfRule>
  </conditionalFormatting>
  <conditionalFormatting sqref="O35:X36">
    <cfRule type="colorScale" priority="6">
      <colorScale>
        <cfvo type="min"/>
        <cfvo type="percentile" val="50"/>
        <cfvo type="max"/>
        <color rgb="FFF8696B"/>
        <color rgb="FFFCFCFF"/>
        <color rgb="FF63BE7B"/>
      </colorScale>
    </cfRule>
  </conditionalFormatting>
  <conditionalFormatting sqref="L16:L19">
    <cfRule type="colorScale" priority="16">
      <colorScale>
        <cfvo type="min"/>
        <cfvo type="percentile" val="50"/>
        <cfvo type="max"/>
        <color rgb="FFF8696B"/>
        <color rgb="FFFCFCFF"/>
        <color rgb="FF63BE7B"/>
      </colorScale>
    </cfRule>
  </conditionalFormatting>
  <conditionalFormatting sqref="L16:L19">
    <cfRule type="colorScale" priority="17">
      <colorScale>
        <cfvo type="min"/>
        <cfvo type="percentile" val="50"/>
        <cfvo type="max"/>
        <color rgb="FFF8696B"/>
        <color rgb="FFFCFCFF"/>
        <color rgb="FF63BE7B"/>
      </colorScale>
    </cfRule>
  </conditionalFormatting>
  <conditionalFormatting sqref="N48:T48 O41:U47">
    <cfRule type="colorScale" priority="5">
      <colorScale>
        <cfvo type="min"/>
        <cfvo type="percentile" val="50"/>
        <cfvo type="max"/>
        <color rgb="FFF8696B"/>
        <color rgb="FFFCFCFF"/>
        <color rgb="FF63BE7B"/>
      </colorScale>
    </cfRule>
  </conditionalFormatting>
  <conditionalFormatting sqref="O41:W47">
    <cfRule type="colorScale" priority="4">
      <colorScale>
        <cfvo type="min"/>
        <cfvo type="percentile" val="50"/>
        <cfvo type="max"/>
        <color rgb="FFF8696B"/>
        <color rgb="FFFCFCFF"/>
        <color rgb="FF63BE7B"/>
      </colorScale>
    </cfRule>
  </conditionalFormatting>
  <conditionalFormatting sqref="O51:U54">
    <cfRule type="colorScale" priority="3">
      <colorScale>
        <cfvo type="min"/>
        <cfvo type="percentile" val="50"/>
        <cfvo type="max"/>
        <color rgb="FFF8696B"/>
        <color rgb="FFFCFCFF"/>
        <color rgb="FF63BE7B"/>
      </colorScale>
    </cfRule>
  </conditionalFormatting>
  <conditionalFormatting sqref="O51:W54">
    <cfRule type="colorScale" priority="2">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18">
      <colorScale>
        <cfvo type="min"/>
        <cfvo type="percentile" val="50"/>
        <cfvo type="max"/>
        <color rgb="FFF8696B"/>
        <color rgb="FFFCFCFF"/>
        <color rgb="FF63BE7B"/>
      </colorScale>
    </cfRule>
  </conditionalFormatting>
  <conditionalFormatting sqref="L35:M36">
    <cfRule type="colorScale" priority="19">
      <colorScale>
        <cfvo type="min"/>
        <cfvo type="percentile" val="50"/>
        <cfvo type="max"/>
        <color rgb="FFF8696B"/>
        <color rgb="FFFCFCFF"/>
        <color rgb="FF63BE7B"/>
      </colorScale>
    </cfRule>
  </conditionalFormatting>
  <conditionalFormatting sqref="L41:L47">
    <cfRule type="colorScale" priority="20">
      <colorScale>
        <cfvo type="min"/>
        <cfvo type="percentile" val="50"/>
        <cfvo type="max"/>
        <color rgb="FFF8696B"/>
        <color rgb="FFFCFCFF"/>
        <color rgb="FF63BE7B"/>
      </colorScale>
    </cfRule>
  </conditionalFormatting>
  <conditionalFormatting sqref="L51:L54">
    <cfRule type="colorScale" priority="21">
      <colorScale>
        <cfvo type="min"/>
        <cfvo type="percentile" val="50"/>
        <cfvo type="max"/>
        <color rgb="FFF8696B"/>
        <color rgb="FFFCFCFF"/>
        <color rgb="FF63BE7B"/>
      </colorScale>
    </cfRule>
  </conditionalFormatting>
  <conditionalFormatting sqref="L23:L31">
    <cfRule type="colorScale" priority="22">
      <colorScale>
        <cfvo type="min"/>
        <cfvo type="percentile" val="50"/>
        <cfvo type="max"/>
        <color rgb="FFF8696B"/>
        <color rgb="FFFCFCFF"/>
        <color rgb="FF63BE7B"/>
      </colorScale>
    </cfRule>
  </conditionalFormatting>
  <conditionalFormatting sqref="L2:L5">
    <cfRule type="colorScale" priority="23">
      <colorScale>
        <cfvo type="min"/>
        <cfvo type="percentile" val="50"/>
        <cfvo type="max"/>
        <color rgb="FFF8696B"/>
        <color rgb="FFFCFCFF"/>
        <color rgb="FF63BE7B"/>
      </colorScale>
    </cfRule>
  </conditionalFormatting>
  <conditionalFormatting sqref="O2:W5">
    <cfRule type="colorScale" priority="24">
      <colorScale>
        <cfvo type="min"/>
        <cfvo type="percentile" val="50"/>
        <cfvo type="max"/>
        <color rgb="FFF8696B"/>
        <color rgb="FFFCFCFF"/>
        <color rgb="FF63BE7B"/>
      </colorScale>
    </cfRule>
  </conditionalFormatting>
  <conditionalFormatting sqref="O59:U61">
    <cfRule type="colorScale" priority="25">
      <colorScale>
        <cfvo type="min"/>
        <cfvo type="percentile" val="50"/>
        <cfvo type="max"/>
        <color rgb="FFF8696B"/>
        <color rgb="FFFCFCFF"/>
        <color rgb="FF63BE7B"/>
      </colorScale>
    </cfRule>
  </conditionalFormatting>
  <conditionalFormatting sqref="O59:W61">
    <cfRule type="colorScale" priority="26">
      <colorScale>
        <cfvo type="min"/>
        <cfvo type="percentile" val="50"/>
        <cfvo type="max"/>
        <color rgb="FFF8696B"/>
        <color rgb="FFFCFCFF"/>
        <color rgb="FF63BE7B"/>
      </colorScale>
    </cfRule>
  </conditionalFormatting>
  <conditionalFormatting sqref="L59:L61">
    <cfRule type="colorScale" priority="27">
      <colorScale>
        <cfvo type="min"/>
        <cfvo type="percentile" val="50"/>
        <cfvo type="max"/>
        <color rgb="FFF8696B"/>
        <color rgb="FFFCFCFF"/>
        <color rgb="FF63BE7B"/>
      </colorScale>
    </cfRule>
  </conditionalFormatting>
  <dataValidations count="1">
    <dataValidation type="list" allowBlank="1" showInputMessage="1" showErrorMessage="1" sqref="B17" xr:uid="{9D4FF6E6-7AAD-41BF-88F0-3282FBFBB19C}">
      <formula1>"1100,1330,1660,2000"</formula1>
    </dataValidation>
  </dataValidations>
  <pageMargins left="0.7" right="0.7" top="0.75" bottom="0.75" header="0.3" footer="0.3"/>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2DA7E-1185-4B84-BD16-C97A9DF0D554}">
  <sheetPr>
    <tabColor rgb="FFC00000"/>
    <pageSetUpPr fitToPage="1"/>
  </sheetPr>
  <dimension ref="A1:X51"/>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278</v>
      </c>
      <c r="E1" s="592"/>
      <c r="F1" s="592"/>
      <c r="G1" s="592"/>
      <c r="H1" s="592"/>
      <c r="I1" s="592"/>
      <c r="J1" s="592"/>
      <c r="K1" s="81"/>
    </row>
    <row r="2" spans="1:24" ht="15.75" x14ac:dyDescent="0.25">
      <c r="C2" s="63"/>
      <c r="D2" s="78" t="s">
        <v>229</v>
      </c>
      <c r="E2" s="77">
        <f>IFERROR(IRR(J6:J51,0.045),0)</f>
        <v>0</v>
      </c>
      <c r="F2" s="77" t="e">
        <f>IRR(J6:J51,0.02)</f>
        <v>#NUM!</v>
      </c>
      <c r="L2" s="69"/>
      <c r="O2" s="68"/>
      <c r="P2" s="68"/>
      <c r="Q2" s="68"/>
      <c r="R2" s="68"/>
      <c r="S2" s="68"/>
      <c r="T2" s="68"/>
      <c r="U2" s="68"/>
      <c r="V2" s="68"/>
      <c r="W2" s="68"/>
    </row>
    <row r="3" spans="1:24" ht="15.75" x14ac:dyDescent="0.25">
      <c r="C3" s="61"/>
      <c r="D3" s="74" t="s">
        <v>228</v>
      </c>
      <c r="E3" s="103">
        <f>IFERROR(NPV(B8,J7:J51)+J6,0)</f>
        <v>0</v>
      </c>
      <c r="F3" s="75" t="e">
        <f>NPV(#REF!,J7:J51)+J6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51" si="0">J7/(1+B9)^D7</f>
        <v>0</v>
      </c>
      <c r="S7" s="30"/>
    </row>
    <row r="8" spans="1:24" ht="16.5" thickBot="1" x14ac:dyDescent="0.3">
      <c r="A8" s="79" t="s">
        <v>189</v>
      </c>
      <c r="B8" s="80">
        <f>Fiche_signalétique_projet!D57</f>
        <v>4.4999999999999998E-2</v>
      </c>
      <c r="C8" s="61"/>
      <c r="D8" s="22">
        <v>2</v>
      </c>
      <c r="E8" s="22" t="s">
        <v>242</v>
      </c>
      <c r="F8" s="22" t="s">
        <v>194</v>
      </c>
      <c r="G8" s="25">
        <v>100</v>
      </c>
      <c r="H8" s="22"/>
      <c r="I8" s="22"/>
      <c r="J8" s="23">
        <f>-B14*B9*(1+B15)</f>
        <v>0</v>
      </c>
      <c r="K8" s="21">
        <f t="shared" si="0"/>
        <v>0</v>
      </c>
      <c r="L8" s="27"/>
      <c r="N8" s="29"/>
      <c r="O8" s="27"/>
      <c r="P8" s="27"/>
      <c r="Q8" s="27"/>
      <c r="R8" s="27"/>
      <c r="S8" s="27"/>
      <c r="T8" s="27"/>
      <c r="U8" s="27"/>
      <c r="V8" s="27"/>
      <c r="W8" s="27"/>
    </row>
    <row r="9" spans="1:24" ht="16.5" thickBot="1" x14ac:dyDescent="0.3">
      <c r="A9" s="63" t="s">
        <v>190</v>
      </c>
      <c r="B9" s="67">
        <f>Annexe_îlots_boisements!D109</f>
        <v>0</v>
      </c>
      <c r="C9" s="60"/>
      <c r="D9" s="22">
        <v>3</v>
      </c>
      <c r="E9" s="22" t="s">
        <v>242</v>
      </c>
      <c r="F9" s="22" t="s">
        <v>194</v>
      </c>
      <c r="G9" s="25">
        <v>100</v>
      </c>
      <c r="H9" s="22"/>
      <c r="I9" s="22"/>
      <c r="J9" s="23">
        <f>-B14*B9*(1+B15)</f>
        <v>0</v>
      </c>
      <c r="K9" s="21">
        <f t="shared" si="0"/>
        <v>0</v>
      </c>
      <c r="L9" s="28"/>
      <c r="M9" s="28"/>
      <c r="N9" s="58"/>
      <c r="O9" s="26"/>
      <c r="P9" s="26"/>
      <c r="Q9" s="26"/>
      <c r="R9" s="26"/>
      <c r="S9" s="26"/>
      <c r="T9" s="26"/>
      <c r="U9" s="26"/>
      <c r="V9" s="26"/>
      <c r="W9" s="26"/>
      <c r="X9" s="26"/>
    </row>
    <row r="10" spans="1:24" ht="18.75" x14ac:dyDescent="0.3">
      <c r="A10" s="66" t="s">
        <v>215</v>
      </c>
      <c r="B10" s="65"/>
      <c r="C10" s="63"/>
      <c r="D10" s="22">
        <v>4</v>
      </c>
      <c r="E10" s="22"/>
      <c r="F10" s="22" t="s">
        <v>194</v>
      </c>
      <c r="G10" s="25">
        <v>100</v>
      </c>
      <c r="H10" s="22"/>
      <c r="I10" s="22"/>
      <c r="J10" s="23"/>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109,Annexe_îlots_boisements!I8:L11,4)*Annexe_îlots_boisements!M8,0)+IFERROR(VLOOKUP(Annexe_îlots_boisements!A109,Annexe_îlots_boisements!I13:L16,4)*Annexe_îlots_boisements!M13,0)+IFERROR(VLOOKUP(Annexe_îlots_boisements!A109,Annexe_îlots_boisements!I18:L21,4)*Annexe_îlots_boisements!M18,0)+IFERROR(VLOOKUP(Annexe_îlots_boisements!A109,Annexe_îlots_boisements!I23:L26,4)*Annexe_îlots_boisements!M23,0)+IFERROR(VLOOKUP(Annexe_îlots_boisements!A109,Annexe_îlots_boisements!I28:L31,4)*Annexe_îlots_boisements!M28,0)+IFERROR(VLOOKUP(Annexe_îlots_boisements!A109,Annexe_îlots_boisements!I33:L36,4)*Annexe_îlots_boisements!M33,0)+IFERROR(VLOOKUP(Annexe_îlots_boisements!A109,Annexe_îlots_boisements!I38:L41,4)*Annexe_îlots_boisements!M38,0)+IFERROR(VLOOKUP(Annexe_îlots_boisements!A109,Annexe_îlots_boisements!I43:L46,4)*Annexe_îlots_boisements!M43,0)+IFERROR(VLOOKUP(Annexe_îlots_boisements!A109,Annexe_îlots_boisements!I48:L51,4)*Annexe_îlots_boisements!M48,0)+IFERROR(VLOOKUP(Annexe_îlots_boisements!A109,Annexe_îlots_boisements!I53:L56,4)*Annexe_îlots_boisements!M53,0)+IFERROR(VLOOKUP(Annexe_îlots_boisements!A109,Annexe_îlots_boisements!I58:L61,4)*Annexe_îlots_boisements!M58,0)+IFERROR(VLOOKUP(Annexe_îlots_boisements!A109,Annexe_îlots_boisements!I63:L66,4)*Annexe_îlots_boisements!M63,0)+IFERROR(VLOOKUP(Annexe_îlots_boisements!A109,Annexe_îlots_boisements!I68:L71,4)*Annexe_îlots_boisements!M68,0)+IFERROR(VLOOKUP(Annexe_îlots_boisements!A109,Annexe_îlots_boisements!I73:L76,4)*Annexe_îlots_boisements!M73,0)+IFERROR(VLOOKUP(Annexe_îlots_boisements!A109,Annexe_îlots_boisements!I78:L81,4)*Annexe_îlots_boisements!M78,0)+IFERROR(VLOOKUP(Annexe_îlots_boisements!A109,Annexe_îlots_boisements!I83:L86,4)*Annexe_îlots_boisements!M83,0)+IFERROR(VLOOKUP(Annexe_îlots_boisements!A109,Annexe_îlots_boisements!I88:L91,4)*Annexe_îlots_boisements!M88,0)+IFERROR(VLOOKUP(Annexe_îlots_boisements!A109,Annexe_îlots_boisements!I93:L96,4)*Annexe_îlots_boisements!M93,0))/Annexe_îlots_boisements!D109,0)</f>
        <v>0</v>
      </c>
      <c r="C11" s="61"/>
      <c r="D11" s="22">
        <v>5</v>
      </c>
      <c r="E11" s="22" t="s">
        <v>242</v>
      </c>
      <c r="F11" s="22"/>
      <c r="G11" s="25"/>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62">
        <f>IFERROR((IFERROR(VLOOKUP(Annexe_îlots_boisements!A109,Annexe_îlots_boisements!I6:L9,4),0)*IFERROR(VLOOKUP(Annexe_îlots_boisements!A109,Annexe_îlots_boisements!I6:O9,6),0)+IFERROR(VLOOKUP(Annexe_îlots_boisements!A109,Annexe_îlots_boisements!I11:L14,4)*IFERROR(VLOOKUP(Annexe_îlots_boisements!A109,Annexe_îlots_boisements!I11:O14,6),0)+IFERROR(VLOOKUP(Annexe_îlots_boisements!A109,Annexe_îlots_boisements!I16:L19,4),0)*IFERROR(VLOOKUP(Annexe_îlots_boisements!A109,Annexe_îlots_boisements!I16:O19,6),0)+IFERROR(VLOOKUP(Annexe_îlots_boisements!A109,Annexe_îlots_boisements!I21:L24,4),0)*IFERROR(VLOOKUP(Annexe_îlots_boisements!A109,Annexe_îlots_boisements!I21:O24,6),0)+IFERROR(VLOOKUP(Annexe_îlots_boisements!A109,Annexe_îlots_boisements!I26:L29,4),0)*IFERROR(VLOOKUP(Annexe_îlots_boisements!A109,Annexe_îlots_boisements!I26:O29,6),0)+IFERROR(VLOOKUP(Annexe_îlots_boisements!A109,Annexe_îlots_boisements!I31:L34,4),0)*IFERROR(VLOOKUP(Annexe_îlots_boisements!A109,Annexe_îlots_boisements!I31:O34,6),0)+IFERROR(VLOOKUP(Annexe_îlots_boisements!A109,Annexe_îlots_boisements!I36:L39,4),0)*IFERROR(VLOOKUP(Annexe_îlots_boisements!A109,Annexe_îlots_boisements!I36:O39,6),0)+IFERROR(VLOOKUP(Annexe_îlots_boisements!A109,Annexe_îlots_boisements!I41:L44,4),0)*IFERROR(VLOOKUP(Annexe_îlots_boisements!A109,Annexe_îlots_boisements!I41:O44,6),0)+IFERROR(VLOOKUP(Annexe_îlots_boisements!A109,Annexe_îlots_boisements!I46:L49,4),0)*IFERROR(VLOOKUP(Annexe_îlots_boisements!A109,Annexe_îlots_boisements!I46:O49,6),0)+IFERROR(VLOOKUP(Annexe_îlots_boisements!A109,Annexe_îlots_boisements!I51:L54,4),0)*IFERROR(VLOOKUP(Annexe_îlots_boisements!A109,Annexe_îlots_boisements!I51:O54,6),0)+IFERROR(VLOOKUP(Annexe_îlots_boisements!A109,Annexe_îlots_boisements!I56:L59,4),0)*VLOOKUP(Annexe_îlots_boisements!A109,Annexe_îlots_boisements!I56:O59,6),0)+IFERROR(VLOOKUP(Annexe_îlots_boisements!A109,Annexe_îlots_boisements!I61:L64,4),0)*IFERROR(VLOOKUP(Annexe_îlots_boisements!A109,Annexe_îlots_boisements!I61:O64,6),0)+IFERROR(VLOOKUP(Annexe_îlots_boisements!A109,Annexe_îlots_boisements!I66:L69,4),0)*IFERROR(VLOOKUP(Annexe_îlots_boisements!A109,Annexe_îlots_boisements!I66:O69,6),0)+IFERROR(VLOOKUP(Annexe_îlots_boisements!A109,Annexe_îlots_boisements!I71:L74,4),0)*IFERROR(VLOOKUP(Annexe_îlots_boisements!A109,Annexe_îlots_boisements!I71:O74,6),0)+IFERROR(VLOOKUP(Annexe_îlots_boisements!A109,Annexe_îlots_boisements!I76:L79,4),0)*IFERROR(VLOOKUP(Annexe_îlots_boisements!A109,Annexe_îlots_boisements!I76:O79,6),0)+IFERROR(VLOOKUP(Annexe_îlots_boisements!A109,Annexe_îlots_boisements!I81:L84,4),0)*IFERROR(VLOOKUP(Annexe_îlots_boisements!A109,Annexe_îlots_boisements!I81:O84,6),0)+IFERROR(VLOOKUP(Annexe_îlots_boisements!A109,Annexe_îlots_boisements!I86:L89,4),0)*IFERROR(VLOOKUP(Annexe_îlots_boisements!A109,Annexe_îlots_boisements!I86:O89,6),0)+IFERROR(VLOOKUP(Annexe_îlots_boisements!A109,Annexe_îlots_boisements!I91:L94,4),0)*IFERROR(VLOOKUP(Annexe_îlots_boisements!A109,Annexe_îlots_boisements!I91:O94,6),0))/Annexe_îlots_boisements!D109,0)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55">
        <f>IFERROR((IFERROR(VLOOKUP(Annexe_îlots_boisements!A109,Annexe_îlots_boisements!I6:L9,4),0)*IFERROR(VLOOKUP(Annexe_îlots_boisements!A109,Annexe_îlots_boisements!I6:O9,7),0)+IFERROR(VLOOKUP(Annexe_îlots_boisements!A109,Annexe_îlots_boisements!I11:L14,4)*IFERROR(VLOOKUP(Annexe_îlots_boisements!A109,Annexe_îlots_boisements!I11:O14,7),0)+IFERROR(VLOOKUP(Annexe_îlots_boisements!A109,Annexe_îlots_boisements!I16:L19,4),0)*IFERROR(VLOOKUP(Annexe_îlots_boisements!A109,Annexe_îlots_boisements!I16:O19,7),0)+IFERROR(VLOOKUP(Annexe_îlots_boisements!A109,Annexe_îlots_boisements!I21:L24,4),0)*IFERROR(VLOOKUP(Annexe_îlots_boisements!A109,Annexe_îlots_boisements!I21:O24,7),0)+IFERROR(VLOOKUP(Annexe_îlots_boisements!A109,Annexe_îlots_boisements!I26:L29,4),0)*IFERROR(VLOOKUP(Annexe_îlots_boisements!A109,Annexe_îlots_boisements!I26:O29,7),0)+IFERROR(VLOOKUP(Annexe_îlots_boisements!A109,Annexe_îlots_boisements!I31:L34,4),0)*IFERROR(VLOOKUP(Annexe_îlots_boisements!A109,Annexe_îlots_boisements!I31:O34,7),0)+IFERROR(VLOOKUP(Annexe_îlots_boisements!A109,Annexe_îlots_boisements!I36:L39,4),0)*IFERROR(VLOOKUP(Annexe_îlots_boisements!A109,Annexe_îlots_boisements!I36:O39,7),0)+IFERROR(VLOOKUP(Annexe_îlots_boisements!A109,Annexe_îlots_boisements!I41:L44,4),0)*IFERROR(VLOOKUP(Annexe_îlots_boisements!A109,Annexe_îlots_boisements!I41:O44,7),0)+IFERROR(VLOOKUP(Annexe_îlots_boisements!A109,Annexe_îlots_boisements!I46:L49,4),0)*IFERROR(VLOOKUP(Annexe_îlots_boisements!A109,Annexe_îlots_boisements!I46:O49,7),0)+IFERROR(VLOOKUP(Annexe_îlots_boisements!A109,Annexe_îlots_boisements!I51:L54,4),0)*IFERROR(VLOOKUP(Annexe_îlots_boisements!A109,Annexe_îlots_boisements!I51:O54,7),0)+IFERROR(VLOOKUP(Annexe_îlots_boisements!A109,Annexe_îlots_boisements!I56:L59,4),0)*VLOOKUP(Annexe_îlots_boisements!A109,Annexe_îlots_boisements!I56:O59,7),0)+IFERROR(VLOOKUP(Annexe_îlots_boisements!A109,Annexe_îlots_boisements!I61:L64,4),0)*IFERROR(VLOOKUP(Annexe_îlots_boisements!A109,Annexe_îlots_boisements!I61:O64,7),0)+IFERROR(VLOOKUP(Annexe_îlots_boisements!A109,Annexe_îlots_boisements!I66:L69,4),0)*IFERROR(VLOOKUP(Annexe_îlots_boisements!A109,Annexe_îlots_boisements!I66:O69,7),0)+IFERROR(VLOOKUP(Annexe_îlots_boisements!A109,Annexe_îlots_boisements!I71:L74,4),0)*IFERROR(VLOOKUP(Annexe_îlots_boisements!A109,Annexe_îlots_boisements!I71:O74,7),0)+IFERROR(VLOOKUP(Annexe_îlots_boisements!A109,Annexe_îlots_boisements!I76:L79,4),0)*IFERROR(VLOOKUP(Annexe_îlots_boisements!A109,Annexe_îlots_boisements!I76:O79,7),0)+IFERROR(VLOOKUP(Annexe_îlots_boisements!A109,Annexe_îlots_boisements!I81:L84,4),0)*IFERROR(VLOOKUP(Annexe_îlots_boisements!A109,Annexe_îlots_boisements!I81:O84,7),0)+IFERROR(VLOOKUP(Annexe_îlots_boisements!A109,Annexe_îlots_boisements!I86:L89,4),0)*IFERROR(VLOOKUP(Annexe_îlots_boisements!A109,Annexe_îlots_boisements!I86:O89,7),0)+IFERROR(VLOOKUP(Annexe_îlots_boisements!A109,Annexe_îlots_boisements!I91:L94,4),0)*IFERROR(VLOOKUP(Annexe_îlots_boisements!A109,Annexe_îlots_boisements!I91:O94,7),0))/Annexe_îlots_boisements!D109,0)</f>
        <v>0</v>
      </c>
      <c r="C13" s="63"/>
      <c r="D13" s="22">
        <v>7</v>
      </c>
      <c r="E13" s="22"/>
      <c r="F13" s="22"/>
      <c r="G13" s="25"/>
      <c r="H13" s="22"/>
      <c r="I13" s="22"/>
      <c r="J13" s="23"/>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109,Annexe_îlots_boisements!I8:L11,4)*Annexe_îlots_boisements!P8,0)+IFERROR(VLOOKUP(Annexe_îlots_boisements!A109,Annexe_îlots_boisements!I13:L16,4)*Annexe_îlots_boisements!P13,0)+IFERROR(VLOOKUP(Annexe_îlots_boisements!A109,Annexe_îlots_boisements!I18:L21,4)*Annexe_îlots_boisements!P18,0)+IFERROR(VLOOKUP(Annexe_îlots_boisements!A109,Annexe_îlots_boisements!I23:L26,4)*Annexe_îlots_boisements!P23,0)+IFERROR(VLOOKUP(Annexe_îlots_boisements!A109,Annexe_îlots_boisements!I28:L31,4)*Annexe_îlots_boisements!P28,0)+IFERROR(VLOOKUP(Annexe_îlots_boisements!A109,Annexe_îlots_boisements!I33:L36,4)*Annexe_îlots_boisements!P33,0)+IFERROR(VLOOKUP(Annexe_îlots_boisements!A109,Annexe_îlots_boisements!I38:L41,4)*Annexe_îlots_boisements!P38,0)+IFERROR(VLOOKUP(Annexe_îlots_boisements!A109,Annexe_îlots_boisements!I43:L46,4)*Annexe_îlots_boisements!P43,0)+IFERROR(VLOOKUP(Annexe_îlots_boisements!A109,Annexe_îlots_boisements!I48:L51,4)*Annexe_îlots_boisements!P48,0)+IFERROR(VLOOKUP(Annexe_îlots_boisements!A109,Annexe_îlots_boisements!I53:L56,4)*Annexe_îlots_boisements!P53,0)+IFERROR(VLOOKUP(Annexe_îlots_boisements!A109,Annexe_îlots_boisements!I58:L61,4)*Annexe_îlots_boisements!P58,0)+IFERROR(VLOOKUP(Annexe_îlots_boisements!A109,Annexe_îlots_boisements!I63:L66,4)*Annexe_îlots_boisements!P63,0)+IFERROR(VLOOKUP(Annexe_îlots_boisements!A109,Annexe_îlots_boisements!I68:L71,4)*Annexe_îlots_boisements!P68,0)+IFERROR(VLOOKUP(Annexe_îlots_boisements!A109,Annexe_îlots_boisements!I73:L76,4)*Annexe_îlots_boisements!P73,0)+IFERROR(VLOOKUP(Annexe_îlots_boisements!A109,Annexe_îlots_boisements!I78:L81,4)*Annexe_îlots_boisements!P78,0)+IFERROR(VLOOKUP(Annexe_îlots_boisements!A109,Annexe_îlots_boisements!I83:L86,4)*Annexe_îlots_boisements!P83,0)+IFERROR(VLOOKUP(Annexe_îlots_boisements!A109,Annexe_îlots_boisements!I88:L91,4)*Annexe_îlots_boisements!P88,0)+IFERROR(VLOOKUP(Annexe_îlots_boisements!A109,Annexe_îlots_boisements!I93:L96,4)*Annexe_îlots_boisements!P93,0))/Annexe_îlots_boisements!D109,0)</f>
        <v>0</v>
      </c>
      <c r="C14" s="61"/>
      <c r="D14" s="22">
        <v>8</v>
      </c>
      <c r="E14" s="22"/>
      <c r="F14" s="22" t="s">
        <v>194</v>
      </c>
      <c r="G14" s="25">
        <v>100</v>
      </c>
      <c r="H14" s="22"/>
      <c r="I14" s="22"/>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c r="F15" s="22" t="s">
        <v>194</v>
      </c>
      <c r="G15" s="25">
        <v>100</v>
      </c>
      <c r="H15" s="22"/>
      <c r="I15" s="22"/>
      <c r="J15" s="23"/>
      <c r="K15" s="21">
        <f t="shared" si="0"/>
        <v>0</v>
      </c>
      <c r="L15" s="64"/>
      <c r="N15" s="29"/>
      <c r="O15" s="64"/>
      <c r="P15" s="64"/>
      <c r="Q15" s="64"/>
      <c r="R15" s="64"/>
      <c r="S15" s="64"/>
      <c r="T15" s="64"/>
      <c r="U15" s="64"/>
      <c r="V15" s="64"/>
      <c r="W15" s="26"/>
      <c r="X15" s="26"/>
    </row>
    <row r="16" spans="1:24" ht="19.5" thickBot="1" x14ac:dyDescent="0.35">
      <c r="A16" s="96" t="s">
        <v>243</v>
      </c>
      <c r="B16" s="139">
        <v>0</v>
      </c>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35</v>
      </c>
      <c r="C18" s="60"/>
      <c r="D18" s="22">
        <v>12</v>
      </c>
      <c r="E18" s="22"/>
      <c r="F18" s="22"/>
      <c r="G18" s="25"/>
      <c r="H18" s="22"/>
      <c r="I18" s="22"/>
      <c r="J18" s="23"/>
      <c r="K18" s="21">
        <f t="shared" si="0"/>
        <v>0</v>
      </c>
      <c r="L18" s="28"/>
      <c r="N18" s="58"/>
      <c r="O18" s="26"/>
      <c r="P18" s="26"/>
      <c r="Q18" s="26"/>
      <c r="R18" s="26"/>
      <c r="S18" s="26"/>
      <c r="T18" s="26"/>
      <c r="U18" s="26"/>
      <c r="V18" s="26"/>
    </row>
    <row r="19" spans="1:24" ht="18.75" x14ac:dyDescent="0.3">
      <c r="A19" s="45" t="s">
        <v>211</v>
      </c>
      <c r="B19" s="46">
        <v>35</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t="s">
        <v>210</v>
      </c>
      <c r="B20" s="46">
        <v>40</v>
      </c>
      <c r="C20" s="59"/>
      <c r="D20" s="22">
        <v>14</v>
      </c>
      <c r="E20" s="22"/>
      <c r="F20" s="22" t="s">
        <v>194</v>
      </c>
      <c r="G20" s="25">
        <v>100</v>
      </c>
      <c r="H20" s="22"/>
      <c r="I20" s="22"/>
      <c r="J20" s="23"/>
      <c r="K20" s="21">
        <f t="shared" si="0"/>
        <v>0</v>
      </c>
      <c r="N20" s="58"/>
    </row>
    <row r="21" spans="1:24" ht="18.75" x14ac:dyDescent="0.3">
      <c r="A21" s="47" t="s">
        <v>269</v>
      </c>
      <c r="B21" s="46">
        <v>80</v>
      </c>
      <c r="C21" s="57"/>
      <c r="D21" s="22">
        <v>15</v>
      </c>
      <c r="E21" s="22"/>
      <c r="F21" s="22" t="s">
        <v>194</v>
      </c>
      <c r="G21" s="25">
        <v>100</v>
      </c>
      <c r="H21" s="22"/>
      <c r="I21" s="22"/>
      <c r="J21" s="23"/>
      <c r="K21" s="21">
        <f t="shared" si="0"/>
        <v>0</v>
      </c>
      <c r="S21" s="30"/>
    </row>
    <row r="22" spans="1:24" ht="18.75" x14ac:dyDescent="0.3">
      <c r="A22" s="45"/>
      <c r="B22" s="46"/>
      <c r="C22" s="57"/>
      <c r="D22" s="22">
        <v>16</v>
      </c>
      <c r="E22" s="22"/>
      <c r="F22" s="22" t="s">
        <v>194</v>
      </c>
      <c r="G22" s="25">
        <v>100</v>
      </c>
      <c r="H22" s="22"/>
      <c r="I22" s="22"/>
      <c r="J22" s="23"/>
      <c r="K22" s="21">
        <f t="shared" si="0"/>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400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2" t="s">
        <v>247</v>
      </c>
      <c r="F26" s="22" t="s">
        <v>194</v>
      </c>
      <c r="G26" s="25">
        <v>101</v>
      </c>
      <c r="H26" s="22"/>
      <c r="I26" s="22"/>
      <c r="J26" s="23">
        <f>(B28*B18)*B9</f>
        <v>0</v>
      </c>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1</v>
      </c>
      <c r="D28" s="22">
        <v>22</v>
      </c>
      <c r="E28" s="20"/>
      <c r="F28" s="20"/>
      <c r="G28" s="160"/>
      <c r="H28" s="20"/>
      <c r="I28" s="20"/>
      <c r="J28" s="20"/>
      <c r="K28" s="21">
        <f t="shared" si="0"/>
        <v>0</v>
      </c>
      <c r="L28" s="34"/>
      <c r="O28" s="26"/>
      <c r="P28" s="26"/>
      <c r="Q28" s="26"/>
      <c r="R28" s="26"/>
      <c r="S28" s="26"/>
      <c r="T28" s="26"/>
      <c r="U28" s="26"/>
      <c r="V28" s="26"/>
      <c r="W28" s="26"/>
    </row>
    <row r="29" spans="1:24" ht="18.75" x14ac:dyDescent="0.3">
      <c r="A29" s="38" t="s">
        <v>201</v>
      </c>
      <c r="B29" s="35">
        <v>8</v>
      </c>
      <c r="D29" s="22">
        <v>23</v>
      </c>
      <c r="E29" s="22"/>
      <c r="F29" s="22" t="s">
        <v>194</v>
      </c>
      <c r="G29" s="25">
        <v>100</v>
      </c>
      <c r="H29" s="22"/>
      <c r="I29" s="22"/>
      <c r="J29" s="23"/>
      <c r="K29" s="21">
        <f t="shared" si="0"/>
        <v>0</v>
      </c>
      <c r="L29" s="34"/>
      <c r="O29" s="26"/>
      <c r="P29" s="26"/>
      <c r="Q29" s="26"/>
      <c r="R29" s="26"/>
      <c r="S29" s="26"/>
      <c r="T29" s="26"/>
      <c r="U29" s="26"/>
      <c r="V29" s="26"/>
      <c r="W29" s="26"/>
    </row>
    <row r="30" spans="1:24" ht="18.75" x14ac:dyDescent="0.3">
      <c r="A30" s="36" t="s">
        <v>270</v>
      </c>
      <c r="B30" s="35">
        <v>15</v>
      </c>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t="s">
        <v>271</v>
      </c>
      <c r="B31" s="35">
        <v>30</v>
      </c>
      <c r="D31" s="22">
        <v>25</v>
      </c>
      <c r="E31" s="22" t="s">
        <v>259</v>
      </c>
      <c r="F31" s="22" t="s">
        <v>192</v>
      </c>
      <c r="G31" s="25">
        <v>100</v>
      </c>
      <c r="H31" s="24" t="e">
        <f>#REF!*#REF!*#REF!</f>
        <v>#REF!</v>
      </c>
      <c r="I31" s="22">
        <v>30</v>
      </c>
      <c r="J31" s="23">
        <f>(B29*B19)*B9</f>
        <v>0</v>
      </c>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22">
        <v>20</v>
      </c>
      <c r="J32" s="23"/>
      <c r="K32" s="21">
        <f t="shared" si="0"/>
        <v>0</v>
      </c>
    </row>
    <row r="33" spans="1:24" ht="18.75" x14ac:dyDescent="0.3">
      <c r="A33" s="38"/>
      <c r="B33" s="35"/>
      <c r="D33" s="22">
        <v>27</v>
      </c>
      <c r="E33" s="22"/>
      <c r="F33" s="22" t="s">
        <v>194</v>
      </c>
      <c r="G33" s="25">
        <v>100</v>
      </c>
      <c r="H33" s="22"/>
      <c r="I33" s="22"/>
      <c r="J33" s="23"/>
      <c r="K33" s="21">
        <f t="shared" si="0"/>
        <v>0</v>
      </c>
      <c r="S33" s="30"/>
    </row>
    <row r="34" spans="1:24" ht="18.75" x14ac:dyDescent="0.3">
      <c r="A34" s="36"/>
      <c r="B34" s="35"/>
      <c r="D34" s="22">
        <v>28</v>
      </c>
      <c r="E34" s="20"/>
      <c r="F34" s="20"/>
      <c r="G34" s="160"/>
      <c r="H34" s="20"/>
      <c r="I34" s="20"/>
      <c r="J34" s="20"/>
      <c r="K34" s="21">
        <f t="shared" si="0"/>
        <v>0</v>
      </c>
      <c r="N34" s="29"/>
    </row>
    <row r="35" spans="1:24" ht="19.5" thickBot="1" x14ac:dyDescent="0.35">
      <c r="A35" s="32" t="s">
        <v>195</v>
      </c>
      <c r="B35" s="31">
        <v>49</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2" t="s">
        <v>245</v>
      </c>
      <c r="F36" s="22" t="s">
        <v>192</v>
      </c>
      <c r="G36" s="25">
        <v>100</v>
      </c>
      <c r="H36" s="24" t="e">
        <f>B21*#REF!*#REF!</f>
        <v>#REF!</v>
      </c>
      <c r="I36" s="22">
        <v>30</v>
      </c>
      <c r="J36" s="23">
        <f>(B20*B30)*B9</f>
        <v>0</v>
      </c>
      <c r="K36" s="21">
        <f t="shared" si="0"/>
        <v>0</v>
      </c>
      <c r="L36" s="28"/>
      <c r="M36" s="28"/>
      <c r="N36" s="27"/>
      <c r="O36" s="26"/>
      <c r="P36" s="26"/>
      <c r="Q36" s="26"/>
      <c r="R36" s="26"/>
      <c r="S36" s="26"/>
      <c r="T36" s="26"/>
      <c r="U36" s="26"/>
      <c r="V36" s="26"/>
      <c r="W36" s="26"/>
      <c r="X36" s="26"/>
    </row>
    <row r="37" spans="1:24" ht="19.5" thickBot="1" x14ac:dyDescent="0.35">
      <c r="A37" s="50"/>
      <c r="B37" s="49"/>
      <c r="D37" s="22">
        <v>31</v>
      </c>
      <c r="E37" s="22"/>
      <c r="F37" s="22"/>
      <c r="G37" s="25"/>
      <c r="H37" s="22"/>
      <c r="I37" s="22"/>
      <c r="J37" s="23"/>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2" t="s">
        <v>268</v>
      </c>
      <c r="F41" s="22"/>
      <c r="G41" s="25"/>
      <c r="H41" s="22"/>
      <c r="I41" s="22"/>
      <c r="J41" s="23">
        <f>(B21*B31)*B9</f>
        <v>0</v>
      </c>
      <c r="K41" s="21">
        <f t="shared" si="0"/>
        <v>0</v>
      </c>
      <c r="L41" s="28"/>
      <c r="N41" s="27"/>
      <c r="O41" s="26"/>
      <c r="P41" s="26"/>
      <c r="Q41" s="26"/>
      <c r="R41" s="26"/>
      <c r="S41" s="26"/>
      <c r="T41" s="26"/>
      <c r="U41" s="26"/>
      <c r="V41" s="33"/>
      <c r="W41" s="33"/>
    </row>
    <row r="42" spans="1:24" x14ac:dyDescent="0.25">
      <c r="D42" s="22">
        <v>36</v>
      </c>
      <c r="E42" s="20"/>
      <c r="F42" s="20"/>
      <c r="G42" s="160"/>
      <c r="H42" s="20"/>
      <c r="I42" s="20"/>
      <c r="J42" s="20"/>
      <c r="K42" s="21">
        <f t="shared" si="0"/>
        <v>0</v>
      </c>
      <c r="L42" s="28"/>
      <c r="N42" s="27"/>
      <c r="O42" s="26"/>
      <c r="P42" s="26"/>
      <c r="Q42" s="26"/>
      <c r="R42" s="26"/>
      <c r="S42" s="26"/>
      <c r="T42" s="26"/>
      <c r="U42" s="26"/>
      <c r="V42" s="33"/>
      <c r="W42" s="33"/>
    </row>
    <row r="43" spans="1:24" x14ac:dyDescent="0.25">
      <c r="D43" s="22">
        <v>37</v>
      </c>
      <c r="E43" s="22"/>
      <c r="F43" s="22"/>
      <c r="G43" s="25"/>
      <c r="H43" s="22"/>
      <c r="I43" s="22"/>
      <c r="J43" s="23"/>
      <c r="K43" s="21">
        <f t="shared" si="0"/>
        <v>0</v>
      </c>
      <c r="L43" s="28"/>
      <c r="N43" s="27"/>
      <c r="O43" s="26"/>
      <c r="P43" s="26"/>
      <c r="Q43" s="26"/>
      <c r="R43" s="26"/>
      <c r="S43" s="26"/>
      <c r="T43" s="26"/>
      <c r="U43" s="26"/>
      <c r="V43" s="33"/>
      <c r="W43" s="33"/>
    </row>
    <row r="44" spans="1:24" x14ac:dyDescent="0.25">
      <c r="D44" s="22">
        <v>38</v>
      </c>
      <c r="E44" s="20"/>
      <c r="F44" s="20"/>
      <c r="G44" s="160"/>
      <c r="H44" s="20"/>
      <c r="I44" s="20"/>
      <c r="J44" s="20"/>
      <c r="K44" s="21">
        <f t="shared" si="0"/>
        <v>0</v>
      </c>
      <c r="L44" s="28"/>
      <c r="N44" s="27"/>
      <c r="O44" s="26"/>
      <c r="P44" s="26"/>
      <c r="Q44" s="26"/>
      <c r="R44" s="26"/>
      <c r="S44" s="26"/>
      <c r="T44" s="26"/>
      <c r="U44" s="26"/>
      <c r="V44" s="33"/>
      <c r="W44" s="33"/>
    </row>
    <row r="45" spans="1:24" x14ac:dyDescent="0.25">
      <c r="D45" s="22">
        <v>39</v>
      </c>
      <c r="E45" s="22"/>
      <c r="F45" s="22"/>
      <c r="G45" s="25"/>
      <c r="H45" s="22"/>
      <c r="I45" s="22"/>
      <c r="J45" s="23"/>
      <c r="K45" s="21">
        <f t="shared" si="0"/>
        <v>0</v>
      </c>
      <c r="L45" s="28"/>
      <c r="N45" s="27"/>
      <c r="O45" s="26"/>
      <c r="P45" s="26"/>
      <c r="Q45" s="26"/>
      <c r="R45" s="26"/>
      <c r="S45" s="26"/>
      <c r="T45" s="26"/>
      <c r="U45" s="26"/>
      <c r="V45" s="33"/>
      <c r="W45" s="33"/>
    </row>
    <row r="46" spans="1:24" x14ac:dyDescent="0.25">
      <c r="D46" s="22">
        <v>40</v>
      </c>
      <c r="E46" s="22"/>
      <c r="F46" s="22"/>
      <c r="G46" s="25"/>
      <c r="H46" s="22"/>
      <c r="I46" s="22"/>
      <c r="J46" s="23"/>
      <c r="K46" s="21">
        <f t="shared" si="0"/>
        <v>0</v>
      </c>
      <c r="L46" s="28"/>
      <c r="N46" s="27"/>
      <c r="O46" s="26"/>
      <c r="P46" s="26"/>
      <c r="Q46" s="26"/>
      <c r="R46" s="26"/>
      <c r="S46" s="26"/>
      <c r="T46" s="26"/>
      <c r="U46" s="26"/>
      <c r="V46" s="33"/>
      <c r="W46" s="33"/>
    </row>
    <row r="47" spans="1:24" x14ac:dyDescent="0.25">
      <c r="D47" s="22">
        <v>41</v>
      </c>
      <c r="E47" s="22"/>
      <c r="F47" s="22"/>
      <c r="G47" s="25"/>
      <c r="H47" s="22"/>
      <c r="I47" s="22"/>
      <c r="J47" s="23"/>
      <c r="K47" s="21">
        <f t="shared" si="0"/>
        <v>0</v>
      </c>
      <c r="L47" s="28"/>
      <c r="N47" s="27"/>
      <c r="O47" s="26"/>
      <c r="P47" s="26"/>
      <c r="Q47" s="26"/>
      <c r="R47" s="26"/>
      <c r="S47" s="26"/>
      <c r="T47" s="26"/>
      <c r="U47" s="26"/>
      <c r="V47" s="33"/>
      <c r="W47" s="33"/>
    </row>
    <row r="48" spans="1:24" x14ac:dyDescent="0.25">
      <c r="D48" s="22">
        <v>42</v>
      </c>
      <c r="E48" s="22"/>
      <c r="F48" s="22"/>
      <c r="G48" s="25"/>
      <c r="H48" s="22"/>
      <c r="I48" s="22"/>
      <c r="J48" s="23"/>
      <c r="K48" s="21">
        <f t="shared" si="0"/>
        <v>0</v>
      </c>
      <c r="N48" s="26"/>
      <c r="O48" s="26"/>
      <c r="P48" s="26"/>
      <c r="Q48" s="26"/>
      <c r="R48" s="26"/>
      <c r="S48" s="26"/>
      <c r="T48" s="26"/>
    </row>
    <row r="49" spans="4:23" x14ac:dyDescent="0.25">
      <c r="D49" s="22">
        <v>43</v>
      </c>
      <c r="E49" s="22"/>
      <c r="F49" s="22"/>
      <c r="G49" s="25"/>
      <c r="H49" s="22"/>
      <c r="I49" s="22"/>
      <c r="J49" s="23"/>
      <c r="K49" s="21">
        <f t="shared" si="0"/>
        <v>0</v>
      </c>
      <c r="S49" s="30"/>
    </row>
    <row r="50" spans="4:23" x14ac:dyDescent="0.25">
      <c r="D50" s="22">
        <v>44</v>
      </c>
      <c r="E50" s="20"/>
      <c r="F50" s="22" t="s">
        <v>192</v>
      </c>
      <c r="G50" s="25">
        <v>100</v>
      </c>
      <c r="H50" s="24" t="e">
        <f>B31*#REF!*#REF!</f>
        <v>#REF!</v>
      </c>
      <c r="I50" s="22">
        <v>30</v>
      </c>
      <c r="J50" s="20"/>
      <c r="K50" s="21">
        <f t="shared" si="0"/>
        <v>0</v>
      </c>
      <c r="N50" s="29"/>
    </row>
    <row r="51" spans="4:23" x14ac:dyDescent="0.25">
      <c r="D51" s="22">
        <v>45</v>
      </c>
      <c r="E51" s="22" t="s">
        <v>261</v>
      </c>
      <c r="F51" s="22" t="s">
        <v>192</v>
      </c>
      <c r="G51" s="25">
        <v>100</v>
      </c>
      <c r="H51" s="24" t="e">
        <f>#REF!*#REF!*#REF!</f>
        <v>#REF!</v>
      </c>
      <c r="I51" s="22">
        <v>30</v>
      </c>
      <c r="J51" s="23">
        <f>(B35*B35)*B9</f>
        <v>0</v>
      </c>
      <c r="K51" s="21">
        <f t="shared" si="0"/>
        <v>0</v>
      </c>
      <c r="L51" s="28"/>
      <c r="N51" s="37"/>
      <c r="O51" s="26"/>
      <c r="P51" s="26"/>
      <c r="Q51" s="26"/>
      <c r="R51" s="26"/>
      <c r="S51" s="26"/>
      <c r="T51" s="26"/>
      <c r="U51" s="26"/>
      <c r="V51" s="33"/>
      <c r="W51" s="33"/>
    </row>
  </sheetData>
  <sheetProtection algorithmName="SHA-512" hashValue="aREu3zQOfWQ2OllU7a3H/kmNbjPJDlGSAXWTDSHYRUNkgarooo1Tl9rFCJvmQLt9ZyxPmtaF1osHX2iApOkdXA==" saltValue="pZQt/Hpv6SL2qWVYHuXqkg==" spinCount="100000" sheet="1" objects="1" scenarios="1" selectLockedCells="1"/>
  <mergeCells count="1">
    <mergeCell ref="D1:J1"/>
  </mergeCells>
  <conditionalFormatting sqref="L9:L13">
    <cfRule type="colorScale" priority="15">
      <colorScale>
        <cfvo type="min"/>
        <cfvo type="percentile" val="50"/>
        <cfvo type="max"/>
        <color rgb="FFF8696B"/>
        <color rgb="FFFCFCFF"/>
        <color rgb="FF63BE7B"/>
      </colorScale>
    </cfRule>
  </conditionalFormatting>
  <conditionalFormatting sqref="L9:M13">
    <cfRule type="colorScale" priority="14">
      <colorScale>
        <cfvo type="min"/>
        <cfvo type="percentile" val="50"/>
        <cfvo type="max"/>
        <color rgb="FFF8696B"/>
        <color rgb="FFFCFCFF"/>
        <color rgb="FF63BE7B"/>
      </colorScale>
    </cfRule>
  </conditionalFormatting>
  <conditionalFormatting sqref="O9:W13 W14:W17">
    <cfRule type="colorScale" priority="13">
      <colorScale>
        <cfvo type="min"/>
        <cfvo type="percentile" val="50"/>
        <cfvo type="max"/>
        <color rgb="FFF8696B"/>
        <color rgb="FFFCFCFF"/>
        <color rgb="FF63BE7B"/>
      </colorScale>
    </cfRule>
  </conditionalFormatting>
  <conditionalFormatting sqref="O9:X13 W14:X17">
    <cfRule type="colorScale" priority="12">
      <colorScale>
        <cfvo type="min"/>
        <cfvo type="percentile" val="50"/>
        <cfvo type="max"/>
        <color rgb="FFF8696B"/>
        <color rgb="FFFCFCFF"/>
        <color rgb="FF63BE7B"/>
      </colorScale>
    </cfRule>
  </conditionalFormatting>
  <conditionalFormatting sqref="O23:U31">
    <cfRule type="colorScale" priority="11">
      <colorScale>
        <cfvo type="min"/>
        <cfvo type="percentile" val="50"/>
        <cfvo type="max"/>
        <color rgb="FFF8696B"/>
        <color rgb="FFFCFCFF"/>
        <color rgb="FF63BE7B"/>
      </colorScale>
    </cfRule>
  </conditionalFormatting>
  <conditionalFormatting sqref="O23:V31">
    <cfRule type="colorScale" priority="10">
      <colorScale>
        <cfvo type="min"/>
        <cfvo type="percentile" val="50"/>
        <cfvo type="max"/>
        <color rgb="FFF8696B"/>
        <color rgb="FFFCFCFF"/>
        <color rgb="FF63BE7B"/>
      </colorScale>
    </cfRule>
  </conditionalFormatting>
  <conditionalFormatting sqref="O16:V19">
    <cfRule type="colorScale" priority="9">
      <colorScale>
        <cfvo type="min"/>
        <cfvo type="percentile" val="50"/>
        <cfvo type="max"/>
        <color rgb="FFF8696B"/>
        <color rgb="FFFCFCFF"/>
        <color rgb="FF63BE7B"/>
      </colorScale>
    </cfRule>
  </conditionalFormatting>
  <conditionalFormatting sqref="O16:V19">
    <cfRule type="colorScale" priority="8">
      <colorScale>
        <cfvo type="min"/>
        <cfvo type="percentile" val="50"/>
        <cfvo type="max"/>
        <color rgb="FFF8696B"/>
        <color rgb="FFFCFCFF"/>
        <color rgb="FF63BE7B"/>
      </colorScale>
    </cfRule>
  </conditionalFormatting>
  <conditionalFormatting sqref="O35:W36">
    <cfRule type="colorScale" priority="7">
      <colorScale>
        <cfvo type="min"/>
        <cfvo type="percentile" val="50"/>
        <cfvo type="max"/>
        <color rgb="FFF8696B"/>
        <color rgb="FFFCFCFF"/>
        <color rgb="FF63BE7B"/>
      </colorScale>
    </cfRule>
  </conditionalFormatting>
  <conditionalFormatting sqref="O35:X36">
    <cfRule type="colorScale" priority="6">
      <colorScale>
        <cfvo type="min"/>
        <cfvo type="percentile" val="50"/>
        <cfvo type="max"/>
        <color rgb="FFF8696B"/>
        <color rgb="FFFCFCFF"/>
        <color rgb="FF63BE7B"/>
      </colorScale>
    </cfRule>
  </conditionalFormatting>
  <conditionalFormatting sqref="L16:L19">
    <cfRule type="colorScale" priority="16">
      <colorScale>
        <cfvo type="min"/>
        <cfvo type="percentile" val="50"/>
        <cfvo type="max"/>
        <color rgb="FFF8696B"/>
        <color rgb="FFFCFCFF"/>
        <color rgb="FF63BE7B"/>
      </colorScale>
    </cfRule>
  </conditionalFormatting>
  <conditionalFormatting sqref="L16:L19">
    <cfRule type="colorScale" priority="17">
      <colorScale>
        <cfvo type="min"/>
        <cfvo type="percentile" val="50"/>
        <cfvo type="max"/>
        <color rgb="FFF8696B"/>
        <color rgb="FFFCFCFF"/>
        <color rgb="FF63BE7B"/>
      </colorScale>
    </cfRule>
  </conditionalFormatting>
  <conditionalFormatting sqref="N48:T48 O41:U47">
    <cfRule type="colorScale" priority="5">
      <colorScale>
        <cfvo type="min"/>
        <cfvo type="percentile" val="50"/>
        <cfvo type="max"/>
        <color rgb="FFF8696B"/>
        <color rgb="FFFCFCFF"/>
        <color rgb="FF63BE7B"/>
      </colorScale>
    </cfRule>
  </conditionalFormatting>
  <conditionalFormatting sqref="O41:W47">
    <cfRule type="colorScale" priority="4">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18">
      <colorScale>
        <cfvo type="min"/>
        <cfvo type="percentile" val="50"/>
        <cfvo type="max"/>
        <color rgb="FFF8696B"/>
        <color rgb="FFFCFCFF"/>
        <color rgb="FF63BE7B"/>
      </colorScale>
    </cfRule>
  </conditionalFormatting>
  <conditionalFormatting sqref="L35:M36">
    <cfRule type="colorScale" priority="19">
      <colorScale>
        <cfvo type="min"/>
        <cfvo type="percentile" val="50"/>
        <cfvo type="max"/>
        <color rgb="FFF8696B"/>
        <color rgb="FFFCFCFF"/>
        <color rgb="FF63BE7B"/>
      </colorScale>
    </cfRule>
  </conditionalFormatting>
  <conditionalFormatting sqref="L41:L47">
    <cfRule type="colorScale" priority="20">
      <colorScale>
        <cfvo type="min"/>
        <cfvo type="percentile" val="50"/>
        <cfvo type="max"/>
        <color rgb="FFF8696B"/>
        <color rgb="FFFCFCFF"/>
        <color rgb="FF63BE7B"/>
      </colorScale>
    </cfRule>
  </conditionalFormatting>
  <conditionalFormatting sqref="L23:L31">
    <cfRule type="colorScale" priority="22">
      <colorScale>
        <cfvo type="min"/>
        <cfvo type="percentile" val="50"/>
        <cfvo type="max"/>
        <color rgb="FFF8696B"/>
        <color rgb="FFFCFCFF"/>
        <color rgb="FF63BE7B"/>
      </colorScale>
    </cfRule>
  </conditionalFormatting>
  <conditionalFormatting sqref="L2:L5">
    <cfRule type="colorScale" priority="23">
      <colorScale>
        <cfvo type="min"/>
        <cfvo type="percentile" val="50"/>
        <cfvo type="max"/>
        <color rgb="FFF8696B"/>
        <color rgb="FFFCFCFF"/>
        <color rgb="FF63BE7B"/>
      </colorScale>
    </cfRule>
  </conditionalFormatting>
  <conditionalFormatting sqref="O2:W5">
    <cfRule type="colorScale" priority="24">
      <colorScale>
        <cfvo type="min"/>
        <cfvo type="percentile" val="50"/>
        <cfvo type="max"/>
        <color rgb="FFF8696B"/>
        <color rgb="FFFCFCFF"/>
        <color rgb="FF63BE7B"/>
      </colorScale>
    </cfRule>
  </conditionalFormatting>
  <conditionalFormatting sqref="O51:U51">
    <cfRule type="colorScale" priority="127">
      <colorScale>
        <cfvo type="min"/>
        <cfvo type="percentile" val="50"/>
        <cfvo type="max"/>
        <color rgb="FFF8696B"/>
        <color rgb="FFFCFCFF"/>
        <color rgb="FF63BE7B"/>
      </colorScale>
    </cfRule>
  </conditionalFormatting>
  <conditionalFormatting sqref="O51:W51">
    <cfRule type="colorScale" priority="128">
      <colorScale>
        <cfvo type="min"/>
        <cfvo type="percentile" val="50"/>
        <cfvo type="max"/>
        <color rgb="FFF8696B"/>
        <color rgb="FFFCFCFF"/>
        <color rgb="FF63BE7B"/>
      </colorScale>
    </cfRule>
  </conditionalFormatting>
  <conditionalFormatting sqref="L51">
    <cfRule type="colorScale" priority="129">
      <colorScale>
        <cfvo type="min"/>
        <cfvo type="percentile" val="50"/>
        <cfvo type="max"/>
        <color rgb="FFF8696B"/>
        <color rgb="FFFCFCFF"/>
        <color rgb="FF63BE7B"/>
      </colorScale>
    </cfRule>
  </conditionalFormatting>
  <dataValidations count="1">
    <dataValidation type="list" allowBlank="1" showInputMessage="1" showErrorMessage="1" sqref="B17" xr:uid="{38172119-7846-4BA2-8992-2088AF0B26C3}">
      <formula1>"1100,1330,1660,2000"</formula1>
    </dataValidation>
  </dataValidations>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06521-217B-4C78-9C99-3E198CCEE140}">
  <sheetPr>
    <tabColor rgb="FFC00000"/>
    <pageSetUpPr fitToPage="1"/>
  </sheetPr>
  <dimension ref="A1:X66"/>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299</v>
      </c>
      <c r="E1" s="592"/>
      <c r="F1" s="592"/>
      <c r="G1" s="592"/>
      <c r="H1" s="592"/>
      <c r="I1" s="592"/>
      <c r="J1" s="592"/>
      <c r="K1" s="81"/>
    </row>
    <row r="2" spans="1:24" ht="15.75" x14ac:dyDescent="0.25">
      <c r="C2" s="63"/>
      <c r="D2" s="78" t="s">
        <v>229</v>
      </c>
      <c r="E2" s="77">
        <f>IFERROR(IRR(J6:J66,0.045),0)</f>
        <v>0</v>
      </c>
      <c r="F2" s="77" t="e">
        <f>IRR(J6:J66,0.02)</f>
        <v>#NUM!</v>
      </c>
      <c r="L2" s="69"/>
      <c r="O2" s="68"/>
      <c r="P2" s="68"/>
      <c r="Q2" s="68"/>
      <c r="R2" s="68"/>
      <c r="S2" s="68"/>
      <c r="T2" s="68"/>
      <c r="U2" s="68"/>
      <c r="V2" s="68"/>
      <c r="W2" s="68"/>
    </row>
    <row r="3" spans="1:24" ht="15.75" x14ac:dyDescent="0.25">
      <c r="C3" s="61"/>
      <c r="D3" s="74" t="s">
        <v>228</v>
      </c>
      <c r="E3" s="103">
        <f>IFERROR(NPV(B8,J7:J66)+J6,0)</f>
        <v>0</v>
      </c>
      <c r="F3" s="75" t="e">
        <f>NPV(#REF!,J7:J66)+J6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65" si="0">J7/(1+B9)^D7</f>
        <v>0</v>
      </c>
      <c r="S7" s="30"/>
    </row>
    <row r="8" spans="1:24" ht="16.5" thickBot="1" x14ac:dyDescent="0.3">
      <c r="A8" s="79" t="s">
        <v>189</v>
      </c>
      <c r="B8" s="80">
        <f>Fiche_signalétique_projet!D57</f>
        <v>4.4999999999999998E-2</v>
      </c>
      <c r="C8" s="61"/>
      <c r="D8" s="22">
        <v>2</v>
      </c>
      <c r="E8" s="22" t="s">
        <v>242</v>
      </c>
      <c r="F8" s="22" t="s">
        <v>194</v>
      </c>
      <c r="G8" s="25">
        <v>100</v>
      </c>
      <c r="H8" s="22"/>
      <c r="I8" s="22"/>
      <c r="J8" s="23">
        <f>-B14*B9*(1+B15)</f>
        <v>0</v>
      </c>
      <c r="K8" s="21">
        <f t="shared" si="0"/>
        <v>0</v>
      </c>
      <c r="L8" s="27"/>
      <c r="N8" s="29"/>
      <c r="O8" s="27"/>
      <c r="P8" s="27"/>
      <c r="Q8" s="27"/>
      <c r="R8" s="27"/>
      <c r="S8" s="27"/>
      <c r="T8" s="27"/>
      <c r="U8" s="27"/>
      <c r="V8" s="27"/>
      <c r="W8" s="27"/>
    </row>
    <row r="9" spans="1:24" ht="16.5" thickBot="1" x14ac:dyDescent="0.3">
      <c r="A9" s="63" t="s">
        <v>190</v>
      </c>
      <c r="B9" s="67">
        <f>Annexe_îlots_boisements!D110</f>
        <v>0</v>
      </c>
      <c r="C9" s="60"/>
      <c r="D9" s="22">
        <v>3</v>
      </c>
      <c r="E9" s="22"/>
      <c r="F9" s="22"/>
      <c r="G9" s="25"/>
      <c r="H9" s="22"/>
      <c r="I9" s="22"/>
      <c r="J9" s="23"/>
      <c r="K9" s="21">
        <f t="shared" si="0"/>
        <v>0</v>
      </c>
      <c r="L9" s="28"/>
      <c r="M9" s="28"/>
      <c r="N9" s="58"/>
      <c r="O9" s="26"/>
      <c r="P9" s="26"/>
      <c r="Q9" s="26"/>
      <c r="R9" s="26"/>
      <c r="S9" s="26"/>
      <c r="T9" s="26"/>
      <c r="U9" s="26"/>
      <c r="V9" s="26"/>
      <c r="W9" s="26"/>
      <c r="X9" s="26"/>
    </row>
    <row r="10" spans="1:24" ht="18.75" x14ac:dyDescent="0.3">
      <c r="A10" s="66" t="s">
        <v>215</v>
      </c>
      <c r="B10" s="65"/>
      <c r="C10" s="63"/>
      <c r="D10" s="22">
        <v>4</v>
      </c>
      <c r="E10" s="22"/>
      <c r="F10" s="22"/>
      <c r="G10" s="25"/>
      <c r="H10" s="22"/>
      <c r="I10" s="22"/>
      <c r="J10" s="23"/>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110,Annexe_îlots_boisements!I8:L11,4)*Annexe_îlots_boisements!M8,0)+IFERROR(VLOOKUP(Annexe_îlots_boisements!A110,Annexe_îlots_boisements!I13:L16,4)*Annexe_îlots_boisements!M13,0)+IFERROR(VLOOKUP(Annexe_îlots_boisements!A110,Annexe_îlots_boisements!I18:L21,4)*Annexe_îlots_boisements!M18,0)+IFERROR(VLOOKUP(Annexe_îlots_boisements!A110,Annexe_îlots_boisements!I23:L26,4)*Annexe_îlots_boisements!M23,0)+IFERROR(VLOOKUP(Annexe_îlots_boisements!A110,Annexe_îlots_boisements!I28:L31,4)*Annexe_îlots_boisements!M28,0)+IFERROR(VLOOKUP(Annexe_îlots_boisements!A110,Annexe_îlots_boisements!I33:L36,4)*Annexe_îlots_boisements!M33,0)+IFERROR(VLOOKUP(Annexe_îlots_boisements!A110,Annexe_îlots_boisements!I38:L41,4)*Annexe_îlots_boisements!M38,0)+IFERROR(VLOOKUP(Annexe_îlots_boisements!A110,Annexe_îlots_boisements!I43:L46,4)*Annexe_îlots_boisements!M43,0)+IFERROR(VLOOKUP(Annexe_îlots_boisements!A110,Annexe_îlots_boisements!I48:L51,4)*Annexe_îlots_boisements!M48,0)+IFERROR(VLOOKUP(Annexe_îlots_boisements!A110,Annexe_îlots_boisements!I53:L56,4)*Annexe_îlots_boisements!M53,0)+IFERROR(VLOOKUP(Annexe_îlots_boisements!A110,Annexe_îlots_boisements!I58:L61,4)*Annexe_îlots_boisements!M58,0)+IFERROR(VLOOKUP(Annexe_îlots_boisements!A110,Annexe_îlots_boisements!I63:L66,4)*Annexe_îlots_boisements!M63,0)+IFERROR(VLOOKUP(Annexe_îlots_boisements!A110,Annexe_îlots_boisements!I68:L71,4)*Annexe_îlots_boisements!M68,0)+IFERROR(VLOOKUP(Annexe_îlots_boisements!A110,Annexe_îlots_boisements!I73:L76,4)*Annexe_îlots_boisements!M73,0)+IFERROR(VLOOKUP(Annexe_îlots_boisements!A110,Annexe_îlots_boisements!I78:L81,4)*Annexe_îlots_boisements!M78,0)+IFERROR(VLOOKUP(Annexe_îlots_boisements!A110,Annexe_îlots_boisements!I83:L86,4)*Annexe_îlots_boisements!M83,0)+IFERROR(VLOOKUP(Annexe_îlots_boisements!A110,Annexe_îlots_boisements!I88:L91,4)*Annexe_îlots_boisements!M88,0)+IFERROR(VLOOKUP(Annexe_îlots_boisements!A110,Annexe_îlots_boisements!I93:L96,4)*Annexe_îlots_boisements!M93,0))/Annexe_îlots_boisements!D110,0)</f>
        <v>0</v>
      </c>
      <c r="C11" s="61"/>
      <c r="D11" s="22">
        <v>5</v>
      </c>
      <c r="E11" s="22" t="s">
        <v>242</v>
      </c>
      <c r="F11" s="22"/>
      <c r="G11" s="25"/>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62">
        <f>IFERROR((IFERROR(VLOOKUP(Annexe_îlots_boisements!A110,Annexe_îlots_boisements!I6:L9,4),0)*IFERROR(VLOOKUP(Annexe_îlots_boisements!A110,Annexe_îlots_boisements!I6:O9,6),0)+IFERROR(VLOOKUP(Annexe_îlots_boisements!A110,Annexe_îlots_boisements!I11:L14,4)*IFERROR(VLOOKUP(Annexe_îlots_boisements!A110,Annexe_îlots_boisements!I11:O14,6),0)+IFERROR(VLOOKUP(Annexe_îlots_boisements!A110,Annexe_îlots_boisements!I16:L19,4),0)*IFERROR(VLOOKUP(Annexe_îlots_boisements!A110,Annexe_îlots_boisements!I16:O19,6),0)+IFERROR(VLOOKUP(Annexe_îlots_boisements!A110,Annexe_îlots_boisements!I21:L24,4),0)*IFERROR(VLOOKUP(Annexe_îlots_boisements!A110,Annexe_îlots_boisements!I21:O24,6),0)+IFERROR(VLOOKUP(Annexe_îlots_boisements!A110,Annexe_îlots_boisements!I26:L29,4),0)*IFERROR(VLOOKUP(Annexe_îlots_boisements!A110,Annexe_îlots_boisements!I26:O29,6),0)+IFERROR(VLOOKUP(Annexe_îlots_boisements!A110,Annexe_îlots_boisements!I31:L34,4),0)*IFERROR(VLOOKUP(Annexe_îlots_boisements!A110,Annexe_îlots_boisements!I31:O34,6),0)+IFERROR(VLOOKUP(Annexe_îlots_boisements!A110,Annexe_îlots_boisements!I36:L39,4),0)*IFERROR(VLOOKUP(Annexe_îlots_boisements!A110,Annexe_îlots_boisements!I36:O39,6),0)+IFERROR(VLOOKUP(Annexe_îlots_boisements!A110,Annexe_îlots_boisements!I41:L44,4),0)*IFERROR(VLOOKUP(Annexe_îlots_boisements!A110,Annexe_îlots_boisements!I41:O44,6),0)+IFERROR(VLOOKUP(Annexe_îlots_boisements!A110,Annexe_îlots_boisements!I46:L49,4),0)*IFERROR(VLOOKUP(Annexe_îlots_boisements!A110,Annexe_îlots_boisements!I46:O49,6),0)+IFERROR(VLOOKUP(Annexe_îlots_boisements!A110,Annexe_îlots_boisements!I51:L54,4),0)*IFERROR(VLOOKUP(Annexe_îlots_boisements!A110,Annexe_îlots_boisements!I51:O54,6),0)+IFERROR(VLOOKUP(Annexe_îlots_boisements!A110,Annexe_îlots_boisements!I56:L59,4),0)*VLOOKUP(Annexe_îlots_boisements!A110,Annexe_îlots_boisements!I56:O59,6),0)+IFERROR(VLOOKUP(Annexe_îlots_boisements!A110,Annexe_îlots_boisements!I61:L64,4),0)*IFERROR(VLOOKUP(Annexe_îlots_boisements!A110,Annexe_îlots_boisements!I61:O64,6),0)+IFERROR(VLOOKUP(Annexe_îlots_boisements!A110,Annexe_îlots_boisements!I66:L69,4),0)*IFERROR(VLOOKUP(Annexe_îlots_boisements!A110,Annexe_îlots_boisements!I66:O69,6),0)+IFERROR(VLOOKUP(Annexe_îlots_boisements!A110,Annexe_îlots_boisements!I71:L74,4),0)*IFERROR(VLOOKUP(Annexe_îlots_boisements!A110,Annexe_îlots_boisements!I71:O74,6),0)+IFERROR(VLOOKUP(Annexe_îlots_boisements!A110,Annexe_îlots_boisements!I76:L79,4),0)*IFERROR(VLOOKUP(Annexe_îlots_boisements!A110,Annexe_îlots_boisements!I76:O79,6),0)+IFERROR(VLOOKUP(Annexe_îlots_boisements!A110,Annexe_îlots_boisements!I81:L84,4),0)*IFERROR(VLOOKUP(Annexe_îlots_boisements!A110,Annexe_îlots_boisements!I81:O84,6),0)+IFERROR(VLOOKUP(Annexe_îlots_boisements!A110,Annexe_îlots_boisements!I86:L89,4),0)*IFERROR(VLOOKUP(Annexe_îlots_boisements!A110,Annexe_îlots_boisements!I86:O89,6),0)+IFERROR(VLOOKUP(Annexe_îlots_boisements!A110,Annexe_îlots_boisements!I91:L94,4),0)*IFERROR(VLOOKUP(Annexe_îlots_boisements!A110,Annexe_îlots_boisements!I91:O94,6),0))/Annexe_îlots_boisements!D110,0)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55">
        <f>IFERROR((IFERROR(VLOOKUP(Annexe_îlots_boisements!A110,Annexe_îlots_boisements!I6:L9,4),0)*IFERROR(VLOOKUP(Annexe_îlots_boisements!A110,Annexe_îlots_boisements!I6:O9,7),0)+IFERROR(VLOOKUP(Annexe_îlots_boisements!A110,Annexe_îlots_boisements!I11:L14,4)*IFERROR(VLOOKUP(Annexe_îlots_boisements!A110,Annexe_îlots_boisements!I11:O14,7),0)+IFERROR(VLOOKUP(Annexe_îlots_boisements!A110,Annexe_îlots_boisements!I16:L19,4),0)*IFERROR(VLOOKUP(Annexe_îlots_boisements!A110,Annexe_îlots_boisements!I16:O19,7),0)+IFERROR(VLOOKUP(Annexe_îlots_boisements!A110,Annexe_îlots_boisements!I21:L24,4),0)*IFERROR(VLOOKUP(Annexe_îlots_boisements!A110,Annexe_îlots_boisements!I21:O24,7),0)+IFERROR(VLOOKUP(Annexe_îlots_boisements!A110,Annexe_îlots_boisements!I26:L29,4),0)*IFERROR(VLOOKUP(Annexe_îlots_boisements!A110,Annexe_îlots_boisements!I26:O29,7),0)+IFERROR(VLOOKUP(Annexe_îlots_boisements!A110,Annexe_îlots_boisements!I31:L34,4),0)*IFERROR(VLOOKUP(Annexe_îlots_boisements!A110,Annexe_îlots_boisements!I31:O34,7),0)+IFERROR(VLOOKUP(Annexe_îlots_boisements!A110,Annexe_îlots_boisements!I36:L39,4),0)*IFERROR(VLOOKUP(Annexe_îlots_boisements!A110,Annexe_îlots_boisements!I36:O39,7),0)+IFERROR(VLOOKUP(Annexe_îlots_boisements!A110,Annexe_îlots_boisements!I41:L44,4),0)*IFERROR(VLOOKUP(Annexe_îlots_boisements!A110,Annexe_îlots_boisements!I41:O44,7),0)+IFERROR(VLOOKUP(Annexe_îlots_boisements!A110,Annexe_îlots_boisements!I46:L49,4),0)*IFERROR(VLOOKUP(Annexe_îlots_boisements!A110,Annexe_îlots_boisements!I46:O49,7),0)+IFERROR(VLOOKUP(Annexe_îlots_boisements!A110,Annexe_îlots_boisements!I51:L54,4),0)*IFERROR(VLOOKUP(Annexe_îlots_boisements!A110,Annexe_îlots_boisements!I51:O54,7),0)+IFERROR(VLOOKUP(Annexe_îlots_boisements!A110,Annexe_îlots_boisements!I56:L59,4),0)*VLOOKUP(Annexe_îlots_boisements!A110,Annexe_îlots_boisements!I56:O59,7),0)+IFERROR(VLOOKUP(Annexe_îlots_boisements!A110,Annexe_îlots_boisements!I61:L64,4),0)*IFERROR(VLOOKUP(Annexe_îlots_boisements!A110,Annexe_îlots_boisements!I61:O64,7),0)+IFERROR(VLOOKUP(Annexe_îlots_boisements!A110,Annexe_îlots_boisements!I66:L69,4),0)*IFERROR(VLOOKUP(Annexe_îlots_boisements!A110,Annexe_îlots_boisements!I66:O69,7),0)+IFERROR(VLOOKUP(Annexe_îlots_boisements!A110,Annexe_îlots_boisements!I71:L74,4),0)*IFERROR(VLOOKUP(Annexe_îlots_boisements!A110,Annexe_îlots_boisements!I71:O74,7),0)+IFERROR(VLOOKUP(Annexe_îlots_boisements!A110,Annexe_îlots_boisements!I76:L79,4),0)*IFERROR(VLOOKUP(Annexe_îlots_boisements!A110,Annexe_îlots_boisements!I76:O79,7),0)+IFERROR(VLOOKUP(Annexe_îlots_boisements!A110,Annexe_îlots_boisements!I81:L84,4),0)*IFERROR(VLOOKUP(Annexe_îlots_boisements!A110,Annexe_îlots_boisements!I81:O84,7),0)+IFERROR(VLOOKUP(Annexe_îlots_boisements!A110,Annexe_îlots_boisements!I86:L89,4),0)*IFERROR(VLOOKUP(Annexe_îlots_boisements!A110,Annexe_îlots_boisements!I86:O89,7),0)+IFERROR(VLOOKUP(Annexe_îlots_boisements!A110,Annexe_îlots_boisements!I91:L94,4),0)*IFERROR(VLOOKUP(Annexe_îlots_boisements!A110,Annexe_îlots_boisements!I91:O94,7),0))/Annexe_îlots_boisements!D110,0)</f>
        <v>0</v>
      </c>
      <c r="C13" s="63"/>
      <c r="D13" s="22">
        <v>7</v>
      </c>
      <c r="E13" s="22" t="s">
        <v>242</v>
      </c>
      <c r="F13" s="22"/>
      <c r="G13" s="25"/>
      <c r="H13" s="22"/>
      <c r="I13" s="22"/>
      <c r="J13" s="23">
        <f>-B14*B9*(1+B15)</f>
        <v>0</v>
      </c>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110,Annexe_îlots_boisements!I8:L11,4)*Annexe_îlots_boisements!P8,0)+IFERROR(VLOOKUP(Annexe_îlots_boisements!A110,Annexe_îlots_boisements!I13:L16,4)*Annexe_îlots_boisements!P13,0)+IFERROR(VLOOKUP(Annexe_îlots_boisements!A110,Annexe_îlots_boisements!I18:L21,4)*Annexe_îlots_boisements!P18,0)+IFERROR(VLOOKUP(Annexe_îlots_boisements!A110,Annexe_îlots_boisements!I23:L26,4)*Annexe_îlots_boisements!P23,0)+IFERROR(VLOOKUP(Annexe_îlots_boisements!A110,Annexe_îlots_boisements!I28:L31,4)*Annexe_îlots_boisements!P28,0)+IFERROR(VLOOKUP(Annexe_îlots_boisements!A110,Annexe_îlots_boisements!I33:L36,4)*Annexe_îlots_boisements!P33,0)+IFERROR(VLOOKUP(Annexe_îlots_boisements!A110,Annexe_îlots_boisements!I38:L41,4)*Annexe_îlots_boisements!P38,0)+IFERROR(VLOOKUP(Annexe_îlots_boisements!A110,Annexe_îlots_boisements!I43:L46,4)*Annexe_îlots_boisements!P43,0)+IFERROR(VLOOKUP(Annexe_îlots_boisements!A110,Annexe_îlots_boisements!I48:L51,4)*Annexe_îlots_boisements!P48,0)+IFERROR(VLOOKUP(Annexe_îlots_boisements!A110,Annexe_îlots_boisements!I53:L56,4)*Annexe_îlots_boisements!P53,0)+IFERROR(VLOOKUP(Annexe_îlots_boisements!A110,Annexe_îlots_boisements!I58:L61,4)*Annexe_îlots_boisements!P58,0)+IFERROR(VLOOKUP(Annexe_îlots_boisements!A110,Annexe_îlots_boisements!I63:L66,4)*Annexe_îlots_boisements!P63,0)+IFERROR(VLOOKUP(Annexe_îlots_boisements!A110,Annexe_îlots_boisements!I68:L71,4)*Annexe_îlots_boisements!P68,0)+IFERROR(VLOOKUP(Annexe_îlots_boisements!A110,Annexe_îlots_boisements!I73:L76,4)*Annexe_îlots_boisements!P73,0)+IFERROR(VLOOKUP(Annexe_îlots_boisements!A110,Annexe_îlots_boisements!I78:L81,4)*Annexe_îlots_boisements!P78,0)+IFERROR(VLOOKUP(Annexe_îlots_boisements!A110,Annexe_îlots_boisements!I83:L86,4)*Annexe_îlots_boisements!P83,0)+IFERROR(VLOOKUP(Annexe_îlots_boisements!A110,Annexe_îlots_boisements!I88:L91,4)*Annexe_îlots_boisements!P88,0)+IFERROR(VLOOKUP(Annexe_îlots_boisements!A110,Annexe_îlots_boisements!I93:L96,4)*Annexe_îlots_boisements!P93,0))/Annexe_îlots_boisements!D110,0)</f>
        <v>0</v>
      </c>
      <c r="C14" s="61"/>
      <c r="D14" s="22">
        <v>8</v>
      </c>
      <c r="E14" s="22"/>
      <c r="F14" s="22" t="s">
        <v>194</v>
      </c>
      <c r="G14" s="25">
        <v>100</v>
      </c>
      <c r="H14" s="22"/>
      <c r="I14" s="22"/>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c r="F15" s="22"/>
      <c r="G15" s="25"/>
      <c r="H15" s="22"/>
      <c r="I15" s="22"/>
      <c r="J15" s="23"/>
      <c r="K15" s="21">
        <f t="shared" si="0"/>
        <v>0</v>
      </c>
      <c r="L15" s="64"/>
      <c r="N15" s="29"/>
      <c r="O15" s="64"/>
      <c r="P15" s="64"/>
      <c r="Q15" s="64"/>
      <c r="R15" s="64"/>
      <c r="S15" s="64"/>
      <c r="T15" s="64"/>
      <c r="U15" s="64"/>
      <c r="V15" s="64"/>
      <c r="W15" s="26"/>
      <c r="X15" s="26"/>
    </row>
    <row r="16" spans="1:24" ht="19.5" thickBot="1" x14ac:dyDescent="0.35">
      <c r="A16" s="96" t="s">
        <v>243</v>
      </c>
      <c r="B16" s="139">
        <v>0</v>
      </c>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30</v>
      </c>
      <c r="C18" s="60"/>
      <c r="D18" s="22">
        <v>12</v>
      </c>
      <c r="E18" s="22"/>
      <c r="F18" s="22"/>
      <c r="G18" s="25"/>
      <c r="H18" s="22"/>
      <c r="I18" s="22"/>
      <c r="J18" s="23"/>
      <c r="K18" s="21">
        <f t="shared" si="0"/>
        <v>0</v>
      </c>
      <c r="L18" s="28"/>
      <c r="N18" s="58"/>
      <c r="O18" s="26"/>
      <c r="P18" s="26"/>
      <c r="Q18" s="26"/>
      <c r="R18" s="26"/>
      <c r="S18" s="26"/>
      <c r="T18" s="26"/>
      <c r="U18" s="26"/>
      <c r="V18" s="26"/>
    </row>
    <row r="19" spans="1:24" ht="18.75" x14ac:dyDescent="0.3">
      <c r="A19" s="45" t="s">
        <v>211</v>
      </c>
      <c r="B19" s="46">
        <v>40</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t="s">
        <v>210</v>
      </c>
      <c r="B20" s="46">
        <v>40</v>
      </c>
      <c r="C20" s="59"/>
      <c r="D20" s="22">
        <v>14</v>
      </c>
      <c r="E20" s="22"/>
      <c r="F20" s="22" t="s">
        <v>194</v>
      </c>
      <c r="G20" s="25">
        <v>100</v>
      </c>
      <c r="H20" s="22"/>
      <c r="I20" s="22"/>
      <c r="J20" s="23"/>
      <c r="K20" s="21">
        <f t="shared" si="0"/>
        <v>0</v>
      </c>
      <c r="N20" s="58"/>
    </row>
    <row r="21" spans="1:24" ht="18.75" x14ac:dyDescent="0.3">
      <c r="A21" s="47" t="s">
        <v>269</v>
      </c>
      <c r="B21" s="46">
        <v>60</v>
      </c>
      <c r="C21" s="57"/>
      <c r="D21" s="22">
        <v>15</v>
      </c>
      <c r="E21" s="22"/>
      <c r="F21" s="22" t="s">
        <v>194</v>
      </c>
      <c r="G21" s="25">
        <v>100</v>
      </c>
      <c r="H21" s="22"/>
      <c r="I21" s="22"/>
      <c r="J21" s="23"/>
      <c r="K21" s="21">
        <f t="shared" si="0"/>
        <v>0</v>
      </c>
      <c r="S21" s="30"/>
    </row>
    <row r="22" spans="1:24" ht="18.75" x14ac:dyDescent="0.3">
      <c r="A22" s="45"/>
      <c r="B22" s="46"/>
      <c r="C22" s="57"/>
      <c r="D22" s="22">
        <v>16</v>
      </c>
      <c r="E22" s="22"/>
      <c r="F22" s="22" t="s">
        <v>194</v>
      </c>
      <c r="G22" s="25">
        <v>100</v>
      </c>
      <c r="H22" s="22"/>
      <c r="I22" s="22"/>
      <c r="J22" s="23"/>
      <c r="K22" s="21">
        <f t="shared" si="0"/>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400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0"/>
      <c r="F26" s="20"/>
      <c r="G26" s="160"/>
      <c r="H26" s="20"/>
      <c r="I26" s="20"/>
      <c r="J26" s="20"/>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0</v>
      </c>
      <c r="D28" s="22">
        <v>22</v>
      </c>
      <c r="E28" s="20"/>
      <c r="F28" s="20"/>
      <c r="G28" s="160"/>
      <c r="H28" s="20"/>
      <c r="I28" s="20"/>
      <c r="J28" s="20"/>
      <c r="K28" s="21">
        <f t="shared" si="0"/>
        <v>0</v>
      </c>
      <c r="L28" s="34"/>
      <c r="O28" s="26"/>
      <c r="P28" s="26"/>
      <c r="Q28" s="26"/>
      <c r="R28" s="26"/>
      <c r="S28" s="26"/>
      <c r="T28" s="26"/>
      <c r="U28" s="26"/>
      <c r="V28" s="26"/>
      <c r="W28" s="26"/>
    </row>
    <row r="29" spans="1:24" ht="18.75" x14ac:dyDescent="0.3">
      <c r="A29" s="38" t="s">
        <v>201</v>
      </c>
      <c r="B29" s="35">
        <v>8</v>
      </c>
      <c r="D29" s="22">
        <v>23</v>
      </c>
      <c r="E29" s="22" t="s">
        <v>247</v>
      </c>
      <c r="F29" s="22" t="s">
        <v>194</v>
      </c>
      <c r="G29" s="25">
        <v>101</v>
      </c>
      <c r="H29" s="22"/>
      <c r="I29" s="22"/>
      <c r="J29" s="23">
        <f>(B28*B18)*B9</f>
        <v>0</v>
      </c>
      <c r="K29" s="21">
        <f t="shared" si="0"/>
        <v>0</v>
      </c>
      <c r="L29" s="34"/>
      <c r="O29" s="26"/>
      <c r="P29" s="26"/>
      <c r="Q29" s="26"/>
      <c r="R29" s="26"/>
      <c r="S29" s="26"/>
      <c r="T29" s="26"/>
      <c r="U29" s="26"/>
      <c r="V29" s="26"/>
      <c r="W29" s="26"/>
    </row>
    <row r="30" spans="1:24" ht="18.75" x14ac:dyDescent="0.3">
      <c r="A30" s="36" t="s">
        <v>270</v>
      </c>
      <c r="B30" s="35">
        <v>12</v>
      </c>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t="s">
        <v>271</v>
      </c>
      <c r="B31" s="35">
        <v>18</v>
      </c>
      <c r="D31" s="22">
        <v>25</v>
      </c>
      <c r="E31" s="20"/>
      <c r="F31" s="20"/>
      <c r="G31" s="160"/>
      <c r="H31" s="20"/>
      <c r="I31" s="20"/>
      <c r="J31" s="20"/>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22">
        <v>20</v>
      </c>
      <c r="J32" s="23"/>
      <c r="K32" s="21">
        <f t="shared" si="0"/>
        <v>0</v>
      </c>
    </row>
    <row r="33" spans="1:24" ht="18.75" x14ac:dyDescent="0.3">
      <c r="A33" s="38"/>
      <c r="B33" s="35"/>
      <c r="D33" s="22">
        <v>27</v>
      </c>
      <c r="E33" s="22"/>
      <c r="F33" s="22" t="s">
        <v>194</v>
      </c>
      <c r="G33" s="25">
        <v>100</v>
      </c>
      <c r="H33" s="22"/>
      <c r="I33" s="22"/>
      <c r="J33" s="23"/>
      <c r="K33" s="21">
        <f t="shared" si="0"/>
        <v>0</v>
      </c>
      <c r="S33" s="30"/>
    </row>
    <row r="34" spans="1:24" ht="18.75" x14ac:dyDescent="0.3">
      <c r="A34" s="36"/>
      <c r="B34" s="35"/>
      <c r="D34" s="22">
        <v>28</v>
      </c>
      <c r="E34" s="20"/>
      <c r="F34" s="20"/>
      <c r="G34" s="160"/>
      <c r="H34" s="20"/>
      <c r="I34" s="20"/>
      <c r="J34" s="20"/>
      <c r="K34" s="21">
        <f t="shared" si="0"/>
        <v>0</v>
      </c>
      <c r="N34" s="29"/>
    </row>
    <row r="35" spans="1:24" ht="19.5" thickBot="1" x14ac:dyDescent="0.35">
      <c r="A35" s="32" t="s">
        <v>195</v>
      </c>
      <c r="B35" s="31">
        <v>34</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0"/>
      <c r="F36" s="20"/>
      <c r="G36" s="160"/>
      <c r="H36" s="20"/>
      <c r="I36" s="20"/>
      <c r="J36" s="20"/>
      <c r="K36" s="21">
        <f t="shared" si="0"/>
        <v>0</v>
      </c>
      <c r="L36" s="28"/>
      <c r="M36" s="28"/>
      <c r="N36" s="27"/>
      <c r="O36" s="26"/>
      <c r="P36" s="26"/>
      <c r="Q36" s="26"/>
      <c r="R36" s="26"/>
      <c r="S36" s="26"/>
      <c r="T36" s="26"/>
      <c r="U36" s="26"/>
      <c r="V36" s="26"/>
      <c r="W36" s="26"/>
      <c r="X36" s="26"/>
    </row>
    <row r="37" spans="1:24" ht="19.5" thickBot="1" x14ac:dyDescent="0.35">
      <c r="A37" s="50"/>
      <c r="B37" s="49"/>
      <c r="D37" s="22">
        <v>31</v>
      </c>
      <c r="E37" s="22" t="s">
        <v>259</v>
      </c>
      <c r="F37" s="22" t="s">
        <v>192</v>
      </c>
      <c r="G37" s="25">
        <v>100</v>
      </c>
      <c r="H37" s="24" t="e">
        <f>#REF!*#REF!*#REF!</f>
        <v>#REF!</v>
      </c>
      <c r="I37" s="22">
        <v>30</v>
      </c>
      <c r="J37" s="23">
        <f>(B29*B19)*B9</f>
        <v>0</v>
      </c>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0"/>
      <c r="F41" s="20"/>
      <c r="G41" s="160"/>
      <c r="H41" s="20"/>
      <c r="I41" s="20"/>
      <c r="J41" s="20"/>
      <c r="K41" s="21">
        <f t="shared" si="0"/>
        <v>0</v>
      </c>
      <c r="L41" s="28"/>
      <c r="N41" s="27"/>
      <c r="O41" s="26"/>
      <c r="P41" s="26"/>
      <c r="Q41" s="26"/>
      <c r="R41" s="26"/>
      <c r="S41" s="26"/>
      <c r="T41" s="26"/>
      <c r="U41" s="26"/>
      <c r="V41" s="33"/>
      <c r="W41" s="33"/>
    </row>
    <row r="42" spans="1:24" x14ac:dyDescent="0.25">
      <c r="D42" s="22">
        <v>36</v>
      </c>
      <c r="E42" s="20"/>
      <c r="F42" s="20"/>
      <c r="G42" s="160"/>
      <c r="H42" s="20"/>
      <c r="I42" s="20"/>
      <c r="J42" s="20"/>
      <c r="K42" s="21">
        <f t="shared" si="0"/>
        <v>0</v>
      </c>
      <c r="L42" s="28"/>
      <c r="N42" s="27"/>
      <c r="O42" s="26"/>
      <c r="P42" s="26"/>
      <c r="Q42" s="26"/>
      <c r="R42" s="26"/>
      <c r="S42" s="26"/>
      <c r="T42" s="26"/>
      <c r="U42" s="26"/>
      <c r="V42" s="33"/>
      <c r="W42" s="33"/>
    </row>
    <row r="43" spans="1:24" x14ac:dyDescent="0.25">
      <c r="D43" s="22">
        <v>37</v>
      </c>
      <c r="E43" s="22"/>
      <c r="F43" s="22"/>
      <c r="G43" s="25"/>
      <c r="H43" s="22"/>
      <c r="I43" s="22"/>
      <c r="J43" s="23"/>
      <c r="K43" s="21">
        <f t="shared" si="0"/>
        <v>0</v>
      </c>
      <c r="L43" s="28"/>
      <c r="N43" s="27"/>
      <c r="O43" s="26"/>
      <c r="P43" s="26"/>
      <c r="Q43" s="26"/>
      <c r="R43" s="26"/>
      <c r="S43" s="26"/>
      <c r="T43" s="26"/>
      <c r="U43" s="26"/>
      <c r="V43" s="33"/>
      <c r="W43" s="33"/>
    </row>
    <row r="44" spans="1:24" x14ac:dyDescent="0.25">
      <c r="D44" s="22">
        <v>38</v>
      </c>
      <c r="E44" s="20"/>
      <c r="F44" s="20"/>
      <c r="G44" s="160"/>
      <c r="H44" s="20"/>
      <c r="I44" s="20"/>
      <c r="J44" s="20"/>
      <c r="K44" s="21">
        <f t="shared" si="0"/>
        <v>0</v>
      </c>
      <c r="L44" s="28"/>
      <c r="N44" s="27"/>
      <c r="O44" s="26"/>
      <c r="P44" s="26"/>
      <c r="Q44" s="26"/>
      <c r="R44" s="26"/>
      <c r="S44" s="26"/>
      <c r="T44" s="26"/>
      <c r="U44" s="26"/>
      <c r="V44" s="33"/>
      <c r="W44" s="33"/>
    </row>
    <row r="45" spans="1:24" x14ac:dyDescent="0.25">
      <c r="D45" s="22">
        <v>39</v>
      </c>
      <c r="E45" s="22" t="s">
        <v>245</v>
      </c>
      <c r="F45" s="22" t="s">
        <v>192</v>
      </c>
      <c r="G45" s="25">
        <v>100</v>
      </c>
      <c r="H45" s="24" t="e">
        <f>B21*#REF!*#REF!</f>
        <v>#REF!</v>
      </c>
      <c r="I45" s="22">
        <v>30</v>
      </c>
      <c r="J45" s="23">
        <f>(B20*B30)*B9</f>
        <v>0</v>
      </c>
      <c r="K45" s="21">
        <f t="shared" si="0"/>
        <v>0</v>
      </c>
      <c r="L45" s="28"/>
      <c r="N45" s="27"/>
      <c r="O45" s="26"/>
      <c r="P45" s="26"/>
      <c r="Q45" s="26"/>
      <c r="R45" s="26"/>
      <c r="S45" s="26"/>
      <c r="T45" s="26"/>
      <c r="U45" s="26"/>
      <c r="V45" s="33"/>
      <c r="W45" s="33"/>
    </row>
    <row r="46" spans="1:24" x14ac:dyDescent="0.25">
      <c r="D46" s="22">
        <v>40</v>
      </c>
      <c r="E46" s="22"/>
      <c r="F46" s="22"/>
      <c r="G46" s="25"/>
      <c r="H46" s="22"/>
      <c r="I46" s="22"/>
      <c r="J46" s="23"/>
      <c r="K46" s="21">
        <f t="shared" si="0"/>
        <v>0</v>
      </c>
      <c r="L46" s="28"/>
      <c r="N46" s="27"/>
      <c r="O46" s="26"/>
      <c r="P46" s="26"/>
      <c r="Q46" s="26"/>
      <c r="R46" s="26"/>
      <c r="S46" s="26"/>
      <c r="T46" s="26"/>
      <c r="U46" s="26"/>
      <c r="V46" s="33"/>
      <c r="W46" s="33"/>
    </row>
    <row r="47" spans="1:24" x14ac:dyDescent="0.25">
      <c r="D47" s="22">
        <v>41</v>
      </c>
      <c r="E47" s="22"/>
      <c r="F47" s="22"/>
      <c r="G47" s="25"/>
      <c r="H47" s="22"/>
      <c r="I47" s="22"/>
      <c r="J47" s="23"/>
      <c r="K47" s="21">
        <f t="shared" si="0"/>
        <v>0</v>
      </c>
      <c r="L47" s="28"/>
      <c r="N47" s="27"/>
      <c r="O47" s="26"/>
      <c r="P47" s="26"/>
      <c r="Q47" s="26"/>
      <c r="R47" s="26"/>
      <c r="S47" s="26"/>
      <c r="T47" s="26"/>
      <c r="U47" s="26"/>
      <c r="V47" s="33"/>
      <c r="W47" s="33"/>
    </row>
    <row r="48" spans="1:24" x14ac:dyDescent="0.25">
      <c r="D48" s="22">
        <v>42</v>
      </c>
      <c r="E48" s="22"/>
      <c r="F48" s="22"/>
      <c r="G48" s="25"/>
      <c r="H48" s="22"/>
      <c r="I48" s="22"/>
      <c r="J48" s="23"/>
      <c r="K48" s="21">
        <f t="shared" si="0"/>
        <v>0</v>
      </c>
      <c r="N48" s="26"/>
      <c r="O48" s="26"/>
      <c r="P48" s="26"/>
      <c r="Q48" s="26"/>
      <c r="R48" s="26"/>
      <c r="S48" s="26"/>
      <c r="T48" s="26"/>
    </row>
    <row r="49" spans="4:23" x14ac:dyDescent="0.25">
      <c r="D49" s="22">
        <v>43</v>
      </c>
      <c r="E49" s="22"/>
      <c r="F49" s="22"/>
      <c r="G49" s="25"/>
      <c r="H49" s="22"/>
      <c r="I49" s="22"/>
      <c r="J49" s="23"/>
      <c r="K49" s="21">
        <f t="shared" si="0"/>
        <v>0</v>
      </c>
      <c r="S49" s="30"/>
    </row>
    <row r="50" spans="4:23" x14ac:dyDescent="0.25">
      <c r="D50" s="22">
        <v>44</v>
      </c>
      <c r="E50" s="20"/>
      <c r="F50" s="22" t="s">
        <v>192</v>
      </c>
      <c r="G50" s="25">
        <v>100</v>
      </c>
      <c r="H50" s="24" t="e">
        <f>B31*#REF!*#REF!</f>
        <v>#REF!</v>
      </c>
      <c r="I50" s="22">
        <v>30</v>
      </c>
      <c r="J50" s="20"/>
      <c r="K50" s="21">
        <f t="shared" si="0"/>
        <v>0</v>
      </c>
      <c r="N50" s="29"/>
    </row>
    <row r="51" spans="4:23" x14ac:dyDescent="0.25">
      <c r="D51" s="22">
        <v>45</v>
      </c>
      <c r="E51" s="20"/>
      <c r="F51" s="20"/>
      <c r="G51" s="160"/>
      <c r="H51" s="20"/>
      <c r="I51" s="20"/>
      <c r="J51" s="20"/>
      <c r="K51" s="21">
        <f t="shared" si="0"/>
        <v>0</v>
      </c>
      <c r="L51" s="28"/>
      <c r="N51" s="37"/>
      <c r="O51" s="26"/>
      <c r="P51" s="26"/>
      <c r="Q51" s="26"/>
      <c r="R51" s="26"/>
      <c r="S51" s="26"/>
      <c r="T51" s="26"/>
      <c r="U51" s="26"/>
      <c r="V51" s="33"/>
      <c r="W51" s="33"/>
    </row>
    <row r="52" spans="4:23" x14ac:dyDescent="0.25">
      <c r="D52" s="22">
        <v>46</v>
      </c>
      <c r="E52" s="20"/>
      <c r="F52" s="20"/>
      <c r="G52" s="160"/>
      <c r="H52" s="20"/>
      <c r="I52" s="20"/>
      <c r="J52" s="20"/>
      <c r="K52" s="21">
        <f t="shared" si="0"/>
        <v>0</v>
      </c>
      <c r="L52" s="28"/>
      <c r="N52" s="37"/>
      <c r="O52" s="26"/>
      <c r="P52" s="26"/>
      <c r="Q52" s="26"/>
      <c r="R52" s="26"/>
      <c r="S52" s="26"/>
      <c r="T52" s="26"/>
      <c r="U52" s="26"/>
      <c r="V52" s="33"/>
      <c r="W52" s="33"/>
    </row>
    <row r="53" spans="4:23" x14ac:dyDescent="0.25">
      <c r="D53" s="22">
        <v>47</v>
      </c>
      <c r="E53" s="22" t="s">
        <v>268</v>
      </c>
      <c r="F53" s="22"/>
      <c r="G53" s="25"/>
      <c r="H53" s="22"/>
      <c r="I53" s="22"/>
      <c r="J53" s="23">
        <f>(B21*B31)*B9</f>
        <v>0</v>
      </c>
      <c r="K53" s="21">
        <f t="shared" si="0"/>
        <v>0</v>
      </c>
      <c r="L53" s="28"/>
      <c r="N53" s="37"/>
      <c r="O53" s="26"/>
      <c r="P53" s="26"/>
      <c r="Q53" s="26"/>
      <c r="R53" s="26"/>
      <c r="S53" s="26"/>
      <c r="T53" s="26"/>
      <c r="U53" s="26"/>
      <c r="V53" s="33"/>
      <c r="W53" s="33"/>
    </row>
    <row r="54" spans="4:23" x14ac:dyDescent="0.25">
      <c r="D54" s="22">
        <v>48</v>
      </c>
      <c r="E54" s="22"/>
      <c r="F54" s="22"/>
      <c r="G54" s="25"/>
      <c r="H54" s="22"/>
      <c r="I54" s="22"/>
      <c r="J54" s="22"/>
      <c r="K54" s="21">
        <f t="shared" si="0"/>
        <v>0</v>
      </c>
      <c r="L54" s="28"/>
      <c r="N54" s="37"/>
      <c r="O54" s="26"/>
      <c r="P54" s="26"/>
      <c r="Q54" s="26"/>
      <c r="R54" s="26"/>
      <c r="S54" s="26"/>
      <c r="T54" s="26"/>
      <c r="U54" s="26"/>
      <c r="V54" s="33"/>
      <c r="W54" s="33"/>
    </row>
    <row r="55" spans="4:23" x14ac:dyDescent="0.25">
      <c r="D55" s="22">
        <v>49</v>
      </c>
      <c r="E55" s="22"/>
      <c r="F55" s="22"/>
      <c r="G55" s="25"/>
      <c r="H55" s="22"/>
      <c r="I55" s="22"/>
      <c r="J55" s="23"/>
      <c r="K55" s="21">
        <f t="shared" si="0"/>
        <v>0</v>
      </c>
    </row>
    <row r="56" spans="4:23" x14ac:dyDescent="0.25">
      <c r="D56" s="22">
        <v>50</v>
      </c>
      <c r="E56" s="22"/>
      <c r="F56" s="22"/>
      <c r="G56" s="25"/>
      <c r="H56" s="22"/>
      <c r="I56" s="22"/>
      <c r="J56" s="23"/>
      <c r="K56" s="21">
        <f t="shared" si="0"/>
        <v>0</v>
      </c>
    </row>
    <row r="57" spans="4:23" x14ac:dyDescent="0.25">
      <c r="D57" s="22">
        <v>51</v>
      </c>
      <c r="E57" s="22"/>
      <c r="F57" s="22"/>
      <c r="G57" s="25"/>
      <c r="H57" s="22"/>
      <c r="I57" s="22"/>
      <c r="J57" s="23"/>
      <c r="K57" s="21">
        <f t="shared" si="0"/>
        <v>0</v>
      </c>
      <c r="S57" s="30"/>
    </row>
    <row r="58" spans="4:23" x14ac:dyDescent="0.25">
      <c r="D58" s="22">
        <v>52</v>
      </c>
      <c r="E58" s="22"/>
      <c r="F58" s="22"/>
      <c r="G58" s="25"/>
      <c r="H58" s="22"/>
      <c r="I58" s="22"/>
      <c r="J58" s="23"/>
      <c r="K58" s="21">
        <f t="shared" si="0"/>
        <v>0</v>
      </c>
      <c r="N58" s="29"/>
    </row>
    <row r="59" spans="4:23" x14ac:dyDescent="0.25">
      <c r="D59" s="22">
        <v>53</v>
      </c>
      <c r="E59" s="22"/>
      <c r="F59" s="22"/>
      <c r="G59" s="25"/>
      <c r="H59" s="22"/>
      <c r="I59" s="22"/>
      <c r="J59" s="23"/>
      <c r="K59" s="21">
        <f t="shared" si="0"/>
        <v>0</v>
      </c>
      <c r="L59" s="28"/>
      <c r="N59" s="37"/>
      <c r="O59" s="26"/>
      <c r="P59" s="26"/>
      <c r="Q59" s="26"/>
      <c r="R59" s="26"/>
      <c r="S59" s="26"/>
      <c r="T59" s="26"/>
      <c r="U59" s="26"/>
      <c r="V59" s="26"/>
      <c r="W59" s="26"/>
    </row>
    <row r="60" spans="4:23" x14ac:dyDescent="0.25">
      <c r="D60" s="22">
        <v>54</v>
      </c>
      <c r="E60" s="22"/>
      <c r="F60" s="22"/>
      <c r="G60" s="25"/>
      <c r="H60" s="24"/>
      <c r="I60" s="22"/>
      <c r="J60" s="23"/>
      <c r="K60" s="21">
        <f t="shared" si="0"/>
        <v>0</v>
      </c>
      <c r="L60" s="28"/>
      <c r="N60" s="37"/>
      <c r="O60" s="26"/>
      <c r="P60" s="26"/>
      <c r="Q60" s="26"/>
      <c r="R60" s="26"/>
      <c r="S60" s="26"/>
      <c r="T60" s="26"/>
      <c r="U60" s="26"/>
      <c r="V60" s="26"/>
      <c r="W60" s="26"/>
    </row>
    <row r="61" spans="4:23" x14ac:dyDescent="0.25">
      <c r="D61" s="22">
        <v>55</v>
      </c>
      <c r="E61" s="20"/>
      <c r="F61" s="20"/>
      <c r="G61" s="160"/>
      <c r="H61" s="20"/>
      <c r="I61" s="20"/>
      <c r="J61" s="20"/>
      <c r="K61" s="21">
        <f t="shared" si="0"/>
        <v>0</v>
      </c>
      <c r="L61" s="28"/>
      <c r="N61" s="37"/>
      <c r="O61" s="26"/>
      <c r="P61" s="26"/>
      <c r="Q61" s="26"/>
      <c r="R61" s="26"/>
      <c r="S61" s="26"/>
      <c r="T61" s="26"/>
      <c r="U61" s="26"/>
      <c r="V61" s="26"/>
      <c r="W61" s="26"/>
    </row>
    <row r="62" spans="4:23" x14ac:dyDescent="0.25">
      <c r="D62" s="22">
        <v>56</v>
      </c>
      <c r="E62" s="22"/>
      <c r="F62" s="22"/>
      <c r="G62" s="25"/>
      <c r="H62" s="22"/>
      <c r="I62" s="22"/>
      <c r="J62" s="23"/>
      <c r="K62" s="21">
        <f t="shared" si="0"/>
        <v>0</v>
      </c>
    </row>
    <row r="63" spans="4:23" x14ac:dyDescent="0.25">
      <c r="D63" s="22">
        <v>57</v>
      </c>
      <c r="E63" s="22"/>
      <c r="F63" s="22"/>
      <c r="G63" s="25"/>
      <c r="H63" s="24"/>
      <c r="I63" s="22"/>
      <c r="J63" s="23"/>
      <c r="K63" s="21">
        <f t="shared" si="0"/>
        <v>0</v>
      </c>
    </row>
    <row r="64" spans="4:23" x14ac:dyDescent="0.25">
      <c r="D64" s="22">
        <v>58</v>
      </c>
      <c r="E64" s="22"/>
      <c r="F64" s="22"/>
      <c r="G64" s="25"/>
      <c r="H64" s="22"/>
      <c r="I64" s="22"/>
      <c r="J64" s="23"/>
      <c r="K64" s="21">
        <f t="shared" si="0"/>
        <v>0</v>
      </c>
    </row>
    <row r="65" spans="4:11" x14ac:dyDescent="0.25">
      <c r="D65" s="22">
        <v>59</v>
      </c>
      <c r="E65" s="22"/>
      <c r="F65" s="22"/>
      <c r="G65" s="25"/>
      <c r="H65" s="22"/>
      <c r="I65" s="22"/>
      <c r="J65" s="23"/>
      <c r="K65" s="21">
        <f t="shared" si="0"/>
        <v>0</v>
      </c>
    </row>
    <row r="66" spans="4:11" x14ac:dyDescent="0.25">
      <c r="D66" s="22">
        <v>60</v>
      </c>
      <c r="E66" s="22" t="s">
        <v>261</v>
      </c>
      <c r="F66" s="22" t="s">
        <v>192</v>
      </c>
      <c r="G66" s="25">
        <v>100</v>
      </c>
      <c r="H66" s="24" t="e">
        <f>#REF!*#REF!*#REF!</f>
        <v>#REF!</v>
      </c>
      <c r="I66" s="22">
        <v>30</v>
      </c>
      <c r="J66" s="23">
        <f>(B35*B35)*B9</f>
        <v>0</v>
      </c>
      <c r="K66" s="21">
        <f>J66/(1+B68)^D66</f>
        <v>0</v>
      </c>
    </row>
  </sheetData>
  <sheetProtection algorithmName="SHA-512" hashValue="y592XOak5++cYpDrtM4vdasfzUA8InrttXZ5Dd96KG+nB999V28Ve9bRkgduPnn/RSWrVFUCcsQkPUygkfaA2Q==" saltValue="Y7I6JUk07FckmXuONIvMEQ==" spinCount="100000" sheet="1" objects="1" scenarios="1" selectLockedCells="1"/>
  <mergeCells count="1">
    <mergeCell ref="D1:J1"/>
  </mergeCells>
  <conditionalFormatting sqref="L9:L13">
    <cfRule type="colorScale" priority="15">
      <colorScale>
        <cfvo type="min"/>
        <cfvo type="percentile" val="50"/>
        <cfvo type="max"/>
        <color rgb="FFF8696B"/>
        <color rgb="FFFCFCFF"/>
        <color rgb="FF63BE7B"/>
      </colorScale>
    </cfRule>
  </conditionalFormatting>
  <conditionalFormatting sqref="L9:M13">
    <cfRule type="colorScale" priority="14">
      <colorScale>
        <cfvo type="min"/>
        <cfvo type="percentile" val="50"/>
        <cfvo type="max"/>
        <color rgb="FFF8696B"/>
        <color rgb="FFFCFCFF"/>
        <color rgb="FF63BE7B"/>
      </colorScale>
    </cfRule>
  </conditionalFormatting>
  <conditionalFormatting sqref="O9:W13 W14:W17">
    <cfRule type="colorScale" priority="13">
      <colorScale>
        <cfvo type="min"/>
        <cfvo type="percentile" val="50"/>
        <cfvo type="max"/>
        <color rgb="FFF8696B"/>
        <color rgb="FFFCFCFF"/>
        <color rgb="FF63BE7B"/>
      </colorScale>
    </cfRule>
  </conditionalFormatting>
  <conditionalFormatting sqref="O9:X13 W14:X17">
    <cfRule type="colorScale" priority="12">
      <colorScale>
        <cfvo type="min"/>
        <cfvo type="percentile" val="50"/>
        <cfvo type="max"/>
        <color rgb="FFF8696B"/>
        <color rgb="FFFCFCFF"/>
        <color rgb="FF63BE7B"/>
      </colorScale>
    </cfRule>
  </conditionalFormatting>
  <conditionalFormatting sqref="O23:U31">
    <cfRule type="colorScale" priority="11">
      <colorScale>
        <cfvo type="min"/>
        <cfvo type="percentile" val="50"/>
        <cfvo type="max"/>
        <color rgb="FFF8696B"/>
        <color rgb="FFFCFCFF"/>
        <color rgb="FF63BE7B"/>
      </colorScale>
    </cfRule>
  </conditionalFormatting>
  <conditionalFormatting sqref="O23:V31">
    <cfRule type="colorScale" priority="10">
      <colorScale>
        <cfvo type="min"/>
        <cfvo type="percentile" val="50"/>
        <cfvo type="max"/>
        <color rgb="FFF8696B"/>
        <color rgb="FFFCFCFF"/>
        <color rgb="FF63BE7B"/>
      </colorScale>
    </cfRule>
  </conditionalFormatting>
  <conditionalFormatting sqref="O16:V19">
    <cfRule type="colorScale" priority="9">
      <colorScale>
        <cfvo type="min"/>
        <cfvo type="percentile" val="50"/>
        <cfvo type="max"/>
        <color rgb="FFF8696B"/>
        <color rgb="FFFCFCFF"/>
        <color rgb="FF63BE7B"/>
      </colorScale>
    </cfRule>
  </conditionalFormatting>
  <conditionalFormatting sqref="O16:V19">
    <cfRule type="colorScale" priority="8">
      <colorScale>
        <cfvo type="min"/>
        <cfvo type="percentile" val="50"/>
        <cfvo type="max"/>
        <color rgb="FFF8696B"/>
        <color rgb="FFFCFCFF"/>
        <color rgb="FF63BE7B"/>
      </colorScale>
    </cfRule>
  </conditionalFormatting>
  <conditionalFormatting sqref="O35:W36">
    <cfRule type="colorScale" priority="7">
      <colorScale>
        <cfvo type="min"/>
        <cfvo type="percentile" val="50"/>
        <cfvo type="max"/>
        <color rgb="FFF8696B"/>
        <color rgb="FFFCFCFF"/>
        <color rgb="FF63BE7B"/>
      </colorScale>
    </cfRule>
  </conditionalFormatting>
  <conditionalFormatting sqref="O35:X36">
    <cfRule type="colorScale" priority="6">
      <colorScale>
        <cfvo type="min"/>
        <cfvo type="percentile" val="50"/>
        <cfvo type="max"/>
        <color rgb="FFF8696B"/>
        <color rgb="FFFCFCFF"/>
        <color rgb="FF63BE7B"/>
      </colorScale>
    </cfRule>
  </conditionalFormatting>
  <conditionalFormatting sqref="L16:L19">
    <cfRule type="colorScale" priority="16">
      <colorScale>
        <cfvo type="min"/>
        <cfvo type="percentile" val="50"/>
        <cfvo type="max"/>
        <color rgb="FFF8696B"/>
        <color rgb="FFFCFCFF"/>
        <color rgb="FF63BE7B"/>
      </colorScale>
    </cfRule>
  </conditionalFormatting>
  <conditionalFormatting sqref="L16:L19">
    <cfRule type="colorScale" priority="17">
      <colorScale>
        <cfvo type="min"/>
        <cfvo type="percentile" val="50"/>
        <cfvo type="max"/>
        <color rgb="FFF8696B"/>
        <color rgb="FFFCFCFF"/>
        <color rgb="FF63BE7B"/>
      </colorScale>
    </cfRule>
  </conditionalFormatting>
  <conditionalFormatting sqref="N48:T48 O41:U47">
    <cfRule type="colorScale" priority="5">
      <colorScale>
        <cfvo type="min"/>
        <cfvo type="percentile" val="50"/>
        <cfvo type="max"/>
        <color rgb="FFF8696B"/>
        <color rgb="FFFCFCFF"/>
        <color rgb="FF63BE7B"/>
      </colorScale>
    </cfRule>
  </conditionalFormatting>
  <conditionalFormatting sqref="O41:W47">
    <cfRule type="colorScale" priority="4">
      <colorScale>
        <cfvo type="min"/>
        <cfvo type="percentile" val="50"/>
        <cfvo type="max"/>
        <color rgb="FFF8696B"/>
        <color rgb="FFFCFCFF"/>
        <color rgb="FF63BE7B"/>
      </colorScale>
    </cfRule>
  </conditionalFormatting>
  <conditionalFormatting sqref="O51:U54">
    <cfRule type="colorScale" priority="3">
      <colorScale>
        <cfvo type="min"/>
        <cfvo type="percentile" val="50"/>
        <cfvo type="max"/>
        <color rgb="FFF8696B"/>
        <color rgb="FFFCFCFF"/>
        <color rgb="FF63BE7B"/>
      </colorScale>
    </cfRule>
  </conditionalFormatting>
  <conditionalFormatting sqref="O51:W54">
    <cfRule type="colorScale" priority="2">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18">
      <colorScale>
        <cfvo type="min"/>
        <cfvo type="percentile" val="50"/>
        <cfvo type="max"/>
        <color rgb="FFF8696B"/>
        <color rgb="FFFCFCFF"/>
        <color rgb="FF63BE7B"/>
      </colorScale>
    </cfRule>
  </conditionalFormatting>
  <conditionalFormatting sqref="L35:M36">
    <cfRule type="colorScale" priority="19">
      <colorScale>
        <cfvo type="min"/>
        <cfvo type="percentile" val="50"/>
        <cfvo type="max"/>
        <color rgb="FFF8696B"/>
        <color rgb="FFFCFCFF"/>
        <color rgb="FF63BE7B"/>
      </colorScale>
    </cfRule>
  </conditionalFormatting>
  <conditionalFormatting sqref="L41:L47">
    <cfRule type="colorScale" priority="20">
      <colorScale>
        <cfvo type="min"/>
        <cfvo type="percentile" val="50"/>
        <cfvo type="max"/>
        <color rgb="FFF8696B"/>
        <color rgb="FFFCFCFF"/>
        <color rgb="FF63BE7B"/>
      </colorScale>
    </cfRule>
  </conditionalFormatting>
  <conditionalFormatting sqref="L51:L54">
    <cfRule type="colorScale" priority="21">
      <colorScale>
        <cfvo type="min"/>
        <cfvo type="percentile" val="50"/>
        <cfvo type="max"/>
        <color rgb="FFF8696B"/>
        <color rgb="FFFCFCFF"/>
        <color rgb="FF63BE7B"/>
      </colorScale>
    </cfRule>
  </conditionalFormatting>
  <conditionalFormatting sqref="L23:L31">
    <cfRule type="colorScale" priority="22">
      <colorScale>
        <cfvo type="min"/>
        <cfvo type="percentile" val="50"/>
        <cfvo type="max"/>
        <color rgb="FFF8696B"/>
        <color rgb="FFFCFCFF"/>
        <color rgb="FF63BE7B"/>
      </colorScale>
    </cfRule>
  </conditionalFormatting>
  <conditionalFormatting sqref="L2:L5">
    <cfRule type="colorScale" priority="23">
      <colorScale>
        <cfvo type="min"/>
        <cfvo type="percentile" val="50"/>
        <cfvo type="max"/>
        <color rgb="FFF8696B"/>
        <color rgb="FFFCFCFF"/>
        <color rgb="FF63BE7B"/>
      </colorScale>
    </cfRule>
  </conditionalFormatting>
  <conditionalFormatting sqref="O2:W5">
    <cfRule type="colorScale" priority="24">
      <colorScale>
        <cfvo type="min"/>
        <cfvo type="percentile" val="50"/>
        <cfvo type="max"/>
        <color rgb="FFF8696B"/>
        <color rgb="FFFCFCFF"/>
        <color rgb="FF63BE7B"/>
      </colorScale>
    </cfRule>
  </conditionalFormatting>
  <conditionalFormatting sqref="O59:U61">
    <cfRule type="colorScale" priority="25">
      <colorScale>
        <cfvo type="min"/>
        <cfvo type="percentile" val="50"/>
        <cfvo type="max"/>
        <color rgb="FFF8696B"/>
        <color rgb="FFFCFCFF"/>
        <color rgb="FF63BE7B"/>
      </colorScale>
    </cfRule>
  </conditionalFormatting>
  <conditionalFormatting sqref="O59:W61">
    <cfRule type="colorScale" priority="26">
      <colorScale>
        <cfvo type="min"/>
        <cfvo type="percentile" val="50"/>
        <cfvo type="max"/>
        <color rgb="FFF8696B"/>
        <color rgb="FFFCFCFF"/>
        <color rgb="FF63BE7B"/>
      </colorScale>
    </cfRule>
  </conditionalFormatting>
  <conditionalFormatting sqref="L59:L61">
    <cfRule type="colorScale" priority="27">
      <colorScale>
        <cfvo type="min"/>
        <cfvo type="percentile" val="50"/>
        <cfvo type="max"/>
        <color rgb="FFF8696B"/>
        <color rgb="FFFCFCFF"/>
        <color rgb="FF63BE7B"/>
      </colorScale>
    </cfRule>
  </conditionalFormatting>
  <dataValidations count="1">
    <dataValidation type="list" allowBlank="1" showInputMessage="1" showErrorMessage="1" sqref="B17" xr:uid="{6AA2848A-B8AB-4B52-8154-5791F7E72C2A}">
      <formula1>"1100,1330,1660,2000"</formula1>
    </dataValidation>
  </dataValidations>
  <pageMargins left="0.7" right="0.7" top="0.75" bottom="0.75" header="0.3" footer="0.3"/>
  <pageSetup paperSize="9" scale="6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CD4B-48FF-41EC-BF4F-E11A88CB7D78}">
  <sheetPr>
    <tabColor rgb="FFC00000"/>
    <pageSetUpPr fitToPage="1"/>
  </sheetPr>
  <dimension ref="A1:X41"/>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147</v>
      </c>
      <c r="E1" s="592"/>
      <c r="F1" s="592"/>
      <c r="G1" s="592"/>
      <c r="H1" s="592"/>
      <c r="I1" s="592"/>
      <c r="J1" s="592"/>
      <c r="K1" s="81"/>
    </row>
    <row r="2" spans="1:24" ht="15.75" x14ac:dyDescent="0.25">
      <c r="C2" s="63"/>
      <c r="D2" s="78" t="s">
        <v>229</v>
      </c>
      <c r="E2" s="77">
        <f>IFERROR(IRR(J6:J41,0.045),0)</f>
        <v>0</v>
      </c>
      <c r="F2" s="77" t="e">
        <f>IRR(J6:J41,0.02)</f>
        <v>#NUM!</v>
      </c>
      <c r="L2" s="69"/>
      <c r="O2" s="68"/>
      <c r="P2" s="68"/>
      <c r="Q2" s="68"/>
      <c r="R2" s="68"/>
      <c r="S2" s="68"/>
      <c r="T2" s="68"/>
      <c r="U2" s="68"/>
      <c r="V2" s="68"/>
      <c r="W2" s="68"/>
    </row>
    <row r="3" spans="1:24" ht="15.75" x14ac:dyDescent="0.25">
      <c r="C3" s="61"/>
      <c r="D3" s="74" t="s">
        <v>228</v>
      </c>
      <c r="E3" s="103">
        <f>IFERROR(NPV(B8,J7:J41)+J6,0)</f>
        <v>0</v>
      </c>
      <c r="F3" s="75" t="e">
        <f>NPV(#REF!,J7:J41)+J6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41" si="0">J7/(1+B9)^D7</f>
        <v>0</v>
      </c>
      <c r="S7" s="30"/>
    </row>
    <row r="8" spans="1:24" ht="16.5" thickBot="1" x14ac:dyDescent="0.3">
      <c r="A8" s="79" t="s">
        <v>189</v>
      </c>
      <c r="B8" s="80">
        <f>Fiche_signalétique_projet!D57</f>
        <v>4.4999999999999998E-2</v>
      </c>
      <c r="C8" s="61"/>
      <c r="D8" s="22">
        <v>2</v>
      </c>
      <c r="E8" s="20"/>
      <c r="F8" s="20"/>
      <c r="G8" s="160"/>
      <c r="H8" s="20"/>
      <c r="I8" s="20"/>
      <c r="J8" s="20"/>
      <c r="K8" s="21">
        <f t="shared" si="0"/>
        <v>0</v>
      </c>
      <c r="L8" s="27"/>
      <c r="N8" s="29"/>
      <c r="O8" s="27"/>
      <c r="P8" s="27"/>
      <c r="Q8" s="27"/>
      <c r="R8" s="27"/>
      <c r="S8" s="27"/>
      <c r="T8" s="27"/>
      <c r="U8" s="27"/>
      <c r="V8" s="27"/>
      <c r="W8" s="27"/>
    </row>
    <row r="9" spans="1:24" ht="16.5" thickBot="1" x14ac:dyDescent="0.3">
      <c r="A9" s="63" t="s">
        <v>190</v>
      </c>
      <c r="B9" s="67">
        <f>Annexe_îlots_boisements!D111</f>
        <v>0</v>
      </c>
      <c r="C9" s="60"/>
      <c r="D9" s="22">
        <v>3</v>
      </c>
      <c r="E9" s="22" t="s">
        <v>242</v>
      </c>
      <c r="F9" s="22" t="s">
        <v>194</v>
      </c>
      <c r="G9" s="25">
        <v>100</v>
      </c>
      <c r="H9" s="22"/>
      <c r="I9" s="22"/>
      <c r="J9" s="23">
        <f>-B14*B9*(1+B15)</f>
        <v>0</v>
      </c>
      <c r="K9" s="21">
        <f t="shared" si="0"/>
        <v>0</v>
      </c>
      <c r="L9" s="28"/>
      <c r="M9" s="28"/>
      <c r="N9" s="58"/>
      <c r="O9" s="26"/>
      <c r="P9" s="26"/>
      <c r="Q9" s="26"/>
      <c r="R9" s="26"/>
      <c r="S9" s="26"/>
      <c r="T9" s="26"/>
      <c r="U9" s="26"/>
      <c r="V9" s="26"/>
      <c r="W9" s="26"/>
      <c r="X9" s="26"/>
    </row>
    <row r="10" spans="1:24" ht="18.75" x14ac:dyDescent="0.3">
      <c r="A10" s="66" t="s">
        <v>215</v>
      </c>
      <c r="B10" s="65"/>
      <c r="C10" s="63"/>
      <c r="D10" s="22">
        <v>4</v>
      </c>
      <c r="E10" s="20"/>
      <c r="F10" s="20"/>
      <c r="G10" s="160"/>
      <c r="H10" s="20"/>
      <c r="I10" s="20"/>
      <c r="J10" s="20"/>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111,Annexe_îlots_boisements!I8:L11,4)*Annexe_îlots_boisements!M8,0)+IFERROR(VLOOKUP(Annexe_îlots_boisements!A111,Annexe_îlots_boisements!I13:L16,4)*Annexe_îlots_boisements!M13,0)+IFERROR(VLOOKUP(Annexe_îlots_boisements!A111,Annexe_îlots_boisements!I18:L21,4)*Annexe_îlots_boisements!M18,0)+IFERROR(VLOOKUP(Annexe_îlots_boisements!A111,Annexe_îlots_boisements!I23:L26,4)*Annexe_îlots_boisements!M23,0)+IFERROR(VLOOKUP(Annexe_îlots_boisements!A111,Annexe_îlots_boisements!I28:L31,4)*Annexe_îlots_boisements!M28,0)+IFERROR(VLOOKUP(Annexe_îlots_boisements!A111,Annexe_îlots_boisements!I33:L36,4)*Annexe_îlots_boisements!M33,0)+IFERROR(VLOOKUP(Annexe_îlots_boisements!A111,Annexe_îlots_boisements!I38:L41,4)*Annexe_îlots_boisements!M38,0)+IFERROR(VLOOKUP(Annexe_îlots_boisements!A111,Annexe_îlots_boisements!I43:L46,4)*Annexe_îlots_boisements!M43,0)+IFERROR(VLOOKUP(Annexe_îlots_boisements!A111,Annexe_îlots_boisements!I48:L51,4)*Annexe_îlots_boisements!M48,0)+IFERROR(VLOOKUP(Annexe_îlots_boisements!A111,Annexe_îlots_boisements!I53:L56,4)*Annexe_îlots_boisements!M53,0)+IFERROR(VLOOKUP(Annexe_îlots_boisements!A111,Annexe_îlots_boisements!I58:L61,4)*Annexe_îlots_boisements!M58,0)+IFERROR(VLOOKUP(Annexe_îlots_boisements!A111,Annexe_îlots_boisements!I63:L66,4)*Annexe_îlots_boisements!M63,0)+IFERROR(VLOOKUP(Annexe_îlots_boisements!A111,Annexe_îlots_boisements!I68:L71,4)*Annexe_îlots_boisements!M68,0)+IFERROR(VLOOKUP(Annexe_îlots_boisements!A111,Annexe_îlots_boisements!I73:L76,4)*Annexe_îlots_boisements!M73,0)+IFERROR(VLOOKUP(Annexe_îlots_boisements!A111,Annexe_îlots_boisements!I78:L81,4)*Annexe_îlots_boisements!M78,0)+IFERROR(VLOOKUP(Annexe_îlots_boisements!A111,Annexe_îlots_boisements!I83:L86,4)*Annexe_îlots_boisements!M83,0)+IFERROR(VLOOKUP(Annexe_îlots_boisements!A111,Annexe_îlots_boisements!I88:L91,4)*Annexe_îlots_boisements!M88,0)+IFERROR(VLOOKUP(Annexe_îlots_boisements!A111,Annexe_îlots_boisements!I93:L96,4)*Annexe_îlots_boisements!M93,0))/Annexe_îlots_boisements!D111,0)</f>
        <v>0</v>
      </c>
      <c r="C11" s="61"/>
      <c r="D11" s="22">
        <v>5</v>
      </c>
      <c r="E11" s="22" t="s">
        <v>242</v>
      </c>
      <c r="F11" s="22"/>
      <c r="G11" s="25"/>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62">
        <f>IFERROR((IFERROR(VLOOKUP(Annexe_îlots_boisements!A111,Annexe_îlots_boisements!I6:L9,4),0)*IFERROR(VLOOKUP(Annexe_îlots_boisements!A111,Annexe_îlots_boisements!I6:O9,6),0)+IFERROR(VLOOKUP(Annexe_îlots_boisements!A111,Annexe_îlots_boisements!I11:L14,4)*IFERROR(VLOOKUP(Annexe_îlots_boisements!A111,Annexe_îlots_boisements!I11:O14,6),0)+IFERROR(VLOOKUP(Annexe_îlots_boisements!A111,Annexe_îlots_boisements!I16:L19,4),0)*IFERROR(VLOOKUP(Annexe_îlots_boisements!A111,Annexe_îlots_boisements!I16:O19,6),0)+IFERROR(VLOOKUP(Annexe_îlots_boisements!A111,Annexe_îlots_boisements!I21:L24,4),0)*IFERROR(VLOOKUP(Annexe_îlots_boisements!A111,Annexe_îlots_boisements!I21:O24,6),0)+IFERROR(VLOOKUP(Annexe_îlots_boisements!A111,Annexe_îlots_boisements!I26:L29,4),0)*IFERROR(VLOOKUP(Annexe_îlots_boisements!A111,Annexe_îlots_boisements!I26:O29,6),0)+IFERROR(VLOOKUP(Annexe_îlots_boisements!A111,Annexe_îlots_boisements!I31:L34,4),0)*IFERROR(VLOOKUP(Annexe_îlots_boisements!A111,Annexe_îlots_boisements!I31:O34,6),0)+IFERROR(VLOOKUP(Annexe_îlots_boisements!A111,Annexe_îlots_boisements!I36:L39,4),0)*IFERROR(VLOOKUP(Annexe_îlots_boisements!A111,Annexe_îlots_boisements!I36:O39,6),0)+IFERROR(VLOOKUP(Annexe_îlots_boisements!A111,Annexe_îlots_boisements!I41:L44,4),0)*IFERROR(VLOOKUP(Annexe_îlots_boisements!A111,Annexe_îlots_boisements!I41:O44,6),0)+IFERROR(VLOOKUP(Annexe_îlots_boisements!A111,Annexe_îlots_boisements!I46:L49,4),0)*IFERROR(VLOOKUP(Annexe_îlots_boisements!A111,Annexe_îlots_boisements!I46:O49,6),0)+IFERROR(VLOOKUP(Annexe_îlots_boisements!A111,Annexe_îlots_boisements!I51:L54,4),0)*IFERROR(VLOOKUP(Annexe_îlots_boisements!A111,Annexe_îlots_boisements!I51:O54,6),0)+IFERROR(VLOOKUP(Annexe_îlots_boisements!A111,Annexe_îlots_boisements!I56:L59,4),0)*VLOOKUP(Annexe_îlots_boisements!A111,Annexe_îlots_boisements!I56:O59,6),0)+IFERROR(VLOOKUP(Annexe_îlots_boisements!A111,Annexe_îlots_boisements!I61:L64,4),0)*IFERROR(VLOOKUP(Annexe_îlots_boisements!A111,Annexe_îlots_boisements!I61:O64,6),0)+IFERROR(VLOOKUP(Annexe_îlots_boisements!A111,Annexe_îlots_boisements!I66:L69,4),0)*IFERROR(VLOOKUP(Annexe_îlots_boisements!A111,Annexe_îlots_boisements!I66:O69,6),0)+IFERROR(VLOOKUP(Annexe_îlots_boisements!A111,Annexe_îlots_boisements!I71:L74,4),0)*IFERROR(VLOOKUP(Annexe_îlots_boisements!A111,Annexe_îlots_boisements!I71:O74,6),0)+IFERROR(VLOOKUP(Annexe_îlots_boisements!A111,Annexe_îlots_boisements!I76:L79,4),0)*IFERROR(VLOOKUP(Annexe_îlots_boisements!A111,Annexe_îlots_boisements!I76:O79,6),0)+IFERROR(VLOOKUP(Annexe_îlots_boisements!A111,Annexe_îlots_boisements!I81:L84,4),0)*IFERROR(VLOOKUP(Annexe_îlots_boisements!A111,Annexe_îlots_boisements!I81:O84,6),0)+IFERROR(VLOOKUP(Annexe_îlots_boisements!A111,Annexe_îlots_boisements!I86:L89,4),0)*IFERROR(VLOOKUP(Annexe_îlots_boisements!A111,Annexe_îlots_boisements!I86:O89,6),0)+IFERROR(VLOOKUP(Annexe_îlots_boisements!A111,Annexe_îlots_boisements!I91:L94,4),0)*IFERROR(VLOOKUP(Annexe_îlots_boisements!A111,Annexe_îlots_boisements!I91:O94,6),0))/Annexe_îlots_boisements!D111,0)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55">
        <f>IFERROR((IFERROR(VLOOKUP(Annexe_îlots_boisements!A111,Annexe_îlots_boisements!I6:L9,4),0)*IFERROR(VLOOKUP(Annexe_îlots_boisements!A111,Annexe_îlots_boisements!I6:O9,7),0)+IFERROR(VLOOKUP(Annexe_îlots_boisements!A111,Annexe_îlots_boisements!I11:L14,4)*IFERROR(VLOOKUP(Annexe_îlots_boisements!A111,Annexe_îlots_boisements!I11:O14,7),0)+IFERROR(VLOOKUP(Annexe_îlots_boisements!A111,Annexe_îlots_boisements!I16:L19,4),0)*IFERROR(VLOOKUP(Annexe_îlots_boisements!A111,Annexe_îlots_boisements!I16:O19,7),0)+IFERROR(VLOOKUP(Annexe_îlots_boisements!A111,Annexe_îlots_boisements!I21:L24,4),0)*IFERROR(VLOOKUP(Annexe_îlots_boisements!A111,Annexe_îlots_boisements!I21:O24,7),0)+IFERROR(VLOOKUP(Annexe_îlots_boisements!A111,Annexe_îlots_boisements!I26:L29,4),0)*IFERROR(VLOOKUP(Annexe_îlots_boisements!A111,Annexe_îlots_boisements!I26:O29,7),0)+IFERROR(VLOOKUP(Annexe_îlots_boisements!A111,Annexe_îlots_boisements!I31:L34,4),0)*IFERROR(VLOOKUP(Annexe_îlots_boisements!A111,Annexe_îlots_boisements!I31:O34,7),0)+IFERROR(VLOOKUP(Annexe_îlots_boisements!A111,Annexe_îlots_boisements!I36:L39,4),0)*IFERROR(VLOOKUP(Annexe_îlots_boisements!A111,Annexe_îlots_boisements!I36:O39,7),0)+IFERROR(VLOOKUP(Annexe_îlots_boisements!A111,Annexe_îlots_boisements!I41:L44,4),0)*IFERROR(VLOOKUP(Annexe_îlots_boisements!A111,Annexe_îlots_boisements!I41:O44,7),0)+IFERROR(VLOOKUP(Annexe_îlots_boisements!A111,Annexe_îlots_boisements!I46:L49,4),0)*IFERROR(VLOOKUP(Annexe_îlots_boisements!A111,Annexe_îlots_boisements!I46:O49,7),0)+IFERROR(VLOOKUP(Annexe_îlots_boisements!A111,Annexe_îlots_boisements!I51:L54,4),0)*IFERROR(VLOOKUP(Annexe_îlots_boisements!A111,Annexe_îlots_boisements!I51:O54,7),0)+IFERROR(VLOOKUP(Annexe_îlots_boisements!A111,Annexe_îlots_boisements!I56:L59,4),0)*VLOOKUP(Annexe_îlots_boisements!A111,Annexe_îlots_boisements!I56:O59,7),0)+IFERROR(VLOOKUP(Annexe_îlots_boisements!A111,Annexe_îlots_boisements!I61:L64,4),0)*IFERROR(VLOOKUP(Annexe_îlots_boisements!A111,Annexe_îlots_boisements!I61:O64,7),0)+IFERROR(VLOOKUP(Annexe_îlots_boisements!A111,Annexe_îlots_boisements!I66:L69,4),0)*IFERROR(VLOOKUP(Annexe_îlots_boisements!A111,Annexe_îlots_boisements!I66:O69,7),0)+IFERROR(VLOOKUP(Annexe_îlots_boisements!A111,Annexe_îlots_boisements!I71:L74,4),0)*IFERROR(VLOOKUP(Annexe_îlots_boisements!A111,Annexe_îlots_boisements!I71:O74,7),0)+IFERROR(VLOOKUP(Annexe_îlots_boisements!A111,Annexe_îlots_boisements!I76:L79,4),0)*IFERROR(VLOOKUP(Annexe_îlots_boisements!A111,Annexe_îlots_boisements!I76:O79,7),0)+IFERROR(VLOOKUP(Annexe_îlots_boisements!A111,Annexe_îlots_boisements!I81:L84,4),0)*IFERROR(VLOOKUP(Annexe_îlots_boisements!A111,Annexe_îlots_boisements!I81:O84,7),0)+IFERROR(VLOOKUP(Annexe_îlots_boisements!A111,Annexe_îlots_boisements!I86:L89,4),0)*IFERROR(VLOOKUP(Annexe_îlots_boisements!A111,Annexe_îlots_boisements!I86:O89,7),0)+IFERROR(VLOOKUP(Annexe_îlots_boisements!A111,Annexe_îlots_boisements!I91:L94,4),0)*IFERROR(VLOOKUP(Annexe_îlots_boisements!A111,Annexe_îlots_boisements!I91:O94,7),0))/Annexe_îlots_boisements!D111,0)</f>
        <v>0</v>
      </c>
      <c r="C13" s="63"/>
      <c r="D13" s="22">
        <v>7</v>
      </c>
      <c r="E13" s="22"/>
      <c r="F13" s="22"/>
      <c r="G13" s="25"/>
      <c r="H13" s="22"/>
      <c r="I13" s="22"/>
      <c r="J13" s="23"/>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111,Annexe_îlots_boisements!I8:L11,4)*Annexe_îlots_boisements!P8,0)+IFERROR(VLOOKUP(Annexe_îlots_boisements!A111,Annexe_îlots_boisements!I13:L16,4)*Annexe_îlots_boisements!P13,0)+IFERROR(VLOOKUP(Annexe_îlots_boisements!A111,Annexe_îlots_boisements!I18:L21,4)*Annexe_îlots_boisements!P18,0)+IFERROR(VLOOKUP(Annexe_îlots_boisements!A111,Annexe_îlots_boisements!I23:L26,4)*Annexe_îlots_boisements!P23,0)+IFERROR(VLOOKUP(Annexe_îlots_boisements!A111,Annexe_îlots_boisements!I28:L31,4)*Annexe_îlots_boisements!P28,0)+IFERROR(VLOOKUP(Annexe_îlots_boisements!A111,Annexe_îlots_boisements!I33:L36,4)*Annexe_îlots_boisements!P33,0)+IFERROR(VLOOKUP(Annexe_îlots_boisements!A111,Annexe_îlots_boisements!I38:L41,4)*Annexe_îlots_boisements!P38,0)+IFERROR(VLOOKUP(Annexe_îlots_boisements!A111,Annexe_îlots_boisements!I43:L46,4)*Annexe_îlots_boisements!P43,0)+IFERROR(VLOOKUP(Annexe_îlots_boisements!A111,Annexe_îlots_boisements!I48:L51,4)*Annexe_îlots_boisements!P48,0)+IFERROR(VLOOKUP(Annexe_îlots_boisements!A111,Annexe_îlots_boisements!I53:L56,4)*Annexe_îlots_boisements!P53,0)+IFERROR(VLOOKUP(Annexe_îlots_boisements!A111,Annexe_îlots_boisements!I58:L61,4)*Annexe_îlots_boisements!P58,0)+IFERROR(VLOOKUP(Annexe_îlots_boisements!A111,Annexe_îlots_boisements!I63:L66,4)*Annexe_îlots_boisements!P63,0)+IFERROR(VLOOKUP(Annexe_îlots_boisements!A111,Annexe_îlots_boisements!I68:L71,4)*Annexe_îlots_boisements!P68,0)+IFERROR(VLOOKUP(Annexe_îlots_boisements!A111,Annexe_îlots_boisements!I73:L76,4)*Annexe_îlots_boisements!P73,0)+IFERROR(VLOOKUP(Annexe_îlots_boisements!A111,Annexe_îlots_boisements!I78:L81,4)*Annexe_îlots_boisements!P78,0)+IFERROR(VLOOKUP(Annexe_îlots_boisements!A111,Annexe_îlots_boisements!I83:L86,4)*Annexe_îlots_boisements!P83,0)+IFERROR(VLOOKUP(Annexe_îlots_boisements!A111,Annexe_îlots_boisements!I88:L91,4)*Annexe_îlots_boisements!P88,0)+IFERROR(VLOOKUP(Annexe_îlots_boisements!A111,Annexe_îlots_boisements!I93:L96,4)*Annexe_îlots_boisements!P93,0))/Annexe_îlots_boisements!D111,0)</f>
        <v>0</v>
      </c>
      <c r="C14" s="61"/>
      <c r="D14" s="22">
        <v>8</v>
      </c>
      <c r="E14" s="22"/>
      <c r="F14" s="22" t="s">
        <v>194</v>
      </c>
      <c r="G14" s="25">
        <v>100</v>
      </c>
      <c r="H14" s="22"/>
      <c r="I14" s="22"/>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c r="F15" s="22"/>
      <c r="G15" s="25"/>
      <c r="H15" s="22"/>
      <c r="I15" s="22"/>
      <c r="J15" s="23"/>
      <c r="K15" s="21">
        <f t="shared" si="0"/>
        <v>0</v>
      </c>
      <c r="L15" s="64"/>
      <c r="N15" s="29"/>
      <c r="O15" s="64"/>
      <c r="P15" s="64"/>
      <c r="Q15" s="64"/>
      <c r="R15" s="64"/>
      <c r="S15" s="64"/>
      <c r="T15" s="64"/>
      <c r="U15" s="64"/>
      <c r="V15" s="64"/>
      <c r="W15" s="26"/>
      <c r="X15" s="26"/>
    </row>
    <row r="16" spans="1:24" ht="19.5" thickBot="1" x14ac:dyDescent="0.35">
      <c r="A16" s="96" t="s">
        <v>243</v>
      </c>
      <c r="B16" s="139"/>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30</v>
      </c>
      <c r="C18" s="60"/>
      <c r="D18" s="22">
        <v>12</v>
      </c>
      <c r="E18" s="22"/>
      <c r="F18" s="22"/>
      <c r="G18" s="25"/>
      <c r="H18" s="22"/>
      <c r="I18" s="22"/>
      <c r="J18" s="23"/>
      <c r="K18" s="21">
        <f t="shared" si="0"/>
        <v>0</v>
      </c>
      <c r="L18" s="28"/>
      <c r="N18" s="58"/>
      <c r="O18" s="26"/>
      <c r="P18" s="26"/>
      <c r="Q18" s="26"/>
      <c r="R18" s="26"/>
      <c r="S18" s="26"/>
      <c r="T18" s="26"/>
      <c r="U18" s="26"/>
      <c r="V18" s="26"/>
    </row>
    <row r="19" spans="1:24" ht="18.75" x14ac:dyDescent="0.3">
      <c r="A19" s="45" t="s">
        <v>211</v>
      </c>
      <c r="B19" s="46">
        <v>50</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c r="B20" s="46"/>
      <c r="C20" s="59"/>
      <c r="D20" s="22">
        <v>14</v>
      </c>
      <c r="E20" s="22"/>
      <c r="F20" s="22" t="s">
        <v>194</v>
      </c>
      <c r="G20" s="25">
        <v>100</v>
      </c>
      <c r="H20" s="22"/>
      <c r="I20" s="22"/>
      <c r="J20" s="23"/>
      <c r="K20" s="21">
        <f t="shared" si="0"/>
        <v>0</v>
      </c>
      <c r="N20" s="58"/>
    </row>
    <row r="21" spans="1:24" ht="18.75" x14ac:dyDescent="0.3">
      <c r="A21" s="47"/>
      <c r="B21" s="46"/>
      <c r="C21" s="57"/>
      <c r="D21" s="22">
        <v>15</v>
      </c>
      <c r="E21" s="22" t="s">
        <v>247</v>
      </c>
      <c r="F21" s="22" t="s">
        <v>194</v>
      </c>
      <c r="G21" s="25">
        <v>101</v>
      </c>
      <c r="H21" s="22"/>
      <c r="I21" s="22"/>
      <c r="J21" s="23">
        <f>(B28*B18)*B9</f>
        <v>0</v>
      </c>
      <c r="K21" s="21">
        <f t="shared" si="0"/>
        <v>0</v>
      </c>
      <c r="S21" s="30"/>
    </row>
    <row r="22" spans="1:24" ht="18.75" x14ac:dyDescent="0.3">
      <c r="A22" s="45"/>
      <c r="B22" s="46"/>
      <c r="C22" s="57"/>
      <c r="D22" s="22">
        <v>16</v>
      </c>
      <c r="E22" s="22"/>
      <c r="F22" s="22" t="s">
        <v>194</v>
      </c>
      <c r="G22" s="25">
        <v>100</v>
      </c>
      <c r="H22" s="22"/>
      <c r="I22" s="22"/>
      <c r="J22" s="23"/>
      <c r="K22" s="21">
        <f t="shared" si="0"/>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250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0"/>
      <c r="F26" s="20"/>
      <c r="G26" s="160"/>
      <c r="H26" s="20"/>
      <c r="I26" s="20"/>
      <c r="J26" s="20"/>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12</v>
      </c>
      <c r="D28" s="22">
        <v>22</v>
      </c>
      <c r="E28" s="20"/>
      <c r="F28" s="20"/>
      <c r="G28" s="160"/>
      <c r="H28" s="20"/>
      <c r="I28" s="20"/>
      <c r="J28" s="20"/>
      <c r="K28" s="21">
        <f t="shared" si="0"/>
        <v>0</v>
      </c>
      <c r="L28" s="34"/>
      <c r="O28" s="26"/>
      <c r="P28" s="26"/>
      <c r="Q28" s="26"/>
      <c r="R28" s="26"/>
      <c r="S28" s="26"/>
      <c r="T28" s="26"/>
      <c r="U28" s="26"/>
      <c r="V28" s="26"/>
      <c r="W28" s="26"/>
    </row>
    <row r="29" spans="1:24" ht="18.75" x14ac:dyDescent="0.3">
      <c r="A29" s="38" t="s">
        <v>201</v>
      </c>
      <c r="B29" s="35">
        <v>25</v>
      </c>
      <c r="D29" s="22">
        <v>23</v>
      </c>
      <c r="E29" s="20"/>
      <c r="F29" s="20"/>
      <c r="G29" s="160"/>
      <c r="H29" s="20"/>
      <c r="I29" s="20"/>
      <c r="J29" s="20"/>
      <c r="K29" s="21">
        <f t="shared" si="0"/>
        <v>0</v>
      </c>
      <c r="L29" s="34"/>
      <c r="O29" s="26"/>
      <c r="P29" s="26"/>
      <c r="Q29" s="26"/>
      <c r="R29" s="26"/>
      <c r="S29" s="26"/>
      <c r="T29" s="26"/>
      <c r="U29" s="26"/>
      <c r="V29" s="26"/>
      <c r="W29" s="26"/>
    </row>
    <row r="30" spans="1:24" ht="18.75" x14ac:dyDescent="0.3">
      <c r="A30" s="36"/>
      <c r="B30" s="35"/>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c r="B31" s="35"/>
      <c r="D31" s="22">
        <v>25</v>
      </c>
      <c r="E31" s="22" t="s">
        <v>259</v>
      </c>
      <c r="F31" s="22" t="s">
        <v>192</v>
      </c>
      <c r="G31" s="25">
        <v>100</v>
      </c>
      <c r="H31" s="24" t="e">
        <f>#REF!*#REF!*#REF!</f>
        <v>#REF!</v>
      </c>
      <c r="I31" s="22">
        <v>30</v>
      </c>
      <c r="J31" s="23">
        <f>(B29*B19)*B9</f>
        <v>0</v>
      </c>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22">
        <v>20</v>
      </c>
      <c r="J32" s="23"/>
      <c r="K32" s="21">
        <f t="shared" si="0"/>
        <v>0</v>
      </c>
    </row>
    <row r="33" spans="1:24" ht="18.75" x14ac:dyDescent="0.3">
      <c r="A33" s="38"/>
      <c r="B33" s="35"/>
      <c r="D33" s="22">
        <v>27</v>
      </c>
      <c r="E33" s="22"/>
      <c r="F33" s="22" t="s">
        <v>194</v>
      </c>
      <c r="G33" s="25">
        <v>100</v>
      </c>
      <c r="H33" s="22"/>
      <c r="I33" s="22"/>
      <c r="J33" s="23"/>
      <c r="K33" s="21">
        <f t="shared" si="0"/>
        <v>0</v>
      </c>
      <c r="S33" s="30"/>
    </row>
    <row r="34" spans="1:24" ht="18.75" x14ac:dyDescent="0.3">
      <c r="A34" s="36"/>
      <c r="B34" s="35"/>
      <c r="D34" s="22">
        <v>28</v>
      </c>
      <c r="E34" s="20"/>
      <c r="F34" s="20"/>
      <c r="G34" s="160"/>
      <c r="H34" s="20"/>
      <c r="I34" s="20"/>
      <c r="J34" s="20"/>
      <c r="K34" s="21">
        <f t="shared" si="0"/>
        <v>0</v>
      </c>
      <c r="N34" s="29"/>
    </row>
    <row r="35" spans="1:24" ht="19.5" thickBot="1" x14ac:dyDescent="0.35">
      <c r="A35" s="32" t="s">
        <v>195</v>
      </c>
      <c r="B35" s="31">
        <v>40</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0"/>
      <c r="F36" s="20"/>
      <c r="G36" s="160"/>
      <c r="H36" s="20"/>
      <c r="I36" s="20"/>
      <c r="J36" s="20"/>
      <c r="K36" s="21">
        <f t="shared" si="0"/>
        <v>0</v>
      </c>
      <c r="L36" s="28"/>
      <c r="M36" s="28"/>
      <c r="N36" s="27"/>
      <c r="O36" s="26"/>
      <c r="P36" s="26"/>
      <c r="Q36" s="26"/>
      <c r="R36" s="26"/>
      <c r="S36" s="26"/>
      <c r="T36" s="26"/>
      <c r="U36" s="26"/>
      <c r="V36" s="26"/>
      <c r="W36" s="26"/>
      <c r="X36" s="26"/>
    </row>
    <row r="37" spans="1:24" ht="19.5" thickBot="1" x14ac:dyDescent="0.35">
      <c r="A37" s="50"/>
      <c r="B37" s="49"/>
      <c r="D37" s="22">
        <v>31</v>
      </c>
      <c r="E37" s="20"/>
      <c r="F37" s="20"/>
      <c r="G37" s="160"/>
      <c r="H37" s="20"/>
      <c r="I37" s="20"/>
      <c r="J37" s="20"/>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2" t="s">
        <v>261</v>
      </c>
      <c r="F41" s="22" t="s">
        <v>192</v>
      </c>
      <c r="G41" s="25">
        <v>100</v>
      </c>
      <c r="H41" s="24" t="e">
        <f>#REF!*#REF!*#REF!</f>
        <v>#REF!</v>
      </c>
      <c r="I41" s="22">
        <v>30</v>
      </c>
      <c r="J41" s="23">
        <f>(B35*B35)*B9</f>
        <v>0</v>
      </c>
      <c r="K41" s="21">
        <f t="shared" si="0"/>
        <v>0</v>
      </c>
      <c r="L41" s="28"/>
      <c r="N41" s="27"/>
      <c r="O41" s="26"/>
      <c r="P41" s="26"/>
      <c r="Q41" s="26"/>
      <c r="R41" s="26"/>
      <c r="S41" s="26"/>
      <c r="T41" s="26"/>
      <c r="U41" s="26"/>
      <c r="V41" s="33"/>
      <c r="W41" s="33"/>
    </row>
  </sheetData>
  <sheetProtection algorithmName="SHA-512" hashValue="QSb8PlUEoRFfU4keHOcbLAz5Jje7axyDs0HiUhIb76tx9AEHHk9X/fk0Mcm7kvPZWJ8/YOQZUKPfH/tjQalaBQ==" saltValue="Di6ZXVeSAMwxNdIu5M3g0w==" spinCount="100000" sheet="1" objects="1" scenarios="1" selectLockedCells="1"/>
  <mergeCells count="1">
    <mergeCell ref="D1:J1"/>
  </mergeCells>
  <conditionalFormatting sqref="L9:L13">
    <cfRule type="colorScale" priority="15">
      <colorScale>
        <cfvo type="min"/>
        <cfvo type="percentile" val="50"/>
        <cfvo type="max"/>
        <color rgb="FFF8696B"/>
        <color rgb="FFFCFCFF"/>
        <color rgb="FF63BE7B"/>
      </colorScale>
    </cfRule>
  </conditionalFormatting>
  <conditionalFormatting sqref="L9:M13">
    <cfRule type="colorScale" priority="14">
      <colorScale>
        <cfvo type="min"/>
        <cfvo type="percentile" val="50"/>
        <cfvo type="max"/>
        <color rgb="FFF8696B"/>
        <color rgb="FFFCFCFF"/>
        <color rgb="FF63BE7B"/>
      </colorScale>
    </cfRule>
  </conditionalFormatting>
  <conditionalFormatting sqref="O9:W13 W14:W17">
    <cfRule type="colorScale" priority="13">
      <colorScale>
        <cfvo type="min"/>
        <cfvo type="percentile" val="50"/>
        <cfvo type="max"/>
        <color rgb="FFF8696B"/>
        <color rgb="FFFCFCFF"/>
        <color rgb="FF63BE7B"/>
      </colorScale>
    </cfRule>
  </conditionalFormatting>
  <conditionalFormatting sqref="O9:X13 W14:X17">
    <cfRule type="colorScale" priority="12">
      <colorScale>
        <cfvo type="min"/>
        <cfvo type="percentile" val="50"/>
        <cfvo type="max"/>
        <color rgb="FFF8696B"/>
        <color rgb="FFFCFCFF"/>
        <color rgb="FF63BE7B"/>
      </colorScale>
    </cfRule>
  </conditionalFormatting>
  <conditionalFormatting sqref="O23:U31">
    <cfRule type="colorScale" priority="11">
      <colorScale>
        <cfvo type="min"/>
        <cfvo type="percentile" val="50"/>
        <cfvo type="max"/>
        <color rgb="FFF8696B"/>
        <color rgb="FFFCFCFF"/>
        <color rgb="FF63BE7B"/>
      </colorScale>
    </cfRule>
  </conditionalFormatting>
  <conditionalFormatting sqref="O23:V31">
    <cfRule type="colorScale" priority="10">
      <colorScale>
        <cfvo type="min"/>
        <cfvo type="percentile" val="50"/>
        <cfvo type="max"/>
        <color rgb="FFF8696B"/>
        <color rgb="FFFCFCFF"/>
        <color rgb="FF63BE7B"/>
      </colorScale>
    </cfRule>
  </conditionalFormatting>
  <conditionalFormatting sqref="O16:V19">
    <cfRule type="colorScale" priority="9">
      <colorScale>
        <cfvo type="min"/>
        <cfvo type="percentile" val="50"/>
        <cfvo type="max"/>
        <color rgb="FFF8696B"/>
        <color rgb="FFFCFCFF"/>
        <color rgb="FF63BE7B"/>
      </colorScale>
    </cfRule>
  </conditionalFormatting>
  <conditionalFormatting sqref="O16:V19">
    <cfRule type="colorScale" priority="8">
      <colorScale>
        <cfvo type="min"/>
        <cfvo type="percentile" val="50"/>
        <cfvo type="max"/>
        <color rgb="FFF8696B"/>
        <color rgb="FFFCFCFF"/>
        <color rgb="FF63BE7B"/>
      </colorScale>
    </cfRule>
  </conditionalFormatting>
  <conditionalFormatting sqref="O35:W36">
    <cfRule type="colorScale" priority="7">
      <colorScale>
        <cfvo type="min"/>
        <cfvo type="percentile" val="50"/>
        <cfvo type="max"/>
        <color rgb="FFF8696B"/>
        <color rgb="FFFCFCFF"/>
        <color rgb="FF63BE7B"/>
      </colorScale>
    </cfRule>
  </conditionalFormatting>
  <conditionalFormatting sqref="O35:X36">
    <cfRule type="colorScale" priority="6">
      <colorScale>
        <cfvo type="min"/>
        <cfvo type="percentile" val="50"/>
        <cfvo type="max"/>
        <color rgb="FFF8696B"/>
        <color rgb="FFFCFCFF"/>
        <color rgb="FF63BE7B"/>
      </colorScale>
    </cfRule>
  </conditionalFormatting>
  <conditionalFormatting sqref="L16:L19">
    <cfRule type="colorScale" priority="16">
      <colorScale>
        <cfvo type="min"/>
        <cfvo type="percentile" val="50"/>
        <cfvo type="max"/>
        <color rgb="FFF8696B"/>
        <color rgb="FFFCFCFF"/>
        <color rgb="FF63BE7B"/>
      </colorScale>
    </cfRule>
  </conditionalFormatting>
  <conditionalFormatting sqref="L16:L19">
    <cfRule type="colorScale" priority="17">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18">
      <colorScale>
        <cfvo type="min"/>
        <cfvo type="percentile" val="50"/>
        <cfvo type="max"/>
        <color rgb="FFF8696B"/>
        <color rgb="FFFCFCFF"/>
        <color rgb="FF63BE7B"/>
      </colorScale>
    </cfRule>
  </conditionalFormatting>
  <conditionalFormatting sqref="L35:M36">
    <cfRule type="colorScale" priority="19">
      <colorScale>
        <cfvo type="min"/>
        <cfvo type="percentile" val="50"/>
        <cfvo type="max"/>
        <color rgb="FFF8696B"/>
        <color rgb="FFFCFCFF"/>
        <color rgb="FF63BE7B"/>
      </colorScale>
    </cfRule>
  </conditionalFormatting>
  <conditionalFormatting sqref="L23:L31">
    <cfRule type="colorScale" priority="22">
      <colorScale>
        <cfvo type="min"/>
        <cfvo type="percentile" val="50"/>
        <cfvo type="max"/>
        <color rgb="FFF8696B"/>
        <color rgb="FFFCFCFF"/>
        <color rgb="FF63BE7B"/>
      </colorScale>
    </cfRule>
  </conditionalFormatting>
  <conditionalFormatting sqref="L2:L5">
    <cfRule type="colorScale" priority="23">
      <colorScale>
        <cfvo type="min"/>
        <cfvo type="percentile" val="50"/>
        <cfvo type="max"/>
        <color rgb="FFF8696B"/>
        <color rgb="FFFCFCFF"/>
        <color rgb="FF63BE7B"/>
      </colorScale>
    </cfRule>
  </conditionalFormatting>
  <conditionalFormatting sqref="O2:W5">
    <cfRule type="colorScale" priority="24">
      <colorScale>
        <cfvo type="min"/>
        <cfvo type="percentile" val="50"/>
        <cfvo type="max"/>
        <color rgb="FFF8696B"/>
        <color rgb="FFFCFCFF"/>
        <color rgb="FF63BE7B"/>
      </colorScale>
    </cfRule>
  </conditionalFormatting>
  <conditionalFormatting sqref="O41:U41">
    <cfRule type="colorScale" priority="130">
      <colorScale>
        <cfvo type="min"/>
        <cfvo type="percentile" val="50"/>
        <cfvo type="max"/>
        <color rgb="FFF8696B"/>
        <color rgb="FFFCFCFF"/>
        <color rgb="FF63BE7B"/>
      </colorScale>
    </cfRule>
  </conditionalFormatting>
  <conditionalFormatting sqref="O41:W41">
    <cfRule type="colorScale" priority="131">
      <colorScale>
        <cfvo type="min"/>
        <cfvo type="percentile" val="50"/>
        <cfvo type="max"/>
        <color rgb="FFF8696B"/>
        <color rgb="FFFCFCFF"/>
        <color rgb="FF63BE7B"/>
      </colorScale>
    </cfRule>
  </conditionalFormatting>
  <conditionalFormatting sqref="L41">
    <cfRule type="colorScale" priority="132">
      <colorScale>
        <cfvo type="min"/>
        <cfvo type="percentile" val="50"/>
        <cfvo type="max"/>
        <color rgb="FFF8696B"/>
        <color rgb="FFFCFCFF"/>
        <color rgb="FF63BE7B"/>
      </colorScale>
    </cfRule>
  </conditionalFormatting>
  <dataValidations count="1">
    <dataValidation type="list" allowBlank="1" showInputMessage="1" showErrorMessage="1" sqref="B17" xr:uid="{E81E5162-3CB0-4B95-9F47-7166B6C83391}">
      <formula1>"1100,1330,1660,2000"</formula1>
    </dataValidation>
  </dataValidations>
  <pageMargins left="0.7" right="0.7" top="0.75" bottom="0.75" header="0.3" footer="0.3"/>
  <pageSetup paperSize="9"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89E1-0B9A-451C-8033-7DC81747A001}">
  <sheetPr>
    <tabColor rgb="FFC00000"/>
    <pageSetUpPr fitToPage="1"/>
  </sheetPr>
  <dimension ref="A1:X76"/>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471</v>
      </c>
      <c r="E1" s="592"/>
      <c r="F1" s="592"/>
      <c r="G1" s="592"/>
      <c r="H1" s="592"/>
      <c r="I1" s="592"/>
      <c r="J1" s="592"/>
      <c r="K1" s="81"/>
    </row>
    <row r="2" spans="1:24" ht="15.75" x14ac:dyDescent="0.25">
      <c r="C2" s="63"/>
      <c r="D2" s="78" t="s">
        <v>229</v>
      </c>
      <c r="E2" s="77">
        <f>IFERROR(IRR(J6:J76,0.045),0)</f>
        <v>0</v>
      </c>
      <c r="F2" s="77" t="e">
        <f>IRR(J6:J76,0.02)</f>
        <v>#NUM!</v>
      </c>
      <c r="L2" s="69"/>
      <c r="O2" s="68"/>
      <c r="P2" s="68"/>
      <c r="Q2" s="68"/>
      <c r="R2" s="68"/>
      <c r="S2" s="68"/>
      <c r="T2" s="68"/>
      <c r="U2" s="68"/>
      <c r="V2" s="68"/>
      <c r="W2" s="68"/>
    </row>
    <row r="3" spans="1:24" ht="15.75" x14ac:dyDescent="0.25">
      <c r="C3" s="61"/>
      <c r="D3" s="74" t="s">
        <v>228</v>
      </c>
      <c r="E3" s="103">
        <f>IFERROR(NPV(B8,J7:J76)+J6,0)</f>
        <v>0</v>
      </c>
      <c r="F3" s="75" t="e">
        <f>NPV(#REF!,J7:J76)+J6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70" si="0">J7/(1+B9)^D7</f>
        <v>0</v>
      </c>
      <c r="S7" s="30"/>
    </row>
    <row r="8" spans="1:24" ht="16.5" thickBot="1" x14ac:dyDescent="0.3">
      <c r="A8" s="79" t="s">
        <v>189</v>
      </c>
      <c r="B8" s="80">
        <f>Fiche_signalétique_projet!D57</f>
        <v>4.4999999999999998E-2</v>
      </c>
      <c r="C8" s="61"/>
      <c r="D8" s="22">
        <v>2</v>
      </c>
      <c r="E8" s="22" t="s">
        <v>242</v>
      </c>
      <c r="F8" s="22" t="s">
        <v>194</v>
      </c>
      <c r="G8" s="25">
        <v>100</v>
      </c>
      <c r="H8" s="22"/>
      <c r="I8" s="22"/>
      <c r="J8" s="23">
        <f>-B14*B9*(1+B15)</f>
        <v>0</v>
      </c>
      <c r="K8" s="21">
        <f t="shared" si="0"/>
        <v>0</v>
      </c>
      <c r="L8" s="27"/>
      <c r="N8" s="29"/>
      <c r="O8" s="27"/>
      <c r="P8" s="27"/>
      <c r="Q8" s="27"/>
      <c r="R8" s="27"/>
      <c r="S8" s="27"/>
      <c r="T8" s="27"/>
      <c r="U8" s="27"/>
      <c r="V8" s="27"/>
      <c r="W8" s="27"/>
    </row>
    <row r="9" spans="1:24" ht="16.5" thickBot="1" x14ac:dyDescent="0.3">
      <c r="A9" s="63" t="s">
        <v>190</v>
      </c>
      <c r="B9" s="67">
        <f>Annexe_îlots_boisements!D112</f>
        <v>0</v>
      </c>
      <c r="C9" s="60"/>
      <c r="D9" s="22">
        <v>3</v>
      </c>
      <c r="E9" s="22" t="s">
        <v>242</v>
      </c>
      <c r="F9" s="22" t="s">
        <v>194</v>
      </c>
      <c r="G9" s="25">
        <v>100</v>
      </c>
      <c r="H9" s="22"/>
      <c r="I9" s="22"/>
      <c r="J9" s="23">
        <f>-B14*B9*(1+B15)</f>
        <v>0</v>
      </c>
      <c r="K9" s="21">
        <f t="shared" si="0"/>
        <v>0</v>
      </c>
      <c r="L9" s="28"/>
      <c r="M9" s="28"/>
      <c r="N9" s="58"/>
      <c r="O9" s="26"/>
      <c r="P9" s="26"/>
      <c r="Q9" s="26"/>
      <c r="R9" s="26"/>
      <c r="S9" s="26"/>
      <c r="T9" s="26"/>
      <c r="U9" s="26"/>
      <c r="V9" s="26"/>
      <c r="W9" s="26"/>
      <c r="X9" s="26"/>
    </row>
    <row r="10" spans="1:24" ht="18.75" x14ac:dyDescent="0.3">
      <c r="A10" s="66" t="s">
        <v>215</v>
      </c>
      <c r="B10" s="65"/>
      <c r="C10" s="63"/>
      <c r="D10" s="22">
        <v>4</v>
      </c>
      <c r="E10" s="22"/>
      <c r="F10" s="22"/>
      <c r="G10" s="25"/>
      <c r="H10" s="22"/>
      <c r="I10" s="22"/>
      <c r="J10" s="23"/>
      <c r="K10" s="21">
        <f t="shared" si="0"/>
        <v>0</v>
      </c>
      <c r="L10" s="28"/>
      <c r="M10" s="28"/>
      <c r="N10" s="58"/>
      <c r="O10" s="26"/>
      <c r="P10" s="26"/>
      <c r="Q10" s="26"/>
      <c r="R10" s="26"/>
      <c r="S10" s="26"/>
      <c r="T10" s="26"/>
      <c r="U10" s="26"/>
      <c r="V10" s="26"/>
      <c r="W10" s="26"/>
      <c r="X10" s="26"/>
    </row>
    <row r="11" spans="1:24" ht="18.75" x14ac:dyDescent="0.3">
      <c r="A11" s="52" t="s">
        <v>237</v>
      </c>
      <c r="B11" s="254">
        <f>IFERROR((IFERROR(VLOOKUP(Annexe_îlots_boisements!A112,Annexe_îlots_boisements!I8:L11,4)*Annexe_îlots_boisements!M8,0)+IFERROR(VLOOKUP(Annexe_îlots_boisements!A112,Annexe_îlots_boisements!I13:L16,4)*Annexe_îlots_boisements!M13,0)+IFERROR(VLOOKUP(Annexe_îlots_boisements!A112,Annexe_îlots_boisements!I18:L21,4)*Annexe_îlots_boisements!M18,0)+IFERROR(VLOOKUP(Annexe_îlots_boisements!A112,Annexe_îlots_boisements!I23:L26,4)*Annexe_îlots_boisements!M23,0)+IFERROR(VLOOKUP(Annexe_îlots_boisements!A112,Annexe_îlots_boisements!I28:L31,4)*Annexe_îlots_boisements!M28,0)+IFERROR(VLOOKUP(Annexe_îlots_boisements!A112,Annexe_îlots_boisements!I33:L36,4)*Annexe_îlots_boisements!M33,0)+IFERROR(VLOOKUP(Annexe_îlots_boisements!A112,Annexe_îlots_boisements!I38:L41,4)*Annexe_îlots_boisements!M38,0)+IFERROR(VLOOKUP(Annexe_îlots_boisements!A112,Annexe_îlots_boisements!I43:L46,4)*Annexe_îlots_boisements!M43,0)+IFERROR(VLOOKUP(Annexe_îlots_boisements!A112,Annexe_îlots_boisements!I48:L51,4)*Annexe_îlots_boisements!M48,0)+IFERROR(VLOOKUP(Annexe_îlots_boisements!A112,Annexe_îlots_boisements!I53:L56,4)*Annexe_îlots_boisements!M53,0)+IFERROR(VLOOKUP(Annexe_îlots_boisements!A112,Annexe_îlots_boisements!I58:L61,4)*Annexe_îlots_boisements!M58,0)+IFERROR(VLOOKUP(Annexe_îlots_boisements!A112,Annexe_îlots_boisements!I63:L66,4)*Annexe_îlots_boisements!M63,0)+IFERROR(VLOOKUP(Annexe_îlots_boisements!A112,Annexe_îlots_boisements!I68:L71,4)*Annexe_îlots_boisements!M68,0)+IFERROR(VLOOKUP(Annexe_îlots_boisements!A112,Annexe_îlots_boisements!I73:L76,4)*Annexe_îlots_boisements!M73,0)+IFERROR(VLOOKUP(Annexe_îlots_boisements!A112,Annexe_îlots_boisements!I78:L81,4)*Annexe_îlots_boisements!M78,0)+IFERROR(VLOOKUP(Annexe_îlots_boisements!A112,Annexe_îlots_boisements!I83:L86,4)*Annexe_îlots_boisements!M83,0)+IFERROR(VLOOKUP(Annexe_îlots_boisements!A112,Annexe_îlots_boisements!I88:L91,4)*Annexe_îlots_boisements!M88,0)+IFERROR(VLOOKUP(Annexe_îlots_boisements!A112,Annexe_îlots_boisements!I93:L96,4)*Annexe_îlots_boisements!M93,0))/Annexe_îlots_boisements!D112,0)</f>
        <v>0</v>
      </c>
      <c r="C11" s="61"/>
      <c r="D11" s="22">
        <v>5</v>
      </c>
      <c r="E11" s="22" t="s">
        <v>242</v>
      </c>
      <c r="F11" s="22"/>
      <c r="G11" s="25"/>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255">
        <f>IFERROR((IFERROR(VLOOKUP(Annexe_îlots_boisements!A112,Annexe_îlots_boisements!I6:L9,4),0)*IFERROR(VLOOKUP(Annexe_îlots_boisements!A112,Annexe_îlots_boisements!I6:O9,6),0)+IFERROR(VLOOKUP(Annexe_îlots_boisements!A112,Annexe_îlots_boisements!I11:L14,4)*IFERROR(VLOOKUP(Annexe_îlots_boisements!A112,Annexe_îlots_boisements!I11:O14,6),0)+IFERROR(VLOOKUP(Annexe_îlots_boisements!A112,Annexe_îlots_boisements!I16:L19,4),0)*IFERROR(VLOOKUP(Annexe_îlots_boisements!A112,Annexe_îlots_boisements!I16:O19,6),0)+IFERROR(VLOOKUP(Annexe_îlots_boisements!A112,Annexe_îlots_boisements!I21:L24,4),0)*IFERROR(VLOOKUP(Annexe_îlots_boisements!A112,Annexe_îlots_boisements!I21:O24,6),0)+IFERROR(VLOOKUP(Annexe_îlots_boisements!A112,Annexe_îlots_boisements!I26:L29,4),0)*IFERROR(VLOOKUP(Annexe_îlots_boisements!A112,Annexe_îlots_boisements!I26:O29,6),0)+IFERROR(VLOOKUP(Annexe_îlots_boisements!A112,Annexe_îlots_boisements!I31:L34,4),0)*IFERROR(VLOOKUP(Annexe_îlots_boisements!A112,Annexe_îlots_boisements!I31:O34,6),0)+IFERROR(VLOOKUP(Annexe_îlots_boisements!A112,Annexe_îlots_boisements!I36:L39,4),0)*IFERROR(VLOOKUP(Annexe_îlots_boisements!A112,Annexe_îlots_boisements!I36:O39,6),0)+IFERROR(VLOOKUP(Annexe_îlots_boisements!A112,Annexe_îlots_boisements!I41:L44,4),0)*IFERROR(VLOOKUP(Annexe_îlots_boisements!A112,Annexe_îlots_boisements!I41:O44,6),0)+IFERROR(VLOOKUP(Annexe_îlots_boisements!A112,Annexe_îlots_boisements!I46:L49,4),0)*IFERROR(VLOOKUP(Annexe_îlots_boisements!A112,Annexe_îlots_boisements!I46:O49,6),0)+IFERROR(VLOOKUP(Annexe_îlots_boisements!A112,Annexe_îlots_boisements!I51:L54,4),0)*IFERROR(VLOOKUP(Annexe_îlots_boisements!A112,Annexe_îlots_boisements!I51:O54,6),0)+IFERROR(VLOOKUP(Annexe_îlots_boisements!A112,Annexe_îlots_boisements!I56:L59,4),0)*VLOOKUP(Annexe_îlots_boisements!A112,Annexe_îlots_boisements!I56:O59,6),0)+IFERROR(VLOOKUP(Annexe_îlots_boisements!A112,Annexe_îlots_boisements!I61:L64,4),0)*IFERROR(VLOOKUP(Annexe_îlots_boisements!A112,Annexe_îlots_boisements!I61:O64,6),0)+IFERROR(VLOOKUP(Annexe_îlots_boisements!A112,Annexe_îlots_boisements!I66:L69,4),0)*IFERROR(VLOOKUP(Annexe_îlots_boisements!A112,Annexe_îlots_boisements!I66:O69,6),0)+IFERROR(VLOOKUP(Annexe_îlots_boisements!A112,Annexe_îlots_boisements!I71:L74,4),0)*IFERROR(VLOOKUP(Annexe_îlots_boisements!A112,Annexe_îlots_boisements!I71:O74,6),0)+IFERROR(VLOOKUP(Annexe_îlots_boisements!A112,Annexe_îlots_boisements!I76:L79,4),0)*IFERROR(VLOOKUP(Annexe_îlots_boisements!A112,Annexe_îlots_boisements!I76:O79,6),0)+IFERROR(VLOOKUP(Annexe_îlots_boisements!A112,Annexe_îlots_boisements!I81:L84,4),0)*IFERROR(VLOOKUP(Annexe_îlots_boisements!A112,Annexe_îlots_boisements!I81:O84,6),0)+IFERROR(VLOOKUP(Annexe_îlots_boisements!A112,Annexe_îlots_boisements!I86:L89,4),0)*IFERROR(VLOOKUP(Annexe_îlots_boisements!A112,Annexe_îlots_boisements!I86:O89,6),0)+IFERROR(VLOOKUP(Annexe_îlots_boisements!A112,Annexe_îlots_boisements!I91:L94,4),0)*IFERROR(VLOOKUP(Annexe_îlots_boisements!A112,Annexe_îlots_boisements!I91:O94,6),0))/Annexe_îlots_boisements!D112,0)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254">
        <f>IFERROR((IFERROR(VLOOKUP(Annexe_îlots_boisements!A112,Annexe_îlots_boisements!I6:L9,4),0)*IFERROR(VLOOKUP(Annexe_îlots_boisements!A112,Annexe_îlots_boisements!I6:O9,7),0)+IFERROR(VLOOKUP(Annexe_îlots_boisements!A112,Annexe_îlots_boisements!I11:L14,4)*IFERROR(VLOOKUP(Annexe_îlots_boisements!A112,Annexe_îlots_boisements!I11:O14,7),0)+IFERROR(VLOOKUP(Annexe_îlots_boisements!A112,Annexe_îlots_boisements!I16:L19,4),0)*IFERROR(VLOOKUP(Annexe_îlots_boisements!A112,Annexe_îlots_boisements!I16:O19,7),0)+IFERROR(VLOOKUP(Annexe_îlots_boisements!A112,Annexe_îlots_boisements!I21:L24,4),0)*IFERROR(VLOOKUP(Annexe_îlots_boisements!A112,Annexe_îlots_boisements!I21:O24,7),0)+IFERROR(VLOOKUP(Annexe_îlots_boisements!A112,Annexe_îlots_boisements!I26:L29,4),0)*IFERROR(VLOOKUP(Annexe_îlots_boisements!A112,Annexe_îlots_boisements!I26:O29,7),0)+IFERROR(VLOOKUP(Annexe_îlots_boisements!A112,Annexe_îlots_boisements!I31:L34,4),0)*IFERROR(VLOOKUP(Annexe_îlots_boisements!A112,Annexe_îlots_boisements!I31:O34,7),0)+IFERROR(VLOOKUP(Annexe_îlots_boisements!A112,Annexe_îlots_boisements!I36:L39,4),0)*IFERROR(VLOOKUP(Annexe_îlots_boisements!A112,Annexe_îlots_boisements!I36:O39,7),0)+IFERROR(VLOOKUP(Annexe_îlots_boisements!A112,Annexe_îlots_boisements!I41:L44,4),0)*IFERROR(VLOOKUP(Annexe_îlots_boisements!A112,Annexe_îlots_boisements!I41:O44,7),0)+IFERROR(VLOOKUP(Annexe_îlots_boisements!A112,Annexe_îlots_boisements!I46:L49,4),0)*IFERROR(VLOOKUP(Annexe_îlots_boisements!A112,Annexe_îlots_boisements!I46:O49,7),0)+IFERROR(VLOOKUP(Annexe_îlots_boisements!A112,Annexe_îlots_boisements!I51:L54,4),0)*IFERROR(VLOOKUP(Annexe_îlots_boisements!A112,Annexe_îlots_boisements!I51:O54,7),0)+IFERROR(VLOOKUP(Annexe_îlots_boisements!A112,Annexe_îlots_boisements!I56:L59,4),0)*VLOOKUP(Annexe_îlots_boisements!A112,Annexe_îlots_boisements!I56:O59,7),0)+IFERROR(VLOOKUP(Annexe_îlots_boisements!A112,Annexe_îlots_boisements!I61:L64,4),0)*IFERROR(VLOOKUP(Annexe_îlots_boisements!A112,Annexe_îlots_boisements!I61:O64,7),0)+IFERROR(VLOOKUP(Annexe_îlots_boisements!A112,Annexe_îlots_boisements!I66:L69,4),0)*IFERROR(VLOOKUP(Annexe_îlots_boisements!A112,Annexe_îlots_boisements!I66:O69,7),0)+IFERROR(VLOOKUP(Annexe_îlots_boisements!A112,Annexe_îlots_boisements!I71:L74,4),0)*IFERROR(VLOOKUP(Annexe_îlots_boisements!A112,Annexe_îlots_boisements!I71:O74,7),0)+IFERROR(VLOOKUP(Annexe_îlots_boisements!A112,Annexe_îlots_boisements!I76:L79,4),0)*IFERROR(VLOOKUP(Annexe_îlots_boisements!A112,Annexe_îlots_boisements!I76:O79,7),0)+IFERROR(VLOOKUP(Annexe_îlots_boisements!A112,Annexe_îlots_boisements!I81:L84,4),0)*IFERROR(VLOOKUP(Annexe_îlots_boisements!A112,Annexe_îlots_boisements!I81:O84,7),0)+IFERROR(VLOOKUP(Annexe_îlots_boisements!A112,Annexe_îlots_boisements!I86:L89,4),0)*IFERROR(VLOOKUP(Annexe_îlots_boisements!A112,Annexe_îlots_boisements!I86:O89,7),0)+IFERROR(VLOOKUP(Annexe_îlots_boisements!A112,Annexe_îlots_boisements!I91:L94,4),0)*IFERROR(VLOOKUP(Annexe_îlots_boisements!A112,Annexe_îlots_boisements!I91:O94,7),0))/Annexe_îlots_boisements!D112,0)</f>
        <v>0</v>
      </c>
      <c r="C13" s="63"/>
      <c r="D13" s="22">
        <v>7</v>
      </c>
      <c r="E13" s="22" t="s">
        <v>242</v>
      </c>
      <c r="F13" s="22"/>
      <c r="G13" s="25"/>
      <c r="H13" s="22"/>
      <c r="I13" s="22"/>
      <c r="J13" s="23">
        <f>-B14*B9*(1+B15)</f>
        <v>0</v>
      </c>
      <c r="K13" s="21">
        <f t="shared" si="0"/>
        <v>0</v>
      </c>
      <c r="L13" s="28"/>
      <c r="M13" s="28"/>
      <c r="O13" s="26"/>
      <c r="P13" s="26"/>
      <c r="Q13" s="26"/>
      <c r="R13" s="26"/>
      <c r="S13" s="26"/>
      <c r="T13" s="26"/>
      <c r="U13" s="26"/>
      <c r="V13" s="26"/>
      <c r="W13" s="26"/>
      <c r="X13" s="26"/>
    </row>
    <row r="14" spans="1:24" ht="18.75" x14ac:dyDescent="0.3">
      <c r="A14" s="52" t="s">
        <v>242</v>
      </c>
      <c r="B14" s="254">
        <f>IFERROR((IFERROR(VLOOKUP(Annexe_îlots_boisements!A112,Annexe_îlots_boisements!I8:L11,4)*Annexe_îlots_boisements!P8,0)+IFERROR(VLOOKUP(Annexe_îlots_boisements!A112,Annexe_îlots_boisements!I13:L16,4)*Annexe_îlots_boisements!P13,0)+IFERROR(VLOOKUP(Annexe_îlots_boisements!A112,Annexe_îlots_boisements!I18:L21,4)*Annexe_îlots_boisements!P18,0)+IFERROR(VLOOKUP(Annexe_îlots_boisements!A112,Annexe_îlots_boisements!I23:L26,4)*Annexe_îlots_boisements!P23,0)+IFERROR(VLOOKUP(Annexe_îlots_boisements!A112,Annexe_îlots_boisements!I28:L31,4)*Annexe_îlots_boisements!P28,0)+IFERROR(VLOOKUP(Annexe_îlots_boisements!A112,Annexe_îlots_boisements!I33:L36,4)*Annexe_îlots_boisements!P33,0)+IFERROR(VLOOKUP(Annexe_îlots_boisements!A112,Annexe_îlots_boisements!I38:L41,4)*Annexe_îlots_boisements!P38,0)+IFERROR(VLOOKUP(Annexe_îlots_boisements!A112,Annexe_îlots_boisements!I43:L46,4)*Annexe_îlots_boisements!P43,0)+IFERROR(VLOOKUP(Annexe_îlots_boisements!A112,Annexe_îlots_boisements!I48:L51,4)*Annexe_îlots_boisements!P48,0)+IFERROR(VLOOKUP(Annexe_îlots_boisements!A112,Annexe_îlots_boisements!I53:L56,4)*Annexe_îlots_boisements!P53,0)+IFERROR(VLOOKUP(Annexe_îlots_boisements!A112,Annexe_îlots_boisements!I58:L61,4)*Annexe_îlots_boisements!P58,0)+IFERROR(VLOOKUP(Annexe_îlots_boisements!A112,Annexe_îlots_boisements!I63:L66,4)*Annexe_îlots_boisements!P63,0)+IFERROR(VLOOKUP(Annexe_îlots_boisements!A112,Annexe_îlots_boisements!I68:L71,4)*Annexe_îlots_boisements!P68,0)+IFERROR(VLOOKUP(Annexe_îlots_boisements!A112,Annexe_îlots_boisements!I73:L76,4)*Annexe_îlots_boisements!P73,0)+IFERROR(VLOOKUP(Annexe_îlots_boisements!A112,Annexe_îlots_boisements!I78:L81,4)*Annexe_îlots_boisements!P78,0)+IFERROR(VLOOKUP(Annexe_îlots_boisements!A112,Annexe_îlots_boisements!I83:L86,4)*Annexe_îlots_boisements!P83,0)+IFERROR(VLOOKUP(Annexe_îlots_boisements!A112,Annexe_îlots_boisements!I88:L91,4)*Annexe_îlots_boisements!P88,0)+IFERROR(VLOOKUP(Annexe_îlots_boisements!A112,Annexe_îlots_boisements!I93:L96,4)*Annexe_îlots_boisements!P93,0))/Annexe_îlots_boisements!D112,0)</f>
        <v>0</v>
      </c>
      <c r="C14" s="61"/>
      <c r="D14" s="22">
        <v>8</v>
      </c>
      <c r="E14" s="22"/>
      <c r="F14" s="22" t="s">
        <v>194</v>
      </c>
      <c r="G14" s="25">
        <v>100</v>
      </c>
      <c r="H14" s="22"/>
      <c r="I14" s="22"/>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t="s">
        <v>242</v>
      </c>
      <c r="F15" s="22" t="s">
        <v>194</v>
      </c>
      <c r="G15" s="25">
        <v>100</v>
      </c>
      <c r="H15" s="22"/>
      <c r="I15" s="22"/>
      <c r="J15" s="23">
        <f>-B14*B9*(1+B15)</f>
        <v>0</v>
      </c>
      <c r="K15" s="21">
        <f t="shared" si="0"/>
        <v>0</v>
      </c>
      <c r="L15" s="64"/>
      <c r="N15" s="29"/>
      <c r="O15" s="64"/>
      <c r="P15" s="64"/>
      <c r="Q15" s="64"/>
      <c r="R15" s="64"/>
      <c r="S15" s="64"/>
      <c r="T15" s="64"/>
      <c r="U15" s="64"/>
      <c r="V15" s="64"/>
      <c r="W15" s="26"/>
      <c r="X15" s="26"/>
    </row>
    <row r="16" spans="1:24" ht="19.5" thickBot="1" x14ac:dyDescent="0.35">
      <c r="A16" s="96" t="s">
        <v>243</v>
      </c>
      <c r="B16" s="139"/>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30</v>
      </c>
      <c r="C18" s="60"/>
      <c r="D18" s="22">
        <v>12</v>
      </c>
      <c r="E18" s="22"/>
      <c r="F18" s="22"/>
      <c r="G18" s="25"/>
      <c r="H18" s="22"/>
      <c r="I18" s="22"/>
      <c r="J18" s="23"/>
      <c r="K18" s="21">
        <f t="shared" si="0"/>
        <v>0</v>
      </c>
      <c r="L18" s="28"/>
      <c r="N18" s="58"/>
      <c r="O18" s="26"/>
      <c r="P18" s="26"/>
      <c r="Q18" s="26"/>
      <c r="R18" s="26"/>
      <c r="S18" s="26"/>
      <c r="T18" s="26"/>
      <c r="U18" s="26"/>
      <c r="V18" s="26"/>
    </row>
    <row r="19" spans="1:24" ht="18.75" x14ac:dyDescent="0.3">
      <c r="A19" s="45" t="s">
        <v>211</v>
      </c>
      <c r="B19" s="46">
        <v>35</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t="s">
        <v>210</v>
      </c>
      <c r="B20" s="46">
        <v>40</v>
      </c>
      <c r="C20" s="59"/>
      <c r="D20" s="22">
        <v>14</v>
      </c>
      <c r="E20" s="22"/>
      <c r="F20" s="22" t="s">
        <v>194</v>
      </c>
      <c r="G20" s="25">
        <v>100</v>
      </c>
      <c r="H20" s="22"/>
      <c r="I20" s="22"/>
      <c r="J20" s="23"/>
      <c r="K20" s="21">
        <f t="shared" si="0"/>
        <v>0</v>
      </c>
      <c r="N20" s="58"/>
    </row>
    <row r="21" spans="1:24" ht="18.75" x14ac:dyDescent="0.3">
      <c r="A21" s="47" t="s">
        <v>269</v>
      </c>
      <c r="B21" s="46">
        <v>80</v>
      </c>
      <c r="C21" s="57"/>
      <c r="D21" s="22">
        <v>15</v>
      </c>
      <c r="E21" s="22"/>
      <c r="F21" s="22" t="s">
        <v>194</v>
      </c>
      <c r="G21" s="25">
        <v>100</v>
      </c>
      <c r="H21" s="22"/>
      <c r="I21" s="22"/>
      <c r="J21" s="23"/>
      <c r="K21" s="21">
        <f t="shared" si="0"/>
        <v>0</v>
      </c>
      <c r="S21" s="30"/>
    </row>
    <row r="22" spans="1:24" ht="18.75" x14ac:dyDescent="0.3">
      <c r="A22" s="45"/>
      <c r="B22" s="46"/>
      <c r="C22" s="57"/>
      <c r="D22" s="22">
        <v>16</v>
      </c>
      <c r="E22" s="22"/>
      <c r="F22" s="22" t="s">
        <v>194</v>
      </c>
      <c r="G22" s="25">
        <v>100</v>
      </c>
      <c r="H22" s="22"/>
      <c r="I22" s="22"/>
      <c r="J22" s="23"/>
      <c r="K22" s="21">
        <f>J22/(1+B24)^D22</f>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400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0"/>
      <c r="F26" s="20"/>
      <c r="G26" s="160"/>
      <c r="H26" s="20"/>
      <c r="I26" s="20"/>
      <c r="J26" s="20"/>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7</v>
      </c>
      <c r="D28" s="22">
        <v>22</v>
      </c>
      <c r="E28" s="20"/>
      <c r="F28" s="20"/>
      <c r="G28" s="160"/>
      <c r="H28" s="20"/>
      <c r="I28" s="20"/>
      <c r="J28" s="20"/>
      <c r="K28" s="21">
        <f t="shared" si="0"/>
        <v>0</v>
      </c>
      <c r="L28" s="34"/>
      <c r="O28" s="26"/>
      <c r="P28" s="26"/>
      <c r="Q28" s="26"/>
      <c r="R28" s="26"/>
      <c r="S28" s="26"/>
      <c r="T28" s="26"/>
      <c r="U28" s="26"/>
      <c r="V28" s="26"/>
      <c r="W28" s="26"/>
    </row>
    <row r="29" spans="1:24" ht="18.75" x14ac:dyDescent="0.3">
      <c r="A29" s="38" t="s">
        <v>201</v>
      </c>
      <c r="B29" s="35">
        <v>9</v>
      </c>
      <c r="D29" s="22">
        <v>23</v>
      </c>
      <c r="E29" s="22"/>
      <c r="F29" s="22" t="s">
        <v>194</v>
      </c>
      <c r="G29" s="25">
        <v>100</v>
      </c>
      <c r="H29" s="22"/>
      <c r="I29" s="22"/>
      <c r="J29" s="23"/>
      <c r="K29" s="21">
        <f t="shared" si="0"/>
        <v>0</v>
      </c>
      <c r="L29" s="34"/>
      <c r="O29" s="26"/>
      <c r="P29" s="26"/>
      <c r="Q29" s="26"/>
      <c r="R29" s="26"/>
      <c r="S29" s="26"/>
      <c r="T29" s="26"/>
      <c r="U29" s="26"/>
      <c r="V29" s="26"/>
      <c r="W29" s="26"/>
    </row>
    <row r="30" spans="1:24" ht="18.75" x14ac:dyDescent="0.3">
      <c r="A30" s="36" t="s">
        <v>270</v>
      </c>
      <c r="B30" s="35">
        <v>12</v>
      </c>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t="s">
        <v>271</v>
      </c>
      <c r="B31" s="35">
        <v>24</v>
      </c>
      <c r="D31" s="22">
        <v>25</v>
      </c>
      <c r="E31" s="22"/>
      <c r="F31" s="22" t="s">
        <v>194</v>
      </c>
      <c r="G31" s="25">
        <v>101</v>
      </c>
      <c r="H31" s="22"/>
      <c r="I31" s="22"/>
      <c r="J31" s="23"/>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22">
        <v>20</v>
      </c>
      <c r="J32" s="23"/>
      <c r="K32" s="21">
        <f t="shared" si="0"/>
        <v>0</v>
      </c>
    </row>
    <row r="33" spans="1:24" ht="18.75" x14ac:dyDescent="0.3">
      <c r="A33" s="38"/>
      <c r="B33" s="35"/>
      <c r="D33" s="22">
        <v>27</v>
      </c>
      <c r="E33" s="22"/>
      <c r="F33" s="22" t="s">
        <v>194</v>
      </c>
      <c r="G33" s="25">
        <v>100</v>
      </c>
      <c r="H33" s="22"/>
      <c r="I33" s="22"/>
      <c r="J33" s="23"/>
      <c r="K33" s="21">
        <f t="shared" si="0"/>
        <v>0</v>
      </c>
      <c r="S33" s="30"/>
    </row>
    <row r="34" spans="1:24" ht="18.75" x14ac:dyDescent="0.3">
      <c r="A34" s="36"/>
      <c r="B34" s="35"/>
      <c r="D34" s="22">
        <v>28</v>
      </c>
      <c r="E34" s="20"/>
      <c r="F34" s="20"/>
      <c r="G34" s="160"/>
      <c r="H34" s="20"/>
      <c r="I34" s="20"/>
      <c r="J34" s="20"/>
      <c r="K34" s="21">
        <f t="shared" si="0"/>
        <v>0</v>
      </c>
      <c r="N34" s="29"/>
    </row>
    <row r="35" spans="1:24" ht="19.5" thickBot="1" x14ac:dyDescent="0.35">
      <c r="A35" s="32" t="s">
        <v>195</v>
      </c>
      <c r="B35" s="31">
        <v>49</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2" t="s">
        <v>247</v>
      </c>
      <c r="F36" s="22" t="s">
        <v>194</v>
      </c>
      <c r="G36" s="25">
        <v>101</v>
      </c>
      <c r="H36" s="22"/>
      <c r="I36" s="22"/>
      <c r="J36" s="23">
        <f>(B28*B18)*B9</f>
        <v>0</v>
      </c>
      <c r="K36" s="21">
        <f>J36/(1+B38)^D36</f>
        <v>0</v>
      </c>
      <c r="L36" s="28"/>
      <c r="M36" s="28"/>
      <c r="N36" s="27"/>
      <c r="O36" s="26"/>
      <c r="P36" s="26"/>
      <c r="Q36" s="26"/>
      <c r="R36" s="26"/>
      <c r="S36" s="26"/>
      <c r="T36" s="26"/>
      <c r="U36" s="26"/>
      <c r="V36" s="26"/>
      <c r="W36" s="26"/>
      <c r="X36" s="26"/>
    </row>
    <row r="37" spans="1:24" ht="19.5" thickBot="1" x14ac:dyDescent="0.35">
      <c r="A37" s="50"/>
      <c r="B37" s="49"/>
      <c r="D37" s="22">
        <v>31</v>
      </c>
      <c r="E37" s="22"/>
      <c r="F37" s="22"/>
      <c r="G37" s="25"/>
      <c r="H37" s="22"/>
      <c r="I37" s="22"/>
      <c r="J37" s="23"/>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2"/>
      <c r="F41" s="22"/>
      <c r="G41" s="25"/>
      <c r="H41" s="22"/>
      <c r="I41" s="22"/>
      <c r="J41" s="23"/>
      <c r="K41" s="21">
        <f t="shared" si="0"/>
        <v>0</v>
      </c>
      <c r="L41" s="28"/>
      <c r="N41" s="27"/>
      <c r="O41" s="26"/>
      <c r="P41" s="26"/>
      <c r="Q41" s="26"/>
      <c r="R41" s="26"/>
      <c r="S41" s="26"/>
      <c r="T41" s="26"/>
      <c r="U41" s="26"/>
      <c r="V41" s="33"/>
      <c r="W41" s="33"/>
    </row>
    <row r="42" spans="1:24" x14ac:dyDescent="0.25">
      <c r="D42" s="22">
        <v>36</v>
      </c>
      <c r="E42" s="22"/>
      <c r="F42" s="22"/>
      <c r="G42" s="25"/>
      <c r="H42" s="22"/>
      <c r="I42" s="22"/>
      <c r="J42" s="23"/>
      <c r="K42" s="21">
        <f t="shared" si="0"/>
        <v>0</v>
      </c>
      <c r="L42" s="28"/>
      <c r="N42" s="27"/>
      <c r="O42" s="26"/>
      <c r="P42" s="26"/>
      <c r="Q42" s="26"/>
      <c r="R42" s="26"/>
      <c r="S42" s="26"/>
      <c r="T42" s="26"/>
      <c r="U42" s="26"/>
      <c r="V42" s="33"/>
      <c r="W42" s="33"/>
    </row>
    <row r="43" spans="1:24" x14ac:dyDescent="0.25">
      <c r="D43" s="22">
        <v>37</v>
      </c>
      <c r="E43" s="22"/>
      <c r="F43" s="22"/>
      <c r="G43" s="25"/>
      <c r="H43" s="22"/>
      <c r="I43" s="22"/>
      <c r="J43" s="23"/>
      <c r="K43" s="21">
        <f t="shared" si="0"/>
        <v>0</v>
      </c>
      <c r="L43" s="28"/>
      <c r="N43" s="27"/>
      <c r="O43" s="26"/>
      <c r="P43" s="26"/>
      <c r="Q43" s="26"/>
      <c r="R43" s="26"/>
      <c r="S43" s="26"/>
      <c r="T43" s="26"/>
      <c r="U43" s="26"/>
      <c r="V43" s="33"/>
      <c r="W43" s="33"/>
    </row>
    <row r="44" spans="1:24" x14ac:dyDescent="0.25">
      <c r="D44" s="22">
        <v>38</v>
      </c>
      <c r="E44" s="22" t="s">
        <v>259</v>
      </c>
      <c r="F44" s="22" t="s">
        <v>192</v>
      </c>
      <c r="G44" s="25">
        <v>100</v>
      </c>
      <c r="H44" s="24" t="e">
        <f>#REF!*#REF!*#REF!</f>
        <v>#REF!</v>
      </c>
      <c r="I44" s="22">
        <v>30</v>
      </c>
      <c r="J44" s="23">
        <f>(B29*B19)*B9</f>
        <v>0</v>
      </c>
      <c r="K44" s="21">
        <f>J44/(1+B29)^D44</f>
        <v>0</v>
      </c>
      <c r="L44" s="28"/>
      <c r="N44" s="27"/>
      <c r="O44" s="26"/>
      <c r="P44" s="26"/>
      <c r="Q44" s="26"/>
      <c r="R44" s="26"/>
      <c r="S44" s="26"/>
      <c r="T44" s="26"/>
      <c r="U44" s="26"/>
      <c r="V44" s="33"/>
      <c r="W44" s="33"/>
    </row>
    <row r="45" spans="1:24" x14ac:dyDescent="0.25">
      <c r="D45" s="22">
        <v>39</v>
      </c>
      <c r="E45" s="22"/>
      <c r="F45" s="22"/>
      <c r="G45" s="25"/>
      <c r="H45" s="22"/>
      <c r="I45" s="22"/>
      <c r="J45" s="23"/>
      <c r="K45" s="21">
        <f t="shared" si="0"/>
        <v>0</v>
      </c>
      <c r="L45" s="28"/>
      <c r="N45" s="27"/>
      <c r="O45" s="26"/>
      <c r="P45" s="26"/>
      <c r="Q45" s="26"/>
      <c r="R45" s="26"/>
      <c r="S45" s="26"/>
      <c r="T45" s="26"/>
      <c r="U45" s="26"/>
      <c r="V45" s="33"/>
      <c r="W45" s="33"/>
    </row>
    <row r="46" spans="1:24" x14ac:dyDescent="0.25">
      <c r="D46" s="22">
        <v>40</v>
      </c>
      <c r="E46" s="22"/>
      <c r="F46" s="22"/>
      <c r="G46" s="25"/>
      <c r="H46" s="22"/>
      <c r="I46" s="22"/>
      <c r="J46" s="23"/>
      <c r="K46" s="21">
        <f t="shared" si="0"/>
        <v>0</v>
      </c>
      <c r="L46" s="28"/>
      <c r="N46" s="27"/>
      <c r="O46" s="26"/>
      <c r="P46" s="26"/>
      <c r="Q46" s="26"/>
      <c r="R46" s="26"/>
      <c r="S46" s="26"/>
      <c r="T46" s="26"/>
      <c r="U46" s="26"/>
      <c r="V46" s="33"/>
      <c r="W46" s="33"/>
    </row>
    <row r="47" spans="1:24" x14ac:dyDescent="0.25">
      <c r="D47" s="22">
        <v>41</v>
      </c>
      <c r="E47" s="22"/>
      <c r="F47" s="22"/>
      <c r="G47" s="25"/>
      <c r="H47" s="22"/>
      <c r="I47" s="22"/>
      <c r="J47" s="23"/>
      <c r="K47" s="21">
        <f t="shared" si="0"/>
        <v>0</v>
      </c>
      <c r="L47" s="28"/>
      <c r="N47" s="27"/>
      <c r="O47" s="26"/>
      <c r="P47" s="26"/>
      <c r="Q47" s="26"/>
      <c r="R47" s="26"/>
      <c r="S47" s="26"/>
      <c r="T47" s="26"/>
      <c r="U47" s="26"/>
      <c r="V47" s="33"/>
      <c r="W47" s="33"/>
    </row>
    <row r="48" spans="1:24" x14ac:dyDescent="0.25">
      <c r="D48" s="22">
        <v>42</v>
      </c>
      <c r="E48" s="22"/>
      <c r="F48" s="22"/>
      <c r="G48" s="25"/>
      <c r="H48" s="22"/>
      <c r="I48" s="22"/>
      <c r="J48" s="23"/>
      <c r="K48" s="21">
        <f t="shared" si="0"/>
        <v>0</v>
      </c>
      <c r="N48" s="26"/>
      <c r="O48" s="26"/>
      <c r="P48" s="26"/>
      <c r="Q48" s="26"/>
      <c r="R48" s="26"/>
      <c r="S48" s="26"/>
      <c r="T48" s="26"/>
    </row>
    <row r="49" spans="4:23" x14ac:dyDescent="0.25">
      <c r="D49" s="22">
        <v>43</v>
      </c>
      <c r="E49" s="22"/>
      <c r="F49" s="22"/>
      <c r="G49" s="25"/>
      <c r="H49" s="22"/>
      <c r="I49" s="22"/>
      <c r="J49" s="23"/>
      <c r="K49" s="21">
        <f t="shared" si="0"/>
        <v>0</v>
      </c>
      <c r="S49" s="30"/>
    </row>
    <row r="50" spans="4:23" x14ac:dyDescent="0.25">
      <c r="D50" s="22">
        <v>44</v>
      </c>
      <c r="E50" s="20"/>
      <c r="F50" s="22" t="s">
        <v>192</v>
      </c>
      <c r="G50" s="25">
        <v>100</v>
      </c>
      <c r="H50" s="24" t="e">
        <f>B31*#REF!*#REF!</f>
        <v>#REF!</v>
      </c>
      <c r="I50" s="22">
        <v>30</v>
      </c>
      <c r="J50" s="20"/>
      <c r="K50" s="21">
        <f t="shared" si="0"/>
        <v>0</v>
      </c>
      <c r="N50" s="29"/>
    </row>
    <row r="51" spans="4:23" x14ac:dyDescent="0.25">
      <c r="D51" s="22">
        <v>45</v>
      </c>
      <c r="E51" s="20"/>
      <c r="F51" s="22" t="s">
        <v>470</v>
      </c>
      <c r="G51" s="25">
        <v>101</v>
      </c>
      <c r="H51" s="24" t="e">
        <f>B32*#REF!*#REF!</f>
        <v>#REF!</v>
      </c>
      <c r="I51" s="22">
        <v>31</v>
      </c>
      <c r="J51" s="20"/>
      <c r="K51" s="21">
        <f t="shared" si="0"/>
        <v>0</v>
      </c>
      <c r="L51" s="28"/>
      <c r="N51" s="37"/>
      <c r="O51" s="26"/>
      <c r="P51" s="26"/>
      <c r="Q51" s="26"/>
      <c r="R51" s="26"/>
      <c r="S51" s="26"/>
      <c r="T51" s="26"/>
      <c r="U51" s="26"/>
      <c r="V51" s="33"/>
      <c r="W51" s="33"/>
    </row>
    <row r="52" spans="4:23" x14ac:dyDescent="0.25">
      <c r="D52" s="22">
        <v>46</v>
      </c>
      <c r="E52" s="22" t="s">
        <v>245</v>
      </c>
      <c r="F52" s="22" t="s">
        <v>192</v>
      </c>
      <c r="G52" s="25">
        <v>100</v>
      </c>
      <c r="H52" s="24" t="e">
        <f>B21*#REF!*#REF!</f>
        <v>#REF!</v>
      </c>
      <c r="I52" s="22">
        <v>30</v>
      </c>
      <c r="J52" s="23">
        <f>(B20*B30)*B9</f>
        <v>0</v>
      </c>
      <c r="K52" s="21">
        <f t="shared" si="0"/>
        <v>0</v>
      </c>
      <c r="L52" s="28"/>
      <c r="N52" s="37"/>
      <c r="O52" s="26"/>
      <c r="P52" s="26"/>
      <c r="Q52" s="26"/>
      <c r="R52" s="26"/>
      <c r="S52" s="26"/>
      <c r="T52" s="26"/>
      <c r="U52" s="26"/>
      <c r="V52" s="33"/>
      <c r="W52" s="33"/>
    </row>
    <row r="53" spans="4:23" x14ac:dyDescent="0.25">
      <c r="D53" s="22">
        <v>47</v>
      </c>
      <c r="E53" s="22"/>
      <c r="F53" s="22"/>
      <c r="G53" s="25"/>
      <c r="H53" s="22"/>
      <c r="I53" s="22"/>
      <c r="J53" s="23"/>
      <c r="K53" s="21">
        <f t="shared" si="0"/>
        <v>0</v>
      </c>
      <c r="L53" s="28"/>
      <c r="N53" s="37"/>
      <c r="O53" s="26"/>
      <c r="P53" s="26"/>
      <c r="Q53" s="26"/>
      <c r="R53" s="26"/>
      <c r="S53" s="26"/>
      <c r="T53" s="26"/>
      <c r="U53" s="26"/>
      <c r="V53" s="33"/>
      <c r="W53" s="33"/>
    </row>
    <row r="54" spans="4:23" x14ac:dyDescent="0.25">
      <c r="D54" s="22">
        <v>48</v>
      </c>
      <c r="E54" s="22"/>
      <c r="F54" s="22"/>
      <c r="G54" s="25"/>
      <c r="H54" s="22"/>
      <c r="I54" s="22"/>
      <c r="J54" s="22"/>
      <c r="K54" s="21">
        <f t="shared" si="0"/>
        <v>0</v>
      </c>
      <c r="L54" s="28"/>
      <c r="N54" s="37"/>
      <c r="O54" s="26"/>
      <c r="P54" s="26"/>
      <c r="Q54" s="26"/>
      <c r="R54" s="26"/>
      <c r="S54" s="26"/>
      <c r="T54" s="26"/>
      <c r="U54" s="26"/>
      <c r="V54" s="33"/>
      <c r="W54" s="33"/>
    </row>
    <row r="55" spans="4:23" x14ac:dyDescent="0.25">
      <c r="D55" s="22">
        <v>49</v>
      </c>
      <c r="E55" s="22"/>
      <c r="F55" s="22"/>
      <c r="G55" s="25"/>
      <c r="H55" s="22"/>
      <c r="I55" s="22"/>
      <c r="J55" s="23"/>
      <c r="K55" s="21">
        <f t="shared" si="0"/>
        <v>0</v>
      </c>
    </row>
    <row r="56" spans="4:23" x14ac:dyDescent="0.25">
      <c r="D56" s="22">
        <v>50</v>
      </c>
      <c r="E56" s="22"/>
      <c r="F56" s="22"/>
      <c r="G56" s="25"/>
      <c r="H56" s="22"/>
      <c r="I56" s="22"/>
      <c r="J56" s="23"/>
      <c r="K56" s="21">
        <f t="shared" si="0"/>
        <v>0</v>
      </c>
    </row>
    <row r="57" spans="4:23" x14ac:dyDescent="0.25">
      <c r="D57" s="22">
        <v>51</v>
      </c>
      <c r="E57" s="22"/>
      <c r="F57" s="22"/>
      <c r="G57" s="25"/>
      <c r="H57" s="22"/>
      <c r="I57" s="22"/>
      <c r="J57" s="23"/>
      <c r="K57" s="21">
        <f t="shared" si="0"/>
        <v>0</v>
      </c>
      <c r="S57" s="30"/>
    </row>
    <row r="58" spans="4:23" x14ac:dyDescent="0.25">
      <c r="D58" s="22">
        <v>52</v>
      </c>
      <c r="E58" s="22"/>
      <c r="F58" s="22"/>
      <c r="G58" s="25"/>
      <c r="H58" s="22"/>
      <c r="I58" s="22"/>
      <c r="J58" s="23"/>
      <c r="K58" s="21">
        <f t="shared" si="0"/>
        <v>0</v>
      </c>
      <c r="N58" s="29"/>
    </row>
    <row r="59" spans="4:23" x14ac:dyDescent="0.25">
      <c r="D59" s="22">
        <v>53</v>
      </c>
      <c r="E59" s="22"/>
      <c r="F59" s="22"/>
      <c r="G59" s="25"/>
      <c r="H59" s="22"/>
      <c r="I59" s="22"/>
      <c r="J59" s="23"/>
      <c r="K59" s="21">
        <f t="shared" si="0"/>
        <v>0</v>
      </c>
      <c r="L59" s="28"/>
      <c r="N59" s="37"/>
      <c r="O59" s="26"/>
      <c r="P59" s="26"/>
      <c r="Q59" s="26"/>
      <c r="R59" s="26"/>
      <c r="S59" s="26"/>
      <c r="T59" s="26"/>
      <c r="U59" s="26"/>
      <c r="V59" s="26"/>
      <c r="W59" s="26"/>
    </row>
    <row r="60" spans="4:23" x14ac:dyDescent="0.25">
      <c r="D60" s="22">
        <v>54</v>
      </c>
      <c r="E60" s="22" t="s">
        <v>268</v>
      </c>
      <c r="F60" s="22"/>
      <c r="G60" s="25"/>
      <c r="H60" s="22"/>
      <c r="I60" s="22"/>
      <c r="J60" s="23">
        <f>(B21*B31)*B9</f>
        <v>0</v>
      </c>
      <c r="K60" s="21">
        <f t="shared" si="0"/>
        <v>0</v>
      </c>
      <c r="L60" s="28"/>
      <c r="N60" s="37"/>
      <c r="O60" s="26"/>
      <c r="P60" s="26"/>
      <c r="Q60" s="26"/>
      <c r="R60" s="26"/>
      <c r="S60" s="26"/>
      <c r="T60" s="26"/>
      <c r="U60" s="26"/>
      <c r="V60" s="26"/>
      <c r="W60" s="26"/>
    </row>
    <row r="61" spans="4:23" x14ac:dyDescent="0.25">
      <c r="D61" s="22">
        <v>55</v>
      </c>
      <c r="E61" s="22"/>
      <c r="F61" s="22"/>
      <c r="G61" s="25"/>
      <c r="H61" s="22"/>
      <c r="I61" s="22"/>
      <c r="J61" s="23"/>
      <c r="K61" s="21">
        <f t="shared" si="0"/>
        <v>0</v>
      </c>
      <c r="L61" s="28"/>
      <c r="N61" s="37"/>
      <c r="O61" s="26"/>
      <c r="P61" s="26"/>
      <c r="Q61" s="26"/>
      <c r="R61" s="26"/>
      <c r="S61" s="26"/>
      <c r="T61" s="26"/>
      <c r="U61" s="26"/>
      <c r="V61" s="26"/>
      <c r="W61" s="26"/>
    </row>
    <row r="62" spans="4:23" x14ac:dyDescent="0.25">
      <c r="D62" s="22">
        <v>56</v>
      </c>
      <c r="E62" s="22"/>
      <c r="F62" s="22"/>
      <c r="G62" s="25"/>
      <c r="H62" s="22"/>
      <c r="I62" s="22"/>
      <c r="J62" s="23"/>
      <c r="K62" s="21">
        <f t="shared" si="0"/>
        <v>0</v>
      </c>
    </row>
    <row r="63" spans="4:23" x14ac:dyDescent="0.25">
      <c r="D63" s="22">
        <v>57</v>
      </c>
      <c r="E63" s="22"/>
      <c r="F63" s="22"/>
      <c r="G63" s="25"/>
      <c r="H63" s="24"/>
      <c r="I63" s="22"/>
      <c r="J63" s="23"/>
      <c r="K63" s="21">
        <f t="shared" si="0"/>
        <v>0</v>
      </c>
    </row>
    <row r="64" spans="4:23" x14ac:dyDescent="0.25">
      <c r="D64" s="22">
        <v>58</v>
      </c>
      <c r="E64" s="22"/>
      <c r="F64" s="22"/>
      <c r="G64" s="25"/>
      <c r="H64" s="22"/>
      <c r="I64" s="22"/>
      <c r="J64" s="23"/>
      <c r="K64" s="21">
        <f t="shared" si="0"/>
        <v>0</v>
      </c>
    </row>
    <row r="65" spans="4:11" x14ac:dyDescent="0.25">
      <c r="D65" s="22">
        <v>59</v>
      </c>
      <c r="E65" s="22"/>
      <c r="F65" s="22"/>
      <c r="G65" s="25"/>
      <c r="H65" s="22"/>
      <c r="I65" s="22"/>
      <c r="J65" s="23"/>
      <c r="K65" s="21">
        <f t="shared" si="0"/>
        <v>0</v>
      </c>
    </row>
    <row r="66" spans="4:11" x14ac:dyDescent="0.25">
      <c r="D66" s="22">
        <v>60</v>
      </c>
      <c r="E66" s="22"/>
      <c r="F66" s="22"/>
      <c r="G66" s="25"/>
      <c r="H66" s="24"/>
      <c r="I66" s="22"/>
      <c r="J66" s="23"/>
      <c r="K66" s="21">
        <f t="shared" si="0"/>
        <v>0</v>
      </c>
    </row>
    <row r="67" spans="4:11" x14ac:dyDescent="0.25">
      <c r="D67" s="22">
        <v>61</v>
      </c>
      <c r="E67" s="22"/>
      <c r="F67" s="22"/>
      <c r="G67" s="25"/>
      <c r="H67" s="22"/>
      <c r="I67" s="22"/>
      <c r="J67" s="23"/>
      <c r="K67" s="21">
        <f t="shared" si="0"/>
        <v>0</v>
      </c>
    </row>
    <row r="68" spans="4:11" x14ac:dyDescent="0.25">
      <c r="D68" s="22">
        <v>62</v>
      </c>
      <c r="E68" s="22"/>
      <c r="F68" s="22"/>
      <c r="G68" s="25"/>
      <c r="H68" s="22"/>
      <c r="I68" s="22"/>
      <c r="J68" s="23"/>
      <c r="K68" s="21">
        <f t="shared" si="0"/>
        <v>0</v>
      </c>
    </row>
    <row r="69" spans="4:11" x14ac:dyDescent="0.25">
      <c r="D69" s="22">
        <v>63</v>
      </c>
      <c r="E69" s="22"/>
      <c r="F69" s="22"/>
      <c r="G69" s="25"/>
      <c r="H69" s="24"/>
      <c r="I69" s="22"/>
      <c r="J69" s="23"/>
      <c r="K69" s="21">
        <f t="shared" si="0"/>
        <v>0</v>
      </c>
    </row>
    <row r="70" spans="4:11" x14ac:dyDescent="0.25">
      <c r="D70" s="22">
        <v>64</v>
      </c>
      <c r="E70" s="22"/>
      <c r="F70" s="22"/>
      <c r="G70" s="25"/>
      <c r="H70" s="22"/>
      <c r="I70" s="22"/>
      <c r="J70" s="23"/>
      <c r="K70" s="21">
        <f t="shared" si="0"/>
        <v>0</v>
      </c>
    </row>
    <row r="71" spans="4:11" x14ac:dyDescent="0.25">
      <c r="D71" s="22">
        <v>65</v>
      </c>
      <c r="E71" s="22"/>
      <c r="F71" s="22"/>
      <c r="G71" s="25"/>
      <c r="H71" s="22"/>
      <c r="I71" s="22"/>
      <c r="J71" s="23"/>
      <c r="K71" s="21">
        <f t="shared" ref="K71:K76" si="1">J71/(1+B73)^D71</f>
        <v>0</v>
      </c>
    </row>
    <row r="72" spans="4:11" x14ac:dyDescent="0.25">
      <c r="D72" s="22">
        <v>66</v>
      </c>
      <c r="E72" s="22"/>
      <c r="F72" s="22"/>
      <c r="G72" s="25"/>
      <c r="H72" s="24"/>
      <c r="I72" s="22"/>
      <c r="J72" s="23"/>
      <c r="K72" s="21">
        <f t="shared" si="1"/>
        <v>0</v>
      </c>
    </row>
    <row r="73" spans="4:11" x14ac:dyDescent="0.25">
      <c r="D73" s="22">
        <v>67</v>
      </c>
      <c r="E73" s="22"/>
      <c r="F73" s="22"/>
      <c r="G73" s="25"/>
      <c r="H73" s="22"/>
      <c r="I73" s="22"/>
      <c r="J73" s="23"/>
      <c r="K73" s="21">
        <f t="shared" si="1"/>
        <v>0</v>
      </c>
    </row>
    <row r="74" spans="4:11" x14ac:dyDescent="0.25">
      <c r="D74" s="22">
        <v>68</v>
      </c>
      <c r="E74" s="22"/>
      <c r="F74" s="22"/>
      <c r="G74" s="25"/>
      <c r="H74" s="22"/>
      <c r="I74" s="22"/>
      <c r="J74" s="23"/>
      <c r="K74" s="21">
        <f t="shared" si="1"/>
        <v>0</v>
      </c>
    </row>
    <row r="75" spans="4:11" x14ac:dyDescent="0.25">
      <c r="D75" s="22">
        <v>69</v>
      </c>
      <c r="E75" s="22"/>
      <c r="F75" s="22"/>
      <c r="G75" s="25"/>
      <c r="H75" s="24"/>
      <c r="I75" s="22"/>
      <c r="J75" s="23"/>
      <c r="K75" s="21">
        <f t="shared" si="1"/>
        <v>0</v>
      </c>
    </row>
    <row r="76" spans="4:11" x14ac:dyDescent="0.25">
      <c r="D76" s="22">
        <v>70</v>
      </c>
      <c r="E76" s="22" t="s">
        <v>261</v>
      </c>
      <c r="F76" s="22" t="s">
        <v>192</v>
      </c>
      <c r="G76" s="25">
        <v>100</v>
      </c>
      <c r="H76" s="24" t="e">
        <f>#REF!*#REF!*#REF!</f>
        <v>#REF!</v>
      </c>
      <c r="I76" s="22">
        <v>30</v>
      </c>
      <c r="J76" s="23">
        <f>(B35*B35)*B9</f>
        <v>0</v>
      </c>
      <c r="K76" s="21">
        <f t="shared" si="1"/>
        <v>0</v>
      </c>
    </row>
  </sheetData>
  <sheetProtection algorithmName="SHA-512" hashValue="ndn68LASI3wPHb8lwBft6xy3/jSWXxIA5/AfQg9Oo9oWdVf2wN/sK8BL1mWKMGRxioVaVEwYE4SN8aFE0+JvGw==" saltValue="GnEqHfbhQ0qoENfPuIC3gQ==" spinCount="100000" sheet="1" objects="1" scenarios="1"/>
  <mergeCells count="1">
    <mergeCell ref="D1:J1"/>
  </mergeCells>
  <phoneticPr fontId="7" type="noConversion"/>
  <conditionalFormatting sqref="L9:L13">
    <cfRule type="colorScale" priority="15">
      <colorScale>
        <cfvo type="min"/>
        <cfvo type="percentile" val="50"/>
        <cfvo type="max"/>
        <color rgb="FFF8696B"/>
        <color rgb="FFFCFCFF"/>
        <color rgb="FF63BE7B"/>
      </colorScale>
    </cfRule>
  </conditionalFormatting>
  <conditionalFormatting sqref="L9:M13">
    <cfRule type="colorScale" priority="14">
      <colorScale>
        <cfvo type="min"/>
        <cfvo type="percentile" val="50"/>
        <cfvo type="max"/>
        <color rgb="FFF8696B"/>
        <color rgb="FFFCFCFF"/>
        <color rgb="FF63BE7B"/>
      </colorScale>
    </cfRule>
  </conditionalFormatting>
  <conditionalFormatting sqref="O9:W13 W14:W17">
    <cfRule type="colorScale" priority="13">
      <colorScale>
        <cfvo type="min"/>
        <cfvo type="percentile" val="50"/>
        <cfvo type="max"/>
        <color rgb="FFF8696B"/>
        <color rgb="FFFCFCFF"/>
        <color rgb="FF63BE7B"/>
      </colorScale>
    </cfRule>
  </conditionalFormatting>
  <conditionalFormatting sqref="O9:X13 W14:X17">
    <cfRule type="colorScale" priority="12">
      <colorScale>
        <cfvo type="min"/>
        <cfvo type="percentile" val="50"/>
        <cfvo type="max"/>
        <color rgb="FFF8696B"/>
        <color rgb="FFFCFCFF"/>
        <color rgb="FF63BE7B"/>
      </colorScale>
    </cfRule>
  </conditionalFormatting>
  <conditionalFormatting sqref="O23:U31">
    <cfRule type="colorScale" priority="11">
      <colorScale>
        <cfvo type="min"/>
        <cfvo type="percentile" val="50"/>
        <cfvo type="max"/>
        <color rgb="FFF8696B"/>
        <color rgb="FFFCFCFF"/>
        <color rgb="FF63BE7B"/>
      </colorScale>
    </cfRule>
  </conditionalFormatting>
  <conditionalFormatting sqref="O23:V31">
    <cfRule type="colorScale" priority="10">
      <colorScale>
        <cfvo type="min"/>
        <cfvo type="percentile" val="50"/>
        <cfvo type="max"/>
        <color rgb="FFF8696B"/>
        <color rgb="FFFCFCFF"/>
        <color rgb="FF63BE7B"/>
      </colorScale>
    </cfRule>
  </conditionalFormatting>
  <conditionalFormatting sqref="O16:V19">
    <cfRule type="colorScale" priority="9">
      <colorScale>
        <cfvo type="min"/>
        <cfvo type="percentile" val="50"/>
        <cfvo type="max"/>
        <color rgb="FFF8696B"/>
        <color rgb="FFFCFCFF"/>
        <color rgb="FF63BE7B"/>
      </colorScale>
    </cfRule>
  </conditionalFormatting>
  <conditionalFormatting sqref="O16:V19">
    <cfRule type="colorScale" priority="8">
      <colorScale>
        <cfvo type="min"/>
        <cfvo type="percentile" val="50"/>
        <cfvo type="max"/>
        <color rgb="FFF8696B"/>
        <color rgb="FFFCFCFF"/>
        <color rgb="FF63BE7B"/>
      </colorScale>
    </cfRule>
  </conditionalFormatting>
  <conditionalFormatting sqref="O35:W36">
    <cfRule type="colorScale" priority="7">
      <colorScale>
        <cfvo type="min"/>
        <cfvo type="percentile" val="50"/>
        <cfvo type="max"/>
        <color rgb="FFF8696B"/>
        <color rgb="FFFCFCFF"/>
        <color rgb="FF63BE7B"/>
      </colorScale>
    </cfRule>
  </conditionalFormatting>
  <conditionalFormatting sqref="O35:X36">
    <cfRule type="colorScale" priority="6">
      <colorScale>
        <cfvo type="min"/>
        <cfvo type="percentile" val="50"/>
        <cfvo type="max"/>
        <color rgb="FFF8696B"/>
        <color rgb="FFFCFCFF"/>
        <color rgb="FF63BE7B"/>
      </colorScale>
    </cfRule>
  </conditionalFormatting>
  <conditionalFormatting sqref="L16:L19">
    <cfRule type="colorScale" priority="16">
      <colorScale>
        <cfvo type="min"/>
        <cfvo type="percentile" val="50"/>
        <cfvo type="max"/>
        <color rgb="FFF8696B"/>
        <color rgb="FFFCFCFF"/>
        <color rgb="FF63BE7B"/>
      </colorScale>
    </cfRule>
  </conditionalFormatting>
  <conditionalFormatting sqref="L16:L19">
    <cfRule type="colorScale" priority="17">
      <colorScale>
        <cfvo type="min"/>
        <cfvo type="percentile" val="50"/>
        <cfvo type="max"/>
        <color rgb="FFF8696B"/>
        <color rgb="FFFCFCFF"/>
        <color rgb="FF63BE7B"/>
      </colorScale>
    </cfRule>
  </conditionalFormatting>
  <conditionalFormatting sqref="N48:T48 O41:U47">
    <cfRule type="colorScale" priority="5">
      <colorScale>
        <cfvo type="min"/>
        <cfvo type="percentile" val="50"/>
        <cfvo type="max"/>
        <color rgb="FFF8696B"/>
        <color rgb="FFFCFCFF"/>
        <color rgb="FF63BE7B"/>
      </colorScale>
    </cfRule>
  </conditionalFormatting>
  <conditionalFormatting sqref="O41:W47">
    <cfRule type="colorScale" priority="4">
      <colorScale>
        <cfvo type="min"/>
        <cfvo type="percentile" val="50"/>
        <cfvo type="max"/>
        <color rgb="FFF8696B"/>
        <color rgb="FFFCFCFF"/>
        <color rgb="FF63BE7B"/>
      </colorScale>
    </cfRule>
  </conditionalFormatting>
  <conditionalFormatting sqref="O51:U54">
    <cfRule type="colorScale" priority="3">
      <colorScale>
        <cfvo type="min"/>
        <cfvo type="percentile" val="50"/>
        <cfvo type="max"/>
        <color rgb="FFF8696B"/>
        <color rgb="FFFCFCFF"/>
        <color rgb="FF63BE7B"/>
      </colorScale>
    </cfRule>
  </conditionalFormatting>
  <conditionalFormatting sqref="O51:W54">
    <cfRule type="colorScale" priority="2">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18">
      <colorScale>
        <cfvo type="min"/>
        <cfvo type="percentile" val="50"/>
        <cfvo type="max"/>
        <color rgb="FFF8696B"/>
        <color rgb="FFFCFCFF"/>
        <color rgb="FF63BE7B"/>
      </colorScale>
    </cfRule>
  </conditionalFormatting>
  <conditionalFormatting sqref="L35:M36">
    <cfRule type="colorScale" priority="19">
      <colorScale>
        <cfvo type="min"/>
        <cfvo type="percentile" val="50"/>
        <cfvo type="max"/>
        <color rgb="FFF8696B"/>
        <color rgb="FFFCFCFF"/>
        <color rgb="FF63BE7B"/>
      </colorScale>
    </cfRule>
  </conditionalFormatting>
  <conditionalFormatting sqref="L41:L47">
    <cfRule type="colorScale" priority="20">
      <colorScale>
        <cfvo type="min"/>
        <cfvo type="percentile" val="50"/>
        <cfvo type="max"/>
        <color rgb="FFF8696B"/>
        <color rgb="FFFCFCFF"/>
        <color rgb="FF63BE7B"/>
      </colorScale>
    </cfRule>
  </conditionalFormatting>
  <conditionalFormatting sqref="L51:L54">
    <cfRule type="colorScale" priority="21">
      <colorScale>
        <cfvo type="min"/>
        <cfvo type="percentile" val="50"/>
        <cfvo type="max"/>
        <color rgb="FFF8696B"/>
        <color rgb="FFFCFCFF"/>
        <color rgb="FF63BE7B"/>
      </colorScale>
    </cfRule>
  </conditionalFormatting>
  <conditionalFormatting sqref="L23:L31">
    <cfRule type="colorScale" priority="22">
      <colorScale>
        <cfvo type="min"/>
        <cfvo type="percentile" val="50"/>
        <cfvo type="max"/>
        <color rgb="FFF8696B"/>
        <color rgb="FFFCFCFF"/>
        <color rgb="FF63BE7B"/>
      </colorScale>
    </cfRule>
  </conditionalFormatting>
  <conditionalFormatting sqref="L2:L5">
    <cfRule type="colorScale" priority="23">
      <colorScale>
        <cfvo type="min"/>
        <cfvo type="percentile" val="50"/>
        <cfvo type="max"/>
        <color rgb="FFF8696B"/>
        <color rgb="FFFCFCFF"/>
        <color rgb="FF63BE7B"/>
      </colorScale>
    </cfRule>
  </conditionalFormatting>
  <conditionalFormatting sqref="O2:W5">
    <cfRule type="colorScale" priority="24">
      <colorScale>
        <cfvo type="min"/>
        <cfvo type="percentile" val="50"/>
        <cfvo type="max"/>
        <color rgb="FFF8696B"/>
        <color rgb="FFFCFCFF"/>
        <color rgb="FF63BE7B"/>
      </colorScale>
    </cfRule>
  </conditionalFormatting>
  <conditionalFormatting sqref="O59:U61">
    <cfRule type="colorScale" priority="25">
      <colorScale>
        <cfvo type="min"/>
        <cfvo type="percentile" val="50"/>
        <cfvo type="max"/>
        <color rgb="FFF8696B"/>
        <color rgb="FFFCFCFF"/>
        <color rgb="FF63BE7B"/>
      </colorScale>
    </cfRule>
  </conditionalFormatting>
  <conditionalFormatting sqref="O59:W61">
    <cfRule type="colorScale" priority="26">
      <colorScale>
        <cfvo type="min"/>
        <cfvo type="percentile" val="50"/>
        <cfvo type="max"/>
        <color rgb="FFF8696B"/>
        <color rgb="FFFCFCFF"/>
        <color rgb="FF63BE7B"/>
      </colorScale>
    </cfRule>
  </conditionalFormatting>
  <conditionalFormatting sqref="L59:L61">
    <cfRule type="colorScale" priority="27">
      <colorScale>
        <cfvo type="min"/>
        <cfvo type="percentile" val="50"/>
        <cfvo type="max"/>
        <color rgb="FFF8696B"/>
        <color rgb="FFFCFCFF"/>
        <color rgb="FF63BE7B"/>
      </colorScale>
    </cfRule>
  </conditionalFormatting>
  <dataValidations count="1">
    <dataValidation type="list" allowBlank="1" showInputMessage="1" showErrorMessage="1" sqref="B17" xr:uid="{558811F5-161B-4F99-BEB6-11FF7DEC1CE3}">
      <formula1>"1100,1330,1660,2000"</formula1>
    </dataValidation>
  </dataValidations>
  <pageMargins left="0.7" right="0.7" top="0.75" bottom="0.75" header="0.3" footer="0.3"/>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23D6-AB63-49C0-90D0-113DBD891DCE}">
  <sheetPr>
    <tabColor rgb="FFFFC000"/>
  </sheetPr>
  <dimension ref="A1:T36"/>
  <sheetViews>
    <sheetView zoomScale="90" zoomScaleNormal="90" workbookViewId="0">
      <selection activeCell="D37" sqref="D37"/>
    </sheetView>
  </sheetViews>
  <sheetFormatPr baseColWidth="10" defaultRowHeight="15" x14ac:dyDescent="0.25"/>
  <cols>
    <col min="1" max="18" width="14.5703125" customWidth="1"/>
  </cols>
  <sheetData>
    <row r="1" spans="1:20" ht="47.45" customHeight="1" thickBot="1" x14ac:dyDescent="0.3">
      <c r="A1" s="244" t="s">
        <v>394</v>
      </c>
      <c r="B1" s="244" t="s">
        <v>466</v>
      </c>
      <c r="C1" s="237" t="s">
        <v>448</v>
      </c>
      <c r="D1" s="237" t="s">
        <v>341</v>
      </c>
      <c r="E1" s="237" t="s">
        <v>458</v>
      </c>
      <c r="F1" s="245" t="s">
        <v>343</v>
      </c>
      <c r="G1" s="237" t="s">
        <v>344</v>
      </c>
      <c r="H1" s="237" t="s">
        <v>345</v>
      </c>
      <c r="I1" s="237" t="s">
        <v>346</v>
      </c>
      <c r="J1" s="237" t="s">
        <v>347</v>
      </c>
      <c r="K1" s="237" t="s">
        <v>348</v>
      </c>
      <c r="L1" s="237" t="s">
        <v>349</v>
      </c>
      <c r="M1" s="237" t="s">
        <v>350</v>
      </c>
      <c r="N1" s="237" t="s">
        <v>351</v>
      </c>
      <c r="O1" s="237" t="s">
        <v>352</v>
      </c>
      <c r="P1" s="237" t="s">
        <v>353</v>
      </c>
      <c r="Q1" s="246" t="s">
        <v>459</v>
      </c>
      <c r="R1" s="245" t="s">
        <v>354</v>
      </c>
      <c r="S1" s="235"/>
      <c r="T1" s="235"/>
    </row>
    <row r="2" spans="1:20" ht="15.75" thickTop="1" x14ac:dyDescent="0.25">
      <c r="A2" s="238" t="s">
        <v>297</v>
      </c>
      <c r="B2" s="238"/>
      <c r="C2" s="239">
        <f>'REE Chêne rouge'!W1</f>
        <v>0.56000000000000005</v>
      </c>
      <c r="D2" s="239">
        <f>'REE Chêne rouge'!W2</f>
        <v>207.30907767768286</v>
      </c>
      <c r="E2" s="239">
        <f>'REE Chêne rouge'!W3</f>
        <v>70.588180818660447</v>
      </c>
      <c r="F2" s="239">
        <f>'REE Chêne rouge'!W4</f>
        <v>136.72089685902242</v>
      </c>
      <c r="G2" s="239">
        <f>'REE Chêne rouge'!W5</f>
        <v>219.58140251309931</v>
      </c>
      <c r="H2" s="239">
        <f>'REE Chêne rouge'!W6</f>
        <v>136.72089685902242</v>
      </c>
      <c r="I2" s="239">
        <f>'REE Chêne rouge'!W7</f>
        <v>0</v>
      </c>
      <c r="J2" s="239">
        <f>'REE Chêne rouge'!W8</f>
        <v>0</v>
      </c>
      <c r="K2" s="239">
        <f>'REE Chêne rouge'!W9</f>
        <v>0</v>
      </c>
      <c r="L2" s="239">
        <f>'REE Chêne rouge'!W10</f>
        <v>136.72089685902242</v>
      </c>
      <c r="M2" s="239">
        <f>'REE Chêne rouge'!W11</f>
        <v>97.435897435897431</v>
      </c>
      <c r="N2" s="239">
        <f>'REE Chêne rouge'!W12</f>
        <v>0.25</v>
      </c>
      <c r="O2" s="239">
        <f>'REE Chêne rouge'!W13</f>
        <v>24.358974358974358</v>
      </c>
      <c r="P2" s="239">
        <f>'REE Chêne rouge'!W14</f>
        <v>0</v>
      </c>
      <c r="Q2" s="239">
        <f>'REE Chêne rouge'!W15</f>
        <v>0</v>
      </c>
      <c r="R2" s="239">
        <f>'REE Chêne rouge'!W16</f>
        <v>161.07987121799678</v>
      </c>
      <c r="S2" s="235"/>
      <c r="T2" s="235"/>
    </row>
    <row r="3" spans="1:20" x14ac:dyDescent="0.25">
      <c r="A3" s="240" t="s">
        <v>298</v>
      </c>
      <c r="B3" s="240"/>
      <c r="C3" s="247">
        <f>'REE Chêne sessile'!W1</f>
        <v>0.57999999999999996</v>
      </c>
      <c r="D3" s="247">
        <f>'REE Chêne sessile'!W2</f>
        <v>398.30422880211916</v>
      </c>
      <c r="E3" s="247">
        <f>'REE Chêne sessile'!W3</f>
        <v>148.29479800321812</v>
      </c>
      <c r="F3" s="247">
        <f>'REE Chêne sessile'!W4</f>
        <v>250.00943079890104</v>
      </c>
      <c r="G3" s="247">
        <f>'REE Chêne sessile'!W5</f>
        <v>133.63266168802028</v>
      </c>
      <c r="H3" s="247">
        <f>'REE Chêne sessile'!W6</f>
        <v>133.63266168802028</v>
      </c>
      <c r="I3" s="247">
        <f>'REE Chêne sessile'!W7</f>
        <v>0</v>
      </c>
      <c r="J3" s="247">
        <f>'REE Chêne sessile'!W8</f>
        <v>0</v>
      </c>
      <c r="K3" s="247">
        <f>'REE Chêne sessile'!W9</f>
        <v>0</v>
      </c>
      <c r="L3" s="247">
        <f>'REE Chêne sessile'!W10</f>
        <v>133.63266168802028</v>
      </c>
      <c r="M3" s="247">
        <f>'REE Chêne sessile'!W11</f>
        <v>8</v>
      </c>
      <c r="N3" s="247">
        <f>'REE Chêne sessile'!W12</f>
        <v>0.25</v>
      </c>
      <c r="O3" s="247">
        <f>'REE Chêne sessile'!W13</f>
        <v>2</v>
      </c>
      <c r="P3" s="247">
        <f>'REE Chêne sessile'!W14</f>
        <v>0</v>
      </c>
      <c r="Q3" s="247">
        <f>'REE Chêne sessile'!W15</f>
        <v>0</v>
      </c>
      <c r="R3" s="247">
        <f>'REE Chêne sessile'!W16</f>
        <v>135.63266168802028</v>
      </c>
      <c r="S3" s="235"/>
      <c r="T3" s="235"/>
    </row>
    <row r="4" spans="1:20" x14ac:dyDescent="0.25">
      <c r="A4" s="241" t="s">
        <v>429</v>
      </c>
      <c r="B4" s="251"/>
      <c r="C4" s="200">
        <f>'REE peuliers Koster'!Y1</f>
        <v>0.35</v>
      </c>
      <c r="D4" s="200">
        <f>'REE peuliers Koster'!Y2</f>
        <v>99.342415930393528</v>
      </c>
      <c r="E4" s="200">
        <f>'REE peuliers Koster'!Y3</f>
        <v>25.944481104378426</v>
      </c>
      <c r="F4" s="200">
        <f>'REE peuliers Koster'!Y4</f>
        <v>73.397934826015103</v>
      </c>
      <c r="G4" s="200">
        <f>'REE peuliers Koster'!Y5</f>
        <v>73.397934826015103</v>
      </c>
      <c r="H4" s="200">
        <f>'REE peuliers Koster'!Y6</f>
        <v>0</v>
      </c>
      <c r="I4" s="200">
        <f>'REE peuliers Koster'!Y7</f>
        <v>0</v>
      </c>
      <c r="J4" s="200">
        <f>'REE peuliers Koster'!Y8</f>
        <v>0</v>
      </c>
      <c r="K4" s="200">
        <v>0</v>
      </c>
      <c r="L4" s="200">
        <f>'REE peuliers Koster'!Y9</f>
        <v>73.397934826015103</v>
      </c>
      <c r="M4" s="200">
        <f>'REE peuliers Koster'!Y10</f>
        <v>302.89920000000001</v>
      </c>
      <c r="N4" s="200">
        <f>'REE peuliers Koster'!Y11</f>
        <v>1.03</v>
      </c>
      <c r="O4" s="200">
        <f>'REE peuliers Koster'!Y12</f>
        <v>311.986176</v>
      </c>
      <c r="P4" s="200">
        <f>'REE peuliers Koster'!Y13</f>
        <v>29.662237825215133</v>
      </c>
      <c r="Q4" s="200">
        <f>'REE peuliers Koster'!Y14</f>
        <v>0</v>
      </c>
      <c r="R4" s="200">
        <f>'REE peuliers Koster'!Y15</f>
        <v>415.04634865123023</v>
      </c>
      <c r="S4" s="235"/>
      <c r="T4" s="235"/>
    </row>
    <row r="5" spans="1:20" x14ac:dyDescent="0.25">
      <c r="A5" s="240" t="s">
        <v>61</v>
      </c>
      <c r="B5" s="240"/>
      <c r="C5" s="247"/>
      <c r="D5" s="243"/>
      <c r="E5" s="249"/>
      <c r="F5" s="249"/>
      <c r="G5" s="249"/>
      <c r="H5" s="249"/>
      <c r="I5" s="249"/>
      <c r="J5" s="250"/>
      <c r="K5" s="250"/>
      <c r="L5" s="250"/>
      <c r="M5" s="242"/>
      <c r="N5" s="249"/>
      <c r="O5" s="249"/>
      <c r="P5" s="243"/>
      <c r="Q5" s="242"/>
      <c r="R5" s="247"/>
      <c r="S5" s="236"/>
      <c r="T5" s="235"/>
    </row>
    <row r="6" spans="1:20" x14ac:dyDescent="0.25">
      <c r="A6" s="241" t="s">
        <v>33</v>
      </c>
      <c r="B6" s="241"/>
      <c r="C6" s="248"/>
      <c r="D6" s="248"/>
      <c r="E6" s="248"/>
      <c r="F6" s="248"/>
      <c r="G6" s="248"/>
      <c r="H6" s="248"/>
      <c r="I6" s="248"/>
      <c r="J6" s="248"/>
      <c r="K6" s="248"/>
      <c r="L6" s="248"/>
      <c r="M6" s="248"/>
      <c r="N6" s="248"/>
      <c r="O6" s="248"/>
      <c r="P6" s="248"/>
      <c r="Q6" s="248"/>
      <c r="R6" s="248"/>
      <c r="S6" s="235"/>
      <c r="T6" s="235"/>
    </row>
    <row r="7" spans="1:20" x14ac:dyDescent="0.25">
      <c r="A7" s="240" t="s">
        <v>48</v>
      </c>
      <c r="B7" s="240"/>
      <c r="C7" s="247"/>
      <c r="D7" s="247"/>
      <c r="E7" s="247"/>
      <c r="F7" s="247"/>
      <c r="G7" s="247"/>
      <c r="H7" s="247"/>
      <c r="I7" s="247"/>
      <c r="J7" s="247"/>
      <c r="K7" s="247"/>
      <c r="L7" s="247"/>
      <c r="M7" s="247"/>
      <c r="N7" s="247"/>
      <c r="O7" s="247"/>
      <c r="P7" s="247"/>
      <c r="Q7" s="247"/>
      <c r="R7" s="247"/>
    </row>
    <row r="8" spans="1:20" x14ac:dyDescent="0.25">
      <c r="A8" s="241" t="s">
        <v>83</v>
      </c>
      <c r="B8" s="241"/>
      <c r="C8" s="248"/>
      <c r="D8" s="248"/>
      <c r="E8" s="248"/>
      <c r="F8" s="248"/>
      <c r="G8" s="248"/>
      <c r="H8" s="248"/>
      <c r="I8" s="248"/>
      <c r="J8" s="248"/>
      <c r="K8" s="248"/>
      <c r="L8" s="248"/>
      <c r="M8" s="248"/>
      <c r="N8" s="248"/>
      <c r="O8" s="248"/>
      <c r="P8" s="248"/>
      <c r="Q8" s="248"/>
      <c r="R8" s="248"/>
    </row>
    <row r="9" spans="1:20" x14ac:dyDescent="0.25">
      <c r="A9" s="240" t="s">
        <v>86</v>
      </c>
      <c r="B9" s="240"/>
      <c r="C9" s="247"/>
      <c r="D9" s="247"/>
      <c r="E9" s="247"/>
      <c r="F9" s="247"/>
      <c r="G9" s="247"/>
      <c r="H9" s="247"/>
      <c r="I9" s="247"/>
      <c r="J9" s="247"/>
      <c r="K9" s="247"/>
      <c r="L9" s="247"/>
      <c r="M9" s="247"/>
      <c r="N9" s="247"/>
      <c r="O9" s="247"/>
      <c r="P9" s="247"/>
      <c r="Q9" s="247"/>
      <c r="R9" s="247"/>
    </row>
    <row r="10" spans="1:20" x14ac:dyDescent="0.25">
      <c r="A10" s="241" t="s">
        <v>315</v>
      </c>
      <c r="B10" s="241"/>
      <c r="C10" s="248">
        <f>'REE Tilleul'!W1</f>
        <v>0.43</v>
      </c>
      <c r="D10" s="248">
        <f>'REE Tilleul'!W2</f>
        <v>284.35918927956453</v>
      </c>
      <c r="E10" s="248">
        <f>'REE Tilleul'!W3</f>
        <v>109.61247992650179</v>
      </c>
      <c r="F10" s="248">
        <f>'REE Tilleul'!W4</f>
        <v>174.74670935306273</v>
      </c>
      <c r="G10" s="248">
        <f>'REE Tilleul'!W5</f>
        <v>137.25352027238188</v>
      </c>
      <c r="H10" s="248">
        <f>'REE Tilleul'!W6</f>
        <v>137.25352027238188</v>
      </c>
      <c r="I10" s="248">
        <f>'REE Tilleul'!W7</f>
        <v>0</v>
      </c>
      <c r="J10" s="248">
        <f>'REE Tilleul'!W8</f>
        <v>0</v>
      </c>
      <c r="K10" s="248">
        <f>'REE Tilleul'!W9</f>
        <v>0</v>
      </c>
      <c r="L10" s="248">
        <f>'REE Tilleul'!W10</f>
        <v>137.25352027238188</v>
      </c>
      <c r="M10" s="248">
        <f>'REE Tilleul'!W11</f>
        <v>40.38461538461538</v>
      </c>
      <c r="N10" s="248">
        <f>'REE Tilleul'!W12</f>
        <v>0.25</v>
      </c>
      <c r="O10" s="248">
        <f>'REE Tilleul'!W13</f>
        <v>10.096153846153845</v>
      </c>
      <c r="P10" s="248">
        <f>'REE Tilleul'!W14</f>
        <v>0</v>
      </c>
      <c r="Q10" s="248">
        <f>'REE Tilleul'!W15</f>
        <v>0</v>
      </c>
      <c r="R10" s="248">
        <f>'REE Tilleul'!W16</f>
        <v>147.34967411853572</v>
      </c>
    </row>
    <row r="11" spans="1:20" x14ac:dyDescent="0.25">
      <c r="A11" s="240" t="s">
        <v>467</v>
      </c>
      <c r="B11" s="240"/>
      <c r="C11" s="247"/>
      <c r="D11" s="247"/>
      <c r="E11" s="247"/>
      <c r="F11" s="247"/>
      <c r="G11" s="247"/>
      <c r="H11" s="247"/>
      <c r="I11" s="247"/>
      <c r="J11" s="247"/>
      <c r="K11" s="247"/>
      <c r="L11" s="247"/>
      <c r="M11" s="247"/>
      <c r="N11" s="247"/>
      <c r="O11" s="247"/>
      <c r="P11" s="247"/>
      <c r="Q11" s="247"/>
      <c r="R11" s="247"/>
    </row>
    <row r="12" spans="1:20" x14ac:dyDescent="0.25">
      <c r="A12" s="241" t="s">
        <v>29</v>
      </c>
      <c r="B12" s="241"/>
      <c r="C12" s="248"/>
      <c r="D12" s="248"/>
      <c r="E12" s="248"/>
      <c r="F12" s="248"/>
      <c r="G12" s="248"/>
      <c r="H12" s="248"/>
      <c r="I12" s="248"/>
      <c r="J12" s="248"/>
      <c r="K12" s="248"/>
      <c r="L12" s="248"/>
      <c r="M12" s="248"/>
      <c r="N12" s="248"/>
      <c r="O12" s="248"/>
      <c r="P12" s="248"/>
      <c r="Q12" s="248"/>
      <c r="R12" s="248"/>
    </row>
    <row r="13" spans="1:20" x14ac:dyDescent="0.25">
      <c r="A13" s="240" t="s">
        <v>27</v>
      </c>
      <c r="B13" s="240"/>
      <c r="C13" s="247"/>
      <c r="D13" s="247"/>
      <c r="E13" s="247"/>
      <c r="F13" s="247"/>
      <c r="G13" s="247"/>
      <c r="H13" s="247"/>
      <c r="I13" s="247"/>
      <c r="J13" s="247"/>
      <c r="K13" s="247"/>
      <c r="L13" s="247"/>
      <c r="M13" s="247"/>
      <c r="N13" s="247"/>
      <c r="O13" s="247"/>
      <c r="P13" s="247"/>
      <c r="Q13" s="247"/>
      <c r="R13" s="247"/>
    </row>
    <row r="14" spans="1:20" x14ac:dyDescent="0.25">
      <c r="A14" s="241" t="s">
        <v>28</v>
      </c>
      <c r="B14" s="241"/>
      <c r="C14" s="248"/>
      <c r="D14" s="248"/>
      <c r="E14" s="248"/>
      <c r="F14" s="248"/>
      <c r="G14" s="248"/>
      <c r="H14" s="248"/>
      <c r="I14" s="248"/>
      <c r="J14" s="248"/>
      <c r="K14" s="248"/>
      <c r="L14" s="248"/>
      <c r="M14" s="248"/>
      <c r="N14" s="248"/>
      <c r="O14" s="248"/>
      <c r="P14" s="248"/>
      <c r="Q14" s="248"/>
      <c r="R14" s="248"/>
    </row>
    <row r="15" spans="1:20" x14ac:dyDescent="0.25">
      <c r="A15" s="240" t="s">
        <v>468</v>
      </c>
      <c r="B15" s="240"/>
      <c r="C15" s="247"/>
      <c r="D15" s="247"/>
      <c r="E15" s="247"/>
      <c r="F15" s="247"/>
      <c r="G15" s="247"/>
      <c r="H15" s="247"/>
      <c r="I15" s="247"/>
      <c r="J15" s="247"/>
      <c r="K15" s="247"/>
      <c r="L15" s="247"/>
      <c r="M15" s="247"/>
      <c r="N15" s="247"/>
      <c r="O15" s="247"/>
      <c r="P15" s="247"/>
      <c r="Q15" s="247"/>
      <c r="R15" s="247"/>
    </row>
    <row r="16" spans="1:20" x14ac:dyDescent="0.25">
      <c r="A16" s="241" t="s">
        <v>31</v>
      </c>
      <c r="B16" s="241"/>
      <c r="C16" s="248"/>
      <c r="D16" s="248"/>
      <c r="E16" s="248"/>
      <c r="F16" s="248"/>
      <c r="G16" s="248"/>
      <c r="H16" s="248"/>
      <c r="I16" s="248"/>
      <c r="J16" s="248"/>
      <c r="K16" s="248"/>
      <c r="L16" s="248"/>
      <c r="M16" s="248"/>
      <c r="N16" s="248"/>
      <c r="O16" s="248"/>
      <c r="P16" s="248"/>
      <c r="Q16" s="248"/>
      <c r="R16" s="248"/>
    </row>
    <row r="17" spans="1:18" x14ac:dyDescent="0.25">
      <c r="A17" s="240" t="s">
        <v>51</v>
      </c>
      <c r="B17" s="240"/>
      <c r="C17" s="247"/>
      <c r="D17" s="247"/>
      <c r="E17" s="247"/>
      <c r="F17" s="247"/>
      <c r="G17" s="247"/>
      <c r="H17" s="247"/>
      <c r="I17" s="247"/>
      <c r="J17" s="247"/>
      <c r="K17" s="247"/>
      <c r="L17" s="247"/>
      <c r="M17" s="247"/>
      <c r="N17" s="247"/>
      <c r="O17" s="247"/>
      <c r="P17" s="247"/>
      <c r="Q17" s="247"/>
      <c r="R17" s="247"/>
    </row>
    <row r="18" spans="1:18" x14ac:dyDescent="0.25">
      <c r="A18" s="241" t="s">
        <v>53</v>
      </c>
      <c r="B18" s="241"/>
      <c r="C18" s="248"/>
      <c r="D18" s="248"/>
      <c r="E18" s="248"/>
      <c r="F18" s="248"/>
      <c r="G18" s="248"/>
      <c r="H18" s="248"/>
      <c r="I18" s="248"/>
      <c r="J18" s="248"/>
      <c r="K18" s="248"/>
      <c r="L18" s="248"/>
      <c r="M18" s="248"/>
      <c r="N18" s="248"/>
      <c r="O18" s="248"/>
      <c r="P18" s="248"/>
      <c r="Q18" s="248"/>
      <c r="R18" s="248"/>
    </row>
    <row r="19" spans="1:18" x14ac:dyDescent="0.25">
      <c r="A19" s="240" t="s">
        <v>54</v>
      </c>
      <c r="B19" s="240"/>
      <c r="C19" s="247"/>
      <c r="D19" s="247"/>
      <c r="E19" s="247"/>
      <c r="F19" s="247"/>
      <c r="G19" s="247"/>
      <c r="H19" s="247"/>
      <c r="I19" s="247"/>
      <c r="J19" s="247"/>
      <c r="K19" s="247"/>
      <c r="L19" s="247"/>
      <c r="M19" s="247"/>
      <c r="N19" s="247"/>
      <c r="O19" s="247"/>
      <c r="P19" s="247"/>
      <c r="Q19" s="247"/>
      <c r="R19" s="247"/>
    </row>
    <row r="20" spans="1:18" x14ac:dyDescent="0.25">
      <c r="A20" s="241" t="s">
        <v>105</v>
      </c>
      <c r="B20" s="241"/>
      <c r="C20" s="248"/>
      <c r="D20" s="248"/>
      <c r="E20" s="248"/>
      <c r="F20" s="248"/>
      <c r="G20" s="248"/>
      <c r="H20" s="248"/>
      <c r="I20" s="248"/>
      <c r="J20" s="248"/>
      <c r="K20" s="248"/>
      <c r="L20" s="248"/>
      <c r="M20" s="248"/>
      <c r="N20" s="248"/>
      <c r="O20" s="248"/>
      <c r="P20" s="248"/>
      <c r="Q20" s="248"/>
      <c r="R20" s="248"/>
    </row>
    <row r="21" spans="1:18" x14ac:dyDescent="0.25">
      <c r="A21" s="240" t="s">
        <v>55</v>
      </c>
      <c r="B21" s="240"/>
      <c r="C21" s="247"/>
      <c r="D21" s="247"/>
      <c r="E21" s="247"/>
      <c r="F21" s="247"/>
      <c r="G21" s="247"/>
      <c r="H21" s="247"/>
      <c r="I21" s="247"/>
      <c r="J21" s="247"/>
      <c r="K21" s="247"/>
      <c r="L21" s="247"/>
      <c r="M21" s="247"/>
      <c r="N21" s="247"/>
      <c r="O21" s="247"/>
      <c r="P21" s="247"/>
      <c r="Q21" s="247"/>
      <c r="R21" s="247"/>
    </row>
    <row r="22" spans="1:18" x14ac:dyDescent="0.25">
      <c r="A22" s="241" t="s">
        <v>56</v>
      </c>
      <c r="B22" s="241"/>
      <c r="C22" s="248"/>
      <c r="D22" s="248"/>
      <c r="E22" s="248"/>
      <c r="F22" s="248"/>
      <c r="G22" s="248"/>
      <c r="H22" s="248"/>
      <c r="I22" s="248"/>
      <c r="J22" s="248"/>
      <c r="K22" s="248"/>
      <c r="L22" s="248"/>
      <c r="M22" s="248"/>
      <c r="N22" s="248"/>
      <c r="O22" s="248"/>
      <c r="P22" s="248"/>
      <c r="Q22" s="248"/>
      <c r="R22" s="248"/>
    </row>
    <row r="23" spans="1:18" x14ac:dyDescent="0.25">
      <c r="A23" s="240" t="s">
        <v>59</v>
      </c>
      <c r="B23" s="240"/>
      <c r="C23" s="247"/>
      <c r="D23" s="247"/>
      <c r="E23" s="247"/>
      <c r="F23" s="247"/>
      <c r="G23" s="247"/>
      <c r="H23" s="247"/>
      <c r="I23" s="247"/>
      <c r="J23" s="247"/>
      <c r="K23" s="247"/>
      <c r="L23" s="247"/>
      <c r="M23" s="247"/>
      <c r="N23" s="247"/>
      <c r="O23" s="247"/>
      <c r="P23" s="247"/>
      <c r="Q23" s="247"/>
      <c r="R23" s="247"/>
    </row>
    <row r="24" spans="1:18" x14ac:dyDescent="0.25">
      <c r="A24" s="241" t="s">
        <v>63</v>
      </c>
      <c r="B24" s="241"/>
      <c r="C24" s="248"/>
      <c r="D24" s="248"/>
      <c r="E24" s="248"/>
      <c r="F24" s="248"/>
      <c r="G24" s="248"/>
      <c r="H24" s="248"/>
      <c r="I24" s="248"/>
      <c r="J24" s="248"/>
      <c r="K24" s="248"/>
      <c r="L24" s="248"/>
      <c r="M24" s="248"/>
      <c r="N24" s="248"/>
      <c r="O24" s="248"/>
      <c r="P24" s="248"/>
      <c r="Q24" s="248"/>
      <c r="R24" s="248"/>
    </row>
    <row r="25" spans="1:18" x14ac:dyDescent="0.25">
      <c r="A25" s="240" t="s">
        <v>83</v>
      </c>
      <c r="B25" s="240"/>
      <c r="C25" s="247"/>
      <c r="D25" s="247"/>
      <c r="E25" s="247"/>
      <c r="F25" s="247"/>
      <c r="G25" s="247"/>
      <c r="H25" s="247"/>
      <c r="I25" s="247"/>
      <c r="J25" s="247"/>
      <c r="K25" s="247"/>
      <c r="L25" s="247"/>
      <c r="M25" s="247"/>
      <c r="N25" s="247"/>
      <c r="O25" s="247"/>
      <c r="P25" s="247"/>
      <c r="Q25" s="247"/>
      <c r="R25" s="247"/>
    </row>
    <row r="26" spans="1:18" x14ac:dyDescent="0.25">
      <c r="A26" s="241" t="s">
        <v>87</v>
      </c>
      <c r="B26" s="241"/>
      <c r="C26" s="248"/>
      <c r="D26" s="248"/>
      <c r="E26" s="248"/>
      <c r="F26" s="248"/>
      <c r="G26" s="248"/>
      <c r="H26" s="248"/>
      <c r="I26" s="248"/>
      <c r="J26" s="248"/>
      <c r="K26" s="248"/>
      <c r="L26" s="248"/>
      <c r="M26" s="248"/>
      <c r="N26" s="248"/>
      <c r="O26" s="248"/>
      <c r="P26" s="248"/>
      <c r="Q26" s="248"/>
      <c r="R26" s="248"/>
    </row>
    <row r="27" spans="1:18" x14ac:dyDescent="0.25">
      <c r="A27" s="240" t="s">
        <v>94</v>
      </c>
      <c r="B27" s="240"/>
      <c r="C27" s="247"/>
      <c r="D27" s="247"/>
      <c r="E27" s="247"/>
      <c r="F27" s="247"/>
      <c r="G27" s="247"/>
      <c r="H27" s="247"/>
      <c r="I27" s="247"/>
      <c r="J27" s="247"/>
      <c r="K27" s="247"/>
      <c r="L27" s="247"/>
      <c r="M27" s="247"/>
      <c r="N27" s="247"/>
      <c r="O27" s="247"/>
      <c r="P27" s="247"/>
      <c r="Q27" s="247"/>
      <c r="R27" s="247"/>
    </row>
    <row r="28" spans="1:18" x14ac:dyDescent="0.25">
      <c r="A28" s="241" t="s">
        <v>95</v>
      </c>
      <c r="B28" s="241"/>
      <c r="C28" s="248"/>
      <c r="D28" s="248"/>
      <c r="E28" s="248"/>
      <c r="F28" s="248"/>
      <c r="G28" s="248"/>
      <c r="H28" s="248"/>
      <c r="I28" s="248"/>
      <c r="J28" s="248"/>
      <c r="K28" s="248"/>
      <c r="L28" s="248"/>
      <c r="M28" s="248"/>
      <c r="N28" s="248"/>
      <c r="O28" s="248"/>
      <c r="P28" s="248"/>
      <c r="Q28" s="248"/>
      <c r="R28" s="248"/>
    </row>
    <row r="29" spans="1:18" x14ac:dyDescent="0.25">
      <c r="A29" s="240" t="s">
        <v>98</v>
      </c>
      <c r="B29" s="240"/>
      <c r="C29" s="247"/>
      <c r="D29" s="247"/>
      <c r="E29" s="247"/>
      <c r="F29" s="247"/>
      <c r="G29" s="247"/>
      <c r="H29" s="247"/>
      <c r="I29" s="247"/>
      <c r="J29" s="247"/>
      <c r="K29" s="247"/>
      <c r="L29" s="247"/>
      <c r="M29" s="247"/>
      <c r="N29" s="247"/>
      <c r="O29" s="247"/>
      <c r="P29" s="247"/>
      <c r="Q29" s="247"/>
      <c r="R29" s="247"/>
    </row>
    <row r="30" spans="1:18" x14ac:dyDescent="0.25">
      <c r="A30" s="241" t="s">
        <v>99</v>
      </c>
      <c r="B30" s="241"/>
      <c r="C30" s="248"/>
      <c r="D30" s="248"/>
      <c r="E30" s="248"/>
      <c r="F30" s="248"/>
      <c r="G30" s="248"/>
      <c r="H30" s="248"/>
      <c r="I30" s="248"/>
      <c r="J30" s="248"/>
      <c r="K30" s="248"/>
      <c r="L30" s="248"/>
      <c r="M30" s="248"/>
      <c r="N30" s="248"/>
      <c r="O30" s="248"/>
      <c r="P30" s="248"/>
      <c r="Q30" s="248"/>
      <c r="R30" s="248"/>
    </row>
    <row r="31" spans="1:18" x14ac:dyDescent="0.25">
      <c r="A31" s="240" t="s">
        <v>108</v>
      </c>
      <c r="B31" s="240"/>
      <c r="C31" s="247"/>
      <c r="D31" s="247"/>
      <c r="E31" s="247"/>
      <c r="F31" s="247"/>
      <c r="G31" s="247"/>
      <c r="H31" s="247"/>
      <c r="I31" s="247"/>
      <c r="J31" s="247"/>
      <c r="K31" s="247"/>
      <c r="L31" s="247"/>
      <c r="M31" s="247"/>
      <c r="N31" s="247"/>
      <c r="O31" s="247"/>
      <c r="P31" s="247"/>
      <c r="Q31" s="247"/>
      <c r="R31" s="247"/>
    </row>
    <row r="32" spans="1:18" x14ac:dyDescent="0.25">
      <c r="A32" s="241"/>
      <c r="B32" s="241"/>
      <c r="C32" s="248"/>
      <c r="D32" s="248"/>
      <c r="E32" s="248"/>
      <c r="F32" s="248"/>
      <c r="G32" s="248"/>
      <c r="H32" s="248"/>
      <c r="I32" s="248"/>
      <c r="J32" s="248"/>
      <c r="K32" s="248"/>
      <c r="L32" s="248"/>
      <c r="M32" s="248"/>
      <c r="N32" s="248"/>
      <c r="O32" s="248"/>
      <c r="P32" s="248"/>
      <c r="Q32" s="248"/>
      <c r="R32" s="248"/>
    </row>
    <row r="33" spans="1:18" x14ac:dyDescent="0.25">
      <c r="A33" s="240"/>
      <c r="B33" s="240"/>
      <c r="C33" s="247"/>
      <c r="D33" s="247"/>
      <c r="E33" s="247"/>
      <c r="F33" s="247"/>
      <c r="G33" s="247"/>
      <c r="H33" s="247"/>
      <c r="I33" s="247"/>
      <c r="J33" s="247"/>
      <c r="K33" s="247"/>
      <c r="L33" s="247"/>
      <c r="M33" s="247"/>
      <c r="N33" s="247"/>
      <c r="O33" s="247"/>
      <c r="P33" s="247"/>
      <c r="Q33" s="247"/>
      <c r="R33" s="247"/>
    </row>
    <row r="34" spans="1:18" x14ac:dyDescent="0.25">
      <c r="A34" s="241"/>
      <c r="B34" s="241"/>
      <c r="C34" s="248"/>
      <c r="D34" s="248"/>
      <c r="E34" s="248"/>
      <c r="F34" s="248"/>
      <c r="G34" s="248"/>
      <c r="H34" s="248"/>
      <c r="I34" s="248"/>
      <c r="J34" s="248"/>
      <c r="K34" s="248"/>
      <c r="L34" s="248"/>
      <c r="M34" s="248"/>
      <c r="N34" s="248"/>
      <c r="O34" s="248"/>
      <c r="P34" s="248"/>
      <c r="Q34" s="248"/>
      <c r="R34" s="248"/>
    </row>
    <row r="35" spans="1:18" x14ac:dyDescent="0.25">
      <c r="A35" s="240"/>
      <c r="B35" s="240"/>
      <c r="C35" s="247"/>
      <c r="D35" s="247"/>
      <c r="E35" s="247"/>
      <c r="F35" s="247"/>
      <c r="G35" s="247"/>
      <c r="H35" s="247"/>
      <c r="I35" s="247"/>
      <c r="J35" s="247"/>
      <c r="K35" s="247"/>
      <c r="L35" s="247"/>
      <c r="M35" s="247"/>
      <c r="N35" s="247"/>
      <c r="O35" s="247"/>
      <c r="P35" s="247"/>
      <c r="Q35" s="247"/>
      <c r="R35" s="247"/>
    </row>
    <row r="36" spans="1:18" x14ac:dyDescent="0.25">
      <c r="A36" s="241"/>
      <c r="B36" s="241"/>
      <c r="C36" s="248"/>
      <c r="D36" s="248"/>
      <c r="E36" s="248"/>
      <c r="F36" s="248"/>
      <c r="G36" s="248"/>
      <c r="H36" s="248"/>
      <c r="I36" s="248"/>
      <c r="J36" s="248"/>
      <c r="K36" s="248"/>
      <c r="L36" s="248"/>
      <c r="M36" s="248"/>
      <c r="N36" s="248"/>
      <c r="O36" s="248"/>
      <c r="P36" s="248"/>
      <c r="Q36" s="248"/>
      <c r="R36" s="248"/>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2381-61A8-4CB2-BC19-14881BE0F98E}">
  <sheetPr>
    <tabColor rgb="FFFFC000"/>
  </sheetPr>
  <dimension ref="A1:Z243"/>
  <sheetViews>
    <sheetView topLeftCell="L1" workbookViewId="0">
      <selection activeCell="L1" sqref="A1:XFD1048576"/>
    </sheetView>
  </sheetViews>
  <sheetFormatPr baseColWidth="10" defaultRowHeight="15" x14ac:dyDescent="0.25"/>
  <cols>
    <col min="1" max="1" width="6.85546875" bestFit="1" customWidth="1"/>
    <col min="2" max="2" width="9.5703125" bestFit="1" customWidth="1"/>
    <col min="3" max="3" width="10.28515625" customWidth="1"/>
    <col min="4" max="4" width="10.5703125" bestFit="1" customWidth="1"/>
    <col min="5" max="5" width="9.42578125" bestFit="1" customWidth="1"/>
    <col min="6" max="6" width="6.85546875" bestFit="1" customWidth="1"/>
    <col min="7" max="7" width="9.5703125" bestFit="1" customWidth="1"/>
    <col min="8" max="9" width="9.42578125" bestFit="1" customWidth="1"/>
    <col min="10" max="10" width="12.140625" customWidth="1"/>
    <col min="11" max="11" width="6.85546875" bestFit="1" customWidth="1"/>
    <col min="12" max="12" width="9" bestFit="1" customWidth="1"/>
    <col min="13" max="13" width="9.42578125" bestFit="1" customWidth="1"/>
    <col min="14" max="14" width="11.85546875" bestFit="1" customWidth="1"/>
    <col min="15" max="15" width="9.140625" bestFit="1" customWidth="1"/>
    <col min="16" max="16" width="9.42578125" bestFit="1" customWidth="1"/>
    <col min="17" max="17" width="9.7109375" bestFit="1" customWidth="1"/>
    <col min="18" max="18" width="11" bestFit="1" customWidth="1"/>
    <col min="19" max="19" width="13.7109375" customWidth="1"/>
    <col min="22" max="22" width="32.7109375" bestFit="1" customWidth="1"/>
    <col min="23" max="23" width="10.5703125" bestFit="1" customWidth="1"/>
    <col min="24" max="24" width="26.140625" bestFit="1" customWidth="1"/>
    <col min="25" max="25" width="12.28515625" bestFit="1" customWidth="1"/>
    <col min="26" max="26" width="27.7109375" customWidth="1"/>
  </cols>
  <sheetData>
    <row r="1" spans="1:26" ht="60" x14ac:dyDescent="0.25">
      <c r="A1" s="172" t="s">
        <v>225</v>
      </c>
      <c r="B1" s="172" t="s">
        <v>323</v>
      </c>
      <c r="C1" s="173" t="s">
        <v>324</v>
      </c>
      <c r="D1" s="173" t="s">
        <v>325</v>
      </c>
      <c r="E1" s="173" t="s">
        <v>326</v>
      </c>
      <c r="F1" s="174" t="s">
        <v>225</v>
      </c>
      <c r="G1" s="175" t="s">
        <v>327</v>
      </c>
      <c r="H1" s="176" t="s">
        <v>324</v>
      </c>
      <c r="I1" s="176" t="s">
        <v>325</v>
      </c>
      <c r="J1" s="176" t="s">
        <v>328</v>
      </c>
      <c r="K1" s="177" t="s">
        <v>225</v>
      </c>
      <c r="L1" s="178" t="s">
        <v>329</v>
      </c>
      <c r="M1" s="179" t="s">
        <v>330</v>
      </c>
      <c r="N1" s="179" t="s">
        <v>331</v>
      </c>
      <c r="O1" s="178" t="s">
        <v>332</v>
      </c>
      <c r="P1" s="178" t="s">
        <v>333</v>
      </c>
      <c r="Q1" s="178" t="s">
        <v>334</v>
      </c>
      <c r="R1" s="178" t="s">
        <v>335</v>
      </c>
      <c r="S1" s="178" t="s">
        <v>336</v>
      </c>
      <c r="V1" s="176" t="s">
        <v>337</v>
      </c>
      <c r="W1" s="175">
        <v>0.57999999999999996</v>
      </c>
      <c r="X1" s="173" t="s">
        <v>338</v>
      </c>
      <c r="Y1" s="180">
        <v>0.56999999999999995</v>
      </c>
      <c r="Z1" s="593" t="s">
        <v>339</v>
      </c>
    </row>
    <row r="2" spans="1:26" x14ac:dyDescent="0.25">
      <c r="A2" s="181">
        <v>0</v>
      </c>
      <c r="B2" s="181">
        <v>0</v>
      </c>
      <c r="C2" s="181">
        <f>B2*$Y$1*1.56</f>
        <v>0</v>
      </c>
      <c r="D2" s="181">
        <v>0</v>
      </c>
      <c r="E2" s="182">
        <f>(C2+D2)*0.475*44/12</f>
        <v>0</v>
      </c>
      <c r="F2" s="183">
        <v>0</v>
      </c>
      <c r="G2" s="184">
        <v>0</v>
      </c>
      <c r="H2" s="185">
        <f>G2*1.56*$W$1</f>
        <v>0</v>
      </c>
      <c r="I2" s="184">
        <v>0</v>
      </c>
      <c r="J2" s="184">
        <v>0</v>
      </c>
      <c r="K2" s="186">
        <v>0</v>
      </c>
      <c r="L2" s="187"/>
      <c r="M2" s="187"/>
      <c r="N2" s="187"/>
      <c r="O2" s="187"/>
      <c r="P2" s="187">
        <v>0</v>
      </c>
      <c r="Q2" s="187">
        <v>0</v>
      </c>
      <c r="R2" s="187">
        <v>0</v>
      </c>
      <c r="S2" s="187">
        <f>SUM(P2:R2)</f>
        <v>0</v>
      </c>
      <c r="U2" s="188" t="s">
        <v>340</v>
      </c>
      <c r="V2" s="188" t="s">
        <v>341</v>
      </c>
      <c r="W2" s="189">
        <f>AVERAGE(J2:J164)</f>
        <v>398.30422880211916</v>
      </c>
      <c r="X2" s="188"/>
      <c r="Y2" s="188"/>
      <c r="Z2" s="593"/>
    </row>
    <row r="3" spans="1:26" x14ac:dyDescent="0.25">
      <c r="A3" s="181">
        <v>1</v>
      </c>
      <c r="B3" s="181">
        <f>B2+1</f>
        <v>1</v>
      </c>
      <c r="C3" s="182">
        <f t="shared" ref="C3:C66" si="0">B3*$Y$1*1.56</f>
        <v>0.88919999999999999</v>
      </c>
      <c r="D3" s="182">
        <f>EXP(-1.0587+0.8836*LN(C3)+0.284)</f>
        <v>0.41542055579923082</v>
      </c>
      <c r="E3" s="182">
        <f>(C3+D3)*0.475*44/12</f>
        <v>2.2722141346836602</v>
      </c>
      <c r="F3" s="183">
        <f>F2+1</f>
        <v>1</v>
      </c>
      <c r="G3" s="185">
        <v>0.5</v>
      </c>
      <c r="H3" s="185">
        <f t="shared" ref="H3:H66" si="1">G3*1.56*$W$1</f>
        <v>0.45239999999999997</v>
      </c>
      <c r="I3" s="185">
        <f t="shared" ref="I3:I66" si="2">EXP(-1.0587+0.8836*LN(H3)+0.284)</f>
        <v>0.22865032916058284</v>
      </c>
      <c r="J3" s="185">
        <f t="shared" ref="J3:J66" si="3">(H3+I3)*0.475*44/12</f>
        <v>1.1861626566213483</v>
      </c>
      <c r="K3" s="186">
        <f>K2+1</f>
        <v>1</v>
      </c>
      <c r="L3" s="187"/>
      <c r="M3" s="187"/>
      <c r="N3" s="187"/>
      <c r="O3" s="187"/>
      <c r="P3" s="190">
        <f>EXP(-LN(2)/35)*P2+(1-EXP(-LN(2)/35))/(LN(2)/35)*M3*L3*$W$1*0.475*44/12</f>
        <v>0</v>
      </c>
      <c r="Q3" s="190">
        <f>EXP(-LN(2)/25)*Q2+(1-EXP(-LN(2)/25))/(LN(2)/25)*N3*L3*$W$1*0.475*44/12</f>
        <v>0</v>
      </c>
      <c r="R3" s="190">
        <f>EXP(-LN(2)/2)*R2+(1-EXP(-LN(2)/2))/(LN(2)/2)*O3*L3*$W$1*0.475*44/12</f>
        <v>0</v>
      </c>
      <c r="S3" s="190">
        <f>SUM(P3:R3)</f>
        <v>0</v>
      </c>
      <c r="U3" s="188" t="s">
        <v>342</v>
      </c>
      <c r="V3" s="188" t="s">
        <v>341</v>
      </c>
      <c r="W3" s="189">
        <f>AVERAGE(E2:E152)</f>
        <v>148.29479800321812</v>
      </c>
      <c r="X3" s="188"/>
      <c r="Y3" s="188"/>
      <c r="Z3" s="593"/>
    </row>
    <row r="4" spans="1:26" x14ac:dyDescent="0.25">
      <c r="A4" s="181">
        <v>2</v>
      </c>
      <c r="B4" s="181">
        <f t="shared" ref="B4:B67" si="4">B3+1</f>
        <v>2</v>
      </c>
      <c r="C4" s="182">
        <f t="shared" si="0"/>
        <v>1.7784</v>
      </c>
      <c r="D4" s="182">
        <f t="shared" ref="D4:D67" si="5">EXP(-1.0587+0.8836*LN(C4)+0.284)</f>
        <v>0.76643986660078545</v>
      </c>
      <c r="E4" s="182">
        <f t="shared" ref="E4:E67" si="6">(C4+D4)*0.475*44/12</f>
        <v>4.4322627676630342</v>
      </c>
      <c r="F4" s="183">
        <f t="shared" ref="F4:G19" si="7">F3+1</f>
        <v>2</v>
      </c>
      <c r="G4" s="191">
        <v>1</v>
      </c>
      <c r="H4" s="185">
        <f t="shared" si="1"/>
        <v>0.90479999999999994</v>
      </c>
      <c r="I4" s="185">
        <f t="shared" si="2"/>
        <v>0.42185377043488931</v>
      </c>
      <c r="J4" s="185">
        <f t="shared" si="3"/>
        <v>2.3105886501740986</v>
      </c>
      <c r="K4" s="186">
        <f t="shared" ref="K4:K67" si="8">K3+1</f>
        <v>2</v>
      </c>
      <c r="L4" s="187"/>
      <c r="M4" s="187"/>
      <c r="N4" s="187"/>
      <c r="O4" s="187"/>
      <c r="P4" s="190">
        <f t="shared" ref="P4:P49" si="9">EXP(-LN(2)/35)*P3+(1-EXP(-LN(2)/35))/(LN(2)/35)*M4*L4*$W$1*0.475*44/12</f>
        <v>0</v>
      </c>
      <c r="Q4" s="190">
        <f t="shared" ref="Q4:Q49" si="10">EXP(-LN(2)/25)*Q3+(1-EXP(-LN(2)/25))/(LN(2)/25)*N4*L4*$W$1*0.475*44/12</f>
        <v>0</v>
      </c>
      <c r="R4" s="190">
        <f t="shared" ref="R4:R49" si="11">EXP(-LN(2)/2)*R3+(1-EXP(-LN(2)/2))/(LN(2)/2)*O4*L4*$W$1*0.475*44/12</f>
        <v>0</v>
      </c>
      <c r="S4" s="190">
        <f>SUM(P4:R4)</f>
        <v>0</v>
      </c>
      <c r="U4" s="188"/>
      <c r="V4" s="18" t="s">
        <v>343</v>
      </c>
      <c r="W4" s="189">
        <f>W2-W3</f>
        <v>250.00943079890104</v>
      </c>
      <c r="X4" s="188"/>
      <c r="Y4" s="188"/>
      <c r="Z4" s="593"/>
    </row>
    <row r="5" spans="1:26" x14ac:dyDescent="0.25">
      <c r="A5" s="181">
        <v>3</v>
      </c>
      <c r="B5" s="181">
        <f t="shared" si="4"/>
        <v>3</v>
      </c>
      <c r="C5" s="182">
        <f t="shared" si="0"/>
        <v>2.6676000000000002</v>
      </c>
      <c r="D5" s="182">
        <f t="shared" si="5"/>
        <v>1.0966608080083624</v>
      </c>
      <c r="E5" s="182">
        <f t="shared" si="6"/>
        <v>6.5560875739478979</v>
      </c>
      <c r="F5" s="183">
        <f t="shared" si="7"/>
        <v>3</v>
      </c>
      <c r="G5" s="185">
        <v>1.5</v>
      </c>
      <c r="H5" s="185">
        <f t="shared" si="1"/>
        <v>1.3571999999999997</v>
      </c>
      <c r="I5" s="185">
        <f t="shared" si="2"/>
        <v>0.60360964624439295</v>
      </c>
      <c r="J5" s="185">
        <f t="shared" si="3"/>
        <v>3.4150768005423173</v>
      </c>
      <c r="K5" s="186">
        <f t="shared" si="8"/>
        <v>3</v>
      </c>
      <c r="L5" s="187"/>
      <c r="M5" s="187"/>
      <c r="N5" s="187"/>
      <c r="O5" s="187"/>
      <c r="P5" s="190">
        <f t="shared" si="9"/>
        <v>0</v>
      </c>
      <c r="Q5" s="190">
        <f t="shared" si="10"/>
        <v>0</v>
      </c>
      <c r="R5" s="190">
        <f t="shared" si="11"/>
        <v>0</v>
      </c>
      <c r="S5" s="190">
        <f t="shared" ref="S5:S49" si="12">SUM(P5:R5)</f>
        <v>0</v>
      </c>
      <c r="U5" s="188"/>
      <c r="V5" s="188" t="s">
        <v>344</v>
      </c>
      <c r="W5" s="189">
        <f>J33-E32</f>
        <v>133.63266168802028</v>
      </c>
      <c r="X5" s="188"/>
      <c r="Y5" s="188"/>
      <c r="Z5" s="593"/>
    </row>
    <row r="6" spans="1:26" x14ac:dyDescent="0.25">
      <c r="A6" s="181">
        <v>4</v>
      </c>
      <c r="B6" s="181">
        <f t="shared" si="4"/>
        <v>4</v>
      </c>
      <c r="C6" s="182">
        <f t="shared" si="0"/>
        <v>3.5568</v>
      </c>
      <c r="D6" s="182">
        <f t="shared" si="5"/>
        <v>1.4140611505968179</v>
      </c>
      <c r="E6" s="182">
        <f t="shared" si="6"/>
        <v>8.6575831706227913</v>
      </c>
      <c r="F6" s="183">
        <f t="shared" si="7"/>
        <v>4</v>
      </c>
      <c r="G6" s="191">
        <v>2</v>
      </c>
      <c r="H6" s="185">
        <f t="shared" si="1"/>
        <v>1.8095999999999999</v>
      </c>
      <c r="I6" s="185">
        <f t="shared" si="2"/>
        <v>0.778308976345926</v>
      </c>
      <c r="J6" s="185">
        <f t="shared" si="3"/>
        <v>4.5072748004691539</v>
      </c>
      <c r="K6" s="186">
        <f t="shared" si="8"/>
        <v>4</v>
      </c>
      <c r="L6" s="187"/>
      <c r="M6" s="187"/>
      <c r="N6" s="187"/>
      <c r="O6" s="187"/>
      <c r="P6" s="190">
        <f t="shared" si="9"/>
        <v>0</v>
      </c>
      <c r="Q6" s="190">
        <f t="shared" si="10"/>
        <v>0</v>
      </c>
      <c r="R6" s="190">
        <f t="shared" si="11"/>
        <v>0</v>
      </c>
      <c r="S6" s="190">
        <f t="shared" si="12"/>
        <v>0</v>
      </c>
      <c r="U6" s="188"/>
      <c r="V6" s="188" t="s">
        <v>345</v>
      </c>
      <c r="W6" s="189">
        <f>W5</f>
        <v>133.63266168802028</v>
      </c>
      <c r="X6" s="188"/>
      <c r="Y6" s="188"/>
      <c r="Z6" s="593"/>
    </row>
    <row r="7" spans="1:26" x14ac:dyDescent="0.25">
      <c r="A7" s="181">
        <v>5</v>
      </c>
      <c r="B7" s="181">
        <f t="shared" si="4"/>
        <v>5</v>
      </c>
      <c r="C7" s="182">
        <f t="shared" si="0"/>
        <v>4.4459999999999997</v>
      </c>
      <c r="D7" s="182">
        <f t="shared" si="5"/>
        <v>1.7222566815192897</v>
      </c>
      <c r="E7" s="182">
        <f t="shared" si="6"/>
        <v>10.743047053646096</v>
      </c>
      <c r="F7" s="183">
        <f t="shared" si="7"/>
        <v>5</v>
      </c>
      <c r="G7" s="185">
        <v>2.5</v>
      </c>
      <c r="H7" s="185">
        <f t="shared" si="1"/>
        <v>2.262</v>
      </c>
      <c r="I7" s="185">
        <f t="shared" si="2"/>
        <v>0.94794191484043044</v>
      </c>
      <c r="J7" s="185">
        <f t="shared" si="3"/>
        <v>5.5906488350137495</v>
      </c>
      <c r="K7" s="186">
        <f t="shared" si="8"/>
        <v>5</v>
      </c>
      <c r="L7" s="187"/>
      <c r="M7" s="187"/>
      <c r="N7" s="187"/>
      <c r="O7" s="187"/>
      <c r="P7" s="190">
        <f t="shared" si="9"/>
        <v>0</v>
      </c>
      <c r="Q7" s="190">
        <f t="shared" si="10"/>
        <v>0</v>
      </c>
      <c r="R7" s="190">
        <f t="shared" si="11"/>
        <v>0</v>
      </c>
      <c r="S7" s="190">
        <f t="shared" si="12"/>
        <v>0</v>
      </c>
      <c r="U7" s="188"/>
      <c r="V7" s="188" t="s">
        <v>346</v>
      </c>
      <c r="W7" s="192">
        <v>0</v>
      </c>
      <c r="Z7" s="593"/>
    </row>
    <row r="8" spans="1:26" x14ac:dyDescent="0.25">
      <c r="A8" s="181">
        <v>6</v>
      </c>
      <c r="B8" s="181">
        <f t="shared" si="4"/>
        <v>6</v>
      </c>
      <c r="C8" s="182">
        <f t="shared" si="0"/>
        <v>5.3352000000000004</v>
      </c>
      <c r="D8" s="182">
        <f t="shared" si="5"/>
        <v>2.0233099967312582</v>
      </c>
      <c r="E8" s="182">
        <f t="shared" si="6"/>
        <v>12.816071577640278</v>
      </c>
      <c r="F8" s="183">
        <f t="shared" si="7"/>
        <v>6</v>
      </c>
      <c r="G8" s="185">
        <v>3</v>
      </c>
      <c r="H8" s="185">
        <f t="shared" si="1"/>
        <v>2.7143999999999995</v>
      </c>
      <c r="I8" s="185">
        <f t="shared" si="2"/>
        <v>1.1136437287183381</v>
      </c>
      <c r="J8" s="185">
        <f t="shared" si="3"/>
        <v>6.6671761608511035</v>
      </c>
      <c r="K8" s="186">
        <f t="shared" si="8"/>
        <v>6</v>
      </c>
      <c r="L8" s="187"/>
      <c r="M8" s="187"/>
      <c r="N8" s="187"/>
      <c r="O8" s="187"/>
      <c r="P8" s="190">
        <f t="shared" si="9"/>
        <v>0</v>
      </c>
      <c r="Q8" s="190">
        <f t="shared" si="10"/>
        <v>0</v>
      </c>
      <c r="R8" s="190">
        <f t="shared" si="11"/>
        <v>0</v>
      </c>
      <c r="S8" s="190">
        <f t="shared" si="12"/>
        <v>0</v>
      </c>
      <c r="U8" s="188"/>
      <c r="V8" s="188" t="s">
        <v>347</v>
      </c>
      <c r="W8" s="192">
        <v>0</v>
      </c>
      <c r="Z8" s="593"/>
    </row>
    <row r="9" spans="1:26" x14ac:dyDescent="0.25">
      <c r="A9" s="181">
        <v>7</v>
      </c>
      <c r="B9" s="181">
        <f t="shared" si="4"/>
        <v>7</v>
      </c>
      <c r="C9" s="182">
        <f t="shared" si="0"/>
        <v>6.2244000000000002</v>
      </c>
      <c r="D9" s="182">
        <f t="shared" si="5"/>
        <v>2.318550772093785</v>
      </c>
      <c r="E9" s="182">
        <f t="shared" si="6"/>
        <v>14.87897259473001</v>
      </c>
      <c r="F9" s="183">
        <f t="shared" si="7"/>
        <v>7</v>
      </c>
      <c r="G9" s="185">
        <f t="shared" si="7"/>
        <v>4</v>
      </c>
      <c r="H9" s="185">
        <f t="shared" si="1"/>
        <v>3.6191999999999998</v>
      </c>
      <c r="I9" s="185">
        <f t="shared" si="2"/>
        <v>1.4359593421107981</v>
      </c>
      <c r="J9" s="185">
        <f t="shared" si="3"/>
        <v>8.8044025208429719</v>
      </c>
      <c r="K9" s="186">
        <f t="shared" si="8"/>
        <v>7</v>
      </c>
      <c r="L9" s="187"/>
      <c r="M9" s="187"/>
      <c r="N9" s="187"/>
      <c r="O9" s="187"/>
      <c r="P9" s="190">
        <f t="shared" si="9"/>
        <v>0</v>
      </c>
      <c r="Q9" s="190">
        <f t="shared" si="10"/>
        <v>0</v>
      </c>
      <c r="R9" s="190">
        <f t="shared" si="11"/>
        <v>0</v>
      </c>
      <c r="S9" s="190">
        <f t="shared" si="12"/>
        <v>0</v>
      </c>
      <c r="U9" s="188"/>
      <c r="V9" s="188" t="s">
        <v>348</v>
      </c>
      <c r="W9" s="192">
        <v>0</v>
      </c>
      <c r="X9" s="188"/>
      <c r="Y9" s="188"/>
      <c r="Z9" s="593"/>
    </row>
    <row r="10" spans="1:26" x14ac:dyDescent="0.25">
      <c r="A10" s="181">
        <v>8</v>
      </c>
      <c r="B10" s="181">
        <f t="shared" si="4"/>
        <v>8</v>
      </c>
      <c r="C10" s="182">
        <f t="shared" si="0"/>
        <v>7.1135999999999999</v>
      </c>
      <c r="D10" s="182">
        <f t="shared" si="5"/>
        <v>2.6089051793396725</v>
      </c>
      <c r="E10" s="182">
        <f t="shared" si="6"/>
        <v>16.933363187349929</v>
      </c>
      <c r="F10" s="183">
        <f t="shared" si="7"/>
        <v>8</v>
      </c>
      <c r="G10" s="185">
        <f t="shared" si="7"/>
        <v>5</v>
      </c>
      <c r="H10" s="185">
        <f t="shared" si="1"/>
        <v>4.524</v>
      </c>
      <c r="I10" s="185">
        <f t="shared" si="2"/>
        <v>1.7489275978599472</v>
      </c>
      <c r="J10" s="185">
        <f t="shared" si="3"/>
        <v>10.925348899606076</v>
      </c>
      <c r="K10" s="186">
        <f t="shared" si="8"/>
        <v>8</v>
      </c>
      <c r="L10" s="187"/>
      <c r="M10" s="187"/>
      <c r="N10" s="187"/>
      <c r="O10" s="187"/>
      <c r="P10" s="190">
        <f t="shared" si="9"/>
        <v>0</v>
      </c>
      <c r="Q10" s="190">
        <f t="shared" si="10"/>
        <v>0</v>
      </c>
      <c r="R10" s="190">
        <f t="shared" si="11"/>
        <v>0</v>
      </c>
      <c r="S10" s="190">
        <f t="shared" si="12"/>
        <v>0</v>
      </c>
      <c r="U10" s="188"/>
      <c r="V10" s="193" t="s">
        <v>349</v>
      </c>
      <c r="W10" s="194">
        <f>SUM(W6:W9)</f>
        <v>133.63266168802028</v>
      </c>
      <c r="X10" s="188"/>
      <c r="Y10" s="188"/>
      <c r="Z10" s="593"/>
    </row>
    <row r="11" spans="1:26" x14ac:dyDescent="0.25">
      <c r="A11" s="181">
        <v>9</v>
      </c>
      <c r="B11" s="181">
        <f t="shared" si="4"/>
        <v>9</v>
      </c>
      <c r="C11" s="182">
        <f t="shared" si="0"/>
        <v>8.0028000000000006</v>
      </c>
      <c r="D11" s="182">
        <f t="shared" si="5"/>
        <v>2.8950539664743791</v>
      </c>
      <c r="E11" s="182">
        <f t="shared" si="6"/>
        <v>18.980428991609543</v>
      </c>
      <c r="F11" s="183">
        <f t="shared" si="7"/>
        <v>9</v>
      </c>
      <c r="G11" s="185">
        <f t="shared" si="7"/>
        <v>6</v>
      </c>
      <c r="H11" s="185">
        <f t="shared" si="1"/>
        <v>5.428799999999999</v>
      </c>
      <c r="I11" s="185">
        <f t="shared" si="2"/>
        <v>2.0546430333413581</v>
      </c>
      <c r="J11" s="185">
        <f t="shared" si="3"/>
        <v>13.033663283069531</v>
      </c>
      <c r="K11" s="186">
        <f t="shared" si="8"/>
        <v>9</v>
      </c>
      <c r="L11" s="187"/>
      <c r="M11" s="187"/>
      <c r="N11" s="187"/>
      <c r="O11" s="187"/>
      <c r="P11" s="190">
        <f t="shared" si="9"/>
        <v>0</v>
      </c>
      <c r="Q11" s="190">
        <f t="shared" si="10"/>
        <v>0</v>
      </c>
      <c r="R11" s="190">
        <f t="shared" si="11"/>
        <v>0</v>
      </c>
      <c r="S11" s="190">
        <f t="shared" si="12"/>
        <v>0</v>
      </c>
      <c r="U11" s="188"/>
      <c r="V11" s="188" t="s">
        <v>350</v>
      </c>
      <c r="W11" s="189">
        <f>SUM(L3:L32)</f>
        <v>8</v>
      </c>
      <c r="X11" s="188"/>
      <c r="Y11" s="188"/>
      <c r="Z11" s="593"/>
    </row>
    <row r="12" spans="1:26" x14ac:dyDescent="0.25">
      <c r="A12" s="181">
        <v>10</v>
      </c>
      <c r="B12" s="181">
        <f t="shared" si="4"/>
        <v>10</v>
      </c>
      <c r="C12" s="182">
        <f t="shared" si="0"/>
        <v>8.8919999999999995</v>
      </c>
      <c r="D12" s="182">
        <f t="shared" si="5"/>
        <v>3.177517729464268</v>
      </c>
      <c r="E12" s="182">
        <f t="shared" si="6"/>
        <v>21.021076712150265</v>
      </c>
      <c r="F12" s="183">
        <f t="shared" si="7"/>
        <v>10</v>
      </c>
      <c r="G12" s="185">
        <f t="shared" si="7"/>
        <v>7</v>
      </c>
      <c r="H12" s="185">
        <f t="shared" si="1"/>
        <v>6.3335999999999997</v>
      </c>
      <c r="I12" s="185">
        <f t="shared" si="2"/>
        <v>2.3544559158145972</v>
      </c>
      <c r="J12" s="185">
        <f t="shared" si="3"/>
        <v>15.131697386710426</v>
      </c>
      <c r="K12" s="186">
        <f t="shared" si="8"/>
        <v>10</v>
      </c>
      <c r="L12" s="187"/>
      <c r="M12" s="187"/>
      <c r="N12" s="187"/>
      <c r="O12" s="187"/>
      <c r="P12" s="190">
        <f t="shared" si="9"/>
        <v>0</v>
      </c>
      <c r="Q12" s="190">
        <f t="shared" si="10"/>
        <v>0</v>
      </c>
      <c r="R12" s="190">
        <f t="shared" si="11"/>
        <v>0</v>
      </c>
      <c r="S12" s="190">
        <f t="shared" si="12"/>
        <v>0</v>
      </c>
      <c r="U12" s="188"/>
      <c r="V12" s="188" t="s">
        <v>351</v>
      </c>
      <c r="W12" s="188">
        <v>0.25</v>
      </c>
      <c r="X12" s="188"/>
      <c r="Y12" s="188"/>
      <c r="Z12" s="593"/>
    </row>
    <row r="13" spans="1:26" x14ac:dyDescent="0.25">
      <c r="A13" s="181">
        <v>11</v>
      </c>
      <c r="B13" s="181">
        <f t="shared" si="4"/>
        <v>11</v>
      </c>
      <c r="C13" s="182">
        <f t="shared" si="0"/>
        <v>9.7812000000000001</v>
      </c>
      <c r="D13" s="182">
        <f t="shared" si="5"/>
        <v>3.4567069199829903</v>
      </c>
      <c r="E13" s="182">
        <f t="shared" si="6"/>
        <v>23.056021218970372</v>
      </c>
      <c r="F13" s="183">
        <f t="shared" si="7"/>
        <v>11</v>
      </c>
      <c r="G13" s="185">
        <f t="shared" si="7"/>
        <v>8</v>
      </c>
      <c r="H13" s="185">
        <f t="shared" si="1"/>
        <v>7.2383999999999995</v>
      </c>
      <c r="I13" s="185">
        <f t="shared" si="2"/>
        <v>2.6493067597344675</v>
      </c>
      <c r="J13" s="185">
        <f>(H13+I13)*0.475*44/12</f>
        <v>17.221089273204196</v>
      </c>
      <c r="K13" s="186">
        <f t="shared" si="8"/>
        <v>11</v>
      </c>
      <c r="L13" s="187"/>
      <c r="M13" s="187"/>
      <c r="N13" s="187"/>
      <c r="O13" s="187"/>
      <c r="P13" s="190">
        <f t="shared" si="9"/>
        <v>0</v>
      </c>
      <c r="Q13" s="190">
        <f t="shared" si="10"/>
        <v>0</v>
      </c>
      <c r="R13" s="190">
        <f t="shared" si="11"/>
        <v>0</v>
      </c>
      <c r="S13" s="190">
        <f t="shared" si="12"/>
        <v>0</v>
      </c>
      <c r="U13" s="188"/>
      <c r="V13" s="193" t="s">
        <v>352</v>
      </c>
      <c r="W13" s="195">
        <f>W11*W12</f>
        <v>2</v>
      </c>
      <c r="X13" s="188"/>
      <c r="Y13" s="188"/>
      <c r="Z13" s="593"/>
    </row>
    <row r="14" spans="1:26" x14ac:dyDescent="0.25">
      <c r="A14" s="181">
        <v>12</v>
      </c>
      <c r="B14" s="181">
        <f t="shared" si="4"/>
        <v>12</v>
      </c>
      <c r="C14" s="182">
        <f t="shared" si="0"/>
        <v>10.670400000000001</v>
      </c>
      <c r="D14" s="182">
        <f t="shared" si="5"/>
        <v>3.7329530817348471</v>
      </c>
      <c r="E14" s="182">
        <f t="shared" si="6"/>
        <v>25.085839950688193</v>
      </c>
      <c r="F14" s="183">
        <f t="shared" si="7"/>
        <v>12</v>
      </c>
      <c r="G14" s="185">
        <f t="shared" si="7"/>
        <v>9</v>
      </c>
      <c r="H14" s="185">
        <f t="shared" si="1"/>
        <v>8.1432000000000002</v>
      </c>
      <c r="I14" s="185">
        <f t="shared" si="2"/>
        <v>2.9398868551895574</v>
      </c>
      <c r="J14" s="185">
        <f t="shared" si="3"/>
        <v>19.303042939455146</v>
      </c>
      <c r="K14" s="186">
        <f t="shared" si="8"/>
        <v>12</v>
      </c>
      <c r="L14" s="187"/>
      <c r="M14" s="187"/>
      <c r="N14" s="187"/>
      <c r="O14" s="187"/>
      <c r="P14" s="190">
        <f t="shared" si="9"/>
        <v>0</v>
      </c>
      <c r="Q14" s="190">
        <f t="shared" si="10"/>
        <v>0</v>
      </c>
      <c r="R14" s="190">
        <f t="shared" si="11"/>
        <v>0</v>
      </c>
      <c r="S14" s="190">
        <f t="shared" si="12"/>
        <v>0</v>
      </c>
      <c r="U14" s="188"/>
      <c r="V14" s="193" t="s">
        <v>353</v>
      </c>
      <c r="W14" s="194">
        <f>AVERAGE(S2:S32)</f>
        <v>0</v>
      </c>
      <c r="X14" s="188"/>
      <c r="Y14" s="188"/>
      <c r="Z14" s="593"/>
    </row>
    <row r="15" spans="1:26" x14ac:dyDescent="0.25">
      <c r="A15" s="181">
        <v>13</v>
      </c>
      <c r="B15" s="181">
        <f t="shared" si="4"/>
        <v>13</v>
      </c>
      <c r="C15" s="182">
        <f t="shared" si="0"/>
        <v>11.5596</v>
      </c>
      <c r="D15" s="182">
        <f t="shared" si="5"/>
        <v>4.0065293501366055</v>
      </c>
      <c r="E15" s="182">
        <f t="shared" si="6"/>
        <v>27.111008618154589</v>
      </c>
      <c r="F15" s="183">
        <f t="shared" si="7"/>
        <v>13</v>
      </c>
      <c r="G15" s="185">
        <f t="shared" si="7"/>
        <v>10</v>
      </c>
      <c r="H15" s="185">
        <f t="shared" si="1"/>
        <v>9.048</v>
      </c>
      <c r="I15" s="185">
        <f t="shared" si="2"/>
        <v>3.226724860110286</v>
      </c>
      <c r="J15" s="185">
        <f t="shared" si="3"/>
        <v>21.378479131358745</v>
      </c>
      <c r="K15" s="186">
        <f t="shared" si="8"/>
        <v>13</v>
      </c>
      <c r="L15" s="187"/>
      <c r="M15" s="187"/>
      <c r="N15" s="187"/>
      <c r="O15" s="187"/>
      <c r="P15" s="190">
        <f t="shared" si="9"/>
        <v>0</v>
      </c>
      <c r="Q15" s="190">
        <f t="shared" si="10"/>
        <v>0</v>
      </c>
      <c r="R15" s="190">
        <f t="shared" si="11"/>
        <v>0</v>
      </c>
      <c r="S15" s="190">
        <f t="shared" si="12"/>
        <v>0</v>
      </c>
      <c r="U15" s="188"/>
      <c r="X15" s="188"/>
      <c r="Y15" s="188"/>
      <c r="Z15" s="593"/>
    </row>
    <row r="16" spans="1:26" x14ac:dyDescent="0.25">
      <c r="A16" s="181">
        <v>14</v>
      </c>
      <c r="B16" s="181">
        <f t="shared" si="4"/>
        <v>14</v>
      </c>
      <c r="C16" s="182">
        <f t="shared" si="0"/>
        <v>12.4488</v>
      </c>
      <c r="D16" s="182">
        <f t="shared" si="5"/>
        <v>4.2776644527179633</v>
      </c>
      <c r="E16" s="182">
        <f t="shared" si="6"/>
        <v>29.131925588483782</v>
      </c>
      <c r="F16" s="183">
        <f t="shared" si="7"/>
        <v>14</v>
      </c>
      <c r="G16" s="191">
        <f t="shared" ref="G16:G21" si="13">G15+G15-G14+1</f>
        <v>12</v>
      </c>
      <c r="H16" s="185">
        <f t="shared" si="1"/>
        <v>10.857599999999998</v>
      </c>
      <c r="I16" s="185">
        <f t="shared" si="2"/>
        <v>3.7907617001683773</v>
      </c>
      <c r="J16" s="185">
        <f t="shared" si="3"/>
        <v>25.512563294459923</v>
      </c>
      <c r="K16" s="186">
        <f t="shared" si="8"/>
        <v>14</v>
      </c>
      <c r="L16" s="187"/>
      <c r="M16" s="196"/>
      <c r="N16" s="196"/>
      <c r="O16" s="196"/>
      <c r="P16" s="190">
        <f t="shared" si="9"/>
        <v>0</v>
      </c>
      <c r="Q16" s="190">
        <f t="shared" si="10"/>
        <v>0</v>
      </c>
      <c r="R16" s="190">
        <f t="shared" si="11"/>
        <v>0</v>
      </c>
      <c r="S16" s="190">
        <f t="shared" si="12"/>
        <v>0</v>
      </c>
      <c r="U16" s="188"/>
      <c r="V16" s="197" t="s">
        <v>354</v>
      </c>
      <c r="W16" s="194">
        <f>W10+W13+W14</f>
        <v>135.63266168802028</v>
      </c>
      <c r="X16" s="188"/>
      <c r="Y16" s="188"/>
      <c r="Z16" s="593"/>
    </row>
    <row r="17" spans="1:25" x14ac:dyDescent="0.25">
      <c r="A17" s="181">
        <v>15</v>
      </c>
      <c r="B17" s="181">
        <f t="shared" si="4"/>
        <v>15</v>
      </c>
      <c r="C17" s="182">
        <f t="shared" si="0"/>
        <v>13.337999999999999</v>
      </c>
      <c r="D17" s="182">
        <f t="shared" si="5"/>
        <v>4.5465525901071517</v>
      </c>
      <c r="E17" s="182">
        <f t="shared" si="6"/>
        <v>31.148929094436621</v>
      </c>
      <c r="F17" s="183">
        <f t="shared" si="7"/>
        <v>15</v>
      </c>
      <c r="G17" s="191">
        <f t="shared" si="13"/>
        <v>15</v>
      </c>
      <c r="H17" s="185">
        <f t="shared" si="1"/>
        <v>13.572000000000001</v>
      </c>
      <c r="I17" s="185">
        <f t="shared" si="2"/>
        <v>4.616960633850189</v>
      </c>
      <c r="J17" s="185">
        <f t="shared" si="3"/>
        <v>31.679106437289079</v>
      </c>
      <c r="K17" s="186">
        <f t="shared" si="8"/>
        <v>15</v>
      </c>
      <c r="L17" s="187"/>
      <c r="M17" s="187"/>
      <c r="N17" s="187"/>
      <c r="O17" s="187"/>
      <c r="P17" s="190">
        <f t="shared" si="9"/>
        <v>0</v>
      </c>
      <c r="Q17" s="190">
        <f t="shared" si="10"/>
        <v>0</v>
      </c>
      <c r="R17" s="190">
        <f t="shared" si="11"/>
        <v>0</v>
      </c>
      <c r="S17" s="190">
        <f t="shared" si="12"/>
        <v>0</v>
      </c>
    </row>
    <row r="18" spans="1:25" x14ac:dyDescent="0.25">
      <c r="A18" s="181">
        <v>16</v>
      </c>
      <c r="B18" s="181">
        <f t="shared" si="4"/>
        <v>16</v>
      </c>
      <c r="C18" s="182">
        <f t="shared" si="0"/>
        <v>14.2272</v>
      </c>
      <c r="D18" s="182">
        <f t="shared" si="5"/>
        <v>4.81336060460516</v>
      </c>
      <c r="E18" s="182">
        <f t="shared" si="6"/>
        <v>33.162309719687322</v>
      </c>
      <c r="F18" s="183">
        <f t="shared" si="7"/>
        <v>16</v>
      </c>
      <c r="G18" s="191">
        <f>G17+G17-G16+1</f>
        <v>19</v>
      </c>
      <c r="H18" s="185">
        <f t="shared" si="1"/>
        <v>17.191199999999998</v>
      </c>
      <c r="I18" s="185">
        <f t="shared" si="2"/>
        <v>5.6894281456126885</v>
      </c>
      <c r="J18" s="185">
        <f t="shared" si="3"/>
        <v>39.850427353608758</v>
      </c>
      <c r="K18" s="186">
        <f t="shared" si="8"/>
        <v>16</v>
      </c>
      <c r="L18" s="187"/>
      <c r="M18" s="187"/>
      <c r="N18" s="196"/>
      <c r="O18" s="196"/>
      <c r="P18" s="190">
        <f t="shared" si="9"/>
        <v>0</v>
      </c>
      <c r="Q18" s="190">
        <f t="shared" si="10"/>
        <v>0</v>
      </c>
      <c r="R18" s="190">
        <f t="shared" si="11"/>
        <v>0</v>
      </c>
      <c r="S18" s="190">
        <f t="shared" si="12"/>
        <v>0</v>
      </c>
      <c r="X18" s="188"/>
      <c r="Y18" s="188"/>
    </row>
    <row r="19" spans="1:25" x14ac:dyDescent="0.25">
      <c r="A19" s="181">
        <v>17</v>
      </c>
      <c r="B19" s="181">
        <f t="shared" si="4"/>
        <v>17</v>
      </c>
      <c r="C19" s="182">
        <f t="shared" si="0"/>
        <v>15.116400000000001</v>
      </c>
      <c r="D19" s="182">
        <f t="shared" si="5"/>
        <v>5.0782333044806913</v>
      </c>
      <c r="E19" s="182">
        <f t="shared" si="6"/>
        <v>35.172319671970541</v>
      </c>
      <c r="F19" s="183">
        <f t="shared" si="7"/>
        <v>17</v>
      </c>
      <c r="G19" s="191">
        <f t="shared" si="13"/>
        <v>24</v>
      </c>
      <c r="H19" s="185">
        <f t="shared" si="1"/>
        <v>21.715199999999996</v>
      </c>
      <c r="I19" s="185">
        <f t="shared" si="2"/>
        <v>6.9938544235075568</v>
      </c>
      <c r="J19" s="185">
        <f t="shared" si="3"/>
        <v>50.00160312094232</v>
      </c>
      <c r="K19" s="186">
        <f t="shared" si="8"/>
        <v>17</v>
      </c>
      <c r="L19" s="187"/>
      <c r="M19" s="187"/>
      <c r="N19" s="187"/>
      <c r="O19" s="187"/>
      <c r="P19" s="190">
        <f t="shared" si="9"/>
        <v>0</v>
      </c>
      <c r="Q19" s="190">
        <f t="shared" si="10"/>
        <v>0</v>
      </c>
      <c r="R19" s="190">
        <f t="shared" si="11"/>
        <v>0</v>
      </c>
      <c r="S19" s="190">
        <f t="shared" si="12"/>
        <v>0</v>
      </c>
      <c r="X19" s="188"/>
      <c r="Y19" s="188"/>
    </row>
    <row r="20" spans="1:25" x14ac:dyDescent="0.25">
      <c r="A20" s="181">
        <v>18</v>
      </c>
      <c r="B20" s="181">
        <f t="shared" si="4"/>
        <v>18</v>
      </c>
      <c r="C20" s="182">
        <f t="shared" si="0"/>
        <v>16.005600000000001</v>
      </c>
      <c r="D20" s="182">
        <f t="shared" si="5"/>
        <v>5.3412974993444156</v>
      </c>
      <c r="E20" s="182">
        <f t="shared" si="6"/>
        <v>37.179179811358189</v>
      </c>
      <c r="F20" s="183">
        <f t="shared" ref="F20:F82" si="14">F19+1</f>
        <v>18</v>
      </c>
      <c r="G20" s="191">
        <f t="shared" si="13"/>
        <v>30</v>
      </c>
      <c r="H20" s="185">
        <f t="shared" si="1"/>
        <v>27.144000000000002</v>
      </c>
      <c r="I20" s="185">
        <f t="shared" si="2"/>
        <v>8.5181694620316346</v>
      </c>
      <c r="J20" s="185">
        <f t="shared" si="3"/>
        <v>62.111611813038422</v>
      </c>
      <c r="K20" s="186">
        <f t="shared" si="8"/>
        <v>18</v>
      </c>
      <c r="L20" s="187"/>
      <c r="M20" s="196"/>
      <c r="N20" s="196"/>
      <c r="O20" s="196"/>
      <c r="P20" s="190">
        <f t="shared" si="9"/>
        <v>0</v>
      </c>
      <c r="Q20" s="190">
        <f t="shared" si="10"/>
        <v>0</v>
      </c>
      <c r="R20" s="190">
        <f t="shared" si="11"/>
        <v>0</v>
      </c>
      <c r="S20" s="190">
        <f t="shared" si="12"/>
        <v>0</v>
      </c>
      <c r="V20" s="198"/>
      <c r="W20" s="199"/>
    </row>
    <row r="21" spans="1:25" x14ac:dyDescent="0.25">
      <c r="A21" s="181">
        <v>19</v>
      </c>
      <c r="B21" s="181">
        <f t="shared" si="4"/>
        <v>19</v>
      </c>
      <c r="C21" s="182">
        <f t="shared" si="0"/>
        <v>16.894799999999996</v>
      </c>
      <c r="D21" s="182">
        <f t="shared" si="5"/>
        <v>5.6026651130643454</v>
      </c>
      <c r="E21" s="182">
        <f t="shared" si="6"/>
        <v>39.183085071920395</v>
      </c>
      <c r="F21" s="183">
        <f>F20+1</f>
        <v>19</v>
      </c>
      <c r="G21" s="191">
        <f t="shared" si="13"/>
        <v>37</v>
      </c>
      <c r="H21" s="185">
        <f t="shared" si="1"/>
        <v>33.477599999999995</v>
      </c>
      <c r="I21" s="185">
        <f t="shared" si="2"/>
        <v>10.252386697938791</v>
      </c>
      <c r="J21" s="185">
        <f t="shared" si="3"/>
        <v>76.163060165576709</v>
      </c>
      <c r="K21" s="186">
        <f t="shared" si="8"/>
        <v>19</v>
      </c>
      <c r="L21" s="200"/>
      <c r="M21" s="201"/>
      <c r="N21" s="201"/>
      <c r="O21" s="201"/>
      <c r="P21" s="190">
        <f t="shared" si="9"/>
        <v>0</v>
      </c>
      <c r="Q21" s="190">
        <f t="shared" si="10"/>
        <v>0</v>
      </c>
      <c r="R21" s="190">
        <f t="shared" si="11"/>
        <v>0</v>
      </c>
      <c r="S21" s="190">
        <f t="shared" si="12"/>
        <v>0</v>
      </c>
      <c r="W21" s="188"/>
    </row>
    <row r="22" spans="1:25" x14ac:dyDescent="0.25">
      <c r="A22" s="181">
        <v>20</v>
      </c>
      <c r="B22" s="181">
        <f t="shared" si="4"/>
        <v>20</v>
      </c>
      <c r="C22" s="182">
        <f t="shared" si="0"/>
        <v>17.783999999999999</v>
      </c>
      <c r="D22" s="182">
        <f t="shared" si="5"/>
        <v>5.862435622634961</v>
      </c>
      <c r="E22" s="182">
        <f t="shared" si="6"/>
        <v>41.184208709422556</v>
      </c>
      <c r="F22" s="183">
        <f t="shared" si="14"/>
        <v>20</v>
      </c>
      <c r="G22" s="185">
        <f>42</f>
        <v>42</v>
      </c>
      <c r="H22" s="185">
        <f>G22*1.56*$W$1</f>
        <v>38.001599999999996</v>
      </c>
      <c r="I22" s="185">
        <f t="shared" si="2"/>
        <v>11.467401227090512</v>
      </c>
      <c r="J22" s="185">
        <f t="shared" si="3"/>
        <v>86.158510470515964</v>
      </c>
      <c r="K22" s="186">
        <f t="shared" si="8"/>
        <v>20</v>
      </c>
      <c r="L22" s="187"/>
      <c r="M22" s="196"/>
      <c r="N22" s="202"/>
      <c r="O22" s="202"/>
      <c r="P22" s="190">
        <f t="shared" si="9"/>
        <v>0</v>
      </c>
      <c r="Q22" s="190">
        <f t="shared" si="10"/>
        <v>0</v>
      </c>
      <c r="R22" s="190">
        <f t="shared" si="11"/>
        <v>0</v>
      </c>
      <c r="S22" s="190">
        <f t="shared" si="12"/>
        <v>0</v>
      </c>
      <c r="W22" s="188"/>
    </row>
    <row r="23" spans="1:25" x14ac:dyDescent="0.25">
      <c r="A23" s="181">
        <v>21</v>
      </c>
      <c r="B23" s="181">
        <f t="shared" si="4"/>
        <v>21</v>
      </c>
      <c r="C23" s="182">
        <f t="shared" si="0"/>
        <v>18.673199999999998</v>
      </c>
      <c r="D23" s="182">
        <f t="shared" si="5"/>
        <v>6.120697995410775</v>
      </c>
      <c r="E23" s="182">
        <f t="shared" si="6"/>
        <v>43.182705675340429</v>
      </c>
      <c r="F23" s="183">
        <f t="shared" si="14"/>
        <v>21</v>
      </c>
      <c r="G23" s="185">
        <f>$G$22+(F23-$F$22)*($G$27-$G$22)/($F$27-$F$22)</f>
        <v>47.6</v>
      </c>
      <c r="H23" s="185">
        <f t="shared" si="1"/>
        <v>43.068479999999994</v>
      </c>
      <c r="I23" s="185">
        <f t="shared" si="2"/>
        <v>12.808416415102187</v>
      </c>
      <c r="J23" s="185">
        <f t="shared" si="3"/>
        <v>97.318927922969621</v>
      </c>
      <c r="K23" s="186">
        <f t="shared" si="8"/>
        <v>21</v>
      </c>
      <c r="L23" s="203"/>
      <c r="M23" s="196"/>
      <c r="N23" s="196"/>
      <c r="O23" s="196"/>
      <c r="P23" s="190">
        <f t="shared" si="9"/>
        <v>0</v>
      </c>
      <c r="Q23" s="190">
        <f t="shared" si="10"/>
        <v>0</v>
      </c>
      <c r="R23" s="190">
        <f t="shared" si="11"/>
        <v>0</v>
      </c>
      <c r="S23" s="190">
        <f t="shared" si="12"/>
        <v>0</v>
      </c>
      <c r="W23" s="188"/>
    </row>
    <row r="24" spans="1:25" x14ac:dyDescent="0.25">
      <c r="A24" s="181">
        <v>22</v>
      </c>
      <c r="B24" s="181">
        <f t="shared" si="4"/>
        <v>22</v>
      </c>
      <c r="C24" s="182">
        <f t="shared" si="0"/>
        <v>19.5624</v>
      </c>
      <c r="D24" s="182">
        <f t="shared" si="5"/>
        <v>6.3775322468881095</v>
      </c>
      <c r="E24" s="182">
        <f t="shared" si="6"/>
        <v>45.178715329996784</v>
      </c>
      <c r="F24" s="183">
        <f t="shared" si="14"/>
        <v>22</v>
      </c>
      <c r="G24" s="185">
        <f>$G$22+(F24-$F$22)*($G$27-$G$22)/($F$27-$F$22)</f>
        <v>53.2</v>
      </c>
      <c r="H24" s="185">
        <f t="shared" si="1"/>
        <v>48.135359999999999</v>
      </c>
      <c r="I24" s="185">
        <f t="shared" si="2"/>
        <v>14.131148275361113</v>
      </c>
      <c r="J24" s="185">
        <f t="shared" si="3"/>
        <v>108.4475019129206</v>
      </c>
      <c r="K24" s="186">
        <f t="shared" si="8"/>
        <v>22</v>
      </c>
      <c r="L24" s="187"/>
      <c r="M24" s="187"/>
      <c r="N24" s="196"/>
      <c r="O24" s="196"/>
      <c r="P24" s="190">
        <f t="shared" si="9"/>
        <v>0</v>
      </c>
      <c r="Q24" s="190">
        <f t="shared" si="10"/>
        <v>0</v>
      </c>
      <c r="R24" s="190">
        <f t="shared" si="11"/>
        <v>0</v>
      </c>
      <c r="S24" s="190">
        <f t="shared" si="12"/>
        <v>0</v>
      </c>
      <c r="W24" s="188"/>
    </row>
    <row r="25" spans="1:25" x14ac:dyDescent="0.25">
      <c r="A25" s="181">
        <v>23</v>
      </c>
      <c r="B25" s="181">
        <f t="shared" si="4"/>
        <v>23</v>
      </c>
      <c r="C25" s="182">
        <f t="shared" si="0"/>
        <v>20.451599999999999</v>
      </c>
      <c r="D25" s="182">
        <f t="shared" si="5"/>
        <v>6.6330107072474558</v>
      </c>
      <c r="E25" s="182">
        <f t="shared" si="6"/>
        <v>47.172363648455985</v>
      </c>
      <c r="F25" s="183">
        <f t="shared" si="14"/>
        <v>23</v>
      </c>
      <c r="G25" s="185">
        <f>$G$22+(F25-$F$22)*($G$27-$G$22)/($F$27-$F$22)</f>
        <v>58.8</v>
      </c>
      <c r="H25" s="185">
        <f t="shared" si="1"/>
        <v>53.202239999999996</v>
      </c>
      <c r="I25" s="185">
        <f t="shared" si="2"/>
        <v>15.437740642425908</v>
      </c>
      <c r="J25" s="185">
        <f t="shared" si="3"/>
        <v>119.54796628555846</v>
      </c>
      <c r="K25" s="186">
        <f t="shared" si="8"/>
        <v>23</v>
      </c>
      <c r="L25" s="187"/>
      <c r="M25" s="196"/>
      <c r="N25" s="196"/>
      <c r="O25" s="202"/>
      <c r="P25" s="190">
        <f t="shared" si="9"/>
        <v>0</v>
      </c>
      <c r="Q25" s="190">
        <f t="shared" si="10"/>
        <v>0</v>
      </c>
      <c r="R25" s="190">
        <f t="shared" si="11"/>
        <v>0</v>
      </c>
      <c r="S25" s="190">
        <f t="shared" si="12"/>
        <v>0</v>
      </c>
      <c r="W25" s="188"/>
    </row>
    <row r="26" spans="1:25" x14ac:dyDescent="0.25">
      <c r="A26" s="181">
        <v>24</v>
      </c>
      <c r="B26" s="181">
        <f t="shared" si="4"/>
        <v>24</v>
      </c>
      <c r="C26" s="182">
        <f t="shared" si="0"/>
        <v>21.340800000000002</v>
      </c>
      <c r="D26" s="182">
        <f t="shared" si="5"/>
        <v>6.8871990614123195</v>
      </c>
      <c r="E26" s="182">
        <f t="shared" si="6"/>
        <v>49.163765031959791</v>
      </c>
      <c r="F26" s="183">
        <f t="shared" si="14"/>
        <v>24</v>
      </c>
      <c r="G26" s="185">
        <f>$G$22+(F26-$F$22)*($G$27-$G$22)/($F$27-$F$22)</f>
        <v>64.400000000000006</v>
      </c>
      <c r="H26" s="185">
        <f t="shared" si="1"/>
        <v>58.269120000000001</v>
      </c>
      <c r="I26" s="185">
        <f t="shared" si="2"/>
        <v>16.729905486873804</v>
      </c>
      <c r="J26" s="185">
        <f t="shared" si="3"/>
        <v>130.62330272297189</v>
      </c>
      <c r="K26" s="186">
        <f t="shared" si="8"/>
        <v>24</v>
      </c>
      <c r="L26" s="204"/>
      <c r="M26" s="205"/>
      <c r="N26" s="196"/>
      <c r="O26" s="196"/>
      <c r="P26" s="190">
        <f t="shared" si="9"/>
        <v>0</v>
      </c>
      <c r="Q26" s="190">
        <f t="shared" si="10"/>
        <v>0</v>
      </c>
      <c r="R26" s="190">
        <f t="shared" si="11"/>
        <v>0</v>
      </c>
      <c r="S26" s="190">
        <f t="shared" si="12"/>
        <v>0</v>
      </c>
      <c r="W26" s="188"/>
    </row>
    <row r="27" spans="1:25" x14ac:dyDescent="0.25">
      <c r="A27" s="181">
        <v>25</v>
      </c>
      <c r="B27" s="181">
        <f t="shared" si="4"/>
        <v>25</v>
      </c>
      <c r="C27" s="182">
        <f t="shared" si="0"/>
        <v>22.229999999999997</v>
      </c>
      <c r="D27" s="182">
        <f t="shared" si="5"/>
        <v>7.140157210880437</v>
      </c>
      <c r="E27" s="182">
        <f t="shared" si="6"/>
        <v>51.153023808950088</v>
      </c>
      <c r="F27" s="183">
        <f t="shared" si="14"/>
        <v>25</v>
      </c>
      <c r="G27" s="185">
        <f>62+8</f>
        <v>70</v>
      </c>
      <c r="H27" s="185">
        <f t="shared" si="1"/>
        <v>63.335999999999999</v>
      </c>
      <c r="I27" s="185">
        <f t="shared" si="2"/>
        <v>18.009040022946227</v>
      </c>
      <c r="J27" s="185">
        <f t="shared" si="3"/>
        <v>141.67594470663133</v>
      </c>
      <c r="K27" s="186">
        <f t="shared" si="8"/>
        <v>25</v>
      </c>
      <c r="L27" s="206">
        <f>G27-G28</f>
        <v>8</v>
      </c>
      <c r="M27" s="207">
        <v>0</v>
      </c>
      <c r="N27" s="207">
        <v>0</v>
      </c>
      <c r="O27" s="207">
        <v>0</v>
      </c>
      <c r="P27" s="190">
        <f t="shared" si="9"/>
        <v>0</v>
      </c>
      <c r="Q27" s="190">
        <f t="shared" si="10"/>
        <v>0</v>
      </c>
      <c r="R27" s="190">
        <f t="shared" si="11"/>
        <v>0</v>
      </c>
      <c r="S27" s="190">
        <f t="shared" si="12"/>
        <v>0</v>
      </c>
      <c r="W27" s="188"/>
    </row>
    <row r="28" spans="1:25" x14ac:dyDescent="0.25">
      <c r="A28" s="181">
        <v>26</v>
      </c>
      <c r="B28" s="181">
        <f t="shared" si="4"/>
        <v>26</v>
      </c>
      <c r="C28" s="182">
        <f t="shared" si="0"/>
        <v>23.119199999999999</v>
      </c>
      <c r="D28" s="182">
        <f t="shared" si="5"/>
        <v>7.3919399937804329</v>
      </c>
      <c r="E28" s="182">
        <f t="shared" si="6"/>
        <v>53.140235489167587</v>
      </c>
      <c r="F28" s="183">
        <v>25</v>
      </c>
      <c r="G28" s="185">
        <v>62</v>
      </c>
      <c r="H28" s="185">
        <f t="shared" si="1"/>
        <v>56.097599999999993</v>
      </c>
      <c r="I28" s="185">
        <f t="shared" si="2"/>
        <v>16.177791426098278</v>
      </c>
      <c r="J28" s="185">
        <f t="shared" si="3"/>
        <v>125.87964006712114</v>
      </c>
      <c r="K28" s="186">
        <f t="shared" si="8"/>
        <v>26</v>
      </c>
      <c r="L28" s="204"/>
      <c r="M28" s="204"/>
      <c r="N28" s="196"/>
      <c r="O28" s="196"/>
      <c r="P28" s="190">
        <f t="shared" si="9"/>
        <v>0</v>
      </c>
      <c r="Q28" s="190">
        <f t="shared" si="10"/>
        <v>0</v>
      </c>
      <c r="R28" s="190">
        <f t="shared" si="11"/>
        <v>0</v>
      </c>
      <c r="S28" s="190">
        <f t="shared" si="12"/>
        <v>0</v>
      </c>
      <c r="W28" s="188"/>
    </row>
    <row r="29" spans="1:25" x14ac:dyDescent="0.25">
      <c r="A29" s="181">
        <v>27</v>
      </c>
      <c r="B29" s="181">
        <f t="shared" si="4"/>
        <v>27</v>
      </c>
      <c r="C29" s="182">
        <f t="shared" si="0"/>
        <v>24.008399999999998</v>
      </c>
      <c r="D29" s="182">
        <f t="shared" si="5"/>
        <v>7.6425977910346958</v>
      </c>
      <c r="E29" s="182">
        <f t="shared" si="6"/>
        <v>55.125487819385427</v>
      </c>
      <c r="F29" s="183">
        <f t="shared" si="14"/>
        <v>26</v>
      </c>
      <c r="G29" s="185">
        <f>$G$28+(F29-$F$28)*($G$33-$G$28)/($F$33-$F$28)</f>
        <v>69</v>
      </c>
      <c r="H29" s="185">
        <f t="shared" si="1"/>
        <v>62.431199999999997</v>
      </c>
      <c r="I29" s="185">
        <f t="shared" si="2"/>
        <v>17.781524466058684</v>
      </c>
      <c r="J29" s="185">
        <f t="shared" si="3"/>
        <v>139.70382844505221</v>
      </c>
      <c r="K29" s="186">
        <f t="shared" si="8"/>
        <v>27</v>
      </c>
      <c r="L29" s="204"/>
      <c r="M29" s="205"/>
      <c r="N29" s="196"/>
      <c r="O29" s="196"/>
      <c r="P29" s="190">
        <f t="shared" si="9"/>
        <v>0</v>
      </c>
      <c r="Q29" s="190">
        <f t="shared" si="10"/>
        <v>0</v>
      </c>
      <c r="R29" s="190">
        <f t="shared" si="11"/>
        <v>0</v>
      </c>
      <c r="S29" s="190">
        <f t="shared" si="12"/>
        <v>0</v>
      </c>
      <c r="W29" s="188"/>
    </row>
    <row r="30" spans="1:25" x14ac:dyDescent="0.25">
      <c r="A30" s="181">
        <v>28</v>
      </c>
      <c r="B30" s="181">
        <f t="shared" si="4"/>
        <v>28</v>
      </c>
      <c r="C30" s="182">
        <f t="shared" si="0"/>
        <v>24.897600000000001</v>
      </c>
      <c r="D30" s="182">
        <f t="shared" si="5"/>
        <v>7.8921770401958238</v>
      </c>
      <c r="E30" s="182">
        <f t="shared" si="6"/>
        <v>57.10886167834105</v>
      </c>
      <c r="F30" s="183">
        <f t="shared" si="14"/>
        <v>27</v>
      </c>
      <c r="G30" s="185">
        <f>$G$28+(F30-$F$28)*($G$33-$G$28)/($F$33-$F$28)</f>
        <v>76</v>
      </c>
      <c r="H30" s="185">
        <f t="shared" si="1"/>
        <v>68.764799999999994</v>
      </c>
      <c r="I30" s="185">
        <f t="shared" si="2"/>
        <v>19.366396769521369</v>
      </c>
      <c r="J30" s="185">
        <f t="shared" si="3"/>
        <v>153.49516770691636</v>
      </c>
      <c r="K30" s="186">
        <f t="shared" si="8"/>
        <v>28</v>
      </c>
      <c r="L30" s="208"/>
      <c r="M30" s="205"/>
      <c r="N30" s="196"/>
      <c r="O30" s="196"/>
      <c r="P30" s="190">
        <f t="shared" si="9"/>
        <v>0</v>
      </c>
      <c r="Q30" s="190">
        <f t="shared" si="10"/>
        <v>0</v>
      </c>
      <c r="R30" s="190">
        <f t="shared" si="11"/>
        <v>0</v>
      </c>
      <c r="S30" s="190">
        <f t="shared" si="12"/>
        <v>0</v>
      </c>
      <c r="W30" s="188"/>
    </row>
    <row r="31" spans="1:25" x14ac:dyDescent="0.25">
      <c r="A31" s="181">
        <v>29</v>
      </c>
      <c r="B31" s="181">
        <f t="shared" si="4"/>
        <v>29</v>
      </c>
      <c r="C31" s="182">
        <f t="shared" si="0"/>
        <v>25.786799999999996</v>
      </c>
      <c r="D31" s="182">
        <f t="shared" si="5"/>
        <v>8.1407206738151334</v>
      </c>
      <c r="E31" s="182">
        <f t="shared" si="6"/>
        <v>59.090431840228007</v>
      </c>
      <c r="F31" s="183">
        <f t="shared" si="14"/>
        <v>28</v>
      </c>
      <c r="G31" s="185">
        <f>$G$28+(F31-$F$28)*($G$33-$G$28)/($F$33-$F$28)</f>
        <v>83</v>
      </c>
      <c r="H31" s="185">
        <f t="shared" si="1"/>
        <v>75.098400000000012</v>
      </c>
      <c r="I31" s="185">
        <f t="shared" si="2"/>
        <v>20.934343091450742</v>
      </c>
      <c r="J31" s="185">
        <f t="shared" si="3"/>
        <v>167.25702755094338</v>
      </c>
      <c r="K31" s="186">
        <f t="shared" si="8"/>
        <v>29</v>
      </c>
      <c r="L31" s="204"/>
      <c r="M31" s="205"/>
      <c r="N31" s="196"/>
      <c r="O31" s="196"/>
      <c r="P31" s="190">
        <f t="shared" si="9"/>
        <v>0</v>
      </c>
      <c r="Q31" s="190">
        <f t="shared" si="10"/>
        <v>0</v>
      </c>
      <c r="R31" s="190">
        <f t="shared" si="11"/>
        <v>0</v>
      </c>
      <c r="S31" s="190">
        <f t="shared" si="12"/>
        <v>0</v>
      </c>
      <c r="W31" s="188"/>
    </row>
    <row r="32" spans="1:25" x14ac:dyDescent="0.25">
      <c r="A32" s="181">
        <v>30</v>
      </c>
      <c r="B32" s="181">
        <f t="shared" si="4"/>
        <v>30</v>
      </c>
      <c r="C32" s="182">
        <f t="shared" si="0"/>
        <v>26.675999999999998</v>
      </c>
      <c r="D32" s="182">
        <f t="shared" si="5"/>
        <v>8.388268495647786</v>
      </c>
      <c r="E32" s="182">
        <f t="shared" si="6"/>
        <v>61.07026762991989</v>
      </c>
      <c r="F32" s="183">
        <f t="shared" si="14"/>
        <v>29</v>
      </c>
      <c r="G32" s="185">
        <f>$G$28+(F32-$F$28)*($G$33-$G$28)/($F$33-$F$28)</f>
        <v>90</v>
      </c>
      <c r="H32" s="185">
        <f t="shared" si="1"/>
        <v>81.432000000000002</v>
      </c>
      <c r="I32" s="185">
        <f t="shared" si="2"/>
        <v>22.486953220240881</v>
      </c>
      <c r="J32" s="185">
        <f t="shared" si="3"/>
        <v>180.99217685858619</v>
      </c>
      <c r="K32" s="186">
        <f t="shared" si="8"/>
        <v>30</v>
      </c>
      <c r="L32" s="204"/>
      <c r="M32" s="205"/>
      <c r="N32" s="196"/>
      <c r="O32" s="196"/>
      <c r="P32" s="190">
        <f t="shared" si="9"/>
        <v>0</v>
      </c>
      <c r="Q32" s="190">
        <f t="shared" si="10"/>
        <v>0</v>
      </c>
      <c r="R32" s="190">
        <f t="shared" si="11"/>
        <v>0</v>
      </c>
      <c r="S32" s="190">
        <f t="shared" si="12"/>
        <v>0</v>
      </c>
      <c r="W32" s="188"/>
    </row>
    <row r="33" spans="1:25" x14ac:dyDescent="0.25">
      <c r="A33" s="181">
        <v>31</v>
      </c>
      <c r="B33" s="181">
        <f t="shared" si="4"/>
        <v>31</v>
      </c>
      <c r="C33" s="182">
        <f t="shared" si="0"/>
        <v>27.565199999999997</v>
      </c>
      <c r="D33" s="182">
        <f t="shared" si="5"/>
        <v>8.6348575052881742</v>
      </c>
      <c r="E33" s="182">
        <f t="shared" si="6"/>
        <v>63.048433488376901</v>
      </c>
      <c r="F33" s="183">
        <f t="shared" si="14"/>
        <v>30</v>
      </c>
      <c r="G33" s="185">
        <f>76+21</f>
        <v>97</v>
      </c>
      <c r="H33" s="185">
        <f t="shared" si="1"/>
        <v>87.765599999999992</v>
      </c>
      <c r="I33" s="185">
        <f t="shared" si="2"/>
        <v>24.025555589247954</v>
      </c>
      <c r="J33" s="185">
        <f t="shared" si="3"/>
        <v>194.70292931794017</v>
      </c>
      <c r="K33" s="186">
        <f t="shared" si="8"/>
        <v>31</v>
      </c>
      <c r="L33" s="204"/>
      <c r="M33" s="205"/>
      <c r="N33" s="196"/>
      <c r="O33" s="196"/>
      <c r="P33" s="190">
        <f t="shared" si="9"/>
        <v>0</v>
      </c>
      <c r="Q33" s="190">
        <f t="shared" si="10"/>
        <v>0</v>
      </c>
      <c r="R33" s="190">
        <f t="shared" si="11"/>
        <v>0</v>
      </c>
      <c r="S33" s="190">
        <f t="shared" si="12"/>
        <v>0</v>
      </c>
      <c r="W33" s="188"/>
    </row>
    <row r="34" spans="1:25" x14ac:dyDescent="0.25">
      <c r="A34" s="181">
        <v>32</v>
      </c>
      <c r="B34" s="181">
        <f t="shared" si="4"/>
        <v>32</v>
      </c>
      <c r="C34" s="182">
        <f t="shared" si="0"/>
        <v>28.4544</v>
      </c>
      <c r="D34" s="182">
        <f t="shared" si="5"/>
        <v>8.8805221797401614</v>
      </c>
      <c r="E34" s="182">
        <f t="shared" si="6"/>
        <v>65.024989463047447</v>
      </c>
      <c r="F34" s="183">
        <f t="shared" si="14"/>
        <v>31</v>
      </c>
      <c r="G34" s="185">
        <f>$G$33+(F34-$F$33)*($G$38-$G$33)/($F$38-$F$33)</f>
        <v>105</v>
      </c>
      <c r="H34" s="185">
        <f t="shared" si="1"/>
        <v>95.004000000000005</v>
      </c>
      <c r="I34" s="185">
        <f t="shared" si="2"/>
        <v>25.768242550600785</v>
      </c>
      <c r="J34" s="185">
        <f t="shared" si="3"/>
        <v>210.34498910896306</v>
      </c>
      <c r="K34" s="186">
        <f t="shared" si="8"/>
        <v>32</v>
      </c>
      <c r="L34" s="201"/>
      <c r="M34" s="207"/>
      <c r="N34" s="207"/>
      <c r="O34" s="207"/>
      <c r="P34" s="190">
        <f t="shared" si="9"/>
        <v>0</v>
      </c>
      <c r="Q34" s="190">
        <f t="shared" si="10"/>
        <v>0</v>
      </c>
      <c r="R34" s="190">
        <f t="shared" si="11"/>
        <v>0</v>
      </c>
      <c r="S34" s="190">
        <f t="shared" si="12"/>
        <v>0</v>
      </c>
      <c r="W34" s="188"/>
    </row>
    <row r="35" spans="1:25" x14ac:dyDescent="0.25">
      <c r="A35" s="181">
        <v>33</v>
      </c>
      <c r="B35" s="181">
        <f t="shared" si="4"/>
        <v>33</v>
      </c>
      <c r="C35" s="182">
        <f t="shared" si="0"/>
        <v>29.343599999999999</v>
      </c>
      <c r="D35" s="182">
        <f t="shared" si="5"/>
        <v>9.1252947188023139</v>
      </c>
      <c r="E35" s="182">
        <f t="shared" si="6"/>
        <v>66.999991635247355</v>
      </c>
      <c r="F35" s="183">
        <f t="shared" si="14"/>
        <v>32</v>
      </c>
      <c r="G35" s="185">
        <f>$G$33+(F35-$F$33)*($G$38-$G$33)/($F$38-$F$33)</f>
        <v>113</v>
      </c>
      <c r="H35" s="185">
        <f t="shared" si="1"/>
        <v>102.24239999999999</v>
      </c>
      <c r="I35" s="185">
        <f t="shared" si="2"/>
        <v>27.495526976991481</v>
      </c>
      <c r="J35" s="185">
        <f t="shared" si="3"/>
        <v>225.96022281826015</v>
      </c>
      <c r="K35" s="186">
        <f t="shared" si="8"/>
        <v>33</v>
      </c>
      <c r="L35" s="204"/>
      <c r="M35" s="205"/>
      <c r="N35" s="196"/>
      <c r="O35" s="196"/>
      <c r="P35" s="190">
        <f t="shared" si="9"/>
        <v>0</v>
      </c>
      <c r="Q35" s="190">
        <f t="shared" si="10"/>
        <v>0</v>
      </c>
      <c r="R35" s="190">
        <f t="shared" si="11"/>
        <v>0</v>
      </c>
      <c r="S35" s="190">
        <f t="shared" si="12"/>
        <v>0</v>
      </c>
      <c r="W35" s="188"/>
      <c r="X35" s="188"/>
      <c r="Y35" s="188"/>
    </row>
    <row r="36" spans="1:25" x14ac:dyDescent="0.25">
      <c r="A36" s="181">
        <v>34</v>
      </c>
      <c r="B36" s="181">
        <f t="shared" si="4"/>
        <v>34</v>
      </c>
      <c r="C36" s="182">
        <f t="shared" si="0"/>
        <v>30.232800000000001</v>
      </c>
      <c r="D36" s="182">
        <f t="shared" si="5"/>
        <v>9.3692052598737945</v>
      </c>
      <c r="E36" s="182">
        <f t="shared" si="6"/>
        <v>68.97349249428018</v>
      </c>
      <c r="F36" s="183">
        <f t="shared" si="14"/>
        <v>33</v>
      </c>
      <c r="G36" s="185">
        <f>$G$33+(F36-$F$33)*($G$38-$G$33)/($F$38-$F$33)</f>
        <v>121</v>
      </c>
      <c r="H36" s="185">
        <f t="shared" si="1"/>
        <v>109.4808</v>
      </c>
      <c r="I36" s="185">
        <f t="shared" si="2"/>
        <v>29.208623339903898</v>
      </c>
      <c r="J36" s="185">
        <f t="shared" si="3"/>
        <v>241.5507456503326</v>
      </c>
      <c r="K36" s="186">
        <f t="shared" si="8"/>
        <v>34</v>
      </c>
      <c r="L36" s="204"/>
      <c r="M36" s="204"/>
      <c r="N36" s="187"/>
      <c r="O36" s="187"/>
      <c r="P36" s="190">
        <f t="shared" si="9"/>
        <v>0</v>
      </c>
      <c r="Q36" s="190">
        <f t="shared" si="10"/>
        <v>0</v>
      </c>
      <c r="R36" s="190">
        <f t="shared" si="11"/>
        <v>0</v>
      </c>
      <c r="S36" s="190">
        <f t="shared" si="12"/>
        <v>0</v>
      </c>
      <c r="W36" s="188"/>
      <c r="X36" s="188"/>
      <c r="Y36" s="188"/>
    </row>
    <row r="37" spans="1:25" x14ac:dyDescent="0.25">
      <c r="A37" s="181">
        <v>35</v>
      </c>
      <c r="B37" s="181">
        <f t="shared" si="4"/>
        <v>35</v>
      </c>
      <c r="C37" s="182">
        <f t="shared" si="0"/>
        <v>31.122</v>
      </c>
      <c r="D37" s="182">
        <f t="shared" si="5"/>
        <v>9.6122820667788016</v>
      </c>
      <c r="E37" s="182">
        <f t="shared" si="6"/>
        <v>70.945541266306407</v>
      </c>
      <c r="F37" s="183">
        <f t="shared" si="14"/>
        <v>34</v>
      </c>
      <c r="G37" s="185">
        <f>$G$33+(F37-$F$33)*($G$38-$G$33)/($F$38-$F$33)</f>
        <v>129</v>
      </c>
      <c r="H37" s="185">
        <f t="shared" si="1"/>
        <v>116.7192</v>
      </c>
      <c r="I37" s="185">
        <f t="shared" si="2"/>
        <v>30.908576435525887</v>
      </c>
      <c r="J37" s="185">
        <f t="shared" si="3"/>
        <v>257.11837729187425</v>
      </c>
      <c r="K37" s="186">
        <f t="shared" si="8"/>
        <v>35</v>
      </c>
      <c r="L37" s="208"/>
      <c r="M37" s="204"/>
      <c r="N37" s="187"/>
      <c r="O37" s="187"/>
      <c r="P37" s="190">
        <f t="shared" si="9"/>
        <v>0</v>
      </c>
      <c r="Q37" s="190">
        <f t="shared" si="10"/>
        <v>0</v>
      </c>
      <c r="R37" s="190">
        <f t="shared" si="11"/>
        <v>0</v>
      </c>
      <c r="S37" s="190">
        <f t="shared" si="12"/>
        <v>0</v>
      </c>
      <c r="W37" s="188"/>
      <c r="X37" s="188"/>
      <c r="Y37" s="188"/>
    </row>
    <row r="38" spans="1:25" x14ac:dyDescent="0.25">
      <c r="A38" s="181">
        <v>36</v>
      </c>
      <c r="B38" s="181">
        <f t="shared" si="4"/>
        <v>36</v>
      </c>
      <c r="C38" s="182">
        <f t="shared" si="0"/>
        <v>32.011200000000002</v>
      </c>
      <c r="D38" s="182">
        <f t="shared" si="5"/>
        <v>9.8545516964045792</v>
      </c>
      <c r="E38" s="182">
        <f t="shared" si="6"/>
        <v>72.916184204571309</v>
      </c>
      <c r="F38" s="183">
        <f t="shared" si="14"/>
        <v>35</v>
      </c>
      <c r="G38" s="185">
        <f>95+21+21</f>
        <v>137</v>
      </c>
      <c r="H38" s="185">
        <f t="shared" si="1"/>
        <v>123.95759999999999</v>
      </c>
      <c r="I38" s="185">
        <f t="shared" si="2"/>
        <v>32.59629414926458</v>
      </c>
      <c r="J38" s="185">
        <f t="shared" si="3"/>
        <v>272.6646989766358</v>
      </c>
      <c r="K38" s="186">
        <f t="shared" si="8"/>
        <v>36</v>
      </c>
      <c r="L38" s="204"/>
      <c r="M38" s="205"/>
      <c r="N38" s="196"/>
      <c r="O38" s="196"/>
      <c r="P38" s="190">
        <f t="shared" si="9"/>
        <v>0</v>
      </c>
      <c r="Q38" s="190">
        <f t="shared" si="10"/>
        <v>0</v>
      </c>
      <c r="R38" s="190">
        <f t="shared" si="11"/>
        <v>0</v>
      </c>
      <c r="S38" s="190">
        <f t="shared" si="12"/>
        <v>0</v>
      </c>
      <c r="W38" s="188"/>
      <c r="X38" s="188"/>
      <c r="Y38" s="188"/>
    </row>
    <row r="39" spans="1:25" x14ac:dyDescent="0.25">
      <c r="A39" s="181">
        <v>37</v>
      </c>
      <c r="B39" s="181">
        <f t="shared" si="4"/>
        <v>37</v>
      </c>
      <c r="C39" s="182">
        <f t="shared" si="0"/>
        <v>32.900399999999998</v>
      </c>
      <c r="D39" s="182">
        <f t="shared" si="5"/>
        <v>10.096039146303504</v>
      </c>
      <c r="E39" s="182">
        <f t="shared" si="6"/>
        <v>74.885464846478598</v>
      </c>
      <c r="F39" s="183">
        <v>35</v>
      </c>
      <c r="G39" s="185">
        <v>95</v>
      </c>
      <c r="H39" s="185">
        <f t="shared" si="1"/>
        <v>85.956000000000003</v>
      </c>
      <c r="I39" s="185">
        <f t="shared" si="2"/>
        <v>23.587315314606048</v>
      </c>
      <c r="J39" s="185">
        <f t="shared" si="3"/>
        <v>190.78794083960554</v>
      </c>
      <c r="K39" s="186">
        <f t="shared" si="8"/>
        <v>37</v>
      </c>
      <c r="L39" s="204"/>
      <c r="M39" s="204"/>
      <c r="N39" s="187"/>
      <c r="O39" s="187"/>
      <c r="P39" s="190">
        <f t="shared" si="9"/>
        <v>0</v>
      </c>
      <c r="Q39" s="190">
        <f t="shared" si="10"/>
        <v>0</v>
      </c>
      <c r="R39" s="190">
        <f t="shared" si="11"/>
        <v>0</v>
      </c>
      <c r="S39" s="190">
        <f t="shared" si="12"/>
        <v>0</v>
      </c>
      <c r="W39" s="188"/>
      <c r="X39" s="188"/>
      <c r="Y39" s="188"/>
    </row>
    <row r="40" spans="1:25" x14ac:dyDescent="0.25">
      <c r="A40" s="181">
        <v>38</v>
      </c>
      <c r="B40" s="181">
        <f t="shared" si="4"/>
        <v>38</v>
      </c>
      <c r="C40" s="182">
        <f t="shared" si="0"/>
        <v>33.789599999999993</v>
      </c>
      <c r="D40" s="182">
        <f t="shared" si="5"/>
        <v>10.336767985889495</v>
      </c>
      <c r="E40" s="182">
        <f t="shared" si="6"/>
        <v>76.853424242090853</v>
      </c>
      <c r="F40" s="183">
        <f t="shared" si="14"/>
        <v>36</v>
      </c>
      <c r="G40" s="185">
        <f>$G$39+(F40-$F$39)*($G$44-$G$39)/($F$44-$F$39)</f>
        <v>103.4</v>
      </c>
      <c r="H40" s="185">
        <f t="shared" si="1"/>
        <v>93.556319999999999</v>
      </c>
      <c r="I40" s="185">
        <f t="shared" si="2"/>
        <v>25.420979659258073</v>
      </c>
      <c r="J40" s="185">
        <f t="shared" si="3"/>
        <v>207.21879690654114</v>
      </c>
      <c r="K40" s="186">
        <f t="shared" si="8"/>
        <v>38</v>
      </c>
      <c r="L40" s="204"/>
      <c r="M40" s="204"/>
      <c r="N40" s="187"/>
      <c r="O40" s="187"/>
      <c r="P40" s="190">
        <f t="shared" si="9"/>
        <v>0</v>
      </c>
      <c r="Q40" s="190">
        <f t="shared" si="10"/>
        <v>0</v>
      </c>
      <c r="R40" s="190">
        <f t="shared" si="11"/>
        <v>0</v>
      </c>
      <c r="S40" s="190">
        <f t="shared" si="12"/>
        <v>0</v>
      </c>
      <c r="W40" s="188"/>
      <c r="X40" s="188"/>
      <c r="Y40" s="188"/>
    </row>
    <row r="41" spans="1:25" x14ac:dyDescent="0.25">
      <c r="A41" s="181">
        <v>39</v>
      </c>
      <c r="B41" s="181">
        <f t="shared" si="4"/>
        <v>39</v>
      </c>
      <c r="C41" s="182">
        <f t="shared" si="0"/>
        <v>34.678799999999995</v>
      </c>
      <c r="D41" s="182">
        <f t="shared" si="5"/>
        <v>10.576760473435781</v>
      </c>
      <c r="E41" s="182">
        <f t="shared" si="6"/>
        <v>78.820101157900638</v>
      </c>
      <c r="F41" s="183">
        <f t="shared" si="14"/>
        <v>37</v>
      </c>
      <c r="G41" s="185">
        <f>$G$39+(F41-$F$39)*($G$44-$G$39)/($F$44-$F$39)</f>
        <v>111.8</v>
      </c>
      <c r="H41" s="185">
        <f t="shared" si="1"/>
        <v>101.15664</v>
      </c>
      <c r="I41" s="185">
        <f t="shared" si="2"/>
        <v>27.237366379381644</v>
      </c>
      <c r="J41" s="185">
        <f t="shared" si="3"/>
        <v>223.61956111075634</v>
      </c>
      <c r="K41" s="186">
        <f t="shared" si="8"/>
        <v>39</v>
      </c>
      <c r="L41" s="201"/>
      <c r="M41" s="207"/>
      <c r="N41" s="207"/>
      <c r="O41" s="207"/>
      <c r="P41" s="190">
        <f t="shared" si="9"/>
        <v>0</v>
      </c>
      <c r="Q41" s="190">
        <f t="shared" si="10"/>
        <v>0</v>
      </c>
      <c r="R41" s="190">
        <f t="shared" si="11"/>
        <v>0</v>
      </c>
      <c r="S41" s="190">
        <f t="shared" si="12"/>
        <v>0</v>
      </c>
      <c r="W41" s="188"/>
      <c r="X41" s="188"/>
      <c r="Y41" s="188"/>
    </row>
    <row r="42" spans="1:25" x14ac:dyDescent="0.25">
      <c r="A42" s="181">
        <v>40</v>
      </c>
      <c r="B42" s="181">
        <f t="shared" si="4"/>
        <v>40</v>
      </c>
      <c r="C42" s="182">
        <f t="shared" si="0"/>
        <v>35.567999999999998</v>
      </c>
      <c r="D42" s="182">
        <f t="shared" si="5"/>
        <v>10.816037660735208</v>
      </c>
      <c r="E42" s="182">
        <f t="shared" si="6"/>
        <v>80.785532259113808</v>
      </c>
      <c r="F42" s="183">
        <f t="shared" si="14"/>
        <v>38</v>
      </c>
      <c r="G42" s="185">
        <f>$G$39+(F42-$F$39)*($G$44-$G$39)/($F$44-$F$39)</f>
        <v>120.2</v>
      </c>
      <c r="H42" s="185">
        <f t="shared" si="1"/>
        <v>108.75695999999999</v>
      </c>
      <c r="I42" s="185">
        <f t="shared" si="2"/>
        <v>29.037921223305585</v>
      </c>
      <c r="J42" s="185">
        <f t="shared" si="3"/>
        <v>239.99275146392384</v>
      </c>
      <c r="K42" s="186">
        <f t="shared" si="8"/>
        <v>40</v>
      </c>
      <c r="L42" s="204"/>
      <c r="M42" s="204"/>
      <c r="N42" s="187"/>
      <c r="O42" s="187"/>
      <c r="P42" s="190">
        <f t="shared" si="9"/>
        <v>0</v>
      </c>
      <c r="Q42" s="190">
        <f t="shared" si="10"/>
        <v>0</v>
      </c>
      <c r="R42" s="190">
        <f t="shared" si="11"/>
        <v>0</v>
      </c>
      <c r="S42" s="190">
        <f t="shared" si="12"/>
        <v>0</v>
      </c>
      <c r="W42" s="188"/>
      <c r="X42" s="188"/>
      <c r="Y42" s="188"/>
    </row>
    <row r="43" spans="1:25" x14ac:dyDescent="0.25">
      <c r="A43" s="181">
        <v>41</v>
      </c>
      <c r="B43" s="181">
        <f t="shared" si="4"/>
        <v>41</v>
      </c>
      <c r="C43" s="182">
        <f t="shared" si="0"/>
        <v>36.4572</v>
      </c>
      <c r="D43" s="182">
        <f t="shared" si="5"/>
        <v>11.054619486999963</v>
      </c>
      <c r="E43" s="182">
        <f t="shared" si="6"/>
        <v>82.749752273191604</v>
      </c>
      <c r="F43" s="183">
        <f t="shared" si="14"/>
        <v>39</v>
      </c>
      <c r="G43" s="185">
        <f>$G$39+(F43-$F$39)*($G$44-$G$39)/($F$44-$F$39)</f>
        <v>128.6</v>
      </c>
      <c r="H43" s="185">
        <f t="shared" si="1"/>
        <v>116.35727999999999</v>
      </c>
      <c r="I43" s="185">
        <f t="shared" si="2"/>
        <v>30.823876427820704</v>
      </c>
      <c r="J43" s="185">
        <f t="shared" si="3"/>
        <v>256.34051411178768</v>
      </c>
      <c r="K43" s="186">
        <f t="shared" si="8"/>
        <v>41</v>
      </c>
      <c r="L43" s="204"/>
      <c r="M43" s="204"/>
      <c r="N43" s="187"/>
      <c r="O43" s="187"/>
      <c r="P43" s="190">
        <f t="shared" si="9"/>
        <v>0</v>
      </c>
      <c r="Q43" s="190">
        <f t="shared" si="10"/>
        <v>0</v>
      </c>
      <c r="R43" s="190">
        <f t="shared" si="11"/>
        <v>0</v>
      </c>
      <c r="S43" s="190">
        <f t="shared" si="12"/>
        <v>0</v>
      </c>
      <c r="W43" s="188"/>
      <c r="X43" s="188"/>
      <c r="Y43" s="188"/>
    </row>
    <row r="44" spans="1:25" x14ac:dyDescent="0.25">
      <c r="A44" s="181">
        <v>42</v>
      </c>
      <c r="B44" s="181">
        <f t="shared" si="4"/>
        <v>42</v>
      </c>
      <c r="C44" s="182">
        <f t="shared" si="0"/>
        <v>37.346399999999996</v>
      </c>
      <c r="D44" s="182">
        <f t="shared" si="5"/>
        <v>11.292524863342392</v>
      </c>
      <c r="E44" s="182">
        <f t="shared" si="6"/>
        <v>84.712794136987995</v>
      </c>
      <c r="F44" s="183">
        <f t="shared" si="14"/>
        <v>40</v>
      </c>
      <c r="G44" s="209">
        <f>116+21</f>
        <v>137</v>
      </c>
      <c r="H44" s="185">
        <f t="shared" si="1"/>
        <v>123.95759999999999</v>
      </c>
      <c r="I44" s="185">
        <f t="shared" si="2"/>
        <v>32.59629414926458</v>
      </c>
      <c r="J44" s="185">
        <f t="shared" si="3"/>
        <v>272.6646989766358</v>
      </c>
      <c r="K44" s="186">
        <f t="shared" si="8"/>
        <v>42</v>
      </c>
      <c r="L44" s="208"/>
      <c r="M44" s="205"/>
      <c r="N44" s="196"/>
      <c r="O44" s="196"/>
      <c r="P44" s="190">
        <f t="shared" si="9"/>
        <v>0</v>
      </c>
      <c r="Q44" s="190">
        <f t="shared" si="10"/>
        <v>0</v>
      </c>
      <c r="R44" s="190">
        <f t="shared" si="11"/>
        <v>0</v>
      </c>
      <c r="S44" s="190">
        <f t="shared" si="12"/>
        <v>0</v>
      </c>
      <c r="W44" s="188"/>
      <c r="X44" s="188"/>
      <c r="Y44" s="188"/>
    </row>
    <row r="45" spans="1:25" x14ac:dyDescent="0.25">
      <c r="A45" s="181">
        <v>43</v>
      </c>
      <c r="B45" s="181">
        <f t="shared" si="4"/>
        <v>43</v>
      </c>
      <c r="C45" s="182">
        <f t="shared" si="0"/>
        <v>38.235599999999998</v>
      </c>
      <c r="D45" s="182">
        <f t="shared" si="5"/>
        <v>11.529771748983352</v>
      </c>
      <c r="E45" s="182">
        <f t="shared" si="6"/>
        <v>86.674689129479319</v>
      </c>
      <c r="F45" s="183">
        <f t="shared" si="14"/>
        <v>41</v>
      </c>
      <c r="G45" s="209">
        <f>$G$44+(F45-$F$44)*($G$49-$G$44)/($F$49-$F$44)</f>
        <v>145.4</v>
      </c>
      <c r="H45" s="185">
        <f t="shared" si="1"/>
        <v>131.55792</v>
      </c>
      <c r="I45" s="185">
        <f t="shared" si="2"/>
        <v>34.3560989338864</v>
      </c>
      <c r="J45" s="185">
        <f t="shared" si="3"/>
        <v>288.96691630985214</v>
      </c>
      <c r="K45" s="186">
        <f t="shared" si="8"/>
        <v>43</v>
      </c>
      <c r="L45" s="204"/>
      <c r="M45" s="204"/>
      <c r="N45" s="187"/>
      <c r="O45" s="187"/>
      <c r="P45" s="190">
        <f t="shared" si="9"/>
        <v>0</v>
      </c>
      <c r="Q45" s="190">
        <f t="shared" si="10"/>
        <v>0</v>
      </c>
      <c r="R45" s="190">
        <f t="shared" si="11"/>
        <v>0</v>
      </c>
      <c r="S45" s="190">
        <f t="shared" si="12"/>
        <v>0</v>
      </c>
      <c r="W45" s="188"/>
      <c r="X45" s="188"/>
      <c r="Y45" s="188"/>
    </row>
    <row r="46" spans="1:25" x14ac:dyDescent="0.25">
      <c r="A46" s="181">
        <v>44</v>
      </c>
      <c r="B46" s="181">
        <f t="shared" si="4"/>
        <v>44</v>
      </c>
      <c r="C46" s="182">
        <f t="shared" si="0"/>
        <v>39.1248</v>
      </c>
      <c r="D46" s="182">
        <f t="shared" si="5"/>
        <v>11.766377220171686</v>
      </c>
      <c r="E46" s="182">
        <f t="shared" si="6"/>
        <v>88.635466991799021</v>
      </c>
      <c r="F46" s="183">
        <f t="shared" si="14"/>
        <v>42</v>
      </c>
      <c r="G46" s="209">
        <f>$G$44+(F46-$F$44)*($G$49-$G$44)/($F$49-$F$44)</f>
        <v>153.80000000000001</v>
      </c>
      <c r="H46" s="185">
        <f t="shared" si="1"/>
        <v>139.15824000000001</v>
      </c>
      <c r="I46" s="185">
        <f t="shared" si="2"/>
        <v>36.104102468715482</v>
      </c>
      <c r="J46" s="185">
        <f t="shared" si="3"/>
        <v>305.24857979967942</v>
      </c>
      <c r="K46" s="186">
        <f t="shared" si="8"/>
        <v>44</v>
      </c>
      <c r="L46" s="204"/>
      <c r="M46" s="204"/>
      <c r="N46" s="187"/>
      <c r="O46" s="187"/>
      <c r="P46" s="190">
        <f t="shared" si="9"/>
        <v>0</v>
      </c>
      <c r="Q46" s="190">
        <f t="shared" si="10"/>
        <v>0</v>
      </c>
      <c r="R46" s="190">
        <f t="shared" si="11"/>
        <v>0</v>
      </c>
      <c r="S46" s="190">
        <f t="shared" si="12"/>
        <v>0</v>
      </c>
      <c r="W46" s="188"/>
      <c r="X46" s="188"/>
      <c r="Y46" s="188"/>
    </row>
    <row r="47" spans="1:25" x14ac:dyDescent="0.25">
      <c r="A47" s="181">
        <v>45</v>
      </c>
      <c r="B47" s="181">
        <f t="shared" si="4"/>
        <v>45</v>
      </c>
      <c r="C47" s="182">
        <f t="shared" si="0"/>
        <v>40.013999999999996</v>
      </c>
      <c r="D47" s="182">
        <f t="shared" si="5"/>
        <v>12.002357532661732</v>
      </c>
      <c r="E47" s="182">
        <f t="shared" si="6"/>
        <v>90.595156036052515</v>
      </c>
      <c r="F47" s="183">
        <f t="shared" si="14"/>
        <v>43</v>
      </c>
      <c r="G47" s="209">
        <f>$G$44+(F47-$F$44)*($G$49-$G$44)/($F$49-$F$44)</f>
        <v>162.19999999999999</v>
      </c>
      <c r="H47" s="185">
        <f t="shared" si="1"/>
        <v>146.75855999999999</v>
      </c>
      <c r="I47" s="185">
        <f t="shared" si="2"/>
        <v>37.841022770456242</v>
      </c>
      <c r="J47" s="185">
        <f t="shared" si="3"/>
        <v>321.51093999187793</v>
      </c>
      <c r="K47" s="186">
        <f t="shared" si="8"/>
        <v>45</v>
      </c>
      <c r="L47" s="201"/>
      <c r="M47" s="201"/>
      <c r="N47" s="201"/>
      <c r="O47" s="201"/>
      <c r="P47" s="190">
        <f t="shared" si="9"/>
        <v>0</v>
      </c>
      <c r="Q47" s="190">
        <f t="shared" si="10"/>
        <v>0</v>
      </c>
      <c r="R47" s="190">
        <f t="shared" si="11"/>
        <v>0</v>
      </c>
      <c r="S47" s="190">
        <f t="shared" si="12"/>
        <v>0</v>
      </c>
      <c r="W47" s="188"/>
      <c r="X47" s="188"/>
      <c r="Y47" s="188"/>
    </row>
    <row r="48" spans="1:25" x14ac:dyDescent="0.25">
      <c r="A48" s="181">
        <v>46</v>
      </c>
      <c r="B48" s="181">
        <f t="shared" si="4"/>
        <v>46</v>
      </c>
      <c r="C48" s="182">
        <f t="shared" si="0"/>
        <v>40.903199999999998</v>
      </c>
      <c r="D48" s="182">
        <f t="shared" si="5"/>
        <v>12.2377281784806</v>
      </c>
      <c r="E48" s="182">
        <f t="shared" si="6"/>
        <v>92.553783244187045</v>
      </c>
      <c r="F48" s="183">
        <f t="shared" si="14"/>
        <v>44</v>
      </c>
      <c r="G48" s="209">
        <f>$G$44+(F48-$F$44)*($G$49-$G$44)/($F$49-$F$44)</f>
        <v>170.6</v>
      </c>
      <c r="H48" s="185">
        <f t="shared" si="1"/>
        <v>154.35888</v>
      </c>
      <c r="I48" s="185">
        <f t="shared" si="2"/>
        <v>39.567499286120309</v>
      </c>
      <c r="J48" s="185">
        <f t="shared" si="3"/>
        <v>337.75511058999291</v>
      </c>
      <c r="K48" s="186">
        <f t="shared" si="8"/>
        <v>46</v>
      </c>
      <c r="L48" s="204"/>
      <c r="M48" s="205"/>
      <c r="N48" s="196"/>
      <c r="O48" s="196"/>
      <c r="P48" s="190">
        <f t="shared" si="9"/>
        <v>0</v>
      </c>
      <c r="Q48" s="190">
        <f t="shared" si="10"/>
        <v>0</v>
      </c>
      <c r="R48" s="190">
        <f t="shared" si="11"/>
        <v>0</v>
      </c>
      <c r="S48" s="190">
        <f t="shared" si="12"/>
        <v>0</v>
      </c>
      <c r="W48" s="188"/>
      <c r="X48" s="188"/>
      <c r="Y48" s="188"/>
    </row>
    <row r="49" spans="1:25" x14ac:dyDescent="0.25">
      <c r="A49" s="181">
        <v>47</v>
      </c>
      <c r="B49" s="181">
        <f t="shared" si="4"/>
        <v>47</v>
      </c>
      <c r="C49" s="182">
        <f t="shared" si="0"/>
        <v>41.792400000000001</v>
      </c>
      <c r="D49" s="182">
        <f t="shared" si="5"/>
        <v>12.472503937619972</v>
      </c>
      <c r="E49" s="182">
        <f t="shared" si="6"/>
        <v>94.511374358021442</v>
      </c>
      <c r="F49" s="183">
        <f t="shared" si="14"/>
        <v>45</v>
      </c>
      <c r="G49" s="209">
        <f>137+21+21</f>
        <v>179</v>
      </c>
      <c r="H49" s="185">
        <f t="shared" si="1"/>
        <v>161.95919999999998</v>
      </c>
      <c r="I49" s="185">
        <f t="shared" si="2"/>
        <v>41.284104935125683</v>
      </c>
      <c r="J49" s="185">
        <f t="shared" si="3"/>
        <v>353.98208942867717</v>
      </c>
      <c r="K49" s="186">
        <f t="shared" si="8"/>
        <v>47</v>
      </c>
      <c r="L49" s="204"/>
      <c r="M49" s="204"/>
      <c r="N49" s="187"/>
      <c r="O49" s="187"/>
      <c r="P49" s="190">
        <f t="shared" si="9"/>
        <v>0</v>
      </c>
      <c r="Q49" s="190">
        <f t="shared" si="10"/>
        <v>0</v>
      </c>
      <c r="R49" s="190">
        <f t="shared" si="11"/>
        <v>0</v>
      </c>
      <c r="S49" s="190">
        <f t="shared" si="12"/>
        <v>0</v>
      </c>
      <c r="W49" s="188"/>
      <c r="X49" s="188"/>
      <c r="Y49" s="188"/>
    </row>
    <row r="50" spans="1:25" x14ac:dyDescent="0.25">
      <c r="A50" s="181">
        <v>48</v>
      </c>
      <c r="B50" s="181">
        <f t="shared" si="4"/>
        <v>48</v>
      </c>
      <c r="C50" s="182">
        <f t="shared" si="0"/>
        <v>42.681600000000003</v>
      </c>
      <c r="D50" s="182">
        <f t="shared" si="5"/>
        <v>12.70669892520443</v>
      </c>
      <c r="E50" s="182">
        <f t="shared" si="6"/>
        <v>96.467953961397711</v>
      </c>
      <c r="F50" s="183">
        <v>45</v>
      </c>
      <c r="G50" s="209">
        <v>137</v>
      </c>
      <c r="H50" s="185">
        <f t="shared" si="1"/>
        <v>123.95759999999999</v>
      </c>
      <c r="I50" s="185">
        <f t="shared" si="2"/>
        <v>32.59629414926458</v>
      </c>
      <c r="J50" s="185">
        <f t="shared" si="3"/>
        <v>272.6646989766358</v>
      </c>
      <c r="K50" s="186">
        <f t="shared" si="8"/>
        <v>48</v>
      </c>
      <c r="L50" s="208"/>
      <c r="M50" s="205"/>
      <c r="N50" s="196"/>
      <c r="O50" s="196"/>
      <c r="P50" s="190"/>
      <c r="Q50" s="190"/>
      <c r="R50" s="190"/>
      <c r="S50" s="190"/>
      <c r="W50" s="188"/>
      <c r="X50" s="188"/>
      <c r="Y50" s="188"/>
    </row>
    <row r="51" spans="1:25" x14ac:dyDescent="0.25">
      <c r="A51" s="181">
        <v>49</v>
      </c>
      <c r="B51" s="181">
        <f t="shared" si="4"/>
        <v>49</v>
      </c>
      <c r="C51" s="182">
        <f t="shared" si="0"/>
        <v>43.570799999999998</v>
      </c>
      <c r="D51" s="182">
        <f t="shared" si="5"/>
        <v>12.940326634618202</v>
      </c>
      <c r="E51" s="182">
        <f t="shared" si="6"/>
        <v>98.423545555293359</v>
      </c>
      <c r="F51" s="183">
        <f t="shared" si="14"/>
        <v>46</v>
      </c>
      <c r="G51" s="210">
        <f>$G$50+(F51-$F$50)*($G$55-$G$50)/($F$55-$F$50)</f>
        <v>145.19999999999999</v>
      </c>
      <c r="H51" s="185">
        <f t="shared" si="1"/>
        <v>131.37696</v>
      </c>
      <c r="I51" s="185">
        <f t="shared" si="2"/>
        <v>34.314338988223334</v>
      </c>
      <c r="J51" s="185">
        <f t="shared" si="3"/>
        <v>288.57901240448899</v>
      </c>
      <c r="K51" s="186">
        <f t="shared" si="8"/>
        <v>49</v>
      </c>
      <c r="L51" s="208"/>
      <c r="M51" s="204"/>
      <c r="N51" s="187"/>
      <c r="O51" s="187"/>
      <c r="P51" s="190"/>
      <c r="Q51" s="190"/>
      <c r="R51" s="190"/>
      <c r="S51" s="190"/>
      <c r="W51" s="188"/>
      <c r="X51" s="188"/>
      <c r="Y51" s="188"/>
    </row>
    <row r="52" spans="1:25" x14ac:dyDescent="0.25">
      <c r="A52" s="181">
        <v>50</v>
      </c>
      <c r="B52" s="181">
        <f t="shared" si="4"/>
        <v>50</v>
      </c>
      <c r="C52" s="182">
        <f t="shared" si="0"/>
        <v>44.459999999999994</v>
      </c>
      <c r="D52" s="182">
        <f t="shared" si="5"/>
        <v>13.173399977011854</v>
      </c>
      <c r="E52" s="182">
        <f t="shared" si="6"/>
        <v>100.37817162662895</v>
      </c>
      <c r="F52" s="183">
        <f t="shared" si="14"/>
        <v>47</v>
      </c>
      <c r="G52" s="210">
        <f>$G$50+(F52-$F$50)*($G$55-$G$50)/($F$55-$F$50)</f>
        <v>153.4</v>
      </c>
      <c r="H52" s="185">
        <f t="shared" si="1"/>
        <v>138.79632000000001</v>
      </c>
      <c r="I52" s="185">
        <f t="shared" si="2"/>
        <v>36.021120886354588</v>
      </c>
      <c r="J52" s="185">
        <f t="shared" si="3"/>
        <v>304.47370954373423</v>
      </c>
      <c r="K52" s="186">
        <f t="shared" si="8"/>
        <v>50</v>
      </c>
      <c r="L52" s="204"/>
      <c r="M52" s="204"/>
      <c r="N52" s="187"/>
      <c r="O52" s="187"/>
      <c r="P52" s="190"/>
      <c r="Q52" s="190"/>
      <c r="R52" s="190"/>
      <c r="S52" s="190"/>
      <c r="W52" s="188"/>
      <c r="X52" s="188"/>
      <c r="Y52" s="188"/>
    </row>
    <row r="53" spans="1:25" x14ac:dyDescent="0.25">
      <c r="A53" s="181">
        <v>51</v>
      </c>
      <c r="B53" s="181">
        <f t="shared" si="4"/>
        <v>51</v>
      </c>
      <c r="C53" s="182">
        <f t="shared" si="0"/>
        <v>45.349199999999996</v>
      </c>
      <c r="D53" s="182">
        <f t="shared" si="5"/>
        <v>13.405931317559235</v>
      </c>
      <c r="E53" s="182">
        <f t="shared" si="6"/>
        <v>102.33185371141566</v>
      </c>
      <c r="F53" s="183">
        <f t="shared" si="14"/>
        <v>48</v>
      </c>
      <c r="G53" s="210">
        <f>$G$50+(F53-$F$50)*($G$55-$G$50)/($F$55-$F$50)</f>
        <v>161.6</v>
      </c>
      <c r="H53" s="185">
        <f t="shared" si="1"/>
        <v>146.21567999999999</v>
      </c>
      <c r="I53" s="185">
        <f t="shared" si="2"/>
        <v>37.717310552893402</v>
      </c>
      <c r="J53" s="185">
        <f t="shared" si="3"/>
        <v>320.34995854628932</v>
      </c>
      <c r="K53" s="186">
        <f t="shared" si="8"/>
        <v>51</v>
      </c>
      <c r="L53" s="204"/>
      <c r="M53" s="204"/>
      <c r="N53" s="187"/>
      <c r="O53" s="187"/>
      <c r="P53" s="190"/>
      <c r="Q53" s="190"/>
      <c r="R53" s="190"/>
      <c r="S53" s="190"/>
      <c r="W53" s="188"/>
      <c r="X53" s="188"/>
      <c r="Y53" s="188"/>
    </row>
    <row r="54" spans="1:25" x14ac:dyDescent="0.25">
      <c r="A54" s="181">
        <v>52</v>
      </c>
      <c r="B54" s="181">
        <f t="shared" si="4"/>
        <v>52</v>
      </c>
      <c r="C54" s="182">
        <f t="shared" si="0"/>
        <v>46.238399999999999</v>
      </c>
      <c r="D54" s="182">
        <f t="shared" si="5"/>
        <v>13.637932508790355</v>
      </c>
      <c r="E54" s="182">
        <f t="shared" si="6"/>
        <v>104.28461245280987</v>
      </c>
      <c r="F54" s="183">
        <f t="shared" si="14"/>
        <v>49</v>
      </c>
      <c r="G54" s="210">
        <f>$G$50+(F54-$F$50)*($G$55-$G$50)/($F$55-$F$50)</f>
        <v>169.8</v>
      </c>
      <c r="H54" s="185">
        <f t="shared" si="1"/>
        <v>153.63504</v>
      </c>
      <c r="I54" s="185">
        <f t="shared" si="2"/>
        <v>39.403506785222667</v>
      </c>
      <c r="J54" s="185">
        <f t="shared" si="3"/>
        <v>336.20880231759617</v>
      </c>
      <c r="K54" s="186">
        <f t="shared" si="8"/>
        <v>52</v>
      </c>
      <c r="L54" s="201"/>
      <c r="M54" s="201"/>
      <c r="N54" s="201"/>
      <c r="O54" s="201"/>
      <c r="P54" s="190"/>
      <c r="Q54" s="190"/>
      <c r="R54" s="190"/>
      <c r="S54" s="190"/>
      <c r="W54" s="188"/>
      <c r="X54" s="188"/>
      <c r="Y54" s="188"/>
    </row>
    <row r="55" spans="1:25" x14ac:dyDescent="0.25">
      <c r="A55" s="181">
        <v>53</v>
      </c>
      <c r="B55" s="181">
        <f t="shared" si="4"/>
        <v>53</v>
      </c>
      <c r="C55" s="182">
        <f t="shared" si="0"/>
        <v>47.127599999999994</v>
      </c>
      <c r="D55" s="182">
        <f t="shared" si="5"/>
        <v>13.869414921287742</v>
      </c>
      <c r="E55" s="182">
        <f t="shared" si="6"/>
        <v>106.23646765457613</v>
      </c>
      <c r="F55" s="183">
        <f t="shared" si="14"/>
        <v>50</v>
      </c>
      <c r="G55" s="210">
        <f>157+21</f>
        <v>178</v>
      </c>
      <c r="H55" s="185">
        <f t="shared" si="1"/>
        <v>161.05439999999999</v>
      </c>
      <c r="I55" s="185">
        <f t="shared" si="2"/>
        <v>41.080247278685491</v>
      </c>
      <c r="J55" s="185">
        <f t="shared" si="3"/>
        <v>352.05117734371055</v>
      </c>
      <c r="K55" s="186">
        <f t="shared" si="8"/>
        <v>53</v>
      </c>
      <c r="L55" s="204"/>
      <c r="M55" s="205"/>
      <c r="N55" s="196"/>
      <c r="O55" s="196"/>
      <c r="P55" s="190"/>
      <c r="Q55" s="190"/>
      <c r="R55" s="190"/>
      <c r="S55" s="190"/>
      <c r="W55" s="188"/>
      <c r="X55" s="188"/>
      <c r="Y55" s="188"/>
    </row>
    <row r="56" spans="1:25" x14ac:dyDescent="0.25">
      <c r="A56" s="181">
        <v>54</v>
      </c>
      <c r="B56" s="181">
        <f t="shared" si="4"/>
        <v>54</v>
      </c>
      <c r="C56" s="182">
        <f t="shared" si="0"/>
        <v>48.016799999999996</v>
      </c>
      <c r="D56" s="182">
        <f t="shared" si="5"/>
        <v>14.10038947200055</v>
      </c>
      <c r="E56" s="182">
        <f t="shared" si="6"/>
        <v>108.18743833040095</v>
      </c>
      <c r="F56" s="183">
        <f t="shared" si="14"/>
        <v>51</v>
      </c>
      <c r="G56" s="210">
        <f>$G$55+(F56-$F$55)*($G$60-$G$55)/($F$60-$F$55)</f>
        <v>186</v>
      </c>
      <c r="H56" s="185">
        <f t="shared" si="1"/>
        <v>168.2928</v>
      </c>
      <c r="I56" s="185">
        <f t="shared" si="2"/>
        <v>42.707443263135104</v>
      </c>
      <c r="J56" s="185">
        <f t="shared" si="3"/>
        <v>367.49209034996028</v>
      </c>
      <c r="K56" s="186">
        <f t="shared" si="8"/>
        <v>54</v>
      </c>
      <c r="L56" s="187"/>
      <c r="M56" s="196"/>
      <c r="N56" s="196"/>
      <c r="O56" s="196"/>
      <c r="P56" s="190"/>
      <c r="Q56" s="190"/>
      <c r="R56" s="190"/>
      <c r="S56" s="190"/>
      <c r="W56" s="188"/>
      <c r="X56" s="188"/>
      <c r="Y56" s="188"/>
    </row>
    <row r="57" spans="1:25" x14ac:dyDescent="0.25">
      <c r="A57" s="181">
        <v>55</v>
      </c>
      <c r="B57" s="181">
        <f t="shared" si="4"/>
        <v>55</v>
      </c>
      <c r="C57" s="182">
        <f t="shared" si="0"/>
        <v>48.905999999999999</v>
      </c>
      <c r="D57" s="182">
        <f t="shared" si="5"/>
        <v>14.330866650402026</v>
      </c>
      <c r="E57" s="182">
        <f t="shared" si="6"/>
        <v>110.13754274945018</v>
      </c>
      <c r="F57" s="183">
        <f t="shared" si="14"/>
        <v>52</v>
      </c>
      <c r="G57" s="210">
        <f>$G$55+(F57-$F$55)*($G$60-$G$55)/($F$60-$F$55)</f>
        <v>194</v>
      </c>
      <c r="H57" s="185">
        <f t="shared" si="1"/>
        <v>175.53119999999998</v>
      </c>
      <c r="I57" s="185">
        <f t="shared" si="2"/>
        <v>44.326510481422488</v>
      </c>
      <c r="J57" s="185">
        <f t="shared" si="3"/>
        <v>382.9188457551441</v>
      </c>
      <c r="K57" s="186">
        <f t="shared" si="8"/>
        <v>55</v>
      </c>
      <c r="L57" s="187"/>
      <c r="M57" s="187"/>
      <c r="N57" s="187"/>
      <c r="O57" s="187"/>
      <c r="P57" s="190"/>
      <c r="Q57" s="190"/>
      <c r="R57" s="190"/>
      <c r="S57" s="190"/>
      <c r="W57" s="188"/>
      <c r="X57" s="188"/>
      <c r="Y57" s="188"/>
    </row>
    <row r="58" spans="1:25" x14ac:dyDescent="0.25">
      <c r="A58" s="181">
        <v>56</v>
      </c>
      <c r="B58" s="181">
        <f t="shared" si="4"/>
        <v>56</v>
      </c>
      <c r="C58" s="182">
        <f t="shared" si="0"/>
        <v>49.795200000000001</v>
      </c>
      <c r="D58" s="182">
        <f t="shared" si="5"/>
        <v>14.560856542690781</v>
      </c>
      <c r="E58" s="182">
        <f t="shared" si="6"/>
        <v>112.08679847851977</v>
      </c>
      <c r="F58" s="183">
        <f t="shared" si="14"/>
        <v>53</v>
      </c>
      <c r="G58" s="210">
        <f>$G$55+(F58-$F$55)*($G$60-$G$55)/($F$60-$F$55)</f>
        <v>202</v>
      </c>
      <c r="H58" s="185">
        <f t="shared" si="1"/>
        <v>182.7696</v>
      </c>
      <c r="I58" s="185">
        <f t="shared" si="2"/>
        <v>45.937822477650357</v>
      </c>
      <c r="J58" s="185">
        <f t="shared" si="3"/>
        <v>398.33209414857441</v>
      </c>
      <c r="K58" s="186">
        <f t="shared" si="8"/>
        <v>56</v>
      </c>
      <c r="L58" s="203"/>
      <c r="M58" s="187"/>
      <c r="N58" s="187"/>
      <c r="O58" s="187"/>
      <c r="P58" s="190"/>
      <c r="Q58" s="190"/>
      <c r="R58" s="190"/>
      <c r="S58" s="190"/>
      <c r="T58" s="188"/>
      <c r="U58" s="188"/>
      <c r="V58" s="188"/>
      <c r="W58" s="188"/>
      <c r="X58" s="188"/>
      <c r="Y58" s="188"/>
    </row>
    <row r="59" spans="1:25" x14ac:dyDescent="0.25">
      <c r="A59" s="181">
        <v>57</v>
      </c>
      <c r="B59" s="181">
        <f t="shared" si="4"/>
        <v>57</v>
      </c>
      <c r="C59" s="182">
        <f t="shared" si="0"/>
        <v>50.684399999999997</v>
      </c>
      <c r="D59" s="182">
        <f t="shared" si="5"/>
        <v>14.790368854214469</v>
      </c>
      <c r="E59" s="182">
        <f t="shared" si="6"/>
        <v>114.03522242109018</v>
      </c>
      <c r="F59" s="183">
        <f t="shared" si="14"/>
        <v>54</v>
      </c>
      <c r="G59" s="210">
        <f>$G$55+(F59-$F$55)*($G$60-$G$55)/($F$60-$F$55)</f>
        <v>210</v>
      </c>
      <c r="H59" s="185">
        <f t="shared" si="1"/>
        <v>190.00800000000001</v>
      </c>
      <c r="I59" s="185">
        <f t="shared" si="2"/>
        <v>47.541721533308163</v>
      </c>
      <c r="J59" s="185">
        <f t="shared" si="3"/>
        <v>413.73243167051174</v>
      </c>
      <c r="K59" s="186">
        <f t="shared" si="8"/>
        <v>57</v>
      </c>
      <c r="L59" s="187"/>
      <c r="M59" s="187"/>
      <c r="N59" s="187"/>
      <c r="O59" s="187"/>
      <c r="P59" s="190"/>
      <c r="Q59" s="190"/>
      <c r="R59" s="190"/>
      <c r="S59" s="190"/>
      <c r="T59" s="188"/>
      <c r="U59" s="188"/>
      <c r="V59" s="188"/>
      <c r="W59" s="188"/>
      <c r="X59" s="188"/>
      <c r="Y59" s="188"/>
    </row>
    <row r="60" spans="1:25" x14ac:dyDescent="0.25">
      <c r="A60" s="181">
        <v>58</v>
      </c>
      <c r="B60" s="181">
        <f t="shared" si="4"/>
        <v>58</v>
      </c>
      <c r="C60" s="182">
        <f t="shared" si="0"/>
        <v>51.573599999999992</v>
      </c>
      <c r="D60" s="182">
        <f t="shared" si="5"/>
        <v>15.019412930275323</v>
      </c>
      <c r="E60" s="182">
        <f t="shared" si="6"/>
        <v>115.98283085356282</v>
      </c>
      <c r="F60" s="183">
        <f t="shared" si="14"/>
        <v>55</v>
      </c>
      <c r="G60" s="210">
        <f>176+21+21</f>
        <v>218</v>
      </c>
      <c r="H60" s="185">
        <f t="shared" si="1"/>
        <v>197.24639999999997</v>
      </c>
      <c r="I60" s="185">
        <f t="shared" si="2"/>
        <v>49.138522374247202</v>
      </c>
      <c r="J60" s="185">
        <f t="shared" si="3"/>
        <v>429.1204064684805</v>
      </c>
      <c r="K60" s="186">
        <f t="shared" si="8"/>
        <v>58</v>
      </c>
      <c r="L60" s="187"/>
      <c r="M60" s="187"/>
      <c r="N60" s="187"/>
      <c r="O60" s="187"/>
      <c r="P60" s="190"/>
      <c r="Q60" s="190"/>
      <c r="R60" s="190"/>
      <c r="S60" s="190"/>
      <c r="T60" s="188"/>
      <c r="U60" s="188"/>
      <c r="V60" s="188"/>
      <c r="W60" s="188"/>
      <c r="X60" s="188"/>
      <c r="Y60" s="188"/>
    </row>
    <row r="61" spans="1:25" x14ac:dyDescent="0.25">
      <c r="A61" s="181">
        <v>59</v>
      </c>
      <c r="B61" s="181">
        <f t="shared" si="4"/>
        <v>59</v>
      </c>
      <c r="C61" s="182">
        <f t="shared" si="0"/>
        <v>52.462799999999994</v>
      </c>
      <c r="D61" s="182">
        <f t="shared" si="5"/>
        <v>15.247997775460169</v>
      </c>
      <c r="E61" s="182">
        <f t="shared" si="6"/>
        <v>117.92963945892645</v>
      </c>
      <c r="F61" s="183">
        <v>55</v>
      </c>
      <c r="G61" s="210">
        <v>176</v>
      </c>
      <c r="H61" s="185">
        <f t="shared" si="1"/>
        <v>159.2448</v>
      </c>
      <c r="I61" s="185">
        <f t="shared" si="2"/>
        <v>40.672131063901752</v>
      </c>
      <c r="J61" s="185">
        <f t="shared" si="3"/>
        <v>348.18865493629556</v>
      </c>
      <c r="K61" s="186">
        <f t="shared" si="8"/>
        <v>59</v>
      </c>
      <c r="L61" s="201"/>
      <c r="M61" s="201"/>
      <c r="N61" s="201"/>
      <c r="O61" s="201"/>
      <c r="P61" s="190"/>
      <c r="Q61" s="190"/>
      <c r="R61" s="190"/>
      <c r="S61" s="190"/>
      <c r="T61" s="188"/>
      <c r="U61" s="188"/>
      <c r="V61" s="188"/>
      <c r="W61" s="188"/>
      <c r="X61" s="188"/>
      <c r="Y61" s="188"/>
    </row>
    <row r="62" spans="1:25" x14ac:dyDescent="0.25">
      <c r="A62" s="181">
        <v>60</v>
      </c>
      <c r="B62" s="181">
        <f t="shared" si="4"/>
        <v>60</v>
      </c>
      <c r="C62" s="182">
        <f t="shared" si="0"/>
        <v>53.351999999999997</v>
      </c>
      <c r="D62" s="182">
        <f t="shared" si="5"/>
        <v>15.476132071622843</v>
      </c>
      <c r="E62" s="182">
        <f t="shared" si="6"/>
        <v>119.87566335807644</v>
      </c>
      <c r="F62" s="183">
        <f t="shared" si="14"/>
        <v>56</v>
      </c>
      <c r="G62" s="210">
        <f>$G$61+(F62-$F$61)*($G$66-$G$61)/($F$66-$F$61)</f>
        <v>183.6</v>
      </c>
      <c r="H62" s="185">
        <f t="shared" si="1"/>
        <v>166.12127999999998</v>
      </c>
      <c r="I62" s="185">
        <f t="shared" si="2"/>
        <v>42.220155874487318</v>
      </c>
      <c r="J62" s="185">
        <f t="shared" si="3"/>
        <v>362.8613341480654</v>
      </c>
      <c r="K62" s="186">
        <f t="shared" si="8"/>
        <v>60</v>
      </c>
      <c r="L62" s="201"/>
      <c r="M62" s="207"/>
      <c r="N62" s="207"/>
      <c r="O62" s="207"/>
      <c r="P62" s="190"/>
      <c r="Q62" s="190"/>
      <c r="R62" s="190"/>
      <c r="S62" s="190"/>
      <c r="T62" s="188"/>
      <c r="U62" s="188"/>
      <c r="V62" s="188"/>
    </row>
    <row r="63" spans="1:25" x14ac:dyDescent="0.25">
      <c r="A63" s="181">
        <v>61</v>
      </c>
      <c r="B63" s="181">
        <f t="shared" si="4"/>
        <v>61</v>
      </c>
      <c r="C63" s="182">
        <f t="shared" si="0"/>
        <v>54.241199999999999</v>
      </c>
      <c r="D63" s="182">
        <f t="shared" si="5"/>
        <v>15.703824194633755</v>
      </c>
      <c r="E63" s="182">
        <f t="shared" si="6"/>
        <v>121.82091713898713</v>
      </c>
      <c r="F63" s="183">
        <f t="shared" si="14"/>
        <v>57</v>
      </c>
      <c r="G63" s="210">
        <f>$G$61+(F63-$F$61)*($G$66-$G$61)/($F$66-$F$61)</f>
        <v>191.2</v>
      </c>
      <c r="H63" s="185">
        <f t="shared" si="1"/>
        <v>172.99775999999997</v>
      </c>
      <c r="I63" s="185">
        <f t="shared" si="2"/>
        <v>43.760737531919609</v>
      </c>
      <c r="J63" s="185">
        <f t="shared" si="3"/>
        <v>377.52104986809326</v>
      </c>
      <c r="K63" s="186">
        <f t="shared" si="8"/>
        <v>61</v>
      </c>
      <c r="L63" s="201"/>
      <c r="M63" s="201"/>
      <c r="N63" s="201"/>
      <c r="O63" s="201"/>
      <c r="P63" s="190"/>
      <c r="Q63" s="190"/>
      <c r="R63" s="190"/>
      <c r="S63" s="190"/>
      <c r="T63" s="188"/>
      <c r="U63" s="188"/>
      <c r="V63" s="188"/>
    </row>
    <row r="64" spans="1:25" x14ac:dyDescent="0.25">
      <c r="A64" s="181">
        <v>62</v>
      </c>
      <c r="B64" s="181">
        <f t="shared" si="4"/>
        <v>62</v>
      </c>
      <c r="C64" s="182">
        <f t="shared" si="0"/>
        <v>55.130399999999995</v>
      </c>
      <c r="D64" s="182">
        <f t="shared" si="5"/>
        <v>15.931082230000035</v>
      </c>
      <c r="E64" s="182">
        <f t="shared" si="6"/>
        <v>123.7654148839167</v>
      </c>
      <c r="F64" s="183">
        <f t="shared" si="14"/>
        <v>58</v>
      </c>
      <c r="G64" s="210">
        <f>$G$61+(F64-$F$61)*($G$66-$G$61)/($F$66-$F$61)</f>
        <v>198.8</v>
      </c>
      <c r="H64" s="185">
        <f t="shared" si="1"/>
        <v>179.87424000000001</v>
      </c>
      <c r="I64" s="185">
        <f t="shared" si="2"/>
        <v>45.294205745553846</v>
      </c>
      <c r="J64" s="185">
        <f t="shared" si="3"/>
        <v>392.16837634017293</v>
      </c>
      <c r="K64" s="186">
        <f t="shared" si="8"/>
        <v>62</v>
      </c>
      <c r="L64" s="201"/>
      <c r="M64" s="201"/>
      <c r="N64" s="201"/>
      <c r="O64" s="201"/>
      <c r="P64" s="190"/>
      <c r="Q64" s="190"/>
      <c r="R64" s="190"/>
      <c r="S64" s="190"/>
    </row>
    <row r="65" spans="1:19" x14ac:dyDescent="0.25">
      <c r="A65" s="181">
        <v>63</v>
      </c>
      <c r="B65" s="181">
        <f t="shared" si="4"/>
        <v>63</v>
      </c>
      <c r="C65" s="182">
        <f t="shared" si="0"/>
        <v>56.019599999999997</v>
      </c>
      <c r="D65" s="182">
        <f t="shared" si="5"/>
        <v>16.15791398744928</v>
      </c>
      <c r="E65" s="182">
        <f t="shared" si="6"/>
        <v>125.70917019480748</v>
      </c>
      <c r="F65" s="183">
        <f t="shared" si="14"/>
        <v>59</v>
      </c>
      <c r="G65" s="210">
        <f>$G$61+(F65-$F$61)*($G$66-$G$61)/($F$66-$F$61)</f>
        <v>206.4</v>
      </c>
      <c r="H65" s="185">
        <f t="shared" si="1"/>
        <v>186.75072</v>
      </c>
      <c r="I65" s="185">
        <f t="shared" si="2"/>
        <v>46.820863587839391</v>
      </c>
      <c r="J65" s="185">
        <f t="shared" si="3"/>
        <v>406.80384141548689</v>
      </c>
      <c r="K65" s="186">
        <f t="shared" si="8"/>
        <v>63</v>
      </c>
      <c r="L65" s="201"/>
      <c r="M65" s="201"/>
      <c r="N65" s="201"/>
      <c r="O65" s="201"/>
      <c r="P65" s="190"/>
      <c r="Q65" s="190"/>
      <c r="R65" s="190"/>
      <c r="S65" s="190"/>
    </row>
    <row r="66" spans="1:19" x14ac:dyDescent="0.25">
      <c r="A66" s="181">
        <v>64</v>
      </c>
      <c r="B66" s="181">
        <f t="shared" si="4"/>
        <v>64</v>
      </c>
      <c r="C66" s="182">
        <f t="shared" si="0"/>
        <v>56.908799999999999</v>
      </c>
      <c r="D66" s="182">
        <f t="shared" si="5"/>
        <v>16.384327014561205</v>
      </c>
      <c r="E66" s="182">
        <f t="shared" si="6"/>
        <v>127.65219621702742</v>
      </c>
      <c r="F66" s="183">
        <f t="shared" si="14"/>
        <v>60</v>
      </c>
      <c r="G66" s="210">
        <f>193+21</f>
        <v>214</v>
      </c>
      <c r="H66" s="185">
        <f t="shared" si="1"/>
        <v>193.62720000000002</v>
      </c>
      <c r="I66" s="185">
        <f t="shared" si="2"/>
        <v>48.340990547231236</v>
      </c>
      <c r="J66" s="185">
        <f t="shared" si="3"/>
        <v>421.42793186976104</v>
      </c>
      <c r="K66" s="186">
        <f t="shared" si="8"/>
        <v>64</v>
      </c>
      <c r="L66" s="206"/>
      <c r="M66" s="201"/>
      <c r="N66" s="201"/>
      <c r="O66" s="201"/>
      <c r="P66" s="190"/>
      <c r="Q66" s="190"/>
      <c r="R66" s="190"/>
      <c r="S66" s="190"/>
    </row>
    <row r="67" spans="1:19" x14ac:dyDescent="0.25">
      <c r="A67" s="181">
        <v>65</v>
      </c>
      <c r="B67" s="181">
        <f t="shared" si="4"/>
        <v>65</v>
      </c>
      <c r="C67" s="182">
        <f t="shared" ref="C67:C130" si="15">B67*$Y$1*1.56</f>
        <v>57.797999999999995</v>
      </c>
      <c r="D67" s="182">
        <f t="shared" si="5"/>
        <v>16.610328609522991</v>
      </c>
      <c r="E67" s="182">
        <f t="shared" si="6"/>
        <v>129.59450566158586</v>
      </c>
      <c r="F67" s="183">
        <f t="shared" si="14"/>
        <v>61</v>
      </c>
      <c r="G67" s="210">
        <f>$G$66+(F67-$F$66)*($G$71-$G$66)/($F$71-$F$66)</f>
        <v>221.2</v>
      </c>
      <c r="H67" s="185">
        <f t="shared" ref="H67:H130" si="16">G67*1.56*$W$1</f>
        <v>200.14175999999998</v>
      </c>
      <c r="I67" s="185">
        <f t="shared" ref="I67:I130" si="17">EXP(-1.0587+0.8836*LN(H67)+0.284)</f>
        <v>49.775320997880847</v>
      </c>
      <c r="J67" s="185">
        <f t="shared" ref="J67:J130" si="18">(H67+I67)*0.475*44/12</f>
        <v>435.27224940464242</v>
      </c>
      <c r="K67" s="186">
        <f t="shared" si="8"/>
        <v>65</v>
      </c>
      <c r="L67" s="201"/>
      <c r="M67" s="201"/>
      <c r="N67" s="201"/>
      <c r="O67" s="201"/>
      <c r="P67" s="190"/>
      <c r="Q67" s="190"/>
      <c r="R67" s="190"/>
      <c r="S67" s="190"/>
    </row>
    <row r="68" spans="1:19" x14ac:dyDescent="0.25">
      <c r="A68" s="181">
        <v>66</v>
      </c>
      <c r="B68" s="181">
        <f t="shared" ref="B68:B131" si="19">B67+1</f>
        <v>66</v>
      </c>
      <c r="C68" s="182">
        <f t="shared" si="15"/>
        <v>58.687199999999997</v>
      </c>
      <c r="D68" s="182">
        <f t="shared" ref="D68:D131" si="20">EXP(-1.0587+0.8836*LN(C68)+0.284)</f>
        <v>16.835925833077539</v>
      </c>
      <c r="E68" s="182">
        <f t="shared" ref="E68:E131" si="21">(C68+D68)*0.475*44/12</f>
        <v>131.53611082594338</v>
      </c>
      <c r="F68" s="183">
        <f t="shared" si="14"/>
        <v>62</v>
      </c>
      <c r="G68" s="210">
        <f>$G$66+(F68-$F$66)*($G$71-$G$66)/($F$71-$F$66)</f>
        <v>228.4</v>
      </c>
      <c r="H68" s="185">
        <f t="shared" si="16"/>
        <v>206.65631999999999</v>
      </c>
      <c r="I68" s="185">
        <f t="shared" si="17"/>
        <v>51.20422634371338</v>
      </c>
      <c r="J68" s="185">
        <f t="shared" si="18"/>
        <v>449.10711821530077</v>
      </c>
      <c r="K68" s="186">
        <f t="shared" ref="K68:K131" si="22">K67+1</f>
        <v>66</v>
      </c>
      <c r="L68" s="201"/>
      <c r="M68" s="201"/>
      <c r="N68" s="201"/>
      <c r="O68" s="201"/>
      <c r="P68" s="190"/>
      <c r="Q68" s="190"/>
      <c r="R68" s="190"/>
      <c r="S68" s="190"/>
    </row>
    <row r="69" spans="1:19" x14ac:dyDescent="0.25">
      <c r="A69" s="181">
        <v>67</v>
      </c>
      <c r="B69" s="181">
        <f t="shared" si="19"/>
        <v>67</v>
      </c>
      <c r="C69" s="182">
        <f t="shared" si="15"/>
        <v>59.5764</v>
      </c>
      <c r="D69" s="182">
        <f t="shared" si="20"/>
        <v>17.06112551972695</v>
      </c>
      <c r="E69" s="182">
        <f t="shared" si="21"/>
        <v>133.47702361352444</v>
      </c>
      <c r="F69" s="183">
        <f t="shared" si="14"/>
        <v>63</v>
      </c>
      <c r="G69" s="210">
        <f>$G$66+(F69-$F$66)*($G$71-$G$66)/($F$71-$F$66)</f>
        <v>235.6</v>
      </c>
      <c r="H69" s="185">
        <f t="shared" si="16"/>
        <v>213.17087999999998</v>
      </c>
      <c r="I69" s="185">
        <f t="shared" si="17"/>
        <v>52.627897224631596</v>
      </c>
      <c r="J69" s="185">
        <f>(H69+I69)*0.475*44/12</f>
        <v>462.93287033289994</v>
      </c>
      <c r="K69" s="186">
        <f t="shared" si="22"/>
        <v>67</v>
      </c>
      <c r="L69" s="201"/>
      <c r="M69" s="201"/>
      <c r="N69" s="201"/>
      <c r="O69" s="201"/>
      <c r="P69" s="190"/>
      <c r="Q69" s="190"/>
      <c r="R69" s="190"/>
      <c r="S69" s="190"/>
    </row>
    <row r="70" spans="1:19" x14ac:dyDescent="0.25">
      <c r="A70" s="181">
        <v>68</v>
      </c>
      <c r="B70" s="181">
        <f t="shared" si="19"/>
        <v>68</v>
      </c>
      <c r="C70" s="182">
        <f t="shared" si="15"/>
        <v>60.465600000000002</v>
      </c>
      <c r="D70" s="182">
        <f t="shared" si="20"/>
        <v>17.28593428824821</v>
      </c>
      <c r="E70" s="182">
        <f t="shared" si="21"/>
        <v>135.41725555203229</v>
      </c>
      <c r="F70" s="183">
        <f t="shared" si="14"/>
        <v>64</v>
      </c>
      <c r="G70" s="210">
        <f>$G$66+(F70-$F$66)*($G$71-$G$66)/($F$71-$F$66)</f>
        <v>242.8</v>
      </c>
      <c r="H70" s="185">
        <f t="shared" si="16"/>
        <v>219.68544</v>
      </c>
      <c r="I70" s="185">
        <f t="shared" si="17"/>
        <v>54.046511966469559</v>
      </c>
      <c r="J70" s="185">
        <f t="shared" si="18"/>
        <v>476.74981634160116</v>
      </c>
      <c r="K70" s="186">
        <f t="shared" si="22"/>
        <v>68</v>
      </c>
      <c r="L70" s="201"/>
      <c r="M70" s="201"/>
      <c r="N70" s="201"/>
      <c r="O70" s="201"/>
      <c r="P70" s="190"/>
      <c r="Q70" s="190"/>
      <c r="R70" s="190"/>
      <c r="S70" s="190"/>
    </row>
    <row r="71" spans="1:19" x14ac:dyDescent="0.25">
      <c r="A71" s="181">
        <v>69</v>
      </c>
      <c r="B71" s="181">
        <f t="shared" si="19"/>
        <v>69</v>
      </c>
      <c r="C71" s="182">
        <f t="shared" si="15"/>
        <v>61.354799999999997</v>
      </c>
      <c r="D71" s="182">
        <f t="shared" si="20"/>
        <v>17.510358551572615</v>
      </c>
      <c r="E71" s="182">
        <f t="shared" si="21"/>
        <v>137.35681781065566</v>
      </c>
      <c r="F71" s="183">
        <f t="shared" si="14"/>
        <v>65</v>
      </c>
      <c r="G71" s="209">
        <f>208+21+21</f>
        <v>250</v>
      </c>
      <c r="H71" s="185">
        <f t="shared" si="16"/>
        <v>226.2</v>
      </c>
      <c r="I71" s="185">
        <f t="shared" si="17"/>
        <v>55.460237717698156</v>
      </c>
      <c r="J71" s="185">
        <f t="shared" si="18"/>
        <v>490.55824735832425</v>
      </c>
      <c r="K71" s="186">
        <f t="shared" si="22"/>
        <v>69</v>
      </c>
      <c r="L71" s="201"/>
      <c r="M71" s="201"/>
      <c r="N71" s="201"/>
      <c r="O71" s="201"/>
      <c r="P71" s="190"/>
      <c r="Q71" s="190"/>
      <c r="R71" s="190"/>
      <c r="S71" s="190"/>
    </row>
    <row r="72" spans="1:19" x14ac:dyDescent="0.25">
      <c r="A72" s="181">
        <v>70</v>
      </c>
      <c r="B72" s="181">
        <f t="shared" si="19"/>
        <v>70</v>
      </c>
      <c r="C72" s="182">
        <f t="shared" si="15"/>
        <v>62.244</v>
      </c>
      <c r="D72" s="182">
        <f t="shared" si="20"/>
        <v>17.734404526076432</v>
      </c>
      <c r="E72" s="182">
        <f t="shared" si="21"/>
        <v>139.29572121624977</v>
      </c>
      <c r="F72" s="183">
        <v>65</v>
      </c>
      <c r="G72" s="209">
        <v>208</v>
      </c>
      <c r="H72" s="185">
        <f t="shared" si="16"/>
        <v>188.19839999999999</v>
      </c>
      <c r="I72" s="185">
        <f t="shared" si="17"/>
        <v>47.141424081428013</v>
      </c>
      <c r="J72" s="185">
        <f t="shared" si="18"/>
        <v>409.88352694182043</v>
      </c>
      <c r="K72" s="186">
        <f t="shared" si="22"/>
        <v>70</v>
      </c>
      <c r="L72" s="206"/>
      <c r="M72" s="201"/>
      <c r="N72" s="201"/>
      <c r="O72" s="201"/>
      <c r="P72" s="190"/>
      <c r="Q72" s="190"/>
      <c r="R72" s="190"/>
      <c r="S72" s="190"/>
    </row>
    <row r="73" spans="1:19" x14ac:dyDescent="0.25">
      <c r="A73" s="181">
        <v>71</v>
      </c>
      <c r="B73" s="181">
        <f t="shared" si="19"/>
        <v>71</v>
      </c>
      <c r="C73" s="182">
        <f t="shared" si="15"/>
        <v>63.133200000000002</v>
      </c>
      <c r="D73" s="182">
        <f t="shared" si="20"/>
        <v>17.958078240325325</v>
      </c>
      <c r="E73" s="182">
        <f t="shared" si="21"/>
        <v>141.23397626856661</v>
      </c>
      <c r="F73" s="183">
        <f t="shared" si="14"/>
        <v>66</v>
      </c>
      <c r="G73" s="209">
        <f>$G$72+(F73-$F$72)*($G$77-$G$72)/($F$77-$F$72)</f>
        <v>214.8</v>
      </c>
      <c r="H73" s="185">
        <f t="shared" si="16"/>
        <v>194.35104000000001</v>
      </c>
      <c r="I73" s="185">
        <f t="shared" si="17"/>
        <v>48.500634729810159</v>
      </c>
      <c r="J73" s="185">
        <f t="shared" si="18"/>
        <v>422.96666682108599</v>
      </c>
      <c r="K73" s="186">
        <f t="shared" si="22"/>
        <v>71</v>
      </c>
      <c r="L73" s="201"/>
      <c r="M73" s="18"/>
      <c r="N73" s="18"/>
      <c r="O73" s="18"/>
      <c r="P73" s="18"/>
      <c r="Q73" s="18"/>
      <c r="R73" s="18"/>
      <c r="S73" s="18"/>
    </row>
    <row r="74" spans="1:19" x14ac:dyDescent="0.25">
      <c r="A74" s="181">
        <v>72</v>
      </c>
      <c r="B74" s="181">
        <f t="shared" si="19"/>
        <v>72</v>
      </c>
      <c r="C74" s="182">
        <f t="shared" si="15"/>
        <v>64.022400000000005</v>
      </c>
      <c r="D74" s="182">
        <f t="shared" si="20"/>
        <v>18.181385543312242</v>
      </c>
      <c r="E74" s="182">
        <f t="shared" si="21"/>
        <v>143.17159315460216</v>
      </c>
      <c r="F74" s="183">
        <f t="shared" si="14"/>
        <v>67</v>
      </c>
      <c r="G74" s="209">
        <f>$G$72+(F74-$F$72)*($G$77-$G$72)/($F$77-$F$72)</f>
        <v>221.6</v>
      </c>
      <c r="H74" s="185">
        <f t="shared" si="16"/>
        <v>200.50368</v>
      </c>
      <c r="I74" s="185">
        <f t="shared" si="17"/>
        <v>49.854845135229887</v>
      </c>
      <c r="J74" s="185">
        <f t="shared" si="18"/>
        <v>436.04109794385869</v>
      </c>
      <c r="K74" s="186">
        <f t="shared" si="22"/>
        <v>72</v>
      </c>
      <c r="L74" s="211"/>
      <c r="M74" s="18"/>
      <c r="N74" s="18"/>
      <c r="O74" s="18"/>
      <c r="P74" s="18"/>
      <c r="Q74" s="18"/>
      <c r="R74" s="18"/>
      <c r="S74" s="18"/>
    </row>
    <row r="75" spans="1:19" x14ac:dyDescent="0.25">
      <c r="A75" s="181">
        <v>73</v>
      </c>
      <c r="B75" s="181">
        <f t="shared" si="19"/>
        <v>73</v>
      </c>
      <c r="C75" s="182">
        <f t="shared" si="15"/>
        <v>64.911600000000007</v>
      </c>
      <c r="D75" s="182">
        <f t="shared" si="20"/>
        <v>18.404332112224708</v>
      </c>
      <c r="E75" s="182">
        <f t="shared" si="21"/>
        <v>145.10858176212471</v>
      </c>
      <c r="F75" s="183">
        <f t="shared" si="14"/>
        <v>68</v>
      </c>
      <c r="G75" s="209">
        <f>$G$72+(F75-$F$72)*($G$77-$G$72)/($F$77-$F$72)</f>
        <v>228.4</v>
      </c>
      <c r="H75" s="185">
        <f t="shared" si="16"/>
        <v>206.65631999999999</v>
      </c>
      <c r="I75" s="185">
        <f t="shared" si="17"/>
        <v>51.20422634371338</v>
      </c>
      <c r="J75" s="185">
        <f t="shared" si="18"/>
        <v>449.10711821530077</v>
      </c>
      <c r="K75" s="186">
        <f t="shared" si="22"/>
        <v>73</v>
      </c>
      <c r="L75" s="201"/>
      <c r="M75" s="18"/>
      <c r="N75" s="18"/>
      <c r="O75" s="18"/>
      <c r="P75" s="18"/>
      <c r="Q75" s="18"/>
      <c r="R75" s="18"/>
      <c r="S75" s="18"/>
    </row>
    <row r="76" spans="1:19" x14ac:dyDescent="0.25">
      <c r="A76" s="181">
        <v>74</v>
      </c>
      <c r="B76" s="181">
        <f t="shared" si="19"/>
        <v>74</v>
      </c>
      <c r="C76" s="182">
        <f t="shared" si="15"/>
        <v>65.800799999999995</v>
      </c>
      <c r="D76" s="182">
        <f t="shared" si="20"/>
        <v>18.626923459774289</v>
      </c>
      <c r="E76" s="182">
        <f t="shared" si="21"/>
        <v>147.04495169244021</v>
      </c>
      <c r="F76" s="183">
        <f t="shared" si="14"/>
        <v>69</v>
      </c>
      <c r="G76" s="209">
        <f>$G$72+(F76-$F$72)*($G$77-$G$72)/($F$77-$F$72)</f>
        <v>235.2</v>
      </c>
      <c r="H76" s="185">
        <f t="shared" si="16"/>
        <v>212.80895999999998</v>
      </c>
      <c r="I76" s="185">
        <f t="shared" si="17"/>
        <v>52.548938637485847</v>
      </c>
      <c r="J76" s="185">
        <f t="shared" si="18"/>
        <v>462.16500679362116</v>
      </c>
      <c r="K76" s="186">
        <f t="shared" si="22"/>
        <v>74</v>
      </c>
      <c r="L76" s="201"/>
      <c r="M76" s="18"/>
      <c r="N76" s="18"/>
      <c r="O76" s="18"/>
      <c r="P76" s="18"/>
      <c r="Q76" s="18"/>
      <c r="R76" s="18"/>
      <c r="S76" s="18"/>
    </row>
    <row r="77" spans="1:19" x14ac:dyDescent="0.25">
      <c r="A77" s="181">
        <v>75</v>
      </c>
      <c r="B77" s="181">
        <f t="shared" si="19"/>
        <v>75</v>
      </c>
      <c r="C77" s="182">
        <f t="shared" si="15"/>
        <v>66.69</v>
      </c>
      <c r="D77" s="182">
        <f t="shared" si="20"/>
        <v>18.849164941118623</v>
      </c>
      <c r="E77" s="182">
        <f t="shared" si="21"/>
        <v>148.98071227244827</v>
      </c>
      <c r="F77" s="183">
        <f t="shared" si="14"/>
        <v>70</v>
      </c>
      <c r="G77" s="209">
        <f>221+21</f>
        <v>242</v>
      </c>
      <c r="H77" s="185">
        <f t="shared" si="16"/>
        <v>218.9616</v>
      </c>
      <c r="I77" s="185">
        <f t="shared" si="17"/>
        <v>53.88913250370743</v>
      </c>
      <c r="J77" s="185">
        <f t="shared" si="18"/>
        <v>475.21502577729046</v>
      </c>
      <c r="K77" s="186">
        <f t="shared" si="22"/>
        <v>75</v>
      </c>
      <c r="L77" s="201"/>
      <c r="M77" s="18"/>
      <c r="N77" s="18"/>
      <c r="O77" s="18"/>
      <c r="P77" s="18"/>
      <c r="Q77" s="18"/>
      <c r="R77" s="18"/>
      <c r="S77" s="18"/>
    </row>
    <row r="78" spans="1:19" x14ac:dyDescent="0.25">
      <c r="A78" s="181">
        <v>76</v>
      </c>
      <c r="B78" s="181">
        <f t="shared" si="19"/>
        <v>76</v>
      </c>
      <c r="C78" s="182">
        <f t="shared" si="15"/>
        <v>67.579199999999986</v>
      </c>
      <c r="D78" s="182">
        <f t="shared" si="20"/>
        <v>19.07106176040384</v>
      </c>
      <c r="E78" s="182">
        <f t="shared" si="21"/>
        <v>150.91587256603665</v>
      </c>
      <c r="F78" s="183">
        <f t="shared" si="14"/>
        <v>71</v>
      </c>
      <c r="G78" s="209">
        <f>$G$77+(F78-$F$77)*($G$82-$G$77)/($F$82-$F$77)</f>
        <v>248.2</v>
      </c>
      <c r="H78" s="185">
        <f t="shared" si="16"/>
        <v>224.57136</v>
      </c>
      <c r="I78" s="185">
        <f t="shared" si="17"/>
        <v>55.107255873104265</v>
      </c>
      <c r="J78" s="185">
        <f t="shared" si="18"/>
        <v>487.10692264565654</v>
      </c>
      <c r="K78" s="186">
        <f t="shared" si="22"/>
        <v>76</v>
      </c>
      <c r="L78" s="201"/>
      <c r="M78" s="18"/>
      <c r="N78" s="18"/>
      <c r="O78" s="18"/>
      <c r="P78" s="18"/>
      <c r="Q78" s="18"/>
      <c r="R78" s="18"/>
      <c r="S78" s="18"/>
    </row>
    <row r="79" spans="1:19" x14ac:dyDescent="0.25">
      <c r="A79" s="181">
        <v>77</v>
      </c>
      <c r="B79" s="181">
        <f t="shared" si="19"/>
        <v>77</v>
      </c>
      <c r="C79" s="182">
        <f t="shared" si="15"/>
        <v>68.468399999999988</v>
      </c>
      <c r="D79" s="182">
        <f t="shared" si="20"/>
        <v>19.292618976952717</v>
      </c>
      <c r="E79" s="182">
        <f t="shared" si="21"/>
        <v>152.85044138485929</v>
      </c>
      <c r="F79" s="183">
        <f t="shared" si="14"/>
        <v>72</v>
      </c>
      <c r="G79" s="209">
        <f>$G$77+(F79-$F$77)*($G$82-$G$77)/($F$82-$F$77)</f>
        <v>254.4</v>
      </c>
      <c r="H79" s="185">
        <f t="shared" si="16"/>
        <v>230.18111999999999</v>
      </c>
      <c r="I79" s="185">
        <f t="shared" si="17"/>
        <v>56.321842115392933</v>
      </c>
      <c r="J79" s="185">
        <f t="shared" si="18"/>
        <v>498.99265901764267</v>
      </c>
      <c r="K79" s="186">
        <f t="shared" si="22"/>
        <v>77</v>
      </c>
      <c r="L79" s="201"/>
      <c r="M79" s="18"/>
      <c r="N79" s="18"/>
      <c r="O79" s="18"/>
      <c r="P79" s="18"/>
      <c r="Q79" s="18"/>
      <c r="R79" s="18"/>
      <c r="S79" s="18"/>
    </row>
    <row r="80" spans="1:19" x14ac:dyDescent="0.25">
      <c r="A80" s="181">
        <v>78</v>
      </c>
      <c r="B80" s="181">
        <f t="shared" si="19"/>
        <v>78</v>
      </c>
      <c r="C80" s="182">
        <f t="shared" si="15"/>
        <v>69.357599999999991</v>
      </c>
      <c r="D80" s="182">
        <f t="shared" si="20"/>
        <v>19.513841511122433</v>
      </c>
      <c r="E80" s="182">
        <f t="shared" si="21"/>
        <v>154.78442729853825</v>
      </c>
      <c r="F80" s="183">
        <f t="shared" si="14"/>
        <v>73</v>
      </c>
      <c r="G80" s="209">
        <f>$G$77+(F80-$F$77)*($G$82-$G$77)/($F$82-$F$77)</f>
        <v>260.60000000000002</v>
      </c>
      <c r="H80" s="185">
        <f t="shared" si="16"/>
        <v>235.79088000000002</v>
      </c>
      <c r="I80" s="185">
        <f t="shared" si="17"/>
        <v>57.532987351107714</v>
      </c>
      <c r="J80" s="185">
        <f t="shared" si="18"/>
        <v>510.87240230317917</v>
      </c>
      <c r="K80" s="186">
        <f t="shared" si="22"/>
        <v>78</v>
      </c>
      <c r="L80" s="201"/>
      <c r="M80" s="18"/>
      <c r="N80" s="18"/>
      <c r="O80" s="18"/>
      <c r="P80" s="18"/>
      <c r="Q80" s="18"/>
      <c r="R80" s="18"/>
      <c r="S80" s="18"/>
    </row>
    <row r="81" spans="1:12" x14ac:dyDescent="0.25">
      <c r="A81" s="181">
        <v>79</v>
      </c>
      <c r="B81" s="181">
        <f t="shared" si="19"/>
        <v>79</v>
      </c>
      <c r="C81" s="182">
        <f t="shared" si="15"/>
        <v>70.246799999999993</v>
      </c>
      <c r="D81" s="182">
        <f t="shared" si="20"/>
        <v>19.734734149853068</v>
      </c>
      <c r="E81" s="182">
        <f t="shared" si="21"/>
        <v>156.7178386443274</v>
      </c>
      <c r="F81" s="183">
        <f t="shared" si="14"/>
        <v>74</v>
      </c>
      <c r="G81" s="209">
        <f>$G$77+(F81-$F$77)*($G$82-$G$77)/($F$82-$F$77)</f>
        <v>266.8</v>
      </c>
      <c r="H81" s="185">
        <f t="shared" si="16"/>
        <v>241.40064000000001</v>
      </c>
      <c r="I81" s="185">
        <f t="shared" si="17"/>
        <v>58.740782866262748</v>
      </c>
      <c r="J81" s="185">
        <f t="shared" si="18"/>
        <v>522.74631149207426</v>
      </c>
      <c r="K81" s="186">
        <f t="shared" si="22"/>
        <v>79</v>
      </c>
      <c r="L81" s="201"/>
    </row>
    <row r="82" spans="1:12" x14ac:dyDescent="0.25">
      <c r="A82" s="181">
        <v>80</v>
      </c>
      <c r="B82" s="181">
        <f t="shared" si="19"/>
        <v>80</v>
      </c>
      <c r="C82" s="182">
        <f t="shared" si="15"/>
        <v>71.135999999999996</v>
      </c>
      <c r="D82" s="182">
        <f t="shared" si="20"/>
        <v>19.955301551927469</v>
      </c>
      <c r="E82" s="182">
        <f t="shared" si="21"/>
        <v>158.65068353627368</v>
      </c>
      <c r="F82" s="183">
        <f t="shared" si="14"/>
        <v>75</v>
      </c>
      <c r="G82" s="209">
        <f>231+21+21</f>
        <v>273</v>
      </c>
      <c r="H82" s="185">
        <f t="shared" si="16"/>
        <v>247.01039999999998</v>
      </c>
      <c r="I82" s="185">
        <f t="shared" si="17"/>
        <v>59.945315462121812</v>
      </c>
      <c r="J82" s="185">
        <f t="shared" si="18"/>
        <v>534.61453776319547</v>
      </c>
      <c r="K82" s="186">
        <f t="shared" si="22"/>
        <v>80</v>
      </c>
      <c r="L82" s="211"/>
    </row>
    <row r="83" spans="1:12" x14ac:dyDescent="0.25">
      <c r="A83" s="181">
        <v>81</v>
      </c>
      <c r="B83" s="181">
        <f t="shared" si="19"/>
        <v>81</v>
      </c>
      <c r="C83" s="182">
        <f t="shared" si="15"/>
        <v>72.025199999999998</v>
      </c>
      <c r="D83" s="182">
        <f t="shared" si="20"/>
        <v>20.175548252960461</v>
      </c>
      <c r="E83" s="182">
        <f t="shared" si="21"/>
        <v>160.58296987390614</v>
      </c>
      <c r="F83" s="183">
        <v>75</v>
      </c>
      <c r="G83" s="209">
        <v>231</v>
      </c>
      <c r="H83" s="185">
        <f t="shared" si="16"/>
        <v>209.00879999999998</v>
      </c>
      <c r="I83" s="185">
        <f t="shared" si="17"/>
        <v>51.718923953824202</v>
      </c>
      <c r="J83" s="185">
        <f t="shared" si="18"/>
        <v>454.10078588624373</v>
      </c>
      <c r="K83" s="186">
        <f t="shared" si="22"/>
        <v>81</v>
      </c>
      <c r="L83" s="201"/>
    </row>
    <row r="84" spans="1:12" x14ac:dyDescent="0.25">
      <c r="A84" s="181">
        <v>82</v>
      </c>
      <c r="B84" s="181">
        <f t="shared" si="19"/>
        <v>82</v>
      </c>
      <c r="C84" s="182">
        <f t="shared" si="15"/>
        <v>72.914400000000001</v>
      </c>
      <c r="D84" s="182">
        <f t="shared" si="20"/>
        <v>20.395478670134668</v>
      </c>
      <c r="E84" s="182">
        <f t="shared" si="21"/>
        <v>162.51470535048455</v>
      </c>
      <c r="F84" s="183">
        <f t="shared" ref="F84:F147" si="23">F83+1</f>
        <v>76</v>
      </c>
      <c r="G84" s="209">
        <f>$G$83+(F84-$F$83)*($G$88-$G$83)/($F$88-$F$83)</f>
        <v>237</v>
      </c>
      <c r="H84" s="185">
        <f t="shared" si="16"/>
        <v>214.4376</v>
      </c>
      <c r="I84" s="185">
        <f t="shared" si="17"/>
        <v>52.904129603372375</v>
      </c>
      <c r="J84" s="185">
        <f t="shared" si="18"/>
        <v>465.62017905920681</v>
      </c>
      <c r="K84" s="186">
        <f t="shared" si="22"/>
        <v>82</v>
      </c>
      <c r="L84" s="201"/>
    </row>
    <row r="85" spans="1:12" x14ac:dyDescent="0.25">
      <c r="A85" s="181">
        <v>83</v>
      </c>
      <c r="B85" s="181">
        <f t="shared" si="19"/>
        <v>83</v>
      </c>
      <c r="C85" s="182">
        <f t="shared" si="15"/>
        <v>73.803599999999989</v>
      </c>
      <c r="D85" s="182">
        <f t="shared" si="20"/>
        <v>20.615097106698759</v>
      </c>
      <c r="E85" s="182">
        <f t="shared" si="21"/>
        <v>164.44589746083363</v>
      </c>
      <c r="F85" s="183">
        <f t="shared" si="23"/>
        <v>77</v>
      </c>
      <c r="G85" s="209">
        <f>$G$83+(F85-$F$83)*($G$88-$G$83)/($F$88-$F$83)</f>
        <v>243</v>
      </c>
      <c r="H85" s="185">
        <f t="shared" si="16"/>
        <v>219.8664</v>
      </c>
      <c r="I85" s="185">
        <f t="shared" si="17"/>
        <v>54.085847394182416</v>
      </c>
      <c r="J85" s="185">
        <f t="shared" si="18"/>
        <v>477.13349754486762</v>
      </c>
      <c r="K85" s="186">
        <f t="shared" si="22"/>
        <v>83</v>
      </c>
      <c r="L85" s="201"/>
    </row>
    <row r="86" spans="1:12" x14ac:dyDescent="0.25">
      <c r="A86" s="181">
        <v>84</v>
      </c>
      <c r="B86" s="181">
        <f t="shared" si="19"/>
        <v>84</v>
      </c>
      <c r="C86" s="182">
        <f t="shared" si="15"/>
        <v>74.692799999999991</v>
      </c>
      <c r="D86" s="182">
        <f t="shared" si="20"/>
        <v>20.834407756242822</v>
      </c>
      <c r="E86" s="182">
        <f t="shared" si="21"/>
        <v>166.37655350878956</v>
      </c>
      <c r="F86" s="183">
        <f t="shared" si="23"/>
        <v>78</v>
      </c>
      <c r="G86" s="209">
        <f>$G$83+(F86-$F$83)*($G$88-$G$83)/($F$88-$F$83)</f>
        <v>249</v>
      </c>
      <c r="H86" s="185">
        <f t="shared" si="16"/>
        <v>225.29519999999999</v>
      </c>
      <c r="I86" s="185">
        <f t="shared" si="17"/>
        <v>55.264173352293078</v>
      </c>
      <c r="J86" s="185">
        <f t="shared" si="18"/>
        <v>488.64090858857702</v>
      </c>
      <c r="K86" s="186">
        <f t="shared" si="22"/>
        <v>84</v>
      </c>
      <c r="L86" s="201"/>
    </row>
    <row r="87" spans="1:12" x14ac:dyDescent="0.25">
      <c r="A87" s="181">
        <v>85</v>
      </c>
      <c r="B87" s="181">
        <f t="shared" si="19"/>
        <v>85</v>
      </c>
      <c r="C87" s="182">
        <f t="shared" si="15"/>
        <v>75.581999999999994</v>
      </c>
      <c r="D87" s="182">
        <f t="shared" si="20"/>
        <v>21.053414706764119</v>
      </c>
      <c r="E87" s="182">
        <f t="shared" si="21"/>
        <v>168.30668061428082</v>
      </c>
      <c r="F87" s="183">
        <f t="shared" si="23"/>
        <v>79</v>
      </c>
      <c r="G87" s="209">
        <f>$G$83+(F87-$F$83)*($G$88-$G$83)/($F$88-$F$83)</f>
        <v>255</v>
      </c>
      <c r="H87" s="185">
        <f t="shared" si="16"/>
        <v>230.72399999999999</v>
      </c>
      <c r="I87" s="185">
        <f t="shared" si="17"/>
        <v>56.439198612082095</v>
      </c>
      <c r="J87" s="185">
        <f t="shared" si="18"/>
        <v>500.14257091604287</v>
      </c>
      <c r="K87" s="186">
        <f t="shared" si="22"/>
        <v>85</v>
      </c>
      <c r="L87" s="201"/>
    </row>
    <row r="88" spans="1:12" x14ac:dyDescent="0.25">
      <c r="A88" s="181">
        <v>86</v>
      </c>
      <c r="B88" s="181">
        <f t="shared" si="19"/>
        <v>86</v>
      </c>
      <c r="C88" s="182">
        <f t="shared" si="15"/>
        <v>76.471199999999996</v>
      </c>
      <c r="D88" s="182">
        <f t="shared" si="20"/>
        <v>21.272121944536345</v>
      </c>
      <c r="E88" s="182">
        <f t="shared" si="21"/>
        <v>170.23628572006746</v>
      </c>
      <c r="F88" s="183">
        <f t="shared" si="23"/>
        <v>80</v>
      </c>
      <c r="G88" s="209">
        <f>240+21</f>
        <v>261</v>
      </c>
      <c r="H88" s="185">
        <f t="shared" si="16"/>
        <v>236.15279999999998</v>
      </c>
      <c r="I88" s="185">
        <f t="shared" si="17"/>
        <v>57.61100977459936</v>
      </c>
      <c r="J88" s="185">
        <f t="shared" si="18"/>
        <v>511.63863535742718</v>
      </c>
      <c r="K88" s="186">
        <f t="shared" si="22"/>
        <v>86</v>
      </c>
      <c r="L88" s="201"/>
    </row>
    <row r="89" spans="1:12" x14ac:dyDescent="0.25">
      <c r="A89" s="181">
        <v>87</v>
      </c>
      <c r="B89" s="181">
        <f t="shared" si="19"/>
        <v>87</v>
      </c>
      <c r="C89" s="182">
        <f t="shared" si="15"/>
        <v>77.360399999999998</v>
      </c>
      <c r="D89" s="182">
        <f t="shared" si="20"/>
        <v>21.490533357793495</v>
      </c>
      <c r="E89" s="182">
        <f t="shared" si="21"/>
        <v>172.165375598157</v>
      </c>
      <c r="F89" s="183">
        <f t="shared" si="23"/>
        <v>81</v>
      </c>
      <c r="G89" s="209">
        <f>$G$88+(F89-$F$88)*($G$93-$G$88)/($F$93-$F$88)</f>
        <v>266.8</v>
      </c>
      <c r="H89" s="185">
        <f t="shared" si="16"/>
        <v>241.40064000000001</v>
      </c>
      <c r="I89" s="185">
        <f t="shared" si="17"/>
        <v>58.740782866262748</v>
      </c>
      <c r="J89" s="185">
        <f t="shared" si="18"/>
        <v>522.74631149207426</v>
      </c>
      <c r="K89" s="186">
        <f t="shared" si="22"/>
        <v>87</v>
      </c>
      <c r="L89" s="201"/>
    </row>
    <row r="90" spans="1:12" x14ac:dyDescent="0.25">
      <c r="A90" s="181">
        <v>88</v>
      </c>
      <c r="B90" s="181">
        <f t="shared" si="19"/>
        <v>88</v>
      </c>
      <c r="C90" s="182">
        <f t="shared" si="15"/>
        <v>78.249600000000001</v>
      </c>
      <c r="D90" s="182">
        <f t="shared" si="20"/>
        <v>21.708652740239781</v>
      </c>
      <c r="E90" s="182">
        <f t="shared" si="21"/>
        <v>174.09395685591764</v>
      </c>
      <c r="F90" s="183">
        <f t="shared" si="23"/>
        <v>82</v>
      </c>
      <c r="G90" s="209">
        <f>$G$88+(F90-$F$88)*($G$93-$G$88)/($F$93-$F$88)</f>
        <v>272.60000000000002</v>
      </c>
      <c r="H90" s="185">
        <f t="shared" si="16"/>
        <v>246.64848000000001</v>
      </c>
      <c r="I90" s="185">
        <f t="shared" si="17"/>
        <v>59.867700517050096</v>
      </c>
      <c r="J90" s="185">
        <f t="shared" si="18"/>
        <v>533.84901440052897</v>
      </c>
      <c r="K90" s="186">
        <f t="shared" si="22"/>
        <v>88</v>
      </c>
      <c r="L90" s="201"/>
    </row>
    <row r="91" spans="1:12" x14ac:dyDescent="0.25">
      <c r="A91" s="181">
        <v>89</v>
      </c>
      <c r="B91" s="181">
        <f t="shared" si="19"/>
        <v>89</v>
      </c>
      <c r="C91" s="182">
        <f t="shared" si="15"/>
        <v>79.138800000000003</v>
      </c>
      <c r="D91" s="182">
        <f t="shared" si="20"/>
        <v>21.926483794395324</v>
      </c>
      <c r="E91" s="182">
        <f t="shared" si="21"/>
        <v>176.02203594190519</v>
      </c>
      <c r="F91" s="183">
        <f t="shared" si="23"/>
        <v>83</v>
      </c>
      <c r="G91" s="209">
        <f>$G$88+(F91-$F$88)*($G$93-$G$88)/($F$93-$F$88)</f>
        <v>278.39999999999998</v>
      </c>
      <c r="H91" s="185">
        <f t="shared" si="16"/>
        <v>251.89631999999997</v>
      </c>
      <c r="I91" s="185">
        <f t="shared" si="17"/>
        <v>60.991830479199145</v>
      </c>
      <c r="J91" s="185">
        <f t="shared" si="18"/>
        <v>544.94686208460519</v>
      </c>
      <c r="K91" s="186">
        <f t="shared" si="22"/>
        <v>89</v>
      </c>
      <c r="L91" s="201"/>
    </row>
    <row r="92" spans="1:12" x14ac:dyDescent="0.25">
      <c r="A92" s="181">
        <v>90</v>
      </c>
      <c r="B92" s="181">
        <f t="shared" si="19"/>
        <v>90</v>
      </c>
      <c r="C92" s="182">
        <f t="shared" si="15"/>
        <v>80.027999999999992</v>
      </c>
      <c r="D92" s="182">
        <f t="shared" si="20"/>
        <v>22.144030134787155</v>
      </c>
      <c r="E92" s="182">
        <f t="shared" si="21"/>
        <v>177.94961915142096</v>
      </c>
      <c r="F92" s="183">
        <f t="shared" si="23"/>
        <v>84</v>
      </c>
      <c r="G92" s="209">
        <f>$G$88+(F92-$F$88)*($G$93-$G$88)/($F$93-$F$88)</f>
        <v>284.2</v>
      </c>
      <c r="H92" s="185">
        <f t="shared" si="16"/>
        <v>257.14415999999994</v>
      </c>
      <c r="I92" s="185">
        <f t="shared" si="17"/>
        <v>62.113237520609751</v>
      </c>
      <c r="J92" s="185">
        <f t="shared" si="18"/>
        <v>556.03996734839518</v>
      </c>
      <c r="K92" s="186">
        <f t="shared" si="22"/>
        <v>90</v>
      </c>
      <c r="L92" s="201"/>
    </row>
    <row r="93" spans="1:12" x14ac:dyDescent="0.25">
      <c r="A93" s="181">
        <v>91</v>
      </c>
      <c r="B93" s="181">
        <f t="shared" si="19"/>
        <v>91</v>
      </c>
      <c r="C93" s="182">
        <f t="shared" si="15"/>
        <v>80.917199999999994</v>
      </c>
      <c r="D93" s="182">
        <f t="shared" si="20"/>
        <v>22.361295290994434</v>
      </c>
      <c r="E93" s="182">
        <f t="shared" si="21"/>
        <v>179.87671263181528</v>
      </c>
      <c r="F93" s="183">
        <f t="shared" si="23"/>
        <v>85</v>
      </c>
      <c r="G93" s="209">
        <f>248+21+21</f>
        <v>290</v>
      </c>
      <c r="H93" s="185">
        <f t="shared" si="16"/>
        <v>262.392</v>
      </c>
      <c r="I93" s="185">
        <f t="shared" si="17"/>
        <v>63.231983614474942</v>
      </c>
      <c r="J93" s="185">
        <f t="shared" si="18"/>
        <v>567.12843812854373</v>
      </c>
      <c r="K93" s="186">
        <f t="shared" si="22"/>
        <v>91</v>
      </c>
      <c r="L93" s="201"/>
    </row>
    <row r="94" spans="1:12" x14ac:dyDescent="0.25">
      <c r="A94" s="181">
        <v>92</v>
      </c>
      <c r="B94" s="181">
        <f t="shared" si="19"/>
        <v>92</v>
      </c>
      <c r="C94" s="182">
        <f t="shared" si="15"/>
        <v>81.806399999999996</v>
      </c>
      <c r="D94" s="182">
        <f t="shared" si="20"/>
        <v>22.578282710556032</v>
      </c>
      <c r="E94" s="182">
        <f t="shared" si="21"/>
        <v>181.80332238755173</v>
      </c>
      <c r="F94" s="183">
        <v>85</v>
      </c>
      <c r="G94" s="209">
        <v>248</v>
      </c>
      <c r="H94" s="185">
        <f t="shared" si="16"/>
        <v>224.39039999999997</v>
      </c>
      <c r="I94" s="185">
        <f t="shared" si="17"/>
        <v>55.068017311015858</v>
      </c>
      <c r="J94" s="185">
        <f t="shared" si="18"/>
        <v>486.72341015001916</v>
      </c>
      <c r="K94" s="186">
        <f t="shared" si="22"/>
        <v>92</v>
      </c>
      <c r="L94" s="201"/>
    </row>
    <row r="95" spans="1:12" x14ac:dyDescent="0.25">
      <c r="A95" s="181">
        <v>93</v>
      </c>
      <c r="B95" s="181">
        <f t="shared" si="19"/>
        <v>93</v>
      </c>
      <c r="C95" s="182">
        <f t="shared" si="15"/>
        <v>82.695599999999999</v>
      </c>
      <c r="D95" s="182">
        <f t="shared" si="20"/>
        <v>22.794995761747849</v>
      </c>
      <c r="E95" s="182">
        <f t="shared" si="21"/>
        <v>183.72945428504417</v>
      </c>
      <c r="F95" s="183">
        <f t="shared" si="23"/>
        <v>86</v>
      </c>
      <c r="G95" s="209">
        <f>$G$94+(F95-$F$94)*($G$99-$G$94)/($F$99-$F$94)</f>
        <v>253.4</v>
      </c>
      <c r="H95" s="185">
        <f>G95*1.56*$W$1</f>
        <v>229.27632</v>
      </c>
      <c r="I95" s="185">
        <f t="shared" si="17"/>
        <v>56.126176307517476</v>
      </c>
      <c r="J95" s="185">
        <f t="shared" si="18"/>
        <v>497.07601440225955</v>
      </c>
      <c r="K95" s="186">
        <f t="shared" si="22"/>
        <v>93</v>
      </c>
      <c r="L95" s="201"/>
    </row>
    <row r="96" spans="1:12" x14ac:dyDescent="0.25">
      <c r="A96" s="181">
        <v>94</v>
      </c>
      <c r="B96" s="181">
        <f t="shared" si="19"/>
        <v>94</v>
      </c>
      <c r="C96" s="182">
        <f t="shared" si="15"/>
        <v>83.584800000000001</v>
      </c>
      <c r="D96" s="182">
        <f t="shared" si="20"/>
        <v>23.011437736237617</v>
      </c>
      <c r="E96" s="182">
        <f t="shared" si="21"/>
        <v>185.65511405728049</v>
      </c>
      <c r="F96" s="183">
        <f t="shared" si="23"/>
        <v>87</v>
      </c>
      <c r="G96" s="209">
        <f>$G$94+(F96-$F$94)*($G$99-$G$94)/($F$99-$F$94)</f>
        <v>258.8</v>
      </c>
      <c r="H96" s="185">
        <f>G96*1.56*$W$1</f>
        <v>234.16224</v>
      </c>
      <c r="I96" s="185">
        <f t="shared" si="17"/>
        <v>57.181713578143096</v>
      </c>
      <c r="J96" s="185">
        <f t="shared" si="18"/>
        <v>507.42405248193251</v>
      </c>
      <c r="K96" s="186">
        <f t="shared" si="22"/>
        <v>94</v>
      </c>
      <c r="L96" s="201"/>
    </row>
    <row r="97" spans="1:12" x14ac:dyDescent="0.25">
      <c r="A97" s="181">
        <v>95</v>
      </c>
      <c r="B97" s="181">
        <f t="shared" si="19"/>
        <v>95</v>
      </c>
      <c r="C97" s="182">
        <f t="shared" si="15"/>
        <v>84.474000000000004</v>
      </c>
      <c r="D97" s="182">
        <f t="shared" si="20"/>
        <v>23.22761185162317</v>
      </c>
      <c r="E97" s="182">
        <f t="shared" si="21"/>
        <v>187.5803073082437</v>
      </c>
      <c r="F97" s="183">
        <f t="shared" si="23"/>
        <v>88</v>
      </c>
      <c r="G97" s="209">
        <f>$G$94+(F97-$F$94)*($G$99-$G$94)/($F$99-$F$94)</f>
        <v>264.2</v>
      </c>
      <c r="H97" s="185">
        <f t="shared" si="16"/>
        <v>239.04815999999997</v>
      </c>
      <c r="I97" s="185">
        <f t="shared" si="17"/>
        <v>58.234690128947292</v>
      </c>
      <c r="J97" s="185">
        <f t="shared" si="18"/>
        <v>517.76763064124975</v>
      </c>
      <c r="K97" s="186">
        <f t="shared" si="22"/>
        <v>95</v>
      </c>
      <c r="L97" s="201"/>
    </row>
    <row r="98" spans="1:12" x14ac:dyDescent="0.25">
      <c r="A98" s="181">
        <v>96</v>
      </c>
      <c r="B98" s="181">
        <f t="shared" si="19"/>
        <v>96</v>
      </c>
      <c r="C98" s="182">
        <f t="shared" si="15"/>
        <v>85.363200000000006</v>
      </c>
      <c r="D98" s="182">
        <f t="shared" si="20"/>
        <v>23.443521253861029</v>
      </c>
      <c r="E98" s="182">
        <f t="shared" si="21"/>
        <v>189.50503951714131</v>
      </c>
      <c r="F98" s="183">
        <f t="shared" si="23"/>
        <v>89</v>
      </c>
      <c r="G98" s="209">
        <f>$G$94+(F98-$F$94)*($G$99-$G$94)/($F$99-$F$94)</f>
        <v>269.60000000000002</v>
      </c>
      <c r="H98" s="185">
        <f t="shared" si="16"/>
        <v>243.93407999999999</v>
      </c>
      <c r="I98" s="185">
        <f t="shared" si="17"/>
        <v>59.285164329617594</v>
      </c>
      <c r="J98" s="185">
        <f t="shared" si="18"/>
        <v>528.10685054075066</v>
      </c>
      <c r="K98" s="186">
        <f t="shared" si="22"/>
        <v>96</v>
      </c>
      <c r="L98" s="201"/>
    </row>
    <row r="99" spans="1:12" x14ac:dyDescent="0.25">
      <c r="A99" s="181">
        <v>97</v>
      </c>
      <c r="B99" s="181">
        <f t="shared" si="19"/>
        <v>97</v>
      </c>
      <c r="C99" s="182">
        <f t="shared" si="15"/>
        <v>86.252399999999994</v>
      </c>
      <c r="D99" s="182">
        <f t="shared" si="20"/>
        <v>23.659169019590802</v>
      </c>
      <c r="E99" s="182">
        <f t="shared" si="21"/>
        <v>191.42931604245396</v>
      </c>
      <c r="F99" s="183">
        <f t="shared" si="23"/>
        <v>90</v>
      </c>
      <c r="G99" s="209">
        <f>254+21</f>
        <v>275</v>
      </c>
      <c r="H99" s="185">
        <f t="shared" si="16"/>
        <v>248.82</v>
      </c>
      <c r="I99" s="185">
        <f t="shared" si="17"/>
        <v>60.333192077890068</v>
      </c>
      <c r="J99" s="185">
        <f t="shared" si="18"/>
        <v>538.44180953565854</v>
      </c>
      <c r="K99" s="186">
        <f t="shared" si="22"/>
        <v>97</v>
      </c>
      <c r="L99" s="201"/>
    </row>
    <row r="100" spans="1:12" x14ac:dyDescent="0.25">
      <c r="A100" s="181">
        <v>98</v>
      </c>
      <c r="B100" s="181">
        <f t="shared" si="19"/>
        <v>98</v>
      </c>
      <c r="C100" s="182">
        <f t="shared" si="15"/>
        <v>87.141599999999997</v>
      </c>
      <c r="D100" s="182">
        <f t="shared" si="20"/>
        <v>23.874558158360944</v>
      </c>
      <c r="E100" s="182">
        <f t="shared" si="21"/>
        <v>193.35314212581196</v>
      </c>
      <c r="F100" s="183">
        <f t="shared" si="23"/>
        <v>91</v>
      </c>
      <c r="G100" s="209">
        <f>$G$99+(F100-$F$99)*($G$104-$G$99)/($F$104-$F$99)</f>
        <v>280</v>
      </c>
      <c r="H100" s="185">
        <f t="shared" si="16"/>
        <v>253.34399999999999</v>
      </c>
      <c r="I100" s="185">
        <f t="shared" si="17"/>
        <v>61.301453431926305</v>
      </c>
      <c r="J100" s="185">
        <f t="shared" si="18"/>
        <v>548.00749806060492</v>
      </c>
      <c r="K100" s="186">
        <f t="shared" si="22"/>
        <v>98</v>
      </c>
      <c r="L100" s="201"/>
    </row>
    <row r="101" spans="1:12" x14ac:dyDescent="0.25">
      <c r="A101" s="181">
        <v>99</v>
      </c>
      <c r="B101" s="181">
        <f t="shared" si="19"/>
        <v>99</v>
      </c>
      <c r="C101" s="182">
        <f t="shared" si="15"/>
        <v>88.030799999999985</v>
      </c>
      <c r="D101" s="182">
        <f t="shared" si="20"/>
        <v>24.089691614761261</v>
      </c>
      <c r="E101" s="182">
        <f t="shared" si="21"/>
        <v>195.27652289570918</v>
      </c>
      <c r="F101" s="183">
        <f t="shared" si="23"/>
        <v>92</v>
      </c>
      <c r="G101" s="209">
        <f>$G$99+(F101-$F$99)*($G$104-$G$99)/($F$104-$F$99)</f>
        <v>285</v>
      </c>
      <c r="H101" s="185">
        <f t="shared" si="16"/>
        <v>257.86799999999999</v>
      </c>
      <c r="I101" s="185">
        <f t="shared" si="17"/>
        <v>62.267704162827528</v>
      </c>
      <c r="J101" s="185">
        <f t="shared" si="18"/>
        <v>557.56968475025803</v>
      </c>
      <c r="K101" s="186">
        <f t="shared" si="22"/>
        <v>99</v>
      </c>
      <c r="L101" s="201"/>
    </row>
    <row r="102" spans="1:12" x14ac:dyDescent="0.25">
      <c r="A102" s="181">
        <v>100</v>
      </c>
      <c r="B102" s="181">
        <f t="shared" si="19"/>
        <v>100</v>
      </c>
      <c r="C102" s="182">
        <f t="shared" si="15"/>
        <v>88.919999999999987</v>
      </c>
      <c r="D102" s="182">
        <f t="shared" si="20"/>
        <v>24.30457227046648</v>
      </c>
      <c r="E102" s="182">
        <f t="shared" si="21"/>
        <v>197.19946337106239</v>
      </c>
      <c r="F102" s="183">
        <f t="shared" si="23"/>
        <v>93</v>
      </c>
      <c r="G102" s="209">
        <f>$G$99+(F102-$F$99)*($G$104-$G$99)/($F$104-$F$99)</f>
        <v>290</v>
      </c>
      <c r="H102" s="185">
        <f t="shared" si="16"/>
        <v>262.392</v>
      </c>
      <c r="I102" s="185">
        <f t="shared" si="17"/>
        <v>63.231983614474942</v>
      </c>
      <c r="J102" s="185">
        <f t="shared" si="18"/>
        <v>567.12843812854373</v>
      </c>
      <c r="K102" s="186">
        <f t="shared" si="22"/>
        <v>100</v>
      </c>
      <c r="L102" s="201"/>
    </row>
    <row r="103" spans="1:12" x14ac:dyDescent="0.25">
      <c r="A103" s="181">
        <v>101</v>
      </c>
      <c r="B103" s="181">
        <f t="shared" si="19"/>
        <v>101</v>
      </c>
      <c r="C103" s="182">
        <f t="shared" si="15"/>
        <v>89.80919999999999</v>
      </c>
      <c r="D103" s="182">
        <f t="shared" si="20"/>
        <v>24.519202946196106</v>
      </c>
      <c r="E103" s="182">
        <f t="shared" si="21"/>
        <v>199.12196846462484</v>
      </c>
      <c r="F103" s="183">
        <f t="shared" si="23"/>
        <v>94</v>
      </c>
      <c r="G103" s="209">
        <f>$G$99+(F103-$F$99)*($G$104-$G$99)/($F$104-$F$99)</f>
        <v>295</v>
      </c>
      <c r="H103" s="185">
        <f t="shared" si="16"/>
        <v>266.916</v>
      </c>
      <c r="I103" s="185">
        <f t="shared" si="17"/>
        <v>64.194329696332176</v>
      </c>
      <c r="J103" s="185">
        <f t="shared" si="18"/>
        <v>576.68382422111188</v>
      </c>
      <c r="K103" s="186">
        <f t="shared" si="22"/>
        <v>101</v>
      </c>
      <c r="L103" s="201"/>
    </row>
    <row r="104" spans="1:12" x14ac:dyDescent="0.25">
      <c r="A104" s="181">
        <v>102</v>
      </c>
      <c r="B104" s="181">
        <f t="shared" si="19"/>
        <v>102</v>
      </c>
      <c r="C104" s="182">
        <f t="shared" si="15"/>
        <v>90.698399999999992</v>
      </c>
      <c r="D104" s="182">
        <f t="shared" si="20"/>
        <v>24.733586403594185</v>
      </c>
      <c r="E104" s="182">
        <f t="shared" si="21"/>
        <v>201.04404298625983</v>
      </c>
      <c r="F104" s="183">
        <f t="shared" si="23"/>
        <v>95</v>
      </c>
      <c r="G104" s="209">
        <f>258+21+21</f>
        <v>300</v>
      </c>
      <c r="H104" s="185">
        <f t="shared" si="16"/>
        <v>271.44</v>
      </c>
      <c r="I104" s="185">
        <f t="shared" si="17"/>
        <v>65.154778959151173</v>
      </c>
      <c r="J104" s="185">
        <f t="shared" si="18"/>
        <v>586.23590668718828</v>
      </c>
      <c r="K104" s="186">
        <f t="shared" si="22"/>
        <v>102</v>
      </c>
      <c r="L104" s="201"/>
    </row>
    <row r="105" spans="1:12" x14ac:dyDescent="0.25">
      <c r="A105" s="181">
        <v>103</v>
      </c>
      <c r="B105" s="181">
        <f t="shared" si="19"/>
        <v>103</v>
      </c>
      <c r="C105" s="182">
        <f t="shared" si="15"/>
        <v>91.587599999999995</v>
      </c>
      <c r="D105" s="182">
        <f t="shared" si="20"/>
        <v>24.947725347033259</v>
      </c>
      <c r="E105" s="182">
        <f t="shared" si="21"/>
        <v>202.96569164608289</v>
      </c>
      <c r="F105" s="183">
        <v>95</v>
      </c>
      <c r="G105" s="209">
        <v>258</v>
      </c>
      <c r="H105" s="185">
        <f t="shared" si="16"/>
        <v>233.4384</v>
      </c>
      <c r="I105" s="185">
        <f t="shared" si="17"/>
        <v>57.025500710931624</v>
      </c>
      <c r="J105" s="185">
        <f t="shared" si="18"/>
        <v>505.89129373820583</v>
      </c>
      <c r="K105" s="186">
        <f t="shared" si="22"/>
        <v>103</v>
      </c>
      <c r="L105" s="201"/>
    </row>
    <row r="106" spans="1:12" x14ac:dyDescent="0.25">
      <c r="A106" s="181">
        <v>104</v>
      </c>
      <c r="B106" s="181">
        <f t="shared" si="19"/>
        <v>104</v>
      </c>
      <c r="C106" s="182">
        <f t="shared" si="15"/>
        <v>92.476799999999997</v>
      </c>
      <c r="D106" s="182">
        <f t="shared" si="20"/>
        <v>25.161622425346422</v>
      </c>
      <c r="E106" s="182">
        <f t="shared" si="21"/>
        <v>204.88691905747837</v>
      </c>
      <c r="F106" s="183">
        <f t="shared" si="23"/>
        <v>96</v>
      </c>
      <c r="G106" s="209">
        <f>$G$105+(F106-$F$105)*($G$110-$G$105)/($F$110-$F$105)</f>
        <v>262.8</v>
      </c>
      <c r="H106" s="185">
        <f t="shared" si="16"/>
        <v>237.78144</v>
      </c>
      <c r="I106" s="185">
        <f t="shared" si="17"/>
        <v>57.96193879691095</v>
      </c>
      <c r="J106" s="185">
        <f t="shared" si="18"/>
        <v>515.08638473795327</v>
      </c>
      <c r="K106" s="186">
        <f t="shared" si="22"/>
        <v>104</v>
      </c>
      <c r="L106" s="201"/>
    </row>
    <row r="107" spans="1:12" x14ac:dyDescent="0.25">
      <c r="A107" s="181">
        <v>105</v>
      </c>
      <c r="B107" s="181">
        <f t="shared" si="19"/>
        <v>105</v>
      </c>
      <c r="C107" s="182">
        <f t="shared" si="15"/>
        <v>93.366</v>
      </c>
      <c r="D107" s="182">
        <f t="shared" si="20"/>
        <v>25.375280233490678</v>
      </c>
      <c r="E107" s="182">
        <f t="shared" si="21"/>
        <v>206.80772973999626</v>
      </c>
      <c r="F107" s="183">
        <f t="shared" si="23"/>
        <v>97</v>
      </c>
      <c r="G107" s="209">
        <f>$G$105+(F107-$F$105)*($G$110-$G$105)/($F$110-$F$105)</f>
        <v>267.60000000000002</v>
      </c>
      <c r="H107" s="185">
        <f t="shared" si="16"/>
        <v>242.12448000000003</v>
      </c>
      <c r="I107" s="185">
        <f t="shared" si="17"/>
        <v>58.896387987806008</v>
      </c>
      <c r="J107" s="185">
        <f t="shared" si="18"/>
        <v>524.27801174542878</v>
      </c>
      <c r="K107" s="186">
        <f t="shared" si="22"/>
        <v>105</v>
      </c>
      <c r="L107" s="201"/>
    </row>
    <row r="108" spans="1:12" x14ac:dyDescent="0.25">
      <c r="A108" s="181">
        <v>106</v>
      </c>
      <c r="B108" s="181">
        <f t="shared" si="19"/>
        <v>106</v>
      </c>
      <c r="C108" s="182">
        <f t="shared" si="15"/>
        <v>94.255199999999988</v>
      </c>
      <c r="D108" s="182">
        <f t="shared" si="20"/>
        <v>25.588701314145247</v>
      </c>
      <c r="E108" s="182">
        <f t="shared" si="21"/>
        <v>208.72812812213627</v>
      </c>
      <c r="F108" s="183">
        <f t="shared" si="23"/>
        <v>98</v>
      </c>
      <c r="G108" s="209">
        <f>$G$105+(F108-$F$105)*($G$110-$G$105)/($F$110-$F$105)</f>
        <v>272.39999999999998</v>
      </c>
      <c r="H108" s="185">
        <f t="shared" si="16"/>
        <v>246.46751999999995</v>
      </c>
      <c r="I108" s="185">
        <f t="shared" si="17"/>
        <v>59.828888074216977</v>
      </c>
      <c r="J108" s="185">
        <f t="shared" si="18"/>
        <v>533.46624406259446</v>
      </c>
      <c r="K108" s="186">
        <f t="shared" si="22"/>
        <v>106</v>
      </c>
      <c r="L108" s="201"/>
    </row>
    <row r="109" spans="1:12" x14ac:dyDescent="0.25">
      <c r="A109" s="181">
        <v>107</v>
      </c>
      <c r="B109" s="181">
        <f t="shared" si="19"/>
        <v>107</v>
      </c>
      <c r="C109" s="182">
        <f t="shared" si="15"/>
        <v>95.14439999999999</v>
      </c>
      <c r="D109" s="182">
        <f t="shared" si="20"/>
        <v>25.801888159247703</v>
      </c>
      <c r="E109" s="182">
        <f t="shared" si="21"/>
        <v>210.64811854402308</v>
      </c>
      <c r="F109" s="183">
        <f t="shared" si="23"/>
        <v>99</v>
      </c>
      <c r="G109" s="209">
        <f>$G$105+(F109-$F$105)*($G$110-$G$105)/($F$110-$F$105)</f>
        <v>277.2</v>
      </c>
      <c r="H109" s="185">
        <f t="shared" si="16"/>
        <v>250.81055999999998</v>
      </c>
      <c r="I109" s="185">
        <f t="shared" si="17"/>
        <v>60.75947736410869</v>
      </c>
      <c r="J109" s="185">
        <f t="shared" si="18"/>
        <v>542.65114840915601</v>
      </c>
      <c r="K109" s="186">
        <f t="shared" si="22"/>
        <v>107</v>
      </c>
      <c r="L109" s="201"/>
    </row>
    <row r="110" spans="1:12" x14ac:dyDescent="0.25">
      <c r="A110" s="181">
        <v>108</v>
      </c>
      <c r="B110" s="181">
        <f t="shared" si="19"/>
        <v>108</v>
      </c>
      <c r="C110" s="182">
        <f t="shared" si="15"/>
        <v>96.033599999999993</v>
      </c>
      <c r="D110" s="182">
        <f t="shared" si="20"/>
        <v>26.014843211471206</v>
      </c>
      <c r="E110" s="182">
        <f t="shared" si="21"/>
        <v>212.56770525997899</v>
      </c>
      <c r="F110" s="183">
        <f t="shared" si="23"/>
        <v>100</v>
      </c>
      <c r="G110" s="209">
        <f>261+21</f>
        <v>282</v>
      </c>
      <c r="H110" s="185">
        <f t="shared" si="16"/>
        <v>255.15359999999998</v>
      </c>
      <c r="I110" s="185">
        <f t="shared" si="17"/>
        <v>61.688192762754426</v>
      </c>
      <c r="J110" s="185">
        <f t="shared" si="18"/>
        <v>551.83278906179714</v>
      </c>
      <c r="K110" s="186">
        <f t="shared" si="22"/>
        <v>108</v>
      </c>
      <c r="L110" s="201"/>
    </row>
    <row r="111" spans="1:12" x14ac:dyDescent="0.25">
      <c r="A111" s="181">
        <v>109</v>
      </c>
      <c r="B111" s="181">
        <f t="shared" si="19"/>
        <v>109</v>
      </c>
      <c r="C111" s="182">
        <f t="shared" si="15"/>
        <v>96.922799999999995</v>
      </c>
      <c r="D111" s="182">
        <f t="shared" si="20"/>
        <v>26.227568865645353</v>
      </c>
      <c r="E111" s="182">
        <f t="shared" si="21"/>
        <v>214.48689244099899</v>
      </c>
      <c r="F111" s="183">
        <f t="shared" si="23"/>
        <v>101</v>
      </c>
      <c r="G111" s="209">
        <f>$G$110+(F111-$F$110)*($G$115-$G$110)/($F$115-$F$110)</f>
        <v>286.60000000000002</v>
      </c>
      <c r="H111" s="185">
        <f t="shared" si="16"/>
        <v>259.31568000000004</v>
      </c>
      <c r="I111" s="185">
        <f t="shared" si="17"/>
        <v>62.576486219623845</v>
      </c>
      <c r="J111" s="185">
        <f t="shared" si="18"/>
        <v>560.62885616584492</v>
      </c>
      <c r="K111" s="186">
        <f t="shared" si="22"/>
        <v>109</v>
      </c>
      <c r="L111" s="201"/>
    </row>
    <row r="112" spans="1:12" x14ac:dyDescent="0.25">
      <c r="A112" s="181">
        <v>110</v>
      </c>
      <c r="B112" s="181">
        <f t="shared" si="19"/>
        <v>110</v>
      </c>
      <c r="C112" s="182">
        <f t="shared" si="15"/>
        <v>97.811999999999998</v>
      </c>
      <c r="D112" s="182">
        <f t="shared" si="20"/>
        <v>26.44006747012326</v>
      </c>
      <c r="E112" s="182">
        <f t="shared" si="21"/>
        <v>216.40568417713132</v>
      </c>
      <c r="F112" s="183">
        <f t="shared" si="23"/>
        <v>102</v>
      </c>
      <c r="G112" s="209">
        <f>$G$110+(F112-$F$110)*($G$115-$G$110)/($F$115-$F$110)</f>
        <v>291.2</v>
      </c>
      <c r="H112" s="185">
        <f t="shared" si="16"/>
        <v>263.47775999999999</v>
      </c>
      <c r="I112" s="185">
        <f t="shared" si="17"/>
        <v>63.46312159763346</v>
      </c>
      <c r="J112" s="185">
        <f t="shared" si="18"/>
        <v>569.42203544921153</v>
      </c>
      <c r="K112" s="186">
        <f t="shared" si="22"/>
        <v>110</v>
      </c>
      <c r="L112" s="201"/>
    </row>
    <row r="113" spans="1:12" x14ac:dyDescent="0.25">
      <c r="A113" s="181">
        <v>111</v>
      </c>
      <c r="B113" s="181">
        <f t="shared" si="19"/>
        <v>111</v>
      </c>
      <c r="C113" s="182">
        <f t="shared" si="15"/>
        <v>98.7012</v>
      </c>
      <c r="D113" s="182">
        <f t="shared" si="20"/>
        <v>26.652341328097943</v>
      </c>
      <c r="E113" s="182">
        <f t="shared" si="21"/>
        <v>218.32408447977059</v>
      </c>
      <c r="F113" s="183">
        <f t="shared" si="23"/>
        <v>103</v>
      </c>
      <c r="G113" s="209">
        <f>$G$110+(F113-$F$110)*($G$115-$G$110)/($F$115-$F$110)</f>
        <v>295.8</v>
      </c>
      <c r="H113" s="185">
        <f t="shared" si="16"/>
        <v>267.63983999999999</v>
      </c>
      <c r="I113" s="185">
        <f t="shared" si="17"/>
        <v>64.348128113313663</v>
      </c>
      <c r="J113" s="185">
        <f t="shared" si="18"/>
        <v>578.21237779735463</v>
      </c>
      <c r="K113" s="186">
        <f t="shared" si="22"/>
        <v>111</v>
      </c>
      <c r="L113" s="201"/>
    </row>
    <row r="114" spans="1:12" x14ac:dyDescent="0.25">
      <c r="A114" s="181">
        <v>112</v>
      </c>
      <c r="B114" s="181">
        <f t="shared" si="19"/>
        <v>112</v>
      </c>
      <c r="C114" s="182">
        <f t="shared" si="15"/>
        <v>99.590400000000002</v>
      </c>
      <c r="D114" s="182">
        <f t="shared" si="20"/>
        <v>26.864392698869324</v>
      </c>
      <c r="E114" s="182">
        <f t="shared" si="21"/>
        <v>220.24209728386407</v>
      </c>
      <c r="F114" s="183">
        <f t="shared" si="23"/>
        <v>104</v>
      </c>
      <c r="G114" s="209">
        <f>$G$110+(F114-$F$110)*($G$115-$G$110)/($F$115-$F$110)</f>
        <v>300.39999999999998</v>
      </c>
      <c r="H114" s="185">
        <f t="shared" si="16"/>
        <v>271.80191999999994</v>
      </c>
      <c r="I114" s="185">
        <f t="shared" si="17"/>
        <v>65.231534022367498</v>
      </c>
      <c r="J114" s="185">
        <f t="shared" si="18"/>
        <v>586.99993242228993</v>
      </c>
      <c r="K114" s="186">
        <f t="shared" si="22"/>
        <v>112</v>
      </c>
      <c r="L114" s="201"/>
    </row>
    <row r="115" spans="1:12" x14ac:dyDescent="0.25">
      <c r="A115" s="181">
        <v>113</v>
      </c>
      <c r="B115" s="181">
        <f t="shared" si="19"/>
        <v>113</v>
      </c>
      <c r="C115" s="182">
        <f t="shared" si="15"/>
        <v>100.4796</v>
      </c>
      <c r="D115" s="182">
        <f t="shared" si="20"/>
        <v>27.076223799065229</v>
      </c>
      <c r="E115" s="182">
        <f t="shared" si="21"/>
        <v>222.15972645003862</v>
      </c>
      <c r="F115" s="183">
        <f t="shared" si="23"/>
        <v>105</v>
      </c>
      <c r="G115" s="209">
        <f>264+21+20</f>
        <v>305</v>
      </c>
      <c r="H115" s="185">
        <f t="shared" si="16"/>
        <v>275.964</v>
      </c>
      <c r="I115" s="185">
        <f t="shared" si="17"/>
        <v>66.113366665488911</v>
      </c>
      <c r="J115" s="185">
        <f t="shared" si="18"/>
        <v>595.7847469423931</v>
      </c>
      <c r="K115" s="186">
        <f t="shared" si="22"/>
        <v>113</v>
      </c>
      <c r="L115" s="201"/>
    </row>
    <row r="116" spans="1:12" x14ac:dyDescent="0.25">
      <c r="A116" s="181">
        <v>114</v>
      </c>
      <c r="B116" s="181">
        <f t="shared" si="19"/>
        <v>114</v>
      </c>
      <c r="C116" s="182">
        <f t="shared" si="15"/>
        <v>101.36879999999999</v>
      </c>
      <c r="D116" s="182">
        <f t="shared" si="20"/>
        <v>27.287836803817452</v>
      </c>
      <c r="E116" s="182">
        <f t="shared" si="21"/>
        <v>224.0769757666487</v>
      </c>
      <c r="F116" s="183">
        <v>105</v>
      </c>
      <c r="G116" s="209">
        <v>264</v>
      </c>
      <c r="H116" s="185">
        <f t="shared" si="16"/>
        <v>238.8672</v>
      </c>
      <c r="I116" s="185">
        <f t="shared" si="17"/>
        <v>58.195735973104156</v>
      </c>
      <c r="J116" s="185">
        <f t="shared" si="18"/>
        <v>517.38461348648968</v>
      </c>
      <c r="K116" s="186">
        <f t="shared" si="22"/>
        <v>114</v>
      </c>
      <c r="L116" s="201"/>
    </row>
    <row r="117" spans="1:12" x14ac:dyDescent="0.25">
      <c r="A117" s="181">
        <v>115</v>
      </c>
      <c r="B117" s="181">
        <f t="shared" si="19"/>
        <v>115</v>
      </c>
      <c r="C117" s="182">
        <f t="shared" si="15"/>
        <v>102.258</v>
      </c>
      <c r="D117" s="182">
        <f t="shared" si="20"/>
        <v>27.499233847895859</v>
      </c>
      <c r="E117" s="182">
        <f t="shared" si="21"/>
        <v>225.99384895175194</v>
      </c>
      <c r="F117" s="183">
        <f t="shared" si="23"/>
        <v>106</v>
      </c>
      <c r="G117" s="209">
        <f>$G$116+(F117-$F$116)*($G$121-$G$116)/($F$121-$F$116)</f>
        <v>268.2</v>
      </c>
      <c r="H117" s="185">
        <f t="shared" si="16"/>
        <v>242.66735999999997</v>
      </c>
      <c r="I117" s="185">
        <f t="shared" si="17"/>
        <v>59.013056290731797</v>
      </c>
      <c r="J117" s="185">
        <f t="shared" si="18"/>
        <v>525.42672503969118</v>
      </c>
      <c r="K117" s="186">
        <f t="shared" si="22"/>
        <v>115</v>
      </c>
      <c r="L117" s="201"/>
    </row>
    <row r="118" spans="1:12" x14ac:dyDescent="0.25">
      <c r="A118" s="181">
        <v>116</v>
      </c>
      <c r="B118" s="181">
        <f t="shared" si="19"/>
        <v>116</v>
      </c>
      <c r="C118" s="182">
        <f t="shared" si="15"/>
        <v>103.14719999999998</v>
      </c>
      <c r="D118" s="182">
        <f t="shared" si="20"/>
        <v>27.710417026801451</v>
      </c>
      <c r="E118" s="182">
        <f t="shared" si="21"/>
        <v>227.91034965501251</v>
      </c>
      <c r="F118" s="183">
        <f t="shared" si="23"/>
        <v>107</v>
      </c>
      <c r="G118" s="209">
        <f>$G$116+(F118-$F$116)*($G$121-$G$116)/($F$121-$F$116)</f>
        <v>272.39999999999998</v>
      </c>
      <c r="H118" s="185">
        <f t="shared" si="16"/>
        <v>246.46751999999995</v>
      </c>
      <c r="I118" s="185">
        <f t="shared" si="17"/>
        <v>59.828888074216977</v>
      </c>
      <c r="J118" s="185">
        <f t="shared" si="18"/>
        <v>533.46624406259446</v>
      </c>
      <c r="K118" s="186">
        <f t="shared" si="22"/>
        <v>116</v>
      </c>
      <c r="L118" s="201"/>
    </row>
    <row r="119" spans="1:12" x14ac:dyDescent="0.25">
      <c r="A119" s="181">
        <v>117</v>
      </c>
      <c r="B119" s="181">
        <f t="shared" si="19"/>
        <v>117</v>
      </c>
      <c r="C119" s="182">
        <f t="shared" si="15"/>
        <v>104.0364</v>
      </c>
      <c r="D119" s="182">
        <f t="shared" si="20"/>
        <v>27.921388397820998</v>
      </c>
      <c r="E119" s="182">
        <f t="shared" si="21"/>
        <v>229.8264814595382</v>
      </c>
      <c r="F119" s="183">
        <f t="shared" si="23"/>
        <v>108</v>
      </c>
      <c r="G119" s="209">
        <f>$G$116+(F119-$F$116)*($G$121-$G$116)/($F$121-$F$116)</f>
        <v>276.60000000000002</v>
      </c>
      <c r="H119" s="185">
        <f t="shared" si="16"/>
        <v>250.26768000000001</v>
      </c>
      <c r="I119" s="185">
        <f t="shared" si="17"/>
        <v>60.643256925083442</v>
      </c>
      <c r="J119" s="185">
        <f t="shared" si="18"/>
        <v>541.50321514452025</v>
      </c>
      <c r="K119" s="186">
        <f t="shared" si="22"/>
        <v>117</v>
      </c>
      <c r="L119" s="201"/>
    </row>
    <row r="120" spans="1:12" x14ac:dyDescent="0.25">
      <c r="A120" s="181">
        <v>118</v>
      </c>
      <c r="B120" s="181">
        <f t="shared" si="19"/>
        <v>118</v>
      </c>
      <c r="C120" s="182">
        <f t="shared" si="15"/>
        <v>104.92559999999999</v>
      </c>
      <c r="D120" s="182">
        <f t="shared" si="20"/>
        <v>28.132149981044343</v>
      </c>
      <c r="E120" s="182">
        <f t="shared" si="21"/>
        <v>231.7422478836522</v>
      </c>
      <c r="F120" s="183">
        <f t="shared" si="23"/>
        <v>109</v>
      </c>
      <c r="G120" s="209">
        <f>$G$116+(F120-$F$116)*($G$121-$G$116)/($F$121-$F$116)</f>
        <v>280.8</v>
      </c>
      <c r="H120" s="185">
        <f t="shared" si="16"/>
        <v>254.06784000000002</v>
      </c>
      <c r="I120" s="185">
        <f t="shared" si="17"/>
        <v>61.456187622750775</v>
      </c>
      <c r="J120" s="185">
        <f t="shared" si="18"/>
        <v>549.53768144295771</v>
      </c>
      <c r="K120" s="186">
        <f t="shared" si="22"/>
        <v>118</v>
      </c>
      <c r="L120" s="201"/>
    </row>
    <row r="121" spans="1:12" x14ac:dyDescent="0.25">
      <c r="A121" s="181">
        <v>119</v>
      </c>
      <c r="B121" s="181">
        <f t="shared" si="19"/>
        <v>119</v>
      </c>
      <c r="C121" s="182">
        <f t="shared" si="15"/>
        <v>105.81480000000001</v>
      </c>
      <c r="D121" s="182">
        <f t="shared" si="20"/>
        <v>28.342703760346488</v>
      </c>
      <c r="E121" s="182">
        <f t="shared" si="21"/>
        <v>233.65765238260346</v>
      </c>
      <c r="F121" s="183">
        <f t="shared" si="23"/>
        <v>110</v>
      </c>
      <c r="G121" s="209">
        <f>266+19</f>
        <v>285</v>
      </c>
      <c r="H121" s="185">
        <f t="shared" si="16"/>
        <v>257.86799999999999</v>
      </c>
      <c r="I121" s="185">
        <f t="shared" si="17"/>
        <v>62.267704162827528</v>
      </c>
      <c r="J121" s="185">
        <f t="shared" si="18"/>
        <v>557.56968475025803</v>
      </c>
      <c r="K121" s="186">
        <f t="shared" si="22"/>
        <v>119</v>
      </c>
      <c r="L121" s="201"/>
    </row>
    <row r="122" spans="1:12" x14ac:dyDescent="0.25">
      <c r="A122" s="181">
        <v>120</v>
      </c>
      <c r="B122" s="181">
        <f t="shared" si="19"/>
        <v>120</v>
      </c>
      <c r="C122" s="182">
        <f t="shared" si="15"/>
        <v>106.70399999999999</v>
      </c>
      <c r="D122" s="182">
        <f t="shared" si="20"/>
        <v>28.55305168433533</v>
      </c>
      <c r="E122" s="182">
        <f t="shared" si="21"/>
        <v>235.57269835021734</v>
      </c>
      <c r="F122" s="183">
        <f t="shared" si="23"/>
        <v>111</v>
      </c>
      <c r="G122" s="209">
        <f>$G$121+(F122-$F$121)*($G$126-$G$121)/($F$126-$F$121)</f>
        <v>288.8</v>
      </c>
      <c r="H122" s="185">
        <f t="shared" si="16"/>
        <v>261.30624</v>
      </c>
      <c r="I122" s="185">
        <f t="shared" si="17"/>
        <v>63.000734275359655</v>
      </c>
      <c r="J122" s="185">
        <f t="shared" si="18"/>
        <v>564.83464686291802</v>
      </c>
      <c r="K122" s="186">
        <f t="shared" si="22"/>
        <v>120</v>
      </c>
      <c r="L122" s="201"/>
    </row>
    <row r="123" spans="1:12" x14ac:dyDescent="0.25">
      <c r="A123" s="181">
        <v>121</v>
      </c>
      <c r="B123" s="181">
        <f t="shared" si="19"/>
        <v>121</v>
      </c>
      <c r="C123" s="182">
        <f t="shared" si="15"/>
        <v>107.5932</v>
      </c>
      <c r="D123" s="182">
        <f t="shared" si="20"/>
        <v>28.763195667267496</v>
      </c>
      <c r="E123" s="182">
        <f t="shared" si="21"/>
        <v>237.48738912049089</v>
      </c>
      <c r="F123" s="183">
        <f t="shared" si="23"/>
        <v>112</v>
      </c>
      <c r="G123" s="209">
        <f>$G$121+(F123-$F$121)*($G$126-$G$121)/($F$126-$F$121)</f>
        <v>292.60000000000002</v>
      </c>
      <c r="H123" s="185">
        <f t="shared" si="16"/>
        <v>264.74448000000001</v>
      </c>
      <c r="I123" s="185">
        <f t="shared" si="17"/>
        <v>63.732642519480834</v>
      </c>
      <c r="J123" s="185">
        <f t="shared" si="18"/>
        <v>572.09765505476253</v>
      </c>
      <c r="K123" s="186">
        <f t="shared" si="22"/>
        <v>121</v>
      </c>
      <c r="L123" s="201"/>
    </row>
    <row r="124" spans="1:12" x14ac:dyDescent="0.25">
      <c r="A124" s="181">
        <v>122</v>
      </c>
      <c r="B124" s="181">
        <f t="shared" si="19"/>
        <v>122</v>
      </c>
      <c r="C124" s="182">
        <f t="shared" si="15"/>
        <v>108.4824</v>
      </c>
      <c r="D124" s="182">
        <f t="shared" si="20"/>
        <v>28.973137589932367</v>
      </c>
      <c r="E124" s="182">
        <f t="shared" si="21"/>
        <v>239.40172796913217</v>
      </c>
      <c r="F124" s="183">
        <f t="shared" si="23"/>
        <v>113</v>
      </c>
      <c r="G124" s="209">
        <f>$G$121+(F124-$F$121)*($G$126-$G$121)/($F$126-$F$121)</f>
        <v>296.39999999999998</v>
      </c>
      <c r="H124" s="185">
        <f t="shared" si="16"/>
        <v>268.18271999999996</v>
      </c>
      <c r="I124" s="185">
        <f t="shared" si="17"/>
        <v>64.463445149457328</v>
      </c>
      <c r="J124" s="185">
        <f t="shared" si="18"/>
        <v>579.35873763530469</v>
      </c>
      <c r="K124" s="186">
        <f t="shared" si="22"/>
        <v>122</v>
      </c>
      <c r="L124" s="201"/>
    </row>
    <row r="125" spans="1:12" x14ac:dyDescent="0.25">
      <c r="A125" s="181">
        <v>123</v>
      </c>
      <c r="B125" s="181">
        <f t="shared" si="19"/>
        <v>123</v>
      </c>
      <c r="C125" s="182">
        <f t="shared" si="15"/>
        <v>109.3716</v>
      </c>
      <c r="D125" s="182">
        <f t="shared" si="20"/>
        <v>29.182879300506716</v>
      </c>
      <c r="E125" s="182">
        <f t="shared" si="21"/>
        <v>241.31571811504921</v>
      </c>
      <c r="F125" s="183">
        <f t="shared" si="23"/>
        <v>114</v>
      </c>
      <c r="G125" s="209">
        <f>$G$121+(F125-$F$121)*($G$126-$G$121)/($F$126-$F$121)</f>
        <v>300.2</v>
      </c>
      <c r="H125" s="185">
        <f t="shared" si="16"/>
        <v>271.62095999999997</v>
      </c>
      <c r="I125" s="185">
        <f t="shared" si="17"/>
        <v>65.193157978815663</v>
      </c>
      <c r="J125" s="185">
        <f t="shared" si="18"/>
        <v>586.61792214643719</v>
      </c>
      <c r="K125" s="186">
        <f t="shared" si="22"/>
        <v>123</v>
      </c>
      <c r="L125" s="201"/>
    </row>
    <row r="126" spans="1:12" x14ac:dyDescent="0.25">
      <c r="A126" s="181">
        <v>124</v>
      </c>
      <c r="B126" s="181">
        <f t="shared" si="19"/>
        <v>124</v>
      </c>
      <c r="C126" s="182">
        <f t="shared" si="15"/>
        <v>110.26079999999999</v>
      </c>
      <c r="D126" s="182">
        <f t="shared" si="20"/>
        <v>29.392422615380774</v>
      </c>
      <c r="E126" s="182">
        <f t="shared" si="21"/>
        <v>243.22936272178819</v>
      </c>
      <c r="F126" s="183">
        <f t="shared" si="23"/>
        <v>115</v>
      </c>
      <c r="G126" s="209">
        <f>267+19+18</f>
        <v>304</v>
      </c>
      <c r="H126" s="185">
        <f t="shared" si="16"/>
        <v>275.05919999999998</v>
      </c>
      <c r="I126" s="185">
        <f t="shared" si="17"/>
        <v>65.921796397718381</v>
      </c>
      <c r="J126" s="185">
        <f t="shared" si="18"/>
        <v>593.87523539269284</v>
      </c>
      <c r="K126" s="186">
        <f t="shared" si="22"/>
        <v>124</v>
      </c>
      <c r="L126" s="201"/>
    </row>
    <row r="127" spans="1:12" x14ac:dyDescent="0.25">
      <c r="A127" s="181">
        <v>125</v>
      </c>
      <c r="B127" s="181">
        <f t="shared" si="19"/>
        <v>125</v>
      </c>
      <c r="C127" s="182">
        <f t="shared" si="15"/>
        <v>111.15</v>
      </c>
      <c r="D127" s="182">
        <f t="shared" si="20"/>
        <v>29.601769319956546</v>
      </c>
      <c r="E127" s="182">
        <f t="shared" si="21"/>
        <v>245.14266489892438</v>
      </c>
      <c r="F127" s="183">
        <v>115</v>
      </c>
      <c r="G127" s="209">
        <v>267</v>
      </c>
      <c r="H127" s="185">
        <f t="shared" si="16"/>
        <v>241.58160000000001</v>
      </c>
      <c r="I127" s="185">
        <f t="shared" si="17"/>
        <v>58.779689232021951</v>
      </c>
      <c r="J127" s="185">
        <f t="shared" si="18"/>
        <v>523.12924541243819</v>
      </c>
      <c r="K127" s="186">
        <f t="shared" si="22"/>
        <v>125</v>
      </c>
      <c r="L127" s="201"/>
    </row>
    <row r="128" spans="1:12" x14ac:dyDescent="0.25">
      <c r="A128" s="181">
        <v>126</v>
      </c>
      <c r="B128" s="181">
        <f t="shared" si="19"/>
        <v>126</v>
      </c>
      <c r="C128" s="182">
        <f t="shared" si="15"/>
        <v>112.03919999999999</v>
      </c>
      <c r="D128" s="182">
        <f t="shared" si="20"/>
        <v>29.810921169420201</v>
      </c>
      <c r="E128" s="182">
        <f t="shared" si="21"/>
        <v>247.05562770340683</v>
      </c>
      <c r="F128" s="183">
        <f t="shared" si="23"/>
        <v>116</v>
      </c>
      <c r="G128" s="209">
        <f>$G$127+(F128-$F$127)*($G$132-$G$127)/($F$132-$F$127)</f>
        <v>270.60000000000002</v>
      </c>
      <c r="H128" s="185">
        <f t="shared" si="16"/>
        <v>244.83887999999999</v>
      </c>
      <c r="I128" s="185">
        <f t="shared" si="17"/>
        <v>59.479426489427787</v>
      </c>
      <c r="J128" s="185">
        <f t="shared" si="18"/>
        <v>530.02105046908662</v>
      </c>
      <c r="K128" s="186">
        <f t="shared" si="22"/>
        <v>126</v>
      </c>
      <c r="L128" s="201"/>
    </row>
    <row r="129" spans="1:12" x14ac:dyDescent="0.25">
      <c r="A129" s="181">
        <v>127</v>
      </c>
      <c r="B129" s="181">
        <f t="shared" si="19"/>
        <v>127</v>
      </c>
      <c r="C129" s="182">
        <f t="shared" si="15"/>
        <v>112.92840000000001</v>
      </c>
      <c r="D129" s="182">
        <f t="shared" si="20"/>
        <v>30.019879889488983</v>
      </c>
      <c r="E129" s="182">
        <f t="shared" si="21"/>
        <v>248.96825414086001</v>
      </c>
      <c r="F129" s="183">
        <f t="shared" si="23"/>
        <v>117</v>
      </c>
      <c r="G129" s="209">
        <f>$G$127+(F129-$F$127)*($G$132-$G$127)/($F$132-$F$127)</f>
        <v>274.2</v>
      </c>
      <c r="H129" s="185">
        <f t="shared" si="16"/>
        <v>248.09616</v>
      </c>
      <c r="I129" s="185">
        <f t="shared" si="17"/>
        <v>60.178080967364686</v>
      </c>
      <c r="J129" s="185">
        <f t="shared" si="18"/>
        <v>536.91096968482668</v>
      </c>
      <c r="K129" s="186">
        <f t="shared" si="22"/>
        <v>127</v>
      </c>
      <c r="L129" s="201"/>
    </row>
    <row r="130" spans="1:12" x14ac:dyDescent="0.25">
      <c r="A130" s="181">
        <v>128</v>
      </c>
      <c r="B130" s="181">
        <f t="shared" si="19"/>
        <v>128</v>
      </c>
      <c r="C130" s="182">
        <f t="shared" si="15"/>
        <v>113.8176</v>
      </c>
      <c r="D130" s="182">
        <f t="shared" si="20"/>
        <v>30.228647177134196</v>
      </c>
      <c r="E130" s="182">
        <f t="shared" si="21"/>
        <v>250.88054716684209</v>
      </c>
      <c r="F130" s="183">
        <f t="shared" si="23"/>
        <v>118</v>
      </c>
      <c r="G130" s="209">
        <f>$G$127+(F130-$F$127)*($G$132-$G$127)/($F$132-$F$127)</f>
        <v>277.8</v>
      </c>
      <c r="H130" s="185">
        <f t="shared" si="16"/>
        <v>251.35344000000001</v>
      </c>
      <c r="I130" s="185">
        <f t="shared" si="17"/>
        <v>60.875668525285015</v>
      </c>
      <c r="J130" s="185">
        <f t="shared" si="18"/>
        <v>543.79903068153806</v>
      </c>
      <c r="K130" s="186">
        <f t="shared" si="22"/>
        <v>128</v>
      </c>
      <c r="L130" s="201"/>
    </row>
    <row r="131" spans="1:12" x14ac:dyDescent="0.25">
      <c r="A131" s="181">
        <v>129</v>
      </c>
      <c r="B131" s="181">
        <f t="shared" si="19"/>
        <v>129</v>
      </c>
      <c r="C131" s="182">
        <f t="shared" ref="C131:C152" si="24">B131*$Y$1*1.56</f>
        <v>114.70679999999999</v>
      </c>
      <c r="D131" s="182">
        <f t="shared" si="20"/>
        <v>30.43722470128062</v>
      </c>
      <c r="E131" s="182">
        <f t="shared" si="21"/>
        <v>252.79250968806375</v>
      </c>
      <c r="F131" s="183">
        <f t="shared" si="23"/>
        <v>119</v>
      </c>
      <c r="G131" s="209">
        <f>$G$127+(F131-$F$127)*($G$132-$G$127)/($F$132-$F$127)</f>
        <v>281.39999999999998</v>
      </c>
      <c r="H131" s="185">
        <f t="shared" ref="H131:H165" si="25">G131*1.56*$W$1</f>
        <v>254.61071999999996</v>
      </c>
      <c r="I131" s="185">
        <f t="shared" ref="I131:I164" si="26">EXP(-1.0587+0.8836*LN(H131)+0.284)</f>
        <v>61.572204587965679</v>
      </c>
      <c r="J131" s="185">
        <f t="shared" ref="J131:J165" si="27">(H131+I131)*0.475*44/12</f>
        <v>550.68526032404009</v>
      </c>
      <c r="K131" s="186">
        <f t="shared" si="22"/>
        <v>129</v>
      </c>
      <c r="L131" s="201"/>
    </row>
    <row r="132" spans="1:12" x14ac:dyDescent="0.25">
      <c r="A132" s="181">
        <v>130</v>
      </c>
      <c r="B132" s="181">
        <f t="shared" ref="B132:B152" si="28">B131+1</f>
        <v>130</v>
      </c>
      <c r="C132" s="182">
        <f t="shared" si="24"/>
        <v>115.59599999999999</v>
      </c>
      <c r="D132" s="182">
        <f t="shared" ref="D132:D152" si="29">EXP(-1.0587+0.8836*LN(C132)+0.284)</f>
        <v>30.645614103483879</v>
      </c>
      <c r="E132" s="182">
        <f t="shared" ref="E132:E152" si="30">(C132+D132)*0.475*44/12</f>
        <v>254.70414456356775</v>
      </c>
      <c r="F132" s="183">
        <f t="shared" si="23"/>
        <v>120</v>
      </c>
      <c r="G132" s="209">
        <f>268+17</f>
        <v>285</v>
      </c>
      <c r="H132" s="185">
        <f t="shared" si="25"/>
        <v>257.86799999999999</v>
      </c>
      <c r="I132" s="185">
        <f t="shared" si="26"/>
        <v>62.267704162827528</v>
      </c>
      <c r="J132" s="185">
        <f t="shared" si="27"/>
        <v>557.56968475025803</v>
      </c>
      <c r="K132" s="186">
        <f t="shared" ref="K132:K155" si="31">K131+1</f>
        <v>130</v>
      </c>
      <c r="L132" s="201"/>
    </row>
    <row r="133" spans="1:12" x14ac:dyDescent="0.25">
      <c r="A133" s="181">
        <v>131</v>
      </c>
      <c r="B133" s="181">
        <f t="shared" si="28"/>
        <v>131</v>
      </c>
      <c r="C133" s="182">
        <f t="shared" si="24"/>
        <v>116.48519999999998</v>
      </c>
      <c r="D133" s="182">
        <f t="shared" si="29"/>
        <v>30.853816998586236</v>
      </c>
      <c r="E133" s="182">
        <f t="shared" si="30"/>
        <v>256.61545460587098</v>
      </c>
      <c r="F133" s="183">
        <f t="shared" si="23"/>
        <v>121</v>
      </c>
      <c r="G133" s="209">
        <f>$G$132+(F133-$F$132)*($G$137-$G$132)/($F$137-$F$132)</f>
        <v>288.2</v>
      </c>
      <c r="H133" s="185">
        <f t="shared" si="25"/>
        <v>260.76335999999998</v>
      </c>
      <c r="I133" s="185">
        <f t="shared" si="26"/>
        <v>62.885067686032009</v>
      </c>
      <c r="J133" s="185">
        <f t="shared" si="27"/>
        <v>563.68767821983909</v>
      </c>
      <c r="K133" s="186">
        <f t="shared" si="31"/>
        <v>131</v>
      </c>
      <c r="L133" s="201"/>
    </row>
    <row r="134" spans="1:12" x14ac:dyDescent="0.25">
      <c r="A134" s="181">
        <v>132</v>
      </c>
      <c r="B134" s="181">
        <f t="shared" si="28"/>
        <v>132</v>
      </c>
      <c r="C134" s="182">
        <f t="shared" si="24"/>
        <v>117.37439999999999</v>
      </c>
      <c r="D134" s="182">
        <f t="shared" si="29"/>
        <v>31.061834975351903</v>
      </c>
      <c r="E134" s="182">
        <f t="shared" si="30"/>
        <v>258.52644258207124</v>
      </c>
      <c r="F134" s="183">
        <f t="shared" si="23"/>
        <v>122</v>
      </c>
      <c r="G134" s="209">
        <f>$G$132+(F134-$F$132)*($G$137-$G$132)/($F$137-$F$132)</f>
        <v>291.39999999999998</v>
      </c>
      <c r="H134" s="185">
        <f t="shared" si="25"/>
        <v>263.65871999999996</v>
      </c>
      <c r="I134" s="185">
        <f t="shared" si="26"/>
        <v>63.501633804581523</v>
      </c>
      <c r="J134" s="185">
        <f t="shared" si="27"/>
        <v>569.80428287631264</v>
      </c>
      <c r="K134" s="186">
        <f t="shared" si="31"/>
        <v>132</v>
      </c>
      <c r="L134" s="201"/>
    </row>
    <row r="135" spans="1:12" x14ac:dyDescent="0.25">
      <c r="A135" s="181">
        <v>133</v>
      </c>
      <c r="B135" s="181">
        <f t="shared" si="28"/>
        <v>133</v>
      </c>
      <c r="C135" s="182">
        <f t="shared" si="24"/>
        <v>118.26359999999998</v>
      </c>
      <c r="D135" s="182">
        <f t="shared" si="29"/>
        <v>31.269669597082324</v>
      </c>
      <c r="E135" s="182">
        <f t="shared" si="30"/>
        <v>260.43711121491833</v>
      </c>
      <c r="F135" s="183">
        <f t="shared" si="23"/>
        <v>123</v>
      </c>
      <c r="G135" s="209">
        <f>$G$132+(F135-$F$132)*($G$137-$G$132)/($F$137-$F$132)</f>
        <v>294.60000000000002</v>
      </c>
      <c r="H135" s="185">
        <f t="shared" si="25"/>
        <v>266.55408</v>
      </c>
      <c r="I135" s="185">
        <f t="shared" si="26"/>
        <v>64.117412288576645</v>
      </c>
      <c r="J135" s="185">
        <f t="shared" si="27"/>
        <v>575.91951573593758</v>
      </c>
      <c r="K135" s="186">
        <f t="shared" si="31"/>
        <v>133</v>
      </c>
      <c r="L135" s="201"/>
    </row>
    <row r="136" spans="1:12" x14ac:dyDescent="0.25">
      <c r="A136" s="181">
        <v>134</v>
      </c>
      <c r="B136" s="181">
        <f t="shared" si="28"/>
        <v>134</v>
      </c>
      <c r="C136" s="182">
        <f t="shared" si="24"/>
        <v>119.1528</v>
      </c>
      <c r="D136" s="182">
        <f t="shared" si="29"/>
        <v>31.477322402212724</v>
      </c>
      <c r="E136" s="182">
        <f t="shared" si="30"/>
        <v>262.34746318385379</v>
      </c>
      <c r="F136" s="183">
        <f t="shared" si="23"/>
        <v>124</v>
      </c>
      <c r="G136" s="209">
        <f>$G$132+(F136-$F$132)*($G$137-$G$132)/($F$137-$F$132)</f>
        <v>297.8</v>
      </c>
      <c r="H136" s="185">
        <f t="shared" si="25"/>
        <v>269.44943999999998</v>
      </c>
      <c r="I136" s="185">
        <f t="shared" si="26"/>
        <v>64.732412683644569</v>
      </c>
      <c r="J136" s="185">
        <f t="shared" si="27"/>
        <v>582.03339342401421</v>
      </c>
      <c r="K136" s="186">
        <f t="shared" si="31"/>
        <v>134</v>
      </c>
      <c r="L136" s="201"/>
    </row>
    <row r="137" spans="1:12" x14ac:dyDescent="0.25">
      <c r="A137" s="181">
        <v>135</v>
      </c>
      <c r="B137" s="181">
        <f t="shared" si="28"/>
        <v>135</v>
      </c>
      <c r="C137" s="182">
        <f t="shared" si="24"/>
        <v>120.04199999999999</v>
      </c>
      <c r="D137" s="182">
        <f t="shared" si="29"/>
        <v>31.684794904890058</v>
      </c>
      <c r="E137" s="182">
        <f t="shared" si="30"/>
        <v>264.25750112601685</v>
      </c>
      <c r="F137" s="183">
        <f t="shared" si="23"/>
        <v>125</v>
      </c>
      <c r="G137" s="209">
        <f>268+17+16</f>
        <v>301</v>
      </c>
      <c r="H137" s="185">
        <f t="shared" si="25"/>
        <v>272.34479999999996</v>
      </c>
      <c r="I137" s="185">
        <f t="shared" si="26"/>
        <v>65.346644318451652</v>
      </c>
      <c r="J137" s="185">
        <f t="shared" si="27"/>
        <v>588.14593218796983</v>
      </c>
      <c r="K137" s="186">
        <f t="shared" si="31"/>
        <v>135</v>
      </c>
      <c r="L137" s="201"/>
    </row>
    <row r="138" spans="1:12" x14ac:dyDescent="0.25">
      <c r="A138" s="181">
        <v>136</v>
      </c>
      <c r="B138" s="181">
        <f t="shared" si="28"/>
        <v>136</v>
      </c>
      <c r="C138" s="182">
        <f t="shared" si="24"/>
        <v>120.9312</v>
      </c>
      <c r="D138" s="182">
        <f t="shared" si="29"/>
        <v>31.892088595533622</v>
      </c>
      <c r="E138" s="182">
        <f t="shared" si="30"/>
        <v>266.16722763722106</v>
      </c>
      <c r="F138" s="183">
        <v>125</v>
      </c>
      <c r="G138" s="209">
        <v>268</v>
      </c>
      <c r="H138" s="185">
        <f t="shared" si="25"/>
        <v>242.4864</v>
      </c>
      <c r="I138" s="185">
        <f t="shared" si="26"/>
        <v>58.974170235372419</v>
      </c>
      <c r="J138" s="185">
        <f t="shared" si="27"/>
        <v>525.04382649327351</v>
      </c>
      <c r="K138" s="186">
        <f t="shared" si="31"/>
        <v>136</v>
      </c>
      <c r="L138" s="201"/>
    </row>
    <row r="139" spans="1:12" x14ac:dyDescent="0.25">
      <c r="A139" s="181">
        <v>137</v>
      </c>
      <c r="B139" s="181">
        <f t="shared" si="28"/>
        <v>137</v>
      </c>
      <c r="C139" s="182">
        <f t="shared" si="24"/>
        <v>121.82039999999999</v>
      </c>
      <c r="D139" s="182">
        <f t="shared" si="29"/>
        <v>32.099204941378403</v>
      </c>
      <c r="E139" s="182">
        <f t="shared" si="30"/>
        <v>268.07664527290075</v>
      </c>
      <c r="F139" s="183">
        <f t="shared" si="23"/>
        <v>126</v>
      </c>
      <c r="G139" s="209">
        <f>$G$138+(F139-$F$138)*($G$143-$G$138)/($F$143-$F$138)</f>
        <v>271.2</v>
      </c>
      <c r="H139" s="185">
        <f t="shared" si="25"/>
        <v>245.38175999999999</v>
      </c>
      <c r="I139" s="185">
        <f t="shared" si="26"/>
        <v>59.595943661626769</v>
      </c>
      <c r="J139" s="185">
        <f t="shared" si="27"/>
        <v>531.1695005439999</v>
      </c>
      <c r="K139" s="186">
        <f t="shared" si="31"/>
        <v>137</v>
      </c>
      <c r="L139" s="201"/>
    </row>
    <row r="140" spans="1:12" x14ac:dyDescent="0.25">
      <c r="A140" s="181">
        <v>138</v>
      </c>
      <c r="B140" s="181">
        <f t="shared" si="28"/>
        <v>138</v>
      </c>
      <c r="C140" s="182">
        <f t="shared" si="24"/>
        <v>122.70959999999999</v>
      </c>
      <c r="D140" s="182">
        <f t="shared" si="29"/>
        <v>32.306145387002253</v>
      </c>
      <c r="E140" s="182">
        <f t="shared" si="30"/>
        <v>269.98575654902891</v>
      </c>
      <c r="F140" s="183">
        <f t="shared" si="23"/>
        <v>127</v>
      </c>
      <c r="G140" s="209">
        <f>$G$138+(F140-$F$138)*($G$143-$G$138)/($F$143-$F$138)</f>
        <v>274.39999999999998</v>
      </c>
      <c r="H140" s="185">
        <f t="shared" si="25"/>
        <v>248.27711999999997</v>
      </c>
      <c r="I140" s="185">
        <f t="shared" si="26"/>
        <v>60.216863677580314</v>
      </c>
      <c r="J140" s="185">
        <f t="shared" si="27"/>
        <v>537.29368823845232</v>
      </c>
      <c r="K140" s="186">
        <f t="shared" si="31"/>
        <v>138</v>
      </c>
      <c r="L140" s="201"/>
    </row>
    <row r="141" spans="1:12" x14ac:dyDescent="0.25">
      <c r="A141" s="181">
        <v>139</v>
      </c>
      <c r="B141" s="181">
        <f t="shared" si="28"/>
        <v>139</v>
      </c>
      <c r="C141" s="182">
        <f t="shared" si="24"/>
        <v>123.59879999999998</v>
      </c>
      <c r="D141" s="182">
        <f t="shared" si="29"/>
        <v>32.512911354837584</v>
      </c>
      <c r="E141" s="182">
        <f t="shared" si="30"/>
        <v>271.89456394300873</v>
      </c>
      <c r="F141" s="183">
        <f t="shared" si="23"/>
        <v>128</v>
      </c>
      <c r="G141" s="209">
        <f>$G$138+(F141-$F$138)*($G$143-$G$138)/($F$143-$F$138)</f>
        <v>277.60000000000002</v>
      </c>
      <c r="H141" s="185">
        <f t="shared" si="25"/>
        <v>251.17248000000001</v>
      </c>
      <c r="I141" s="185">
        <f t="shared" si="26"/>
        <v>60.836941386956681</v>
      </c>
      <c r="J141" s="185">
        <f t="shared" si="27"/>
        <v>543.4164089156161</v>
      </c>
      <c r="K141" s="186">
        <f t="shared" si="31"/>
        <v>139</v>
      </c>
      <c r="L141" s="201"/>
    </row>
    <row r="142" spans="1:12" x14ac:dyDescent="0.25">
      <c r="A142" s="181">
        <v>140</v>
      </c>
      <c r="B142" s="181">
        <f t="shared" si="28"/>
        <v>140</v>
      </c>
      <c r="C142" s="182">
        <f t="shared" si="24"/>
        <v>124.488</v>
      </c>
      <c r="D142" s="182">
        <f t="shared" si="29"/>
        <v>32.719504245667267</v>
      </c>
      <c r="E142" s="182">
        <f t="shared" si="30"/>
        <v>273.80306989453715</v>
      </c>
      <c r="F142" s="183">
        <f t="shared" si="23"/>
        <v>129</v>
      </c>
      <c r="G142" s="209">
        <f>$G$138+(F142-$F$138)*($G$143-$G$138)/($F$143-$F$138)</f>
        <v>280.8</v>
      </c>
      <c r="H142" s="185">
        <f t="shared" si="25"/>
        <v>254.06784000000002</v>
      </c>
      <c r="I142" s="185">
        <f t="shared" si="26"/>
        <v>61.456187622750775</v>
      </c>
      <c r="J142" s="185">
        <f t="shared" si="27"/>
        <v>549.53768144295771</v>
      </c>
      <c r="K142" s="186">
        <f t="shared" si="31"/>
        <v>140</v>
      </c>
      <c r="L142" s="201"/>
    </row>
    <row r="143" spans="1:12" x14ac:dyDescent="0.25">
      <c r="A143" s="181">
        <v>141</v>
      </c>
      <c r="B143" s="181">
        <f t="shared" si="28"/>
        <v>141</v>
      </c>
      <c r="C143" s="182">
        <f t="shared" si="24"/>
        <v>125.37719999999999</v>
      </c>
      <c r="D143" s="182">
        <f t="shared" si="29"/>
        <v>32.925925439106848</v>
      </c>
      <c r="E143" s="182">
        <f t="shared" si="30"/>
        <v>275.71127680644446</v>
      </c>
      <c r="F143" s="183">
        <f t="shared" si="23"/>
        <v>130</v>
      </c>
      <c r="G143" s="209">
        <f>269+15</f>
        <v>284</v>
      </c>
      <c r="H143" s="185">
        <f t="shared" si="25"/>
        <v>256.96319999999997</v>
      </c>
      <c r="I143" s="185">
        <f t="shared" si="26"/>
        <v>62.074612956838024</v>
      </c>
      <c r="J143" s="185">
        <f t="shared" si="27"/>
        <v>555.65752423315951</v>
      </c>
      <c r="K143" s="186">
        <f t="shared" si="31"/>
        <v>141</v>
      </c>
      <c r="L143" s="201"/>
    </row>
    <row r="144" spans="1:12" x14ac:dyDescent="0.25">
      <c r="A144" s="181">
        <v>142</v>
      </c>
      <c r="B144" s="181">
        <f t="shared" si="28"/>
        <v>142</v>
      </c>
      <c r="C144" s="182">
        <f t="shared" si="24"/>
        <v>126.2664</v>
      </c>
      <c r="D144" s="182">
        <f t="shared" si="29"/>
        <v>33.132176294071812</v>
      </c>
      <c r="E144" s="182">
        <f t="shared" si="30"/>
        <v>277.6191870455084</v>
      </c>
      <c r="F144" s="183">
        <f t="shared" si="23"/>
        <v>131</v>
      </c>
      <c r="G144" s="209">
        <f>$G$143+(F144-$F$143)*($G$148-$G$143)/($F$148-$F$143)</f>
        <v>286.8</v>
      </c>
      <c r="H144" s="185">
        <f t="shared" si="25"/>
        <v>259.49664000000001</v>
      </c>
      <c r="I144" s="185">
        <f t="shared" si="26"/>
        <v>62.615069847082587</v>
      </c>
      <c r="J144" s="185">
        <f t="shared" si="27"/>
        <v>561.01122798366885</v>
      </c>
      <c r="K144" s="186">
        <f t="shared" si="31"/>
        <v>142</v>
      </c>
      <c r="L144" s="201"/>
    </row>
    <row r="145" spans="1:12" x14ac:dyDescent="0.25">
      <c r="A145" s="181">
        <v>143</v>
      </c>
      <c r="B145" s="181">
        <f t="shared" si="28"/>
        <v>143</v>
      </c>
      <c r="C145" s="182">
        <f t="shared" si="24"/>
        <v>127.15559999999999</v>
      </c>
      <c r="D145" s="182">
        <f t="shared" si="29"/>
        <v>33.338258149231912</v>
      </c>
      <c r="E145" s="182">
        <f t="shared" si="30"/>
        <v>279.52680294324551</v>
      </c>
      <c r="F145" s="183">
        <f t="shared" si="23"/>
        <v>132</v>
      </c>
      <c r="G145" s="209">
        <f>$G$143+(F145-$F$143)*($G$148-$G$143)/($F$148-$F$143)</f>
        <v>289.60000000000002</v>
      </c>
      <c r="H145" s="185">
        <f t="shared" si="25"/>
        <v>262.03008</v>
      </c>
      <c r="I145" s="185">
        <f t="shared" si="26"/>
        <v>63.154912899742641</v>
      </c>
      <c r="J145" s="185">
        <f t="shared" si="27"/>
        <v>566.36386263371833</v>
      </c>
      <c r="K145" s="186">
        <f t="shared" si="31"/>
        <v>143</v>
      </c>
      <c r="L145" s="201"/>
    </row>
    <row r="146" spans="1:12" x14ac:dyDescent="0.25">
      <c r="A146" s="181">
        <v>144</v>
      </c>
      <c r="B146" s="181">
        <f t="shared" si="28"/>
        <v>144</v>
      </c>
      <c r="C146" s="182">
        <f t="shared" si="24"/>
        <v>128.04480000000001</v>
      </c>
      <c r="D146" s="182">
        <f t="shared" si="29"/>
        <v>33.544172323452209</v>
      </c>
      <c r="E146" s="182">
        <f t="shared" si="30"/>
        <v>281.43412679667932</v>
      </c>
      <c r="F146" s="183">
        <f t="shared" si="23"/>
        <v>133</v>
      </c>
      <c r="G146" s="209">
        <f>$G$143+(F146-$F$143)*($G$148-$G$143)/($F$148-$F$143)</f>
        <v>292.39999999999998</v>
      </c>
      <c r="H146" s="185">
        <f t="shared" si="25"/>
        <v>264.56351999999998</v>
      </c>
      <c r="I146" s="185">
        <f t="shared" si="26"/>
        <v>63.694148737013862</v>
      </c>
      <c r="J146" s="185">
        <f t="shared" si="27"/>
        <v>571.71543971696565</v>
      </c>
      <c r="K146" s="186">
        <f t="shared" si="31"/>
        <v>144</v>
      </c>
      <c r="L146" s="201"/>
    </row>
    <row r="147" spans="1:12" x14ac:dyDescent="0.25">
      <c r="A147" s="181">
        <v>145</v>
      </c>
      <c r="B147" s="181">
        <f t="shared" si="28"/>
        <v>145</v>
      </c>
      <c r="C147" s="182">
        <f t="shared" si="24"/>
        <v>128.934</v>
      </c>
      <c r="D147" s="182">
        <f t="shared" si="29"/>
        <v>33.749920116221382</v>
      </c>
      <c r="E147" s="182">
        <f t="shared" si="30"/>
        <v>283.34116086908551</v>
      </c>
      <c r="F147" s="183">
        <f t="shared" si="23"/>
        <v>134</v>
      </c>
      <c r="G147" s="209">
        <f>$G$143+(F147-$F$143)*($G$148-$G$143)/($F$148-$F$143)</f>
        <v>295.2</v>
      </c>
      <c r="H147" s="185">
        <f t="shared" si="25"/>
        <v>267.09695999999997</v>
      </c>
      <c r="I147" s="185">
        <f t="shared" si="26"/>
        <v>64.232783846951989</v>
      </c>
      <c r="J147" s="185">
        <f t="shared" si="27"/>
        <v>577.06597053344126</v>
      </c>
      <c r="K147" s="186">
        <f t="shared" si="31"/>
        <v>145</v>
      </c>
      <c r="L147" s="201"/>
    </row>
    <row r="148" spans="1:12" x14ac:dyDescent="0.25">
      <c r="A148" s="181">
        <v>146</v>
      </c>
      <c r="B148" s="181">
        <f t="shared" si="28"/>
        <v>146</v>
      </c>
      <c r="C148" s="182">
        <f t="shared" si="24"/>
        <v>129.82320000000001</v>
      </c>
      <c r="D148" s="182">
        <f t="shared" si="29"/>
        <v>33.955502808068275</v>
      </c>
      <c r="E148" s="182">
        <f t="shared" si="30"/>
        <v>285.24790739071892</v>
      </c>
      <c r="F148" s="183">
        <f t="shared" ref="F148:F164" si="32">F147+1</f>
        <v>135</v>
      </c>
      <c r="G148" s="209">
        <f>269+15+14</f>
        <v>298</v>
      </c>
      <c r="H148" s="185">
        <f t="shared" si="25"/>
        <v>269.63039999999995</v>
      </c>
      <c r="I148" s="185">
        <f t="shared" si="26"/>
        <v>64.770824587436138</v>
      </c>
      <c r="J148" s="185">
        <f t="shared" si="27"/>
        <v>582.4154661564512</v>
      </c>
      <c r="K148" s="186">
        <f t="shared" si="31"/>
        <v>146</v>
      </c>
      <c r="L148" s="201"/>
    </row>
    <row r="149" spans="1:12" x14ac:dyDescent="0.25">
      <c r="A149" s="181">
        <v>147</v>
      </c>
      <c r="B149" s="181">
        <f t="shared" si="28"/>
        <v>147</v>
      </c>
      <c r="C149" s="182">
        <f t="shared" si="24"/>
        <v>130.7124</v>
      </c>
      <c r="D149" s="182">
        <f t="shared" si="29"/>
        <v>34.160921660966139</v>
      </c>
      <c r="E149" s="182">
        <f t="shared" si="30"/>
        <v>287.15436855951606</v>
      </c>
      <c r="F149" s="183">
        <v>135</v>
      </c>
      <c r="G149" s="209">
        <v>269</v>
      </c>
      <c r="H149" s="185">
        <f t="shared" si="25"/>
        <v>243.39119999999997</v>
      </c>
      <c r="I149" s="185">
        <f t="shared" si="26"/>
        <v>59.168566788241527</v>
      </c>
      <c r="J149" s="185">
        <f t="shared" si="27"/>
        <v>526.95826048952063</v>
      </c>
      <c r="K149" s="186">
        <f t="shared" si="31"/>
        <v>147</v>
      </c>
      <c r="L149" s="201"/>
    </row>
    <row r="150" spans="1:12" x14ac:dyDescent="0.25">
      <c r="A150" s="181">
        <v>148</v>
      </c>
      <c r="B150" s="181">
        <f t="shared" si="28"/>
        <v>148</v>
      </c>
      <c r="C150" s="182">
        <f t="shared" si="24"/>
        <v>131.60159999999999</v>
      </c>
      <c r="D150" s="182">
        <f t="shared" si="29"/>
        <v>34.366177918726088</v>
      </c>
      <c r="E150" s="182">
        <f t="shared" si="30"/>
        <v>289.06054654178126</v>
      </c>
      <c r="F150" s="183">
        <f t="shared" si="32"/>
        <v>136</v>
      </c>
      <c r="G150" s="209">
        <f>$G$149+(F150-$F$149)*($G$154-$G$149)/($F$154-$F$149)</f>
        <v>271.60000000000002</v>
      </c>
      <c r="H150" s="185">
        <f t="shared" si="25"/>
        <v>245.74368000000001</v>
      </c>
      <c r="I150" s="185">
        <f t="shared" si="26"/>
        <v>59.673605104126452</v>
      </c>
      <c r="J150" s="185">
        <f t="shared" si="27"/>
        <v>531.93510488968684</v>
      </c>
      <c r="K150" s="186">
        <f t="shared" si="31"/>
        <v>148</v>
      </c>
      <c r="L150" s="201"/>
    </row>
    <row r="151" spans="1:12" x14ac:dyDescent="0.25">
      <c r="A151" s="181">
        <v>149</v>
      </c>
      <c r="B151" s="181">
        <f t="shared" si="28"/>
        <v>149</v>
      </c>
      <c r="C151" s="182">
        <f t="shared" si="24"/>
        <v>132.49079999999998</v>
      </c>
      <c r="D151" s="182">
        <f t="shared" si="29"/>
        <v>34.571272807379401</v>
      </c>
      <c r="E151" s="182">
        <f t="shared" si="30"/>
        <v>290.9664434728524</v>
      </c>
      <c r="F151" s="183">
        <f t="shared" si="32"/>
        <v>137</v>
      </c>
      <c r="G151" s="209">
        <f>$G$149+(F151-$F$149)*($G$154-$G$149)/($F$154-$F$149)</f>
        <v>274.2</v>
      </c>
      <c r="H151" s="185">
        <f t="shared" si="25"/>
        <v>248.09616</v>
      </c>
      <c r="I151" s="185">
        <f t="shared" si="26"/>
        <v>60.178080967364686</v>
      </c>
      <c r="J151" s="185">
        <f t="shared" si="27"/>
        <v>536.91096968482668</v>
      </c>
      <c r="K151" s="186">
        <f t="shared" si="31"/>
        <v>149</v>
      </c>
      <c r="L151" s="201"/>
    </row>
    <row r="152" spans="1:12" x14ac:dyDescent="0.25">
      <c r="A152" s="181">
        <v>150</v>
      </c>
      <c r="B152" s="181">
        <f t="shared" si="28"/>
        <v>150</v>
      </c>
      <c r="C152" s="182">
        <f t="shared" si="24"/>
        <v>133.38</v>
      </c>
      <c r="D152" s="182">
        <f t="shared" si="29"/>
        <v>34.776207535548991</v>
      </c>
      <c r="E152" s="182">
        <f t="shared" si="30"/>
        <v>292.8720614577478</v>
      </c>
      <c r="F152" s="183">
        <f t="shared" si="32"/>
        <v>138</v>
      </c>
      <c r="G152" s="209">
        <f>$G$149+(F152-$F$149)*($G$154-$G$149)/($F$154-$F$149)</f>
        <v>276.8</v>
      </c>
      <c r="H152" s="185">
        <f t="shared" si="25"/>
        <v>250.44864000000001</v>
      </c>
      <c r="I152" s="185">
        <f t="shared" si="26"/>
        <v>60.682000328890055</v>
      </c>
      <c r="J152" s="185">
        <f t="shared" si="27"/>
        <v>541.88586523948345</v>
      </c>
      <c r="K152" s="186">
        <f t="shared" si="31"/>
        <v>150</v>
      </c>
      <c r="L152" s="201"/>
    </row>
    <row r="153" spans="1:12" x14ac:dyDescent="0.25">
      <c r="A153" s="188"/>
      <c r="B153" s="188"/>
      <c r="C153" s="188"/>
      <c r="D153" s="188"/>
      <c r="E153" s="189"/>
      <c r="F153" s="183">
        <f t="shared" si="32"/>
        <v>139</v>
      </c>
      <c r="G153" s="209">
        <f>$G$149+(F153-$F$149)*($G$154-$G$149)/($F$154-$F$149)</f>
        <v>279.39999999999998</v>
      </c>
      <c r="H153" s="185">
        <f t="shared" si="25"/>
        <v>252.80111999999997</v>
      </c>
      <c r="I153" s="185">
        <f t="shared" si="26"/>
        <v>61.185369021394209</v>
      </c>
      <c r="J153" s="185">
        <f t="shared" si="27"/>
        <v>546.8598017122614</v>
      </c>
      <c r="K153" s="186">
        <f t="shared" si="31"/>
        <v>151</v>
      </c>
      <c r="L153" s="201"/>
    </row>
    <row r="154" spans="1:12" x14ac:dyDescent="0.25">
      <c r="A154" s="188"/>
      <c r="B154" s="188"/>
      <c r="C154" s="188"/>
      <c r="D154" s="188"/>
      <c r="E154" s="189"/>
      <c r="F154" s="183">
        <f t="shared" si="32"/>
        <v>140</v>
      </c>
      <c r="G154" s="209">
        <f>269+13</f>
        <v>282</v>
      </c>
      <c r="H154" s="185">
        <f t="shared" si="25"/>
        <v>255.15359999999998</v>
      </c>
      <c r="I154" s="185">
        <f t="shared" si="26"/>
        <v>61.688192762754426</v>
      </c>
      <c r="J154" s="185">
        <f t="shared" si="27"/>
        <v>551.83278906179714</v>
      </c>
      <c r="K154" s="186">
        <f t="shared" si="31"/>
        <v>152</v>
      </c>
      <c r="L154" s="201"/>
    </row>
    <row r="155" spans="1:12" x14ac:dyDescent="0.25">
      <c r="A155" s="188"/>
      <c r="B155" s="188"/>
      <c r="C155" s="188"/>
      <c r="D155" s="188"/>
      <c r="E155" s="189"/>
      <c r="F155" s="183">
        <f t="shared" si="32"/>
        <v>141</v>
      </c>
      <c r="G155" s="209">
        <f>$G$154+(F155-$F$154)*($G$159-$G$154)/($F$159-$F$154)</f>
        <v>284.60000000000002</v>
      </c>
      <c r="H155" s="185">
        <f t="shared" si="25"/>
        <v>257.50608</v>
      </c>
      <c r="I155" s="185">
        <f t="shared" si="26"/>
        <v>62.190477159330463</v>
      </c>
      <c r="J155" s="185">
        <f t="shared" si="27"/>
        <v>556.80483705250049</v>
      </c>
      <c r="K155" s="186">
        <f t="shared" si="31"/>
        <v>153</v>
      </c>
      <c r="L155" s="201"/>
    </row>
    <row r="156" spans="1:12" x14ac:dyDescent="0.25">
      <c r="A156" s="188"/>
      <c r="B156" s="188"/>
      <c r="C156" s="188"/>
      <c r="D156" s="188"/>
      <c r="E156" s="189"/>
      <c r="F156" s="183">
        <f t="shared" si="32"/>
        <v>142</v>
      </c>
      <c r="G156" s="209">
        <f>$G$154+(F156-$F$154)*($G$159-$G$154)/($F$159-$F$154)</f>
        <v>287.2</v>
      </c>
      <c r="H156" s="185">
        <f t="shared" si="25"/>
        <v>259.85855999999995</v>
      </c>
      <c r="I156" s="185">
        <f t="shared" si="26"/>
        <v>62.692227709138479</v>
      </c>
      <c r="J156" s="185">
        <f t="shared" si="27"/>
        <v>561.7759552600827</v>
      </c>
      <c r="K156" s="188"/>
    </row>
    <row r="157" spans="1:12" x14ac:dyDescent="0.25">
      <c r="A157" s="188"/>
      <c r="B157" s="188"/>
      <c r="C157" s="188"/>
      <c r="D157" s="188"/>
      <c r="E157" s="189"/>
      <c r="F157" s="183">
        <f t="shared" si="32"/>
        <v>143</v>
      </c>
      <c r="G157" s="209">
        <f>$G$154+(F157-$F$154)*($G$159-$G$154)/($F$159-$F$154)</f>
        <v>289.8</v>
      </c>
      <c r="H157" s="185">
        <f t="shared" si="25"/>
        <v>262.21103999999997</v>
      </c>
      <c r="I157" s="185">
        <f t="shared" si="26"/>
        <v>63.193449804905853</v>
      </c>
      <c r="J157" s="185">
        <f t="shared" si="27"/>
        <v>566.7461530768777</v>
      </c>
      <c r="K157" s="188"/>
    </row>
    <row r="158" spans="1:12" x14ac:dyDescent="0.25">
      <c r="A158" s="188"/>
      <c r="B158" s="188"/>
      <c r="C158" s="188"/>
      <c r="D158" s="188"/>
      <c r="E158" s="189"/>
      <c r="F158" s="183">
        <f t="shared" si="32"/>
        <v>144</v>
      </c>
      <c r="G158" s="209">
        <f>$G$154+(F158-$F$154)*($G$159-$G$154)/($F$159-$F$154)</f>
        <v>292.39999999999998</v>
      </c>
      <c r="H158" s="185">
        <f t="shared" si="25"/>
        <v>264.56351999999998</v>
      </c>
      <c r="I158" s="185">
        <f t="shared" si="26"/>
        <v>63.694148737013862</v>
      </c>
      <c r="J158" s="185">
        <f t="shared" si="27"/>
        <v>571.71543971696565</v>
      </c>
      <c r="K158" s="188"/>
    </row>
    <row r="159" spans="1:12" x14ac:dyDescent="0.25">
      <c r="A159" s="188"/>
      <c r="B159" s="188"/>
      <c r="C159" s="188"/>
      <c r="D159" s="188"/>
      <c r="E159" s="189"/>
      <c r="F159" s="183">
        <f t="shared" si="32"/>
        <v>145</v>
      </c>
      <c r="G159" s="209">
        <f>269+13+13</f>
        <v>295</v>
      </c>
      <c r="H159" s="185">
        <f t="shared" si="25"/>
        <v>266.916</v>
      </c>
      <c r="I159" s="185">
        <f t="shared" si="26"/>
        <v>64.194329696332176</v>
      </c>
      <c r="J159" s="185">
        <f t="shared" si="27"/>
        <v>576.68382422111188</v>
      </c>
      <c r="K159" s="188"/>
    </row>
    <row r="160" spans="1:12" x14ac:dyDescent="0.25">
      <c r="A160" s="188"/>
      <c r="B160" s="188"/>
      <c r="C160" s="188"/>
      <c r="D160" s="188"/>
      <c r="E160" s="189"/>
      <c r="F160" s="183">
        <f t="shared" si="32"/>
        <v>146</v>
      </c>
      <c r="G160" s="209">
        <f>$G$159+(F160-$F$159)*($G$164-$G$159)/($F$164-$F$159)</f>
        <v>297.2</v>
      </c>
      <c r="H160" s="185">
        <f t="shared" si="25"/>
        <v>268.90655999999996</v>
      </c>
      <c r="I160" s="185">
        <f t="shared" si="26"/>
        <v>64.617158945843769</v>
      </c>
      <c r="J160" s="185">
        <f t="shared" si="27"/>
        <v>580.88714383067781</v>
      </c>
      <c r="K160" s="188"/>
    </row>
    <row r="161" spans="1:11" x14ac:dyDescent="0.25">
      <c r="A161" s="188"/>
      <c r="B161" s="188"/>
      <c r="C161" s="188"/>
      <c r="D161" s="188"/>
      <c r="E161" s="189"/>
      <c r="F161" s="183">
        <f t="shared" si="32"/>
        <v>147</v>
      </c>
      <c r="G161" s="209">
        <f>$G$159+(F161-$F$159)*($G$164-$G$159)/($F$164-$F$159)</f>
        <v>299.39999999999998</v>
      </c>
      <c r="H161" s="185">
        <f t="shared" si="25"/>
        <v>270.89711999999997</v>
      </c>
      <c r="I161" s="185">
        <f t="shared" si="26"/>
        <v>65.039624021315475</v>
      </c>
      <c r="J161" s="185">
        <f t="shared" si="27"/>
        <v>585.08982917045773</v>
      </c>
      <c r="K161" s="188"/>
    </row>
    <row r="162" spans="1:11" x14ac:dyDescent="0.25">
      <c r="A162" s="188"/>
      <c r="B162" s="188"/>
      <c r="C162" s="188"/>
      <c r="D162" s="188"/>
      <c r="E162" s="189"/>
      <c r="F162" s="183">
        <f t="shared" si="32"/>
        <v>148</v>
      </c>
      <c r="G162" s="209">
        <f>$G$159+(F162-$F$159)*($G$164-$G$159)/($F$164-$F$159)</f>
        <v>301.60000000000002</v>
      </c>
      <c r="H162" s="185">
        <f t="shared" si="25"/>
        <v>272.88767999999999</v>
      </c>
      <c r="I162" s="185">
        <f t="shared" si="26"/>
        <v>65.461727908967418</v>
      </c>
      <c r="J162" s="185">
        <f t="shared" si="27"/>
        <v>589.29188544145154</v>
      </c>
      <c r="K162" s="188"/>
    </row>
    <row r="163" spans="1:11" x14ac:dyDescent="0.25">
      <c r="A163" s="188"/>
      <c r="B163" s="188"/>
      <c r="C163" s="188"/>
      <c r="D163" s="188"/>
      <c r="E163" s="189"/>
      <c r="F163" s="183">
        <f t="shared" si="32"/>
        <v>149</v>
      </c>
      <c r="G163" s="209">
        <f>$G$159+(F163-$F$159)*($G$164-$G$159)/($F$164-$F$159)</f>
        <v>303.8</v>
      </c>
      <c r="H163" s="185">
        <f t="shared" si="25"/>
        <v>274.87824000000001</v>
      </c>
      <c r="I163" s="185">
        <f t="shared" si="26"/>
        <v>65.883473548937019</v>
      </c>
      <c r="J163" s="185">
        <f t="shared" si="27"/>
        <v>593.49331776439851</v>
      </c>
      <c r="K163" s="188"/>
    </row>
    <row r="164" spans="1:11" x14ac:dyDescent="0.25">
      <c r="A164" s="188"/>
      <c r="B164" s="188"/>
      <c r="C164" s="188"/>
      <c r="D164" s="188"/>
      <c r="E164" s="189"/>
      <c r="F164" s="183">
        <f t="shared" si="32"/>
        <v>150</v>
      </c>
      <c r="G164" s="209">
        <f>268+13+13+12</f>
        <v>306</v>
      </c>
      <c r="H164" s="185">
        <f t="shared" si="25"/>
        <v>276.86879999999996</v>
      </c>
      <c r="I164" s="185">
        <f t="shared" si="26"/>
        <v>66.30486383631866</v>
      </c>
      <c r="J164" s="185">
        <f t="shared" si="27"/>
        <v>597.6941311815882</v>
      </c>
      <c r="K164" s="188"/>
    </row>
    <row r="165" spans="1:11" x14ac:dyDescent="0.25">
      <c r="A165" s="188"/>
      <c r="B165" s="188"/>
      <c r="C165" s="188"/>
      <c r="D165" s="188"/>
      <c r="E165" s="189"/>
      <c r="F165" s="183">
        <v>150</v>
      </c>
      <c r="G165" s="212">
        <v>0</v>
      </c>
      <c r="H165" s="185">
        <f t="shared" si="25"/>
        <v>0</v>
      </c>
      <c r="I165" s="185">
        <v>0</v>
      </c>
      <c r="J165" s="185">
        <f t="shared" si="27"/>
        <v>0</v>
      </c>
      <c r="K165" s="188"/>
    </row>
    <row r="166" spans="1:11" x14ac:dyDescent="0.25">
      <c r="A166" s="188"/>
      <c r="B166" s="188"/>
      <c r="C166" s="188"/>
      <c r="D166" s="188"/>
      <c r="E166" s="189"/>
      <c r="F166" s="188"/>
      <c r="G166" s="18"/>
      <c r="H166" s="189"/>
      <c r="I166" s="189"/>
      <c r="J166" s="189"/>
      <c r="K166" s="188"/>
    </row>
    <row r="167" spans="1:11" x14ac:dyDescent="0.25">
      <c r="A167" s="188"/>
      <c r="B167" s="188"/>
      <c r="C167" s="188"/>
      <c r="D167" s="188"/>
      <c r="E167" s="189"/>
    </row>
    <row r="168" spans="1:11" x14ac:dyDescent="0.25">
      <c r="A168" s="188"/>
      <c r="B168" s="188"/>
      <c r="C168" s="188"/>
      <c r="D168" s="188"/>
      <c r="E168" s="189"/>
    </row>
    <row r="169" spans="1:11" x14ac:dyDescent="0.25">
      <c r="A169" s="188"/>
      <c r="B169" s="188"/>
      <c r="C169" s="188"/>
      <c r="D169" s="188"/>
      <c r="E169" s="189"/>
    </row>
    <row r="170" spans="1:11" x14ac:dyDescent="0.25">
      <c r="F170" s="188"/>
    </row>
    <row r="171" spans="1:11" x14ac:dyDescent="0.25">
      <c r="F171" s="188"/>
    </row>
    <row r="172" spans="1:11" x14ac:dyDescent="0.25">
      <c r="F172" s="188"/>
    </row>
    <row r="173" spans="1:11" x14ac:dyDescent="0.25">
      <c r="F173" s="188"/>
    </row>
    <row r="174" spans="1:11" x14ac:dyDescent="0.25">
      <c r="F174" s="188"/>
    </row>
    <row r="175" spans="1:11" x14ac:dyDescent="0.25">
      <c r="F175" s="188"/>
    </row>
    <row r="176" spans="1:11" x14ac:dyDescent="0.25">
      <c r="F176" s="188"/>
    </row>
    <row r="177" spans="6:6" x14ac:dyDescent="0.25">
      <c r="F177" s="188"/>
    </row>
    <row r="178" spans="6:6" x14ac:dyDescent="0.25">
      <c r="F178" s="188"/>
    </row>
    <row r="179" spans="6:6" x14ac:dyDescent="0.25">
      <c r="F179" s="188"/>
    </row>
    <row r="180" spans="6:6" x14ac:dyDescent="0.25">
      <c r="F180" s="188"/>
    </row>
    <row r="181" spans="6:6" x14ac:dyDescent="0.25">
      <c r="F181" s="188"/>
    </row>
    <row r="182" spans="6:6" x14ac:dyDescent="0.25">
      <c r="F182" s="188"/>
    </row>
    <row r="183" spans="6:6" x14ac:dyDescent="0.25">
      <c r="F183" s="188"/>
    </row>
    <row r="184" spans="6:6" x14ac:dyDescent="0.25">
      <c r="F184" s="188"/>
    </row>
    <row r="185" spans="6:6" x14ac:dyDescent="0.25">
      <c r="F185" s="188"/>
    </row>
    <row r="186" spans="6:6" x14ac:dyDescent="0.25">
      <c r="F186" s="188"/>
    </row>
    <row r="187" spans="6:6" x14ac:dyDescent="0.25">
      <c r="F187" s="188"/>
    </row>
    <row r="188" spans="6:6" x14ac:dyDescent="0.25">
      <c r="F188" s="188"/>
    </row>
    <row r="189" spans="6:6" x14ac:dyDescent="0.25">
      <c r="F189" s="188"/>
    </row>
    <row r="190" spans="6:6" x14ac:dyDescent="0.25">
      <c r="F190" s="188"/>
    </row>
    <row r="191" spans="6:6" x14ac:dyDescent="0.25">
      <c r="F191" s="188"/>
    </row>
    <row r="192" spans="6:6" x14ac:dyDescent="0.25">
      <c r="F192" s="188"/>
    </row>
    <row r="193" spans="6:6" x14ac:dyDescent="0.25">
      <c r="F193" s="188"/>
    </row>
    <row r="194" spans="6:6" x14ac:dyDescent="0.25">
      <c r="F194" s="188"/>
    </row>
    <row r="195" spans="6:6" x14ac:dyDescent="0.25">
      <c r="F195" s="188"/>
    </row>
    <row r="196" spans="6:6" x14ac:dyDescent="0.25">
      <c r="F196" s="188"/>
    </row>
    <row r="197" spans="6:6" x14ac:dyDescent="0.25">
      <c r="F197" s="188"/>
    </row>
    <row r="198" spans="6:6" x14ac:dyDescent="0.25">
      <c r="F198" s="188"/>
    </row>
    <row r="199" spans="6:6" x14ac:dyDescent="0.25">
      <c r="F199" s="188"/>
    </row>
    <row r="200" spans="6:6" x14ac:dyDescent="0.25">
      <c r="F200" s="188"/>
    </row>
    <row r="201" spans="6:6" x14ac:dyDescent="0.25">
      <c r="F201" s="188"/>
    </row>
    <row r="202" spans="6:6" x14ac:dyDescent="0.25">
      <c r="F202" s="188"/>
    </row>
    <row r="203" spans="6:6" x14ac:dyDescent="0.25">
      <c r="F203" s="188"/>
    </row>
    <row r="204" spans="6:6" x14ac:dyDescent="0.25">
      <c r="F204" s="188"/>
    </row>
    <row r="205" spans="6:6" x14ac:dyDescent="0.25">
      <c r="F205" s="188"/>
    </row>
    <row r="206" spans="6:6" x14ac:dyDescent="0.25">
      <c r="F206" s="188"/>
    </row>
    <row r="207" spans="6:6" x14ac:dyDescent="0.25">
      <c r="F207" s="188"/>
    </row>
    <row r="208" spans="6:6" x14ac:dyDescent="0.25">
      <c r="F208" s="188"/>
    </row>
    <row r="209" spans="6:6" x14ac:dyDescent="0.25">
      <c r="F209" s="188"/>
    </row>
    <row r="210" spans="6:6" x14ac:dyDescent="0.25">
      <c r="F210" s="188"/>
    </row>
    <row r="211" spans="6:6" x14ac:dyDescent="0.25">
      <c r="F211" s="188"/>
    </row>
    <row r="212" spans="6:6" x14ac:dyDescent="0.25">
      <c r="F212" s="188"/>
    </row>
    <row r="213" spans="6:6" x14ac:dyDescent="0.25">
      <c r="F213" s="188"/>
    </row>
    <row r="214" spans="6:6" x14ac:dyDescent="0.25">
      <c r="F214" s="188"/>
    </row>
    <row r="215" spans="6:6" x14ac:dyDescent="0.25">
      <c r="F215" s="188"/>
    </row>
    <row r="216" spans="6:6" x14ac:dyDescent="0.25">
      <c r="F216" s="188"/>
    </row>
    <row r="217" spans="6:6" x14ac:dyDescent="0.25">
      <c r="F217" s="188"/>
    </row>
    <row r="218" spans="6:6" x14ac:dyDescent="0.25">
      <c r="F218" s="188"/>
    </row>
    <row r="219" spans="6:6" x14ac:dyDescent="0.25">
      <c r="F219" s="188"/>
    </row>
    <row r="220" spans="6:6" x14ac:dyDescent="0.25">
      <c r="F220" s="188"/>
    </row>
    <row r="221" spans="6:6" x14ac:dyDescent="0.25">
      <c r="F221" s="188"/>
    </row>
    <row r="222" spans="6:6" x14ac:dyDescent="0.25">
      <c r="F222" s="188"/>
    </row>
    <row r="223" spans="6:6" x14ac:dyDescent="0.25">
      <c r="F223" s="188"/>
    </row>
    <row r="224" spans="6:6" x14ac:dyDescent="0.25">
      <c r="F224" s="188"/>
    </row>
    <row r="225" spans="6:6" x14ac:dyDescent="0.25">
      <c r="F225" s="188"/>
    </row>
    <row r="226" spans="6:6" x14ac:dyDescent="0.25">
      <c r="F226" s="188"/>
    </row>
    <row r="227" spans="6:6" x14ac:dyDescent="0.25">
      <c r="F227" s="188"/>
    </row>
    <row r="228" spans="6:6" x14ac:dyDescent="0.25">
      <c r="F228" s="188"/>
    </row>
    <row r="229" spans="6:6" x14ac:dyDescent="0.25">
      <c r="F229" s="188"/>
    </row>
    <row r="230" spans="6:6" x14ac:dyDescent="0.25">
      <c r="F230" s="188"/>
    </row>
    <row r="231" spans="6:6" x14ac:dyDescent="0.25">
      <c r="F231" s="188"/>
    </row>
    <row r="232" spans="6:6" x14ac:dyDescent="0.25">
      <c r="F232" s="188"/>
    </row>
    <row r="233" spans="6:6" x14ac:dyDescent="0.25">
      <c r="F233" s="188"/>
    </row>
    <row r="234" spans="6:6" x14ac:dyDescent="0.25">
      <c r="F234" s="188"/>
    </row>
    <row r="235" spans="6:6" x14ac:dyDescent="0.25">
      <c r="F235" s="188"/>
    </row>
    <row r="236" spans="6:6" x14ac:dyDescent="0.25">
      <c r="F236" s="188"/>
    </row>
    <row r="237" spans="6:6" x14ac:dyDescent="0.25">
      <c r="F237" s="188"/>
    </row>
    <row r="238" spans="6:6" x14ac:dyDescent="0.25">
      <c r="F238" s="188"/>
    </row>
    <row r="239" spans="6:6" x14ac:dyDescent="0.25">
      <c r="F239" s="188"/>
    </row>
    <row r="240" spans="6:6" x14ac:dyDescent="0.25">
      <c r="F240" s="188"/>
    </row>
    <row r="241" spans="6:6" x14ac:dyDescent="0.25">
      <c r="F241" s="188"/>
    </row>
    <row r="242" spans="6:6" x14ac:dyDescent="0.25">
      <c r="F242" s="188"/>
    </row>
    <row r="243" spans="6:6" x14ac:dyDescent="0.25">
      <c r="F243" s="188"/>
    </row>
  </sheetData>
  <mergeCells count="1">
    <mergeCell ref="Z1:Z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AA2D-669A-400E-8513-8028ECF446C5}">
  <sheetPr>
    <tabColor rgb="FFFFC000"/>
  </sheetPr>
  <dimension ref="A1:R33"/>
  <sheetViews>
    <sheetView workbookViewId="0">
      <selection sqref="A1:XFD1048576"/>
    </sheetView>
  </sheetViews>
  <sheetFormatPr baseColWidth="10" defaultRowHeight="15" x14ac:dyDescent="0.25"/>
  <cols>
    <col min="17" max="17" width="17.7109375" bestFit="1" customWidth="1"/>
    <col min="18" max="18" width="37.28515625" bestFit="1" customWidth="1"/>
  </cols>
  <sheetData>
    <row r="1" spans="1:18" ht="21" x14ac:dyDescent="0.25">
      <c r="A1" s="213" t="s">
        <v>355</v>
      </c>
      <c r="B1" s="213" t="s">
        <v>356</v>
      </c>
      <c r="C1" s="213" t="s">
        <v>357</v>
      </c>
      <c r="D1" s="213" t="s">
        <v>358</v>
      </c>
      <c r="E1" s="213" t="s">
        <v>359</v>
      </c>
      <c r="F1" s="214"/>
      <c r="G1" s="214"/>
      <c r="H1" s="214"/>
      <c r="I1" s="214"/>
      <c r="J1" s="214"/>
      <c r="K1" s="214"/>
      <c r="L1" s="214"/>
      <c r="M1" s="214"/>
      <c r="N1" s="214"/>
      <c r="O1" s="214"/>
    </row>
    <row r="2" spans="1:18" ht="21" x14ac:dyDescent="0.25">
      <c r="A2" s="214" t="s">
        <v>360</v>
      </c>
      <c r="B2" s="215">
        <v>6</v>
      </c>
      <c r="C2" s="214" t="s">
        <v>361</v>
      </c>
      <c r="D2" s="215">
        <v>1.2</v>
      </c>
      <c r="E2" s="215">
        <v>1</v>
      </c>
      <c r="F2" s="214"/>
      <c r="G2" s="214"/>
      <c r="H2" s="214"/>
      <c r="I2" s="214"/>
      <c r="J2" s="214"/>
      <c r="K2" s="214"/>
      <c r="L2" s="214"/>
      <c r="M2" s="214"/>
      <c r="N2" s="214"/>
      <c r="O2" s="214"/>
    </row>
    <row r="3" spans="1:18" ht="21" x14ac:dyDescent="0.25">
      <c r="A3" s="213" t="s">
        <v>362</v>
      </c>
      <c r="B3" s="213" t="s">
        <v>363</v>
      </c>
      <c r="C3" s="213" t="s">
        <v>364</v>
      </c>
      <c r="D3" s="213" t="s">
        <v>365</v>
      </c>
      <c r="E3" s="213" t="s">
        <v>366</v>
      </c>
      <c r="F3" s="213" t="s">
        <v>367</v>
      </c>
      <c r="G3" s="213" t="s">
        <v>368</v>
      </c>
      <c r="H3" s="213" t="s">
        <v>369</v>
      </c>
      <c r="I3" s="214"/>
      <c r="J3" s="214"/>
      <c r="K3" s="214"/>
      <c r="L3" s="214"/>
      <c r="M3" s="214"/>
      <c r="N3" s="214"/>
      <c r="O3" s="214"/>
    </row>
    <row r="4" spans="1:18" ht="21" x14ac:dyDescent="0.25">
      <c r="A4" s="214" t="s">
        <v>370</v>
      </c>
      <c r="B4" s="214" t="s">
        <v>371</v>
      </c>
      <c r="C4" s="214" t="s">
        <v>372</v>
      </c>
      <c r="D4" s="214" t="s">
        <v>373</v>
      </c>
      <c r="E4" s="214" t="s">
        <v>374</v>
      </c>
      <c r="F4" s="214" t="s">
        <v>371</v>
      </c>
      <c r="G4" s="214" t="s">
        <v>375</v>
      </c>
      <c r="H4" s="214" t="s">
        <v>375</v>
      </c>
      <c r="I4" s="214"/>
      <c r="J4" s="214"/>
      <c r="K4" s="214"/>
      <c r="L4" s="214"/>
      <c r="M4" s="214"/>
      <c r="N4" s="214"/>
      <c r="O4" s="214"/>
    </row>
    <row r="5" spans="1:18" x14ac:dyDescent="0.25">
      <c r="A5" s="213"/>
      <c r="B5" s="213"/>
      <c r="C5" s="594" t="s">
        <v>376</v>
      </c>
      <c r="D5" s="594"/>
      <c r="E5" s="594"/>
      <c r="F5" s="594"/>
      <c r="G5" s="594"/>
      <c r="H5" s="594" t="s">
        <v>377</v>
      </c>
      <c r="I5" s="594"/>
      <c r="J5" s="594"/>
      <c r="K5" s="594"/>
      <c r="L5" s="594"/>
      <c r="M5" s="594" t="s">
        <v>378</v>
      </c>
      <c r="N5" s="594"/>
      <c r="O5" s="216" t="s">
        <v>379</v>
      </c>
    </row>
    <row r="6" spans="1:18" ht="21" x14ac:dyDescent="0.25">
      <c r="A6" s="216" t="s">
        <v>380</v>
      </c>
      <c r="B6" s="216" t="s">
        <v>381</v>
      </c>
      <c r="C6" s="216" t="s">
        <v>382</v>
      </c>
      <c r="D6" s="216" t="s">
        <v>383</v>
      </c>
      <c r="E6" s="216" t="s">
        <v>384</v>
      </c>
      <c r="F6" s="216" t="s">
        <v>385</v>
      </c>
      <c r="G6" s="216" t="s">
        <v>386</v>
      </c>
      <c r="H6" s="216" t="s">
        <v>382</v>
      </c>
      <c r="I6" s="216" t="s">
        <v>383</v>
      </c>
      <c r="J6" s="216" t="s">
        <v>384</v>
      </c>
      <c r="K6" s="216" t="s">
        <v>385</v>
      </c>
      <c r="L6" s="216" t="s">
        <v>386</v>
      </c>
      <c r="M6" s="216" t="s">
        <v>384</v>
      </c>
      <c r="N6" s="216" t="s">
        <v>386</v>
      </c>
      <c r="O6" s="216" t="s">
        <v>387</v>
      </c>
    </row>
    <row r="7" spans="1:18" x14ac:dyDescent="0.25">
      <c r="A7" s="217">
        <v>20</v>
      </c>
      <c r="B7" s="217">
        <v>8.4</v>
      </c>
      <c r="C7" s="217">
        <v>5115</v>
      </c>
      <c r="D7" s="217">
        <v>7</v>
      </c>
      <c r="E7" s="217">
        <v>19</v>
      </c>
      <c r="F7" s="217">
        <v>0.01</v>
      </c>
      <c r="G7" s="217">
        <v>42</v>
      </c>
      <c r="H7" s="217">
        <v>0</v>
      </c>
      <c r="I7" s="217">
        <v>0</v>
      </c>
      <c r="J7" s="217">
        <v>0</v>
      </c>
      <c r="K7" s="217">
        <v>0</v>
      </c>
      <c r="L7" s="217">
        <v>0</v>
      </c>
      <c r="M7" s="217">
        <v>19</v>
      </c>
      <c r="N7" s="217">
        <v>42</v>
      </c>
      <c r="O7" s="215">
        <v>2.1</v>
      </c>
      <c r="Q7" s="218" t="s">
        <v>388</v>
      </c>
      <c r="R7" s="219" t="s">
        <v>389</v>
      </c>
    </row>
    <row r="8" spans="1:18" x14ac:dyDescent="0.25">
      <c r="A8" s="217">
        <v>25</v>
      </c>
      <c r="B8" s="217">
        <v>10.4</v>
      </c>
      <c r="C8" s="217">
        <v>3529</v>
      </c>
      <c r="D8" s="217">
        <v>9</v>
      </c>
      <c r="E8" s="217">
        <v>20</v>
      </c>
      <c r="F8" s="217">
        <v>0.02</v>
      </c>
      <c r="G8" s="217">
        <v>62</v>
      </c>
      <c r="H8" s="217">
        <v>1585</v>
      </c>
      <c r="I8" s="217">
        <v>6</v>
      </c>
      <c r="J8" s="217">
        <v>5</v>
      </c>
      <c r="K8" s="217">
        <v>0.01</v>
      </c>
      <c r="L8" s="217">
        <v>8</v>
      </c>
      <c r="M8" s="217">
        <v>25</v>
      </c>
      <c r="N8" s="217">
        <v>71</v>
      </c>
      <c r="O8" s="215">
        <v>2.8</v>
      </c>
      <c r="Q8" s="220" t="s">
        <v>390</v>
      </c>
      <c r="R8" s="22" t="s">
        <v>391</v>
      </c>
    </row>
    <row r="9" spans="1:18" x14ac:dyDescent="0.25">
      <c r="A9" s="217">
        <v>30</v>
      </c>
      <c r="B9" s="217">
        <v>12.2</v>
      </c>
      <c r="C9" s="217">
        <v>2144</v>
      </c>
      <c r="D9" s="217">
        <v>11</v>
      </c>
      <c r="E9" s="217">
        <v>19</v>
      </c>
      <c r="F9" s="217">
        <v>0.04</v>
      </c>
      <c r="G9" s="217">
        <v>76</v>
      </c>
      <c r="H9" s="217">
        <v>1385</v>
      </c>
      <c r="I9" s="217">
        <v>8</v>
      </c>
      <c r="J9" s="217">
        <v>7</v>
      </c>
      <c r="K9" s="217">
        <v>0.02</v>
      </c>
      <c r="L9" s="217">
        <v>21</v>
      </c>
      <c r="M9" s="217">
        <v>31</v>
      </c>
      <c r="N9" s="217">
        <v>106</v>
      </c>
      <c r="O9" s="215">
        <v>3.5</v>
      </c>
      <c r="Q9" s="220" t="s">
        <v>392</v>
      </c>
      <c r="R9" s="219" t="s">
        <v>393</v>
      </c>
    </row>
    <row r="10" spans="1:18" x14ac:dyDescent="0.25">
      <c r="A10" s="217">
        <v>35</v>
      </c>
      <c r="B10" s="217">
        <v>13.9</v>
      </c>
      <c r="C10" s="217">
        <v>1459</v>
      </c>
      <c r="D10" s="217">
        <v>13</v>
      </c>
      <c r="E10" s="217">
        <v>19</v>
      </c>
      <c r="F10" s="217">
        <v>0.06</v>
      </c>
      <c r="G10" s="217">
        <v>95</v>
      </c>
      <c r="H10" s="217">
        <v>685</v>
      </c>
      <c r="I10" s="217">
        <v>10</v>
      </c>
      <c r="J10" s="217">
        <v>5</v>
      </c>
      <c r="K10" s="217">
        <v>0.03</v>
      </c>
      <c r="L10" s="217">
        <v>21</v>
      </c>
      <c r="M10" s="217">
        <v>36</v>
      </c>
      <c r="N10" s="217">
        <v>145</v>
      </c>
      <c r="O10" s="215">
        <v>4.0999999999999996</v>
      </c>
      <c r="Q10" s="220" t="s">
        <v>225</v>
      </c>
      <c r="R10" s="219">
        <v>1966</v>
      </c>
    </row>
    <row r="11" spans="1:18" x14ac:dyDescent="0.25">
      <c r="A11" s="217">
        <v>40</v>
      </c>
      <c r="B11" s="217">
        <v>15.4</v>
      </c>
      <c r="C11" s="217">
        <v>1073</v>
      </c>
      <c r="D11" s="217">
        <v>15</v>
      </c>
      <c r="E11" s="217">
        <v>20</v>
      </c>
      <c r="F11" s="217">
        <v>0.11</v>
      </c>
      <c r="G11" s="217">
        <v>116</v>
      </c>
      <c r="H11" s="217">
        <v>386</v>
      </c>
      <c r="I11" s="217">
        <v>11</v>
      </c>
      <c r="J11" s="217">
        <v>4</v>
      </c>
      <c r="K11" s="217">
        <v>0.05</v>
      </c>
      <c r="L11" s="217">
        <v>21</v>
      </c>
      <c r="M11" s="217">
        <v>41</v>
      </c>
      <c r="N11" s="217">
        <v>187</v>
      </c>
      <c r="O11" s="215">
        <v>4.7</v>
      </c>
      <c r="Q11" s="220" t="s">
        <v>394</v>
      </c>
      <c r="R11" s="219" t="s">
        <v>395</v>
      </c>
    </row>
    <row r="12" spans="1:18" x14ac:dyDescent="0.25">
      <c r="A12" s="217">
        <v>45</v>
      </c>
      <c r="B12" s="217">
        <v>16.8</v>
      </c>
      <c r="C12" s="217">
        <v>822</v>
      </c>
      <c r="D12" s="217">
        <v>18</v>
      </c>
      <c r="E12" s="217">
        <v>21</v>
      </c>
      <c r="F12" s="217">
        <v>0.17</v>
      </c>
      <c r="G12" s="217">
        <v>137</v>
      </c>
      <c r="H12" s="217">
        <v>252</v>
      </c>
      <c r="I12" s="217">
        <v>13</v>
      </c>
      <c r="J12" s="217">
        <v>4</v>
      </c>
      <c r="K12" s="217">
        <v>0.08</v>
      </c>
      <c r="L12" s="217">
        <v>21</v>
      </c>
      <c r="M12" s="217">
        <v>45</v>
      </c>
      <c r="N12" s="217">
        <v>229</v>
      </c>
      <c r="O12" s="215">
        <v>5.0999999999999996</v>
      </c>
      <c r="Q12" s="220" t="s">
        <v>396</v>
      </c>
      <c r="R12" s="219">
        <v>3</v>
      </c>
    </row>
    <row r="13" spans="1:18" x14ac:dyDescent="0.25">
      <c r="A13" s="217">
        <v>50</v>
      </c>
      <c r="B13" s="217">
        <v>18.100000000000001</v>
      </c>
      <c r="C13" s="217">
        <v>645</v>
      </c>
      <c r="D13" s="217">
        <v>20</v>
      </c>
      <c r="E13" s="217">
        <v>21</v>
      </c>
      <c r="F13" s="217">
        <v>0.24</v>
      </c>
      <c r="G13" s="217">
        <v>157</v>
      </c>
      <c r="H13" s="217">
        <v>176</v>
      </c>
      <c r="I13" s="217">
        <v>15</v>
      </c>
      <c r="J13" s="217">
        <v>3</v>
      </c>
      <c r="K13" s="217">
        <v>0.12</v>
      </c>
      <c r="L13" s="217">
        <v>21</v>
      </c>
      <c r="M13" s="217">
        <v>49</v>
      </c>
      <c r="N13" s="217">
        <v>271</v>
      </c>
      <c r="O13" s="215">
        <v>5.4</v>
      </c>
      <c r="Q13" s="220" t="s">
        <v>397</v>
      </c>
      <c r="R13" s="219">
        <v>2</v>
      </c>
    </row>
    <row r="14" spans="1:18" x14ac:dyDescent="0.25">
      <c r="A14" s="217">
        <v>55</v>
      </c>
      <c r="B14" s="217">
        <v>19.2</v>
      </c>
      <c r="C14" s="217">
        <v>524</v>
      </c>
      <c r="D14" s="217">
        <v>23</v>
      </c>
      <c r="E14" s="217">
        <v>22</v>
      </c>
      <c r="F14" s="217">
        <v>0.34</v>
      </c>
      <c r="G14" s="217">
        <v>176</v>
      </c>
      <c r="H14" s="217">
        <v>121</v>
      </c>
      <c r="I14" s="217">
        <v>17</v>
      </c>
      <c r="J14" s="217">
        <v>3</v>
      </c>
      <c r="K14" s="217">
        <v>0.17</v>
      </c>
      <c r="L14" s="217">
        <v>21</v>
      </c>
      <c r="M14" s="217">
        <v>52</v>
      </c>
      <c r="N14" s="217">
        <v>311</v>
      </c>
      <c r="O14" s="215">
        <v>5.6</v>
      </c>
      <c r="Q14" s="220" t="s">
        <v>398</v>
      </c>
      <c r="R14" s="219" t="s">
        <v>399</v>
      </c>
    </row>
    <row r="15" spans="1:18" x14ac:dyDescent="0.25">
      <c r="A15" s="217">
        <v>60</v>
      </c>
      <c r="B15" s="217">
        <v>20.2</v>
      </c>
      <c r="C15" s="217">
        <v>436</v>
      </c>
      <c r="D15" s="217">
        <v>25</v>
      </c>
      <c r="E15" s="217">
        <v>22</v>
      </c>
      <c r="F15" s="217">
        <v>0.44</v>
      </c>
      <c r="G15" s="217">
        <v>193</v>
      </c>
      <c r="H15" s="217">
        <v>89</v>
      </c>
      <c r="I15" s="217">
        <v>20</v>
      </c>
      <c r="J15" s="217">
        <v>3</v>
      </c>
      <c r="K15" s="217">
        <v>0.24</v>
      </c>
      <c r="L15" s="217">
        <v>21</v>
      </c>
      <c r="M15" s="217">
        <v>55</v>
      </c>
      <c r="N15" s="217">
        <v>349</v>
      </c>
      <c r="O15" s="215">
        <v>5.8</v>
      </c>
      <c r="Q15" s="220" t="s">
        <v>400</v>
      </c>
      <c r="R15" s="219" t="s">
        <v>401</v>
      </c>
    </row>
    <row r="16" spans="1:18" x14ac:dyDescent="0.25">
      <c r="A16" s="217">
        <v>65</v>
      </c>
      <c r="B16" s="217">
        <v>21.1</v>
      </c>
      <c r="C16" s="217">
        <v>370</v>
      </c>
      <c r="D16" s="217">
        <v>28</v>
      </c>
      <c r="E16" s="217">
        <v>23</v>
      </c>
      <c r="F16" s="217">
        <v>0.56000000000000005</v>
      </c>
      <c r="G16" s="217">
        <v>208</v>
      </c>
      <c r="H16" s="217">
        <v>66</v>
      </c>
      <c r="I16" s="217">
        <v>22</v>
      </c>
      <c r="J16" s="217">
        <v>2</v>
      </c>
      <c r="K16" s="217">
        <v>0.32</v>
      </c>
      <c r="L16" s="217">
        <v>21</v>
      </c>
      <c r="M16" s="217">
        <v>58</v>
      </c>
      <c r="N16" s="217">
        <v>384</v>
      </c>
      <c r="O16" s="215">
        <v>5.9</v>
      </c>
    </row>
    <row r="17" spans="1:15" x14ac:dyDescent="0.25">
      <c r="A17" s="217">
        <v>70</v>
      </c>
      <c r="B17" s="217">
        <v>21.9</v>
      </c>
      <c r="C17" s="217">
        <v>319</v>
      </c>
      <c r="D17" s="217">
        <v>30</v>
      </c>
      <c r="E17" s="217">
        <v>23</v>
      </c>
      <c r="F17" s="217">
        <v>0.69</v>
      </c>
      <c r="G17" s="217">
        <v>221</v>
      </c>
      <c r="H17" s="217">
        <v>51</v>
      </c>
      <c r="I17" s="217">
        <v>24</v>
      </c>
      <c r="J17" s="217">
        <v>2</v>
      </c>
      <c r="K17" s="217">
        <v>0.41</v>
      </c>
      <c r="L17" s="217">
        <v>21</v>
      </c>
      <c r="M17" s="217">
        <v>61</v>
      </c>
      <c r="N17" s="217">
        <v>418</v>
      </c>
      <c r="O17" s="215">
        <v>6</v>
      </c>
    </row>
    <row r="18" spans="1:15" x14ac:dyDescent="0.25">
      <c r="A18" s="217">
        <v>75</v>
      </c>
      <c r="B18" s="217">
        <v>22.7</v>
      </c>
      <c r="C18" s="217">
        <v>279</v>
      </c>
      <c r="D18" s="217">
        <v>33</v>
      </c>
      <c r="E18" s="217">
        <v>23</v>
      </c>
      <c r="F18" s="217">
        <v>0.83</v>
      </c>
      <c r="G18" s="217">
        <v>231</v>
      </c>
      <c r="H18" s="217">
        <v>40</v>
      </c>
      <c r="I18" s="217">
        <v>26</v>
      </c>
      <c r="J18" s="217">
        <v>2</v>
      </c>
      <c r="K18" s="217">
        <v>0.53</v>
      </c>
      <c r="L18" s="217">
        <v>21</v>
      </c>
      <c r="M18" s="217">
        <v>63</v>
      </c>
      <c r="N18" s="217">
        <v>450</v>
      </c>
      <c r="O18" s="215">
        <v>6</v>
      </c>
    </row>
    <row r="19" spans="1:15" x14ac:dyDescent="0.25">
      <c r="A19" s="217">
        <v>80</v>
      </c>
      <c r="B19" s="217">
        <v>23.3</v>
      </c>
      <c r="C19" s="217">
        <v>246</v>
      </c>
      <c r="D19" s="217">
        <v>35</v>
      </c>
      <c r="E19" s="217">
        <v>24</v>
      </c>
      <c r="F19" s="217">
        <v>0.98</v>
      </c>
      <c r="G19" s="217">
        <v>240</v>
      </c>
      <c r="H19" s="217">
        <v>33</v>
      </c>
      <c r="I19" s="217">
        <v>28</v>
      </c>
      <c r="J19" s="217">
        <v>2</v>
      </c>
      <c r="K19" s="217">
        <v>0.63</v>
      </c>
      <c r="L19" s="217">
        <v>21</v>
      </c>
      <c r="M19" s="217">
        <v>66</v>
      </c>
      <c r="N19" s="217">
        <v>480</v>
      </c>
      <c r="O19" s="215">
        <v>6</v>
      </c>
    </row>
    <row r="20" spans="1:15" x14ac:dyDescent="0.25">
      <c r="A20" s="217">
        <v>85</v>
      </c>
      <c r="B20" s="217">
        <v>23.9</v>
      </c>
      <c r="C20" s="217">
        <v>218</v>
      </c>
      <c r="D20" s="217">
        <v>37</v>
      </c>
      <c r="E20" s="217">
        <v>24</v>
      </c>
      <c r="F20" s="217">
        <v>1.1399999999999999</v>
      </c>
      <c r="G20" s="217">
        <v>248</v>
      </c>
      <c r="H20" s="217">
        <v>28</v>
      </c>
      <c r="I20" s="217">
        <v>30</v>
      </c>
      <c r="J20" s="217">
        <v>2</v>
      </c>
      <c r="K20" s="217">
        <v>0.75</v>
      </c>
      <c r="L20" s="217">
        <v>21</v>
      </c>
      <c r="M20" s="217">
        <v>68</v>
      </c>
      <c r="N20" s="217">
        <v>508</v>
      </c>
      <c r="O20" s="215">
        <v>6</v>
      </c>
    </row>
    <row r="21" spans="1:15" x14ac:dyDescent="0.25">
      <c r="A21" s="217">
        <v>90</v>
      </c>
      <c r="B21" s="217">
        <v>24.4</v>
      </c>
      <c r="C21" s="217">
        <v>194</v>
      </c>
      <c r="D21" s="217">
        <v>39</v>
      </c>
      <c r="E21" s="217">
        <v>24</v>
      </c>
      <c r="F21" s="217">
        <v>1.31</v>
      </c>
      <c r="G21" s="217">
        <v>254</v>
      </c>
      <c r="H21" s="217">
        <v>24</v>
      </c>
      <c r="I21" s="217">
        <v>32</v>
      </c>
      <c r="J21" s="217">
        <v>2</v>
      </c>
      <c r="K21" s="217">
        <v>0.89</v>
      </c>
      <c r="L21" s="217">
        <v>21</v>
      </c>
      <c r="M21" s="217">
        <v>70</v>
      </c>
      <c r="N21" s="217">
        <v>535</v>
      </c>
      <c r="O21" s="215">
        <v>5.9</v>
      </c>
    </row>
    <row r="22" spans="1:15" x14ac:dyDescent="0.25">
      <c r="A22" s="217">
        <v>95</v>
      </c>
      <c r="B22" s="217">
        <v>24.8</v>
      </c>
      <c r="C22" s="217">
        <v>173</v>
      </c>
      <c r="D22" s="217">
        <v>42</v>
      </c>
      <c r="E22" s="217">
        <v>24</v>
      </c>
      <c r="F22" s="217">
        <v>1.49</v>
      </c>
      <c r="G22" s="217">
        <v>258</v>
      </c>
      <c r="H22" s="217">
        <v>20</v>
      </c>
      <c r="I22" s="217">
        <v>35</v>
      </c>
      <c r="J22" s="217">
        <v>2</v>
      </c>
      <c r="K22" s="217">
        <v>1.03</v>
      </c>
      <c r="L22" s="217">
        <v>21</v>
      </c>
      <c r="M22" s="217">
        <v>72</v>
      </c>
      <c r="N22" s="217">
        <v>560</v>
      </c>
      <c r="O22" s="215">
        <v>5.9</v>
      </c>
    </row>
    <row r="23" spans="1:15" x14ac:dyDescent="0.25">
      <c r="A23" s="217">
        <v>100</v>
      </c>
      <c r="B23" s="217">
        <v>25.2</v>
      </c>
      <c r="C23" s="217">
        <v>156</v>
      </c>
      <c r="D23" s="217">
        <v>44</v>
      </c>
      <c r="E23" s="217">
        <v>23</v>
      </c>
      <c r="F23" s="217">
        <v>1.67</v>
      </c>
      <c r="G23" s="217">
        <v>261</v>
      </c>
      <c r="H23" s="217">
        <v>17</v>
      </c>
      <c r="I23" s="217">
        <v>37</v>
      </c>
      <c r="J23" s="217">
        <v>2</v>
      </c>
      <c r="K23" s="217">
        <v>1.21</v>
      </c>
      <c r="L23" s="217">
        <v>21</v>
      </c>
      <c r="M23" s="217">
        <v>73</v>
      </c>
      <c r="N23" s="217">
        <v>584</v>
      </c>
      <c r="O23" s="215">
        <v>5.8</v>
      </c>
    </row>
    <row r="24" spans="1:15" x14ac:dyDescent="0.25">
      <c r="A24" s="217">
        <v>105</v>
      </c>
      <c r="B24" s="217">
        <v>25.6</v>
      </c>
      <c r="C24" s="217">
        <v>142</v>
      </c>
      <c r="D24" s="217">
        <v>46</v>
      </c>
      <c r="E24" s="217">
        <v>23</v>
      </c>
      <c r="F24" s="217">
        <v>1.85</v>
      </c>
      <c r="G24" s="217">
        <v>264</v>
      </c>
      <c r="H24" s="217">
        <v>14</v>
      </c>
      <c r="I24" s="217">
        <v>39</v>
      </c>
      <c r="J24" s="217">
        <v>2</v>
      </c>
      <c r="K24" s="217">
        <v>1.37</v>
      </c>
      <c r="L24" s="217">
        <v>20</v>
      </c>
      <c r="M24" s="217">
        <v>75</v>
      </c>
      <c r="N24" s="217">
        <v>606</v>
      </c>
      <c r="O24" s="215">
        <v>5.8</v>
      </c>
    </row>
    <row r="25" spans="1:15" x14ac:dyDescent="0.25">
      <c r="A25" s="217">
        <v>110</v>
      </c>
      <c r="B25" s="217">
        <v>25.9</v>
      </c>
      <c r="C25" s="217">
        <v>130</v>
      </c>
      <c r="D25" s="217">
        <v>47</v>
      </c>
      <c r="E25" s="217">
        <v>23</v>
      </c>
      <c r="F25" s="217">
        <v>2.04</v>
      </c>
      <c r="G25" s="217">
        <v>266</v>
      </c>
      <c r="H25" s="217">
        <v>12</v>
      </c>
      <c r="I25" s="217">
        <v>41</v>
      </c>
      <c r="J25" s="217">
        <v>2</v>
      </c>
      <c r="K25" s="217">
        <v>1.53</v>
      </c>
      <c r="L25" s="217">
        <v>19</v>
      </c>
      <c r="M25" s="217">
        <v>76</v>
      </c>
      <c r="N25" s="217">
        <v>627</v>
      </c>
      <c r="O25" s="215">
        <v>5.7</v>
      </c>
    </row>
    <row r="26" spans="1:15" x14ac:dyDescent="0.25">
      <c r="A26" s="217">
        <v>115</v>
      </c>
      <c r="B26" s="217">
        <v>26.2</v>
      </c>
      <c r="C26" s="217">
        <v>120</v>
      </c>
      <c r="D26" s="217">
        <v>49</v>
      </c>
      <c r="E26" s="217">
        <v>23</v>
      </c>
      <c r="F26" s="217">
        <v>2.2200000000000002</v>
      </c>
      <c r="G26" s="217">
        <v>267</v>
      </c>
      <c r="H26" s="217">
        <v>10</v>
      </c>
      <c r="I26" s="217">
        <v>43</v>
      </c>
      <c r="J26" s="217">
        <v>1</v>
      </c>
      <c r="K26" s="217">
        <v>1.76</v>
      </c>
      <c r="L26" s="217">
        <v>18</v>
      </c>
      <c r="M26" s="217">
        <v>77</v>
      </c>
      <c r="N26" s="217">
        <v>646</v>
      </c>
      <c r="O26" s="215">
        <v>5.6</v>
      </c>
    </row>
    <row r="27" spans="1:15" x14ac:dyDescent="0.25">
      <c r="A27" s="217">
        <v>120</v>
      </c>
      <c r="B27" s="217">
        <v>26.4</v>
      </c>
      <c r="C27" s="217">
        <v>112</v>
      </c>
      <c r="D27" s="217">
        <v>51</v>
      </c>
      <c r="E27" s="217">
        <v>23</v>
      </c>
      <c r="F27" s="217">
        <v>2.4</v>
      </c>
      <c r="G27" s="217">
        <v>268</v>
      </c>
      <c r="H27" s="217">
        <v>9</v>
      </c>
      <c r="I27" s="217">
        <v>45</v>
      </c>
      <c r="J27" s="217">
        <v>1</v>
      </c>
      <c r="K27" s="217">
        <v>1.94</v>
      </c>
      <c r="L27" s="217">
        <v>17</v>
      </c>
      <c r="M27" s="217">
        <v>79</v>
      </c>
      <c r="N27" s="217">
        <v>664</v>
      </c>
      <c r="O27" s="215">
        <v>5.5</v>
      </c>
    </row>
    <row r="28" spans="1:15" x14ac:dyDescent="0.25">
      <c r="A28" s="217">
        <v>125</v>
      </c>
      <c r="B28" s="217">
        <v>26.6</v>
      </c>
      <c r="C28" s="217">
        <v>105</v>
      </c>
      <c r="D28" s="217">
        <v>52</v>
      </c>
      <c r="E28" s="217">
        <v>22</v>
      </c>
      <c r="F28" s="217">
        <v>2.57</v>
      </c>
      <c r="G28" s="217">
        <v>268</v>
      </c>
      <c r="H28" s="217">
        <v>8</v>
      </c>
      <c r="I28" s="217">
        <v>46</v>
      </c>
      <c r="J28" s="217">
        <v>1</v>
      </c>
      <c r="K28" s="217">
        <v>2.0299999999999998</v>
      </c>
      <c r="L28" s="217">
        <v>16</v>
      </c>
      <c r="M28" s="217">
        <v>80</v>
      </c>
      <c r="N28" s="217">
        <v>680</v>
      </c>
      <c r="O28" s="215">
        <v>5.4</v>
      </c>
    </row>
    <row r="29" spans="1:15" x14ac:dyDescent="0.25">
      <c r="A29" s="217">
        <v>130</v>
      </c>
      <c r="B29" s="217">
        <v>26.8</v>
      </c>
      <c r="C29" s="217">
        <v>98</v>
      </c>
      <c r="D29" s="217">
        <v>54</v>
      </c>
      <c r="E29" s="217">
        <v>22</v>
      </c>
      <c r="F29" s="217">
        <v>2.75</v>
      </c>
      <c r="G29" s="217">
        <v>269</v>
      </c>
      <c r="H29" s="217">
        <v>7</v>
      </c>
      <c r="I29" s="217">
        <v>48</v>
      </c>
      <c r="J29" s="217">
        <v>1</v>
      </c>
      <c r="K29" s="217">
        <v>2.2200000000000002</v>
      </c>
      <c r="L29" s="217">
        <v>15</v>
      </c>
      <c r="M29" s="217">
        <v>81</v>
      </c>
      <c r="N29" s="217">
        <v>696</v>
      </c>
      <c r="O29" s="215">
        <v>5.4</v>
      </c>
    </row>
    <row r="30" spans="1:15" x14ac:dyDescent="0.25">
      <c r="A30" s="217">
        <v>135</v>
      </c>
      <c r="B30" s="217">
        <v>27</v>
      </c>
      <c r="C30" s="217">
        <v>92</v>
      </c>
      <c r="D30" s="217">
        <v>55</v>
      </c>
      <c r="E30" s="217">
        <v>22</v>
      </c>
      <c r="F30" s="217">
        <v>2.92</v>
      </c>
      <c r="G30" s="217">
        <v>269</v>
      </c>
      <c r="H30" s="217">
        <v>6</v>
      </c>
      <c r="I30" s="217">
        <v>50</v>
      </c>
      <c r="J30" s="217">
        <v>1</v>
      </c>
      <c r="K30" s="217">
        <v>2.41</v>
      </c>
      <c r="L30" s="217">
        <v>14</v>
      </c>
      <c r="M30" s="217">
        <v>82</v>
      </c>
      <c r="N30" s="217">
        <v>710</v>
      </c>
      <c r="O30" s="215">
        <v>5.3</v>
      </c>
    </row>
    <row r="31" spans="1:15" x14ac:dyDescent="0.25">
      <c r="A31" s="217">
        <v>140</v>
      </c>
      <c r="B31" s="217">
        <v>27.2</v>
      </c>
      <c r="C31" s="217">
        <v>87</v>
      </c>
      <c r="D31" s="217">
        <v>57</v>
      </c>
      <c r="E31" s="217">
        <v>22</v>
      </c>
      <c r="F31" s="217">
        <v>3.1</v>
      </c>
      <c r="G31" s="217">
        <v>269</v>
      </c>
      <c r="H31" s="217">
        <v>5</v>
      </c>
      <c r="I31" s="217">
        <v>52</v>
      </c>
      <c r="J31" s="217">
        <v>1</v>
      </c>
      <c r="K31" s="217">
        <v>2.58</v>
      </c>
      <c r="L31" s="217">
        <v>13</v>
      </c>
      <c r="M31" s="217">
        <v>83</v>
      </c>
      <c r="N31" s="217">
        <v>724</v>
      </c>
      <c r="O31" s="215">
        <v>5.2</v>
      </c>
    </row>
    <row r="32" spans="1:15" x14ac:dyDescent="0.25">
      <c r="A32" s="217">
        <v>145</v>
      </c>
      <c r="B32" s="217">
        <v>27.3</v>
      </c>
      <c r="C32" s="217">
        <v>82</v>
      </c>
      <c r="D32" s="217">
        <v>58</v>
      </c>
      <c r="E32" s="217">
        <v>22</v>
      </c>
      <c r="F32" s="217">
        <v>3.27</v>
      </c>
      <c r="G32" s="217">
        <v>269</v>
      </c>
      <c r="H32" s="217">
        <v>5</v>
      </c>
      <c r="I32" s="217">
        <v>54</v>
      </c>
      <c r="J32" s="217">
        <v>1</v>
      </c>
      <c r="K32" s="217">
        <v>2.78</v>
      </c>
      <c r="L32" s="217">
        <v>13</v>
      </c>
      <c r="M32" s="217">
        <v>83</v>
      </c>
      <c r="N32" s="217">
        <v>736</v>
      </c>
      <c r="O32" s="215">
        <v>5.0999999999999996</v>
      </c>
    </row>
    <row r="33" spans="1:15" x14ac:dyDescent="0.25">
      <c r="A33" s="217">
        <v>150</v>
      </c>
      <c r="B33" s="217">
        <v>27.4</v>
      </c>
      <c r="C33" s="217">
        <v>78</v>
      </c>
      <c r="D33" s="217">
        <v>59</v>
      </c>
      <c r="E33" s="217">
        <v>22</v>
      </c>
      <c r="F33" s="217">
        <v>3.43</v>
      </c>
      <c r="G33" s="217">
        <v>268</v>
      </c>
      <c r="H33" s="217">
        <v>4</v>
      </c>
      <c r="I33" s="217">
        <v>55</v>
      </c>
      <c r="J33" s="217">
        <v>1</v>
      </c>
      <c r="K33" s="217">
        <v>2.97</v>
      </c>
      <c r="L33" s="217">
        <v>12</v>
      </c>
      <c r="M33" s="217">
        <v>84</v>
      </c>
      <c r="N33" s="217">
        <v>747</v>
      </c>
      <c r="O33" s="215">
        <v>5</v>
      </c>
    </row>
  </sheetData>
  <mergeCells count="3">
    <mergeCell ref="C5:G5"/>
    <mergeCell ref="H5:L5"/>
    <mergeCell ref="M5:N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8C55-3731-41DE-8C82-670463008CD6}">
  <sheetPr>
    <tabColor rgb="FFFFC000"/>
  </sheetPr>
  <dimension ref="A1:Z243"/>
  <sheetViews>
    <sheetView topLeftCell="J1" workbookViewId="0">
      <selection activeCell="W1" sqref="W1:W16"/>
    </sheetView>
  </sheetViews>
  <sheetFormatPr baseColWidth="10" defaultColWidth="10.85546875" defaultRowHeight="15" x14ac:dyDescent="0.25"/>
  <cols>
    <col min="1" max="1" width="6.85546875" bestFit="1" customWidth="1"/>
    <col min="2" max="2" width="9.5703125" bestFit="1" customWidth="1"/>
    <col min="6" max="6" width="6.85546875" bestFit="1" customWidth="1"/>
    <col min="7" max="7" width="9.5703125" bestFit="1" customWidth="1"/>
    <col min="8" max="9" width="9.42578125" bestFit="1" customWidth="1"/>
    <col min="10" max="10" width="12.28515625" bestFit="1" customWidth="1"/>
    <col min="11" max="11" width="6.85546875" bestFit="1" customWidth="1"/>
    <col min="12" max="12" width="9" bestFit="1" customWidth="1"/>
    <col min="13" max="13" width="9.42578125" bestFit="1" customWidth="1"/>
    <col min="14" max="14" width="11.85546875" bestFit="1" customWidth="1"/>
    <col min="15" max="15" width="9.140625" bestFit="1" customWidth="1"/>
    <col min="16" max="16" width="9.42578125" bestFit="1" customWidth="1"/>
    <col min="17" max="17" width="9.7109375" bestFit="1" customWidth="1"/>
    <col min="18" max="18" width="11" bestFit="1" customWidth="1"/>
    <col min="19" max="19" width="13.7109375" customWidth="1"/>
    <col min="20" max="20" width="23.28515625" customWidth="1"/>
    <col min="21" max="21" width="15.42578125" bestFit="1" customWidth="1"/>
    <col min="22" max="22" width="29.7109375" bestFit="1" customWidth="1"/>
    <col min="23" max="23" width="12.140625" bestFit="1" customWidth="1"/>
    <col min="24" max="24" width="39.85546875" customWidth="1"/>
    <col min="25" max="25" width="38.5703125" bestFit="1" customWidth="1"/>
    <col min="26" max="26" width="34.7109375" customWidth="1"/>
  </cols>
  <sheetData>
    <row r="1" spans="1:26" ht="60" x14ac:dyDescent="0.25">
      <c r="A1" s="172" t="s">
        <v>225</v>
      </c>
      <c r="B1" s="172" t="s">
        <v>323</v>
      </c>
      <c r="C1" s="173" t="s">
        <v>324</v>
      </c>
      <c r="D1" s="173" t="s">
        <v>325</v>
      </c>
      <c r="E1" s="173" t="s">
        <v>326</v>
      </c>
      <c r="F1" s="174" t="s">
        <v>225</v>
      </c>
      <c r="G1" s="175" t="s">
        <v>327</v>
      </c>
      <c r="H1" s="176" t="s">
        <v>324</v>
      </c>
      <c r="I1" s="176" t="s">
        <v>325</v>
      </c>
      <c r="J1" s="176" t="s">
        <v>402</v>
      </c>
      <c r="K1" s="177" t="s">
        <v>225</v>
      </c>
      <c r="L1" s="178" t="s">
        <v>329</v>
      </c>
      <c r="M1" s="179" t="s">
        <v>330</v>
      </c>
      <c r="N1" s="179" t="s">
        <v>331</v>
      </c>
      <c r="O1" s="178" t="s">
        <v>332</v>
      </c>
      <c r="P1" s="178" t="s">
        <v>333</v>
      </c>
      <c r="Q1" s="178" t="s">
        <v>334</v>
      </c>
      <c r="R1" s="178" t="s">
        <v>335</v>
      </c>
      <c r="S1" s="178" t="s">
        <v>336</v>
      </c>
      <c r="T1" s="173" t="s">
        <v>403</v>
      </c>
      <c r="U1" s="180">
        <v>0.56999999999999995</v>
      </c>
      <c r="V1" s="176" t="s">
        <v>404</v>
      </c>
      <c r="W1" s="175">
        <v>0.43</v>
      </c>
      <c r="X1" s="593" t="s">
        <v>405</v>
      </c>
      <c r="Y1" s="221"/>
      <c r="Z1" s="221"/>
    </row>
    <row r="2" spans="1:26" x14ac:dyDescent="0.25">
      <c r="A2" s="181">
        <v>0</v>
      </c>
      <c r="B2" s="222">
        <v>0</v>
      </c>
      <c r="C2" s="223">
        <f>B2*1.56*$U$1</f>
        <v>0</v>
      </c>
      <c r="D2" s="223">
        <v>0</v>
      </c>
      <c r="E2" s="223">
        <f>(C2+D2)*0.475*44/12</f>
        <v>0</v>
      </c>
      <c r="F2" s="183">
        <v>0</v>
      </c>
      <c r="G2" s="184">
        <v>0</v>
      </c>
      <c r="H2" s="185">
        <f>G2*$W$1</f>
        <v>0</v>
      </c>
      <c r="I2" s="184">
        <v>0</v>
      </c>
      <c r="J2" s="184">
        <v>0</v>
      </c>
      <c r="K2" s="186">
        <v>0</v>
      </c>
      <c r="L2" s="187"/>
      <c r="M2" s="187"/>
      <c r="N2" s="187"/>
      <c r="O2" s="187"/>
      <c r="P2" s="187">
        <v>0</v>
      </c>
      <c r="Q2" s="187">
        <v>0</v>
      </c>
      <c r="R2" s="187">
        <v>0</v>
      </c>
      <c r="S2" s="187">
        <f>SUM(P2:R2)</f>
        <v>0</v>
      </c>
      <c r="U2" s="188" t="s">
        <v>315</v>
      </c>
      <c r="V2" s="188" t="s">
        <v>341</v>
      </c>
      <c r="W2" s="189">
        <f>AVERAGE(J2:J120)</f>
        <v>284.35918927956453</v>
      </c>
      <c r="X2" s="593"/>
      <c r="Y2" s="198"/>
    </row>
    <row r="3" spans="1:26" x14ac:dyDescent="0.25">
      <c r="A3" s="181">
        <v>1</v>
      </c>
      <c r="B3" s="222">
        <f>B2+1</f>
        <v>1</v>
      </c>
      <c r="C3" s="223">
        <f t="shared" ref="C3:C66" si="0">B3*1.56*$U$1</f>
        <v>0.88919999999999999</v>
      </c>
      <c r="D3" s="223">
        <f t="shared" ref="D3:D66" si="1">EXP(-1.0587+0.8836*LN(C3)+0.284)</f>
        <v>0.41542055579923082</v>
      </c>
      <c r="E3" s="223">
        <f t="shared" ref="E3:E66" si="2">(C3+D3)*0.475*44/12</f>
        <v>2.2722141346836602</v>
      </c>
      <c r="F3" s="183">
        <f>F2+1</f>
        <v>1</v>
      </c>
      <c r="G3" s="184">
        <v>1</v>
      </c>
      <c r="H3" s="185">
        <f t="shared" ref="H3:H66" si="3">G3*$W$1</f>
        <v>0.43</v>
      </c>
      <c r="I3" s="185">
        <f t="shared" ref="I3:I47" si="4">EXP(-1.0587+0.8836*LN(H3)+0.284)</f>
        <v>0.21861743385441934</v>
      </c>
      <c r="J3" s="185">
        <f>(H3+I3)*0.475*44/12</f>
        <v>1.1296753639631136</v>
      </c>
      <c r="K3" s="186">
        <f>K2+1</f>
        <v>1</v>
      </c>
      <c r="L3" s="187"/>
      <c r="M3" s="187"/>
      <c r="N3" s="187"/>
      <c r="O3" s="187"/>
      <c r="P3" s="190">
        <f>EXP(-LN(2)/35)*P2+(1-EXP(-LN(2)/35))/(LN(2)/35)*M3*L3*$W$1*0.475*44/12</f>
        <v>0</v>
      </c>
      <c r="Q3" s="190">
        <f>EXP(-LN(2)/25)*Q2+(1-EXP(-LN(2)/25))/(LN(2)/25)*N3*L3*$W$1*0.475*44/12</f>
        <v>0</v>
      </c>
      <c r="R3" s="190">
        <f>EXP(-LN(2)/2)*R2+(1-EXP(-LN(2)/2))/(LN(2)/2)*O3*L3*$W$1*0.475*44/12</f>
        <v>0</v>
      </c>
      <c r="S3" s="190">
        <f>SUM(P3:R3)</f>
        <v>0</v>
      </c>
      <c r="U3" s="188" t="s">
        <v>342</v>
      </c>
      <c r="V3" s="188" t="s">
        <v>341</v>
      </c>
      <c r="W3" s="189">
        <f>AVERAGE(E2:E112)</f>
        <v>109.61247992650179</v>
      </c>
      <c r="X3" s="593"/>
      <c r="Y3" s="188"/>
    </row>
    <row r="4" spans="1:26" x14ac:dyDescent="0.25">
      <c r="A4" s="181">
        <v>2</v>
      </c>
      <c r="B4" s="222">
        <f t="shared" ref="B4:B67" si="5">B3+1</f>
        <v>2</v>
      </c>
      <c r="C4" s="223">
        <f t="shared" si="0"/>
        <v>1.7784</v>
      </c>
      <c r="D4" s="223">
        <f t="shared" si="1"/>
        <v>0.76643986660078545</v>
      </c>
      <c r="E4" s="223">
        <f t="shared" si="2"/>
        <v>4.4322627676630342</v>
      </c>
      <c r="F4" s="183">
        <f t="shared" ref="F4:F67" si="6">F3+1</f>
        <v>2</v>
      </c>
      <c r="G4" s="184">
        <v>2</v>
      </c>
      <c r="H4" s="185">
        <f t="shared" si="3"/>
        <v>0.86</v>
      </c>
      <c r="I4" s="185">
        <f t="shared" si="4"/>
        <v>0.40334334567923058</v>
      </c>
      <c r="J4" s="185">
        <f t="shared" ref="J4:J67" si="7">(H4+I4)*0.475*44/12</f>
        <v>2.2003229937246598</v>
      </c>
      <c r="K4" s="186">
        <f t="shared" ref="K4:K32" si="8">K3+1</f>
        <v>2</v>
      </c>
      <c r="L4" s="187"/>
      <c r="M4" s="187"/>
      <c r="N4" s="187"/>
      <c r="O4" s="187"/>
      <c r="P4" s="190">
        <f t="shared" ref="P4:P32" si="9">EXP(-LN(2)/35)*P3+(1-EXP(-LN(2)/35))/(LN(2)/35)*M4*L4*$W$1*0.475*44/12</f>
        <v>0</v>
      </c>
      <c r="Q4" s="190">
        <f>EXP(-LN(2)/25)*Q3+(1-EXP(-LN(2)/25))/(LN(2)/25)*N4*L4*$W$1*0.475*44/12</f>
        <v>0</v>
      </c>
      <c r="R4" s="190">
        <f t="shared" ref="R4:R32" si="10">EXP(-LN(2)/2)*R3+(1-EXP(-LN(2)/2))/(LN(2)/2)*O4*L4*$W$1*0.475*44/12</f>
        <v>0</v>
      </c>
      <c r="S4" s="190">
        <f>SUM(P4:R4)</f>
        <v>0</v>
      </c>
      <c r="U4" s="188"/>
      <c r="V4" s="18" t="s">
        <v>343</v>
      </c>
      <c r="W4" s="189">
        <f>W2-W3</f>
        <v>174.74670935306273</v>
      </c>
      <c r="X4" s="593"/>
      <c r="Y4" s="188"/>
    </row>
    <row r="5" spans="1:26" x14ac:dyDescent="0.25">
      <c r="A5" s="181">
        <v>3</v>
      </c>
      <c r="B5" s="222">
        <f t="shared" si="5"/>
        <v>3</v>
      </c>
      <c r="C5" s="223">
        <f t="shared" si="0"/>
        <v>2.6675999999999997</v>
      </c>
      <c r="D5" s="223">
        <f t="shared" si="1"/>
        <v>1.0966608080083624</v>
      </c>
      <c r="E5" s="223">
        <f t="shared" si="2"/>
        <v>6.5560875739478979</v>
      </c>
      <c r="F5" s="183">
        <f t="shared" si="6"/>
        <v>3</v>
      </c>
      <c r="G5" s="184">
        <v>3</v>
      </c>
      <c r="H5" s="185">
        <f t="shared" si="3"/>
        <v>1.29</v>
      </c>
      <c r="I5" s="185">
        <f t="shared" si="4"/>
        <v>0.57712399713646079</v>
      </c>
      <c r="J5" s="185">
        <f t="shared" si="7"/>
        <v>3.2519076283460024</v>
      </c>
      <c r="K5" s="186">
        <f t="shared" si="8"/>
        <v>3</v>
      </c>
      <c r="L5" s="187"/>
      <c r="M5" s="187"/>
      <c r="N5" s="187"/>
      <c r="O5" s="187"/>
      <c r="P5" s="190">
        <f t="shared" si="9"/>
        <v>0</v>
      </c>
      <c r="Q5" s="190">
        <f t="shared" ref="Q5:Q32" si="11">EXP(-LN(2)/25)*Q4+(1-EXP(-LN(2)/25))/(LN(2)/25)*N5*L5*$W$1*0.475*44/12</f>
        <v>0</v>
      </c>
      <c r="R5" s="190">
        <f t="shared" si="10"/>
        <v>0</v>
      </c>
      <c r="S5" s="190">
        <f t="shared" ref="S5:S32" si="12">SUM(P5:R5)</f>
        <v>0</v>
      </c>
      <c r="U5" s="188"/>
      <c r="V5" s="188" t="s">
        <v>344</v>
      </c>
      <c r="W5" s="189">
        <f>J33-E32</f>
        <v>137.25352027238188</v>
      </c>
      <c r="X5" s="593"/>
      <c r="Y5" s="188"/>
    </row>
    <row r="6" spans="1:26" x14ac:dyDescent="0.25">
      <c r="A6" s="181">
        <v>4</v>
      </c>
      <c r="B6" s="222">
        <f t="shared" si="5"/>
        <v>4</v>
      </c>
      <c r="C6" s="223">
        <f t="shared" si="0"/>
        <v>3.5568</v>
      </c>
      <c r="D6" s="223">
        <f t="shared" si="1"/>
        <v>1.4140611505968179</v>
      </c>
      <c r="E6" s="223">
        <f t="shared" si="2"/>
        <v>8.6575831706227913</v>
      </c>
      <c r="F6" s="183">
        <f t="shared" si="6"/>
        <v>4</v>
      </c>
      <c r="G6" s="184">
        <v>4</v>
      </c>
      <c r="H6" s="185">
        <f t="shared" si="3"/>
        <v>1.72</v>
      </c>
      <c r="I6" s="185">
        <f t="shared" si="4"/>
        <v>0.74415773543499841</v>
      </c>
      <c r="J6" s="185">
        <f t="shared" si="7"/>
        <v>4.2917413892159546</v>
      </c>
      <c r="K6" s="186">
        <f t="shared" si="8"/>
        <v>4</v>
      </c>
      <c r="L6" s="187"/>
      <c r="M6" s="187"/>
      <c r="N6" s="187"/>
      <c r="O6" s="187"/>
      <c r="P6" s="190">
        <f t="shared" si="9"/>
        <v>0</v>
      </c>
      <c r="Q6" s="190">
        <f t="shared" si="11"/>
        <v>0</v>
      </c>
      <c r="R6" s="190">
        <f t="shared" si="10"/>
        <v>0</v>
      </c>
      <c r="S6" s="190">
        <f t="shared" si="12"/>
        <v>0</v>
      </c>
      <c r="U6" s="188"/>
      <c r="V6" s="188" t="s">
        <v>345</v>
      </c>
      <c r="W6" s="189">
        <f>W5</f>
        <v>137.25352027238188</v>
      </c>
      <c r="X6" s="593"/>
      <c r="Y6" s="188"/>
    </row>
    <row r="7" spans="1:26" x14ac:dyDescent="0.25">
      <c r="A7" s="181">
        <v>5</v>
      </c>
      <c r="B7" s="222">
        <f t="shared" si="5"/>
        <v>5</v>
      </c>
      <c r="C7" s="223">
        <f t="shared" si="0"/>
        <v>4.4459999999999997</v>
      </c>
      <c r="D7" s="223">
        <f t="shared" si="1"/>
        <v>1.7222566815192897</v>
      </c>
      <c r="E7" s="223">
        <f t="shared" si="2"/>
        <v>10.743047053646096</v>
      </c>
      <c r="F7" s="183">
        <f t="shared" si="6"/>
        <v>5</v>
      </c>
      <c r="G7" s="184">
        <f t="shared" ref="G7:G16" si="13">G6+G6-G5+1</f>
        <v>6</v>
      </c>
      <c r="H7" s="185">
        <f t="shared" si="3"/>
        <v>2.58</v>
      </c>
      <c r="I7" s="185">
        <f t="shared" si="4"/>
        <v>1.0647784111847272</v>
      </c>
      <c r="J7" s="185">
        <f t="shared" si="7"/>
        <v>6.3479890661467318</v>
      </c>
      <c r="K7" s="186">
        <f t="shared" si="8"/>
        <v>5</v>
      </c>
      <c r="L7" s="187"/>
      <c r="M7" s="187"/>
      <c r="N7" s="187"/>
      <c r="O7" s="187"/>
      <c r="P7" s="190">
        <f t="shared" si="9"/>
        <v>0</v>
      </c>
      <c r="Q7" s="190">
        <f t="shared" si="11"/>
        <v>0</v>
      </c>
      <c r="R7" s="190">
        <f t="shared" si="10"/>
        <v>0</v>
      </c>
      <c r="S7" s="190">
        <f t="shared" si="12"/>
        <v>0</v>
      </c>
      <c r="U7" s="188"/>
      <c r="V7" s="188" t="s">
        <v>346</v>
      </c>
      <c r="W7" s="192">
        <v>0</v>
      </c>
      <c r="X7" s="593"/>
    </row>
    <row r="8" spans="1:26" x14ac:dyDescent="0.25">
      <c r="A8" s="181">
        <v>6</v>
      </c>
      <c r="B8" s="222">
        <f t="shared" si="5"/>
        <v>6</v>
      </c>
      <c r="C8" s="223">
        <f t="shared" si="0"/>
        <v>5.3351999999999995</v>
      </c>
      <c r="D8" s="223">
        <f t="shared" si="1"/>
        <v>2.0233099967312578</v>
      </c>
      <c r="E8" s="223">
        <f t="shared" si="2"/>
        <v>12.816071577640272</v>
      </c>
      <c r="F8" s="183">
        <f t="shared" si="6"/>
        <v>6</v>
      </c>
      <c r="G8" s="184">
        <f t="shared" si="13"/>
        <v>9</v>
      </c>
      <c r="H8" s="185">
        <f t="shared" si="3"/>
        <v>3.87</v>
      </c>
      <c r="I8" s="185">
        <f t="shared" si="4"/>
        <v>1.5235386409876324</v>
      </c>
      <c r="J8" s="185">
        <f t="shared" si="7"/>
        <v>9.3937464663867924</v>
      </c>
      <c r="K8" s="186">
        <f t="shared" si="8"/>
        <v>6</v>
      </c>
      <c r="L8" s="187"/>
      <c r="M8" s="187"/>
      <c r="N8" s="187"/>
      <c r="O8" s="187"/>
      <c r="P8" s="190">
        <f t="shared" si="9"/>
        <v>0</v>
      </c>
      <c r="Q8" s="190">
        <f t="shared" si="11"/>
        <v>0</v>
      </c>
      <c r="R8" s="190">
        <f t="shared" si="10"/>
        <v>0</v>
      </c>
      <c r="S8" s="190">
        <f t="shared" si="12"/>
        <v>0</v>
      </c>
      <c r="U8" s="188"/>
      <c r="V8" s="188" t="s">
        <v>347</v>
      </c>
      <c r="W8" s="18">
        <v>0</v>
      </c>
      <c r="X8" s="593"/>
    </row>
    <row r="9" spans="1:26" x14ac:dyDescent="0.25">
      <c r="A9" s="181">
        <v>7</v>
      </c>
      <c r="B9" s="222">
        <f t="shared" si="5"/>
        <v>7</v>
      </c>
      <c r="C9" s="223">
        <f t="shared" si="0"/>
        <v>6.2243999999999993</v>
      </c>
      <c r="D9" s="223">
        <f t="shared" si="1"/>
        <v>2.3185507720937846</v>
      </c>
      <c r="E9" s="223">
        <f t="shared" si="2"/>
        <v>14.878972594730007</v>
      </c>
      <c r="F9" s="183">
        <f t="shared" si="6"/>
        <v>7</v>
      </c>
      <c r="G9" s="184">
        <f t="shared" si="13"/>
        <v>13</v>
      </c>
      <c r="H9" s="185">
        <f t="shared" si="3"/>
        <v>5.59</v>
      </c>
      <c r="I9" s="185">
        <f t="shared" si="4"/>
        <v>2.1084588929503831</v>
      </c>
      <c r="J9" s="185">
        <f t="shared" si="7"/>
        <v>13.408149238555248</v>
      </c>
      <c r="K9" s="186">
        <f t="shared" si="8"/>
        <v>7</v>
      </c>
      <c r="L9" s="187"/>
      <c r="M9" s="187"/>
      <c r="N9" s="187"/>
      <c r="O9" s="187"/>
      <c r="P9" s="190">
        <f t="shared" si="9"/>
        <v>0</v>
      </c>
      <c r="Q9" s="190">
        <f t="shared" si="11"/>
        <v>0</v>
      </c>
      <c r="R9" s="190">
        <f t="shared" si="10"/>
        <v>0</v>
      </c>
      <c r="S9" s="190">
        <f t="shared" si="12"/>
        <v>0</v>
      </c>
      <c r="U9" s="188"/>
      <c r="V9" s="188" t="s">
        <v>348</v>
      </c>
      <c r="W9" s="192">
        <v>0</v>
      </c>
      <c r="X9" s="593"/>
      <c r="Y9" s="188"/>
    </row>
    <row r="10" spans="1:26" x14ac:dyDescent="0.25">
      <c r="A10" s="181">
        <v>8</v>
      </c>
      <c r="B10" s="222">
        <f t="shared" si="5"/>
        <v>8</v>
      </c>
      <c r="C10" s="223">
        <f t="shared" si="0"/>
        <v>7.1135999999999999</v>
      </c>
      <c r="D10" s="223">
        <f t="shared" si="1"/>
        <v>2.6089051793396725</v>
      </c>
      <c r="E10" s="223">
        <f t="shared" si="2"/>
        <v>16.933363187349929</v>
      </c>
      <c r="F10" s="183">
        <f t="shared" si="6"/>
        <v>8</v>
      </c>
      <c r="G10" s="184">
        <f t="shared" si="13"/>
        <v>18</v>
      </c>
      <c r="H10" s="185">
        <f t="shared" si="3"/>
        <v>7.74</v>
      </c>
      <c r="I10" s="185">
        <f t="shared" si="4"/>
        <v>2.8108882347267459</v>
      </c>
      <c r="J10" s="185">
        <f t="shared" si="7"/>
        <v>18.376130342149079</v>
      </c>
      <c r="K10" s="186">
        <f t="shared" si="8"/>
        <v>8</v>
      </c>
      <c r="L10" s="187"/>
      <c r="M10" s="187"/>
      <c r="N10" s="187"/>
      <c r="O10" s="187"/>
      <c r="P10" s="190">
        <f t="shared" si="9"/>
        <v>0</v>
      </c>
      <c r="Q10" s="190">
        <f t="shared" si="11"/>
        <v>0</v>
      </c>
      <c r="R10" s="190">
        <f t="shared" si="10"/>
        <v>0</v>
      </c>
      <c r="S10" s="190">
        <f t="shared" si="12"/>
        <v>0</v>
      </c>
      <c r="U10" s="188"/>
      <c r="V10" s="193" t="s">
        <v>349</v>
      </c>
      <c r="W10" s="194">
        <f>SUM(W6:W9)</f>
        <v>137.25352027238188</v>
      </c>
      <c r="X10" s="593"/>
      <c r="Y10" s="188"/>
    </row>
    <row r="11" spans="1:26" x14ac:dyDescent="0.25">
      <c r="A11" s="181">
        <v>9</v>
      </c>
      <c r="B11" s="222">
        <f t="shared" si="5"/>
        <v>9</v>
      </c>
      <c r="C11" s="223">
        <f t="shared" si="0"/>
        <v>8.0028000000000006</v>
      </c>
      <c r="D11" s="223">
        <f t="shared" si="1"/>
        <v>2.8950539664743791</v>
      </c>
      <c r="E11" s="223">
        <f t="shared" si="2"/>
        <v>18.980428991609543</v>
      </c>
      <c r="F11" s="183">
        <f t="shared" si="6"/>
        <v>9</v>
      </c>
      <c r="G11" s="184">
        <f t="shared" si="13"/>
        <v>24</v>
      </c>
      <c r="H11" s="185">
        <f t="shared" si="3"/>
        <v>10.32</v>
      </c>
      <c r="I11" s="185">
        <f t="shared" si="4"/>
        <v>3.624427737702514</v>
      </c>
      <c r="J11" s="185">
        <f t="shared" si="7"/>
        <v>24.286544976498547</v>
      </c>
      <c r="K11" s="186">
        <f t="shared" si="8"/>
        <v>9</v>
      </c>
      <c r="L11" s="187"/>
      <c r="M11" s="187"/>
      <c r="N11" s="187"/>
      <c r="O11" s="187"/>
      <c r="P11" s="190">
        <f t="shared" si="9"/>
        <v>0</v>
      </c>
      <c r="Q11" s="190">
        <f t="shared" si="11"/>
        <v>0</v>
      </c>
      <c r="R11" s="190">
        <f t="shared" si="10"/>
        <v>0</v>
      </c>
      <c r="S11" s="190">
        <f t="shared" si="12"/>
        <v>0</v>
      </c>
      <c r="U11" s="188"/>
      <c r="V11" s="188" t="s">
        <v>350</v>
      </c>
      <c r="W11" s="189">
        <f>SUM(L2:L32)/1.56</f>
        <v>40.38461538461538</v>
      </c>
      <c r="X11" s="593"/>
      <c r="Y11" s="188"/>
    </row>
    <row r="12" spans="1:26" x14ac:dyDescent="0.25">
      <c r="A12" s="181">
        <v>10</v>
      </c>
      <c r="B12" s="222">
        <f t="shared" si="5"/>
        <v>10</v>
      </c>
      <c r="C12" s="223">
        <f t="shared" si="0"/>
        <v>8.8919999999999995</v>
      </c>
      <c r="D12" s="223">
        <f t="shared" si="1"/>
        <v>3.177517729464268</v>
      </c>
      <c r="E12" s="223">
        <f t="shared" si="2"/>
        <v>21.021076712150265</v>
      </c>
      <c r="F12" s="183">
        <f t="shared" si="6"/>
        <v>10</v>
      </c>
      <c r="G12" s="184">
        <f t="shared" si="13"/>
        <v>31</v>
      </c>
      <c r="H12" s="185">
        <f t="shared" si="3"/>
        <v>13.33</v>
      </c>
      <c r="I12" s="185">
        <f t="shared" si="4"/>
        <v>4.5441429489998528</v>
      </c>
      <c r="J12" s="185">
        <f t="shared" si="7"/>
        <v>31.130798969508078</v>
      </c>
      <c r="K12" s="186">
        <f t="shared" si="8"/>
        <v>10</v>
      </c>
      <c r="L12" s="187"/>
      <c r="M12" s="187"/>
      <c r="N12" s="187"/>
      <c r="O12" s="187"/>
      <c r="P12" s="190">
        <f t="shared" si="9"/>
        <v>0</v>
      </c>
      <c r="Q12" s="190">
        <f t="shared" si="11"/>
        <v>0</v>
      </c>
      <c r="R12" s="190">
        <f t="shared" si="10"/>
        <v>0</v>
      </c>
      <c r="S12" s="190">
        <f t="shared" si="12"/>
        <v>0</v>
      </c>
      <c r="U12" s="188"/>
      <c r="V12" s="188" t="s">
        <v>351</v>
      </c>
      <c r="W12" s="188">
        <v>0.25</v>
      </c>
      <c r="X12" s="593"/>
      <c r="Y12" s="188"/>
    </row>
    <row r="13" spans="1:26" x14ac:dyDescent="0.25">
      <c r="A13" s="181">
        <v>11</v>
      </c>
      <c r="B13" s="222">
        <f t="shared" si="5"/>
        <v>11</v>
      </c>
      <c r="C13" s="223">
        <f t="shared" si="0"/>
        <v>9.7812000000000001</v>
      </c>
      <c r="D13" s="223">
        <f t="shared" si="1"/>
        <v>3.4567069199829903</v>
      </c>
      <c r="E13" s="223">
        <f t="shared" si="2"/>
        <v>23.056021218970372</v>
      </c>
      <c r="F13" s="183">
        <f t="shared" si="6"/>
        <v>11</v>
      </c>
      <c r="G13" s="184">
        <f t="shared" si="13"/>
        <v>39</v>
      </c>
      <c r="H13" s="185">
        <f t="shared" si="3"/>
        <v>16.77</v>
      </c>
      <c r="I13" s="185">
        <f t="shared" si="4"/>
        <v>5.5660804476726025</v>
      </c>
      <c r="J13" s="185">
        <f>(H13+I13)*0.475*44/12</f>
        <v>38.902006779696443</v>
      </c>
      <c r="K13" s="186">
        <f t="shared" si="8"/>
        <v>11</v>
      </c>
      <c r="L13" s="187"/>
      <c r="M13" s="187"/>
      <c r="N13" s="187"/>
      <c r="O13" s="187"/>
      <c r="P13" s="190">
        <f t="shared" si="9"/>
        <v>0</v>
      </c>
      <c r="Q13" s="190">
        <f t="shared" si="11"/>
        <v>0</v>
      </c>
      <c r="R13" s="190">
        <f t="shared" si="10"/>
        <v>0</v>
      </c>
      <c r="S13" s="190">
        <f t="shared" si="12"/>
        <v>0</v>
      </c>
      <c r="U13" s="188"/>
      <c r="V13" s="193" t="s">
        <v>352</v>
      </c>
      <c r="W13" s="195">
        <f>W11*W12</f>
        <v>10.096153846153845</v>
      </c>
      <c r="X13" s="593"/>
      <c r="Y13" s="188"/>
    </row>
    <row r="14" spans="1:26" x14ac:dyDescent="0.25">
      <c r="A14" s="181">
        <v>12</v>
      </c>
      <c r="B14" s="222">
        <f t="shared" si="5"/>
        <v>12</v>
      </c>
      <c r="C14" s="223">
        <f t="shared" si="0"/>
        <v>10.670399999999999</v>
      </c>
      <c r="D14" s="223">
        <f t="shared" si="1"/>
        <v>3.7329530817348457</v>
      </c>
      <c r="E14" s="223">
        <f t="shared" si="2"/>
        <v>25.085839950688193</v>
      </c>
      <c r="F14" s="183">
        <f t="shared" si="6"/>
        <v>12</v>
      </c>
      <c r="G14" s="184">
        <f t="shared" si="13"/>
        <v>48</v>
      </c>
      <c r="H14" s="185">
        <f t="shared" si="3"/>
        <v>20.64</v>
      </c>
      <c r="I14" s="185">
        <f t="shared" si="4"/>
        <v>6.6869726907097018</v>
      </c>
      <c r="J14" s="185">
        <f t="shared" si="7"/>
        <v>47.594477436319387</v>
      </c>
      <c r="K14" s="186">
        <f t="shared" si="8"/>
        <v>12</v>
      </c>
      <c r="L14" s="187"/>
      <c r="M14" s="187"/>
      <c r="N14" s="187"/>
      <c r="O14" s="187"/>
      <c r="P14" s="190">
        <f t="shared" si="9"/>
        <v>0</v>
      </c>
      <c r="Q14" s="190">
        <f t="shared" si="11"/>
        <v>0</v>
      </c>
      <c r="R14" s="190">
        <f t="shared" si="10"/>
        <v>0</v>
      </c>
      <c r="S14" s="190">
        <f t="shared" si="12"/>
        <v>0</v>
      </c>
      <c r="U14" s="188"/>
      <c r="V14" s="193" t="s">
        <v>353</v>
      </c>
      <c r="W14" s="194">
        <f>AVERAGE(S2:S34)</f>
        <v>0</v>
      </c>
      <c r="X14" s="593"/>
      <c r="Y14" s="188"/>
    </row>
    <row r="15" spans="1:26" x14ac:dyDescent="0.25">
      <c r="A15" s="181">
        <v>13</v>
      </c>
      <c r="B15" s="222">
        <f t="shared" si="5"/>
        <v>13</v>
      </c>
      <c r="C15" s="223">
        <f t="shared" si="0"/>
        <v>11.5596</v>
      </c>
      <c r="D15" s="223">
        <f t="shared" si="1"/>
        <v>4.0065293501366055</v>
      </c>
      <c r="E15" s="223">
        <f t="shared" si="2"/>
        <v>27.111008618154589</v>
      </c>
      <c r="F15" s="183">
        <f t="shared" si="6"/>
        <v>13</v>
      </c>
      <c r="G15" s="184">
        <f t="shared" si="13"/>
        <v>58</v>
      </c>
      <c r="H15" s="185">
        <f t="shared" si="3"/>
        <v>24.94</v>
      </c>
      <c r="I15" s="185">
        <f t="shared" si="4"/>
        <v>7.9040516098186693</v>
      </c>
      <c r="J15" s="185">
        <f t="shared" si="7"/>
        <v>57.203389887100847</v>
      </c>
      <c r="K15" s="186">
        <f t="shared" si="8"/>
        <v>13</v>
      </c>
      <c r="L15" s="187"/>
      <c r="M15" s="187"/>
      <c r="N15" s="187"/>
      <c r="O15" s="187"/>
      <c r="P15" s="190">
        <f t="shared" si="9"/>
        <v>0</v>
      </c>
      <c r="Q15" s="190">
        <f t="shared" si="11"/>
        <v>0</v>
      </c>
      <c r="R15" s="190">
        <f t="shared" si="10"/>
        <v>0</v>
      </c>
      <c r="S15" s="190">
        <f t="shared" si="12"/>
        <v>0</v>
      </c>
      <c r="U15" s="188"/>
      <c r="X15" s="188"/>
      <c r="Y15" s="188"/>
    </row>
    <row r="16" spans="1:26" x14ac:dyDescent="0.25">
      <c r="A16" s="181">
        <v>14</v>
      </c>
      <c r="B16" s="222">
        <f t="shared" si="5"/>
        <v>14</v>
      </c>
      <c r="C16" s="223">
        <f t="shared" si="0"/>
        <v>12.448799999999999</v>
      </c>
      <c r="D16" s="223">
        <f t="shared" si="1"/>
        <v>4.2776644527179633</v>
      </c>
      <c r="E16" s="223">
        <f t="shared" si="2"/>
        <v>29.131925588483782</v>
      </c>
      <c r="F16" s="183">
        <f t="shared" si="6"/>
        <v>14</v>
      </c>
      <c r="G16" s="184">
        <f t="shared" si="13"/>
        <v>69</v>
      </c>
      <c r="H16" s="185">
        <f t="shared" si="3"/>
        <v>29.669999999999998</v>
      </c>
      <c r="I16" s="185">
        <f t="shared" si="4"/>
        <v>9.2149259322296668</v>
      </c>
      <c r="J16" s="185">
        <f t="shared" si="7"/>
        <v>67.724579331966666</v>
      </c>
      <c r="K16" s="186">
        <f t="shared" si="8"/>
        <v>14</v>
      </c>
      <c r="L16" s="187"/>
      <c r="M16" s="196"/>
      <c r="N16" s="196"/>
      <c r="O16" s="196"/>
      <c r="P16" s="190">
        <f t="shared" si="9"/>
        <v>0</v>
      </c>
      <c r="Q16" s="190">
        <f t="shared" si="11"/>
        <v>0</v>
      </c>
      <c r="R16" s="190">
        <f t="shared" si="10"/>
        <v>0</v>
      </c>
      <c r="S16" s="190">
        <f t="shared" si="12"/>
        <v>0</v>
      </c>
      <c r="U16" s="188"/>
      <c r="V16" s="197" t="s">
        <v>406</v>
      </c>
      <c r="W16" s="194">
        <f>W10+W13+W14</f>
        <v>147.34967411853572</v>
      </c>
      <c r="X16" s="188"/>
      <c r="Y16" s="188"/>
    </row>
    <row r="17" spans="1:25" x14ac:dyDescent="0.25">
      <c r="A17" s="181">
        <v>15</v>
      </c>
      <c r="B17" s="222">
        <f t="shared" si="5"/>
        <v>15</v>
      </c>
      <c r="C17" s="223">
        <f t="shared" si="0"/>
        <v>13.337999999999999</v>
      </c>
      <c r="D17" s="223">
        <f t="shared" si="1"/>
        <v>4.5465525901071517</v>
      </c>
      <c r="E17" s="223">
        <f t="shared" si="2"/>
        <v>31.148929094436621</v>
      </c>
      <c r="F17" s="183">
        <f t="shared" si="6"/>
        <v>15</v>
      </c>
      <c r="G17" s="224">
        <v>78</v>
      </c>
      <c r="H17" s="185">
        <f t="shared" si="3"/>
        <v>33.54</v>
      </c>
      <c r="I17" s="185">
        <f t="shared" si="4"/>
        <v>10.269270252156668</v>
      </c>
      <c r="J17" s="185">
        <f t="shared" si="7"/>
        <v>76.301145689172856</v>
      </c>
      <c r="K17" s="186">
        <f t="shared" si="8"/>
        <v>15</v>
      </c>
      <c r="L17" s="187"/>
      <c r="M17" s="187"/>
      <c r="N17" s="187"/>
      <c r="O17" s="187"/>
      <c r="P17" s="190">
        <f t="shared" si="9"/>
        <v>0</v>
      </c>
      <c r="Q17" s="190">
        <f t="shared" si="11"/>
        <v>0</v>
      </c>
      <c r="R17" s="190">
        <f t="shared" si="10"/>
        <v>0</v>
      </c>
      <c r="S17" s="190">
        <f t="shared" si="12"/>
        <v>0</v>
      </c>
    </row>
    <row r="18" spans="1:25" x14ac:dyDescent="0.25">
      <c r="A18" s="181">
        <v>16</v>
      </c>
      <c r="B18" s="222">
        <f t="shared" si="5"/>
        <v>16</v>
      </c>
      <c r="C18" s="223">
        <f t="shared" si="0"/>
        <v>14.2272</v>
      </c>
      <c r="D18" s="223">
        <f t="shared" si="1"/>
        <v>4.81336060460516</v>
      </c>
      <c r="E18" s="223">
        <f t="shared" si="2"/>
        <v>33.162309719687322</v>
      </c>
      <c r="F18" s="183">
        <f t="shared" si="6"/>
        <v>16</v>
      </c>
      <c r="G18" s="224">
        <f>$G$17+(F18-$F$17)*($G$22-$G$17)/($F$22-$F$17)</f>
        <v>90.8</v>
      </c>
      <c r="H18" s="185">
        <f t="shared" si="3"/>
        <v>39.043999999999997</v>
      </c>
      <c r="I18" s="185">
        <f t="shared" si="4"/>
        <v>11.744903368873258</v>
      </c>
      <c r="J18" s="185">
        <f t="shared" si="7"/>
        <v>88.457340034120918</v>
      </c>
      <c r="K18" s="186">
        <f t="shared" si="8"/>
        <v>16</v>
      </c>
      <c r="L18" s="187"/>
      <c r="M18" s="187"/>
      <c r="N18" s="196"/>
      <c r="O18" s="196"/>
      <c r="P18" s="190">
        <f t="shared" si="9"/>
        <v>0</v>
      </c>
      <c r="Q18" s="190">
        <f t="shared" si="11"/>
        <v>0</v>
      </c>
      <c r="R18" s="190">
        <f t="shared" si="10"/>
        <v>0</v>
      </c>
      <c r="S18" s="190">
        <f t="shared" si="12"/>
        <v>0</v>
      </c>
      <c r="X18" s="188"/>
      <c r="Y18" s="188"/>
    </row>
    <row r="19" spans="1:25" x14ac:dyDescent="0.25">
      <c r="A19" s="181">
        <v>17</v>
      </c>
      <c r="B19" s="222">
        <f t="shared" si="5"/>
        <v>17</v>
      </c>
      <c r="C19" s="223">
        <f t="shared" si="0"/>
        <v>15.116399999999999</v>
      </c>
      <c r="D19" s="223">
        <f t="shared" si="1"/>
        <v>5.0782333044806913</v>
      </c>
      <c r="E19" s="223">
        <f t="shared" si="2"/>
        <v>35.172319671970534</v>
      </c>
      <c r="F19" s="183">
        <f t="shared" si="6"/>
        <v>17</v>
      </c>
      <c r="G19" s="224">
        <f>$G$17+(F19-$F$17)*($G$22-$G$17)/($F$22-$F$17)</f>
        <v>103.6</v>
      </c>
      <c r="H19" s="185">
        <f t="shared" si="3"/>
        <v>44.547999999999995</v>
      </c>
      <c r="I19" s="185">
        <f t="shared" si="4"/>
        <v>13.196436493358</v>
      </c>
      <c r="J19" s="185">
        <f t="shared" si="7"/>
        <v>100.57156022593183</v>
      </c>
      <c r="K19" s="186">
        <f t="shared" si="8"/>
        <v>17</v>
      </c>
      <c r="L19" s="187"/>
      <c r="M19" s="187"/>
      <c r="N19" s="187"/>
      <c r="O19" s="187"/>
      <c r="P19" s="190">
        <f t="shared" si="9"/>
        <v>0</v>
      </c>
      <c r="Q19" s="190">
        <f t="shared" si="11"/>
        <v>0</v>
      </c>
      <c r="R19" s="190">
        <f t="shared" si="10"/>
        <v>0</v>
      </c>
      <c r="S19" s="190">
        <f t="shared" si="12"/>
        <v>0</v>
      </c>
      <c r="X19" s="188"/>
      <c r="Y19" s="188"/>
    </row>
    <row r="20" spans="1:25" x14ac:dyDescent="0.25">
      <c r="A20" s="181">
        <v>18</v>
      </c>
      <c r="B20" s="222">
        <f t="shared" si="5"/>
        <v>18</v>
      </c>
      <c r="C20" s="223">
        <f t="shared" si="0"/>
        <v>16.005600000000001</v>
      </c>
      <c r="D20" s="223">
        <f t="shared" si="1"/>
        <v>5.3412974993444156</v>
      </c>
      <c r="E20" s="223">
        <f t="shared" si="2"/>
        <v>37.179179811358189</v>
      </c>
      <c r="F20" s="183">
        <f t="shared" si="6"/>
        <v>18</v>
      </c>
      <c r="G20" s="224">
        <f>$G$17+(F20-$F$17)*($G$22-$G$17)/($F$22-$F$17)</f>
        <v>116.4</v>
      </c>
      <c r="H20" s="185">
        <f t="shared" si="3"/>
        <v>50.052</v>
      </c>
      <c r="I20" s="185">
        <f t="shared" si="4"/>
        <v>14.62718807768414</v>
      </c>
      <c r="J20" s="185">
        <f t="shared" si="7"/>
        <v>112.64958590196655</v>
      </c>
      <c r="K20" s="186">
        <f t="shared" si="8"/>
        <v>18</v>
      </c>
      <c r="L20" s="187"/>
      <c r="M20" s="196"/>
      <c r="N20" s="196"/>
      <c r="O20" s="196"/>
      <c r="P20" s="190">
        <f t="shared" si="9"/>
        <v>0</v>
      </c>
      <c r="Q20" s="190">
        <f t="shared" si="11"/>
        <v>0</v>
      </c>
      <c r="R20" s="190">
        <f t="shared" si="10"/>
        <v>0</v>
      </c>
      <c r="S20" s="190">
        <f t="shared" si="12"/>
        <v>0</v>
      </c>
      <c r="V20" s="198"/>
      <c r="W20" s="199"/>
    </row>
    <row r="21" spans="1:25" x14ac:dyDescent="0.25">
      <c r="A21" s="181">
        <v>19</v>
      </c>
      <c r="B21" s="222">
        <f t="shared" si="5"/>
        <v>19</v>
      </c>
      <c r="C21" s="223">
        <f t="shared" si="0"/>
        <v>16.8948</v>
      </c>
      <c r="D21" s="223">
        <f t="shared" si="1"/>
        <v>5.6026651130643454</v>
      </c>
      <c r="E21" s="223">
        <f t="shared" si="2"/>
        <v>39.183085071920395</v>
      </c>
      <c r="F21" s="183">
        <f t="shared" si="6"/>
        <v>19</v>
      </c>
      <c r="G21" s="224">
        <f>$G$17+(F21-$F$17)*($G$22-$G$17)/($F$22-$F$17)</f>
        <v>129.19999999999999</v>
      </c>
      <c r="H21" s="185">
        <f t="shared" si="3"/>
        <v>55.555999999999997</v>
      </c>
      <c r="I21" s="185">
        <f t="shared" si="4"/>
        <v>16.039703993592667</v>
      </c>
      <c r="J21" s="185">
        <f t="shared" si="7"/>
        <v>124.69585112217389</v>
      </c>
      <c r="K21" s="186">
        <f t="shared" si="8"/>
        <v>19</v>
      </c>
      <c r="L21" s="200"/>
      <c r="M21" s="201"/>
      <c r="N21" s="201"/>
      <c r="O21" s="201"/>
      <c r="P21" s="190">
        <f t="shared" si="9"/>
        <v>0</v>
      </c>
      <c r="Q21" s="190">
        <f t="shared" si="11"/>
        <v>0</v>
      </c>
      <c r="R21" s="190">
        <f t="shared" si="10"/>
        <v>0</v>
      </c>
      <c r="S21" s="190">
        <f t="shared" si="12"/>
        <v>0</v>
      </c>
      <c r="W21" s="188"/>
    </row>
    <row r="22" spans="1:25" x14ac:dyDescent="0.25">
      <c r="A22" s="181">
        <v>20</v>
      </c>
      <c r="B22" s="222">
        <f t="shared" si="5"/>
        <v>20</v>
      </c>
      <c r="C22" s="223">
        <f t="shared" si="0"/>
        <v>17.783999999999999</v>
      </c>
      <c r="D22" s="223">
        <f t="shared" si="1"/>
        <v>5.862435622634961</v>
      </c>
      <c r="E22" s="223">
        <f t="shared" si="2"/>
        <v>41.184208709422556</v>
      </c>
      <c r="F22" s="183">
        <f t="shared" si="6"/>
        <v>20</v>
      </c>
      <c r="G22" s="185">
        <f>126+78-62</f>
        <v>142</v>
      </c>
      <c r="H22" s="185">
        <f t="shared" si="3"/>
        <v>61.06</v>
      </c>
      <c r="I22" s="185">
        <f t="shared" si="4"/>
        <v>17.43599650596687</v>
      </c>
      <c r="J22" s="185">
        <f t="shared" si="7"/>
        <v>136.71386058122562</v>
      </c>
      <c r="K22" s="186">
        <f t="shared" si="8"/>
        <v>20</v>
      </c>
      <c r="L22" s="187"/>
      <c r="M22" s="196"/>
      <c r="N22" s="202"/>
      <c r="O22" s="202"/>
      <c r="P22" s="190">
        <f t="shared" si="9"/>
        <v>0</v>
      </c>
      <c r="Q22" s="190">
        <f t="shared" si="11"/>
        <v>0</v>
      </c>
      <c r="R22" s="190">
        <f t="shared" si="10"/>
        <v>0</v>
      </c>
      <c r="S22" s="190">
        <f t="shared" si="12"/>
        <v>0</v>
      </c>
      <c r="W22" s="188"/>
    </row>
    <row r="23" spans="1:25" x14ac:dyDescent="0.25">
      <c r="A23" s="181">
        <v>21</v>
      </c>
      <c r="B23" s="222">
        <f t="shared" si="5"/>
        <v>21</v>
      </c>
      <c r="C23" s="223">
        <f t="shared" si="0"/>
        <v>18.673199999999998</v>
      </c>
      <c r="D23" s="223">
        <f t="shared" si="1"/>
        <v>6.120697995410775</v>
      </c>
      <c r="E23" s="223">
        <f t="shared" si="2"/>
        <v>43.182705675340429</v>
      </c>
      <c r="F23" s="183">
        <f t="shared" si="6"/>
        <v>21</v>
      </c>
      <c r="G23" s="185">
        <f>$G$22+(F23-$F$22)*($G$27-$G$22)/($F$27-$F$22)</f>
        <v>155.19999999999999</v>
      </c>
      <c r="H23" s="185">
        <f t="shared" si="3"/>
        <v>66.73599999999999</v>
      </c>
      <c r="I23" s="185">
        <f t="shared" si="4"/>
        <v>18.860652493535977</v>
      </c>
      <c r="J23" s="185">
        <f t="shared" si="7"/>
        <v>149.0808364262418</v>
      </c>
      <c r="K23" s="186">
        <f t="shared" si="8"/>
        <v>21</v>
      </c>
      <c r="L23" s="187"/>
      <c r="M23" s="196"/>
      <c r="N23" s="196"/>
      <c r="O23" s="196"/>
      <c r="P23" s="190">
        <f t="shared" si="9"/>
        <v>0</v>
      </c>
      <c r="Q23" s="190">
        <f t="shared" si="11"/>
        <v>0</v>
      </c>
      <c r="R23" s="190">
        <f t="shared" si="10"/>
        <v>0</v>
      </c>
      <c r="S23" s="190">
        <f t="shared" si="12"/>
        <v>0</v>
      </c>
      <c r="W23" s="188"/>
    </row>
    <row r="24" spans="1:25" x14ac:dyDescent="0.25">
      <c r="A24" s="181">
        <v>22</v>
      </c>
      <c r="B24" s="222">
        <f t="shared" si="5"/>
        <v>22</v>
      </c>
      <c r="C24" s="223">
        <f t="shared" si="0"/>
        <v>19.5624</v>
      </c>
      <c r="D24" s="223">
        <f t="shared" si="1"/>
        <v>6.3775322468881095</v>
      </c>
      <c r="E24" s="223">
        <f t="shared" si="2"/>
        <v>45.178715329996784</v>
      </c>
      <c r="F24" s="183">
        <f t="shared" si="6"/>
        <v>22</v>
      </c>
      <c r="G24" s="185">
        <f>$G$22+(F24-$F$22)*($G$27-$G$22)/($F$27-$F$22)</f>
        <v>168.4</v>
      </c>
      <c r="H24" s="185">
        <f t="shared" si="3"/>
        <v>72.412000000000006</v>
      </c>
      <c r="I24" s="185">
        <f t="shared" si="4"/>
        <v>20.271256101526671</v>
      </c>
      <c r="J24" s="185">
        <f t="shared" si="7"/>
        <v>161.42333771015896</v>
      </c>
      <c r="K24" s="186">
        <f t="shared" si="8"/>
        <v>22</v>
      </c>
      <c r="L24" s="187"/>
      <c r="M24" s="187"/>
      <c r="N24" s="187"/>
      <c r="O24" s="187"/>
      <c r="P24" s="190">
        <f t="shared" si="9"/>
        <v>0</v>
      </c>
      <c r="Q24" s="190">
        <f t="shared" si="11"/>
        <v>0</v>
      </c>
      <c r="R24" s="190">
        <f t="shared" si="10"/>
        <v>0</v>
      </c>
      <c r="S24" s="190">
        <f t="shared" si="12"/>
        <v>0</v>
      </c>
      <c r="W24" s="188"/>
    </row>
    <row r="25" spans="1:25" x14ac:dyDescent="0.25">
      <c r="A25" s="181">
        <v>23</v>
      </c>
      <c r="B25" s="222">
        <f t="shared" si="5"/>
        <v>23</v>
      </c>
      <c r="C25" s="223">
        <f t="shared" si="0"/>
        <v>20.451599999999999</v>
      </c>
      <c r="D25" s="223">
        <f t="shared" si="1"/>
        <v>6.6330107072474558</v>
      </c>
      <c r="E25" s="223">
        <f t="shared" si="2"/>
        <v>47.172363648455985</v>
      </c>
      <c r="F25" s="183">
        <f t="shared" si="6"/>
        <v>23</v>
      </c>
      <c r="G25" s="185">
        <f>$G$22+(F25-$F$22)*($G$27-$G$22)/($F$27-$F$22)</f>
        <v>181.6</v>
      </c>
      <c r="H25" s="185">
        <f t="shared" si="3"/>
        <v>78.087999999999994</v>
      </c>
      <c r="I25" s="185">
        <f t="shared" si="4"/>
        <v>21.669034056246403</v>
      </c>
      <c r="J25" s="185">
        <f t="shared" si="7"/>
        <v>173.7435009812958</v>
      </c>
      <c r="K25" s="186">
        <f t="shared" si="8"/>
        <v>23</v>
      </c>
      <c r="L25" s="187"/>
      <c r="M25" s="196"/>
      <c r="N25" s="196"/>
      <c r="O25" s="202"/>
      <c r="P25" s="190">
        <f t="shared" si="9"/>
        <v>0</v>
      </c>
      <c r="Q25" s="190">
        <f t="shared" si="11"/>
        <v>0</v>
      </c>
      <c r="R25" s="190">
        <f t="shared" si="10"/>
        <v>0</v>
      </c>
      <c r="S25" s="190">
        <f t="shared" si="12"/>
        <v>0</v>
      </c>
      <c r="W25" s="188"/>
    </row>
    <row r="26" spans="1:25" x14ac:dyDescent="0.25">
      <c r="A26" s="181">
        <v>24</v>
      </c>
      <c r="B26" s="222">
        <f t="shared" si="5"/>
        <v>24</v>
      </c>
      <c r="C26" s="223">
        <f t="shared" si="0"/>
        <v>21.340799999999998</v>
      </c>
      <c r="D26" s="223">
        <f t="shared" si="1"/>
        <v>6.8871990614123195</v>
      </c>
      <c r="E26" s="223">
        <f t="shared" si="2"/>
        <v>49.163765031959791</v>
      </c>
      <c r="F26" s="183">
        <f t="shared" si="6"/>
        <v>24</v>
      </c>
      <c r="G26" s="185">
        <f>$G$22+(F26-$F$22)*($G$27-$G$22)/($F$27-$F$22)</f>
        <v>194.8</v>
      </c>
      <c r="H26" s="185">
        <f t="shared" si="3"/>
        <v>83.76400000000001</v>
      </c>
      <c r="I26" s="185">
        <f t="shared" si="4"/>
        <v>23.055024638911448</v>
      </c>
      <c r="J26" s="185">
        <f t="shared" si="7"/>
        <v>186.04313457943746</v>
      </c>
      <c r="K26" s="186">
        <f t="shared" si="8"/>
        <v>24</v>
      </c>
      <c r="L26" s="204"/>
      <c r="M26" s="205"/>
      <c r="N26" s="196"/>
      <c r="O26" s="196"/>
      <c r="P26" s="190">
        <f t="shared" si="9"/>
        <v>0</v>
      </c>
      <c r="Q26" s="190">
        <f t="shared" si="11"/>
        <v>0</v>
      </c>
      <c r="R26" s="190">
        <f t="shared" si="10"/>
        <v>0</v>
      </c>
      <c r="S26" s="190">
        <f t="shared" si="12"/>
        <v>0</v>
      </c>
      <c r="W26" s="188"/>
    </row>
    <row r="27" spans="1:25" x14ac:dyDescent="0.25">
      <c r="A27" s="181">
        <v>25</v>
      </c>
      <c r="B27" s="222">
        <f t="shared" si="5"/>
        <v>25</v>
      </c>
      <c r="C27" s="223">
        <f t="shared" si="0"/>
        <v>22.229999999999997</v>
      </c>
      <c r="D27" s="223">
        <f t="shared" si="1"/>
        <v>7.140157210880437</v>
      </c>
      <c r="E27" s="223">
        <f t="shared" si="2"/>
        <v>51.153023808950088</v>
      </c>
      <c r="F27" s="183">
        <f t="shared" si="6"/>
        <v>25</v>
      </c>
      <c r="G27" s="185">
        <f>170+126-104+78-62</f>
        <v>208</v>
      </c>
      <c r="H27" s="185">
        <f t="shared" si="3"/>
        <v>89.44</v>
      </c>
      <c r="I27" s="185">
        <f t="shared" si="4"/>
        <v>24.430117455867048</v>
      </c>
      <c r="J27" s="185">
        <f t="shared" si="7"/>
        <v>198.32378790230177</v>
      </c>
      <c r="K27" s="186">
        <f t="shared" si="8"/>
        <v>25</v>
      </c>
      <c r="L27" s="211">
        <f>G27-G28</f>
        <v>63</v>
      </c>
      <c r="M27" s="207">
        <v>0</v>
      </c>
      <c r="N27" s="207">
        <v>0</v>
      </c>
      <c r="O27" s="207">
        <v>0</v>
      </c>
      <c r="P27" s="190">
        <f>EXP(-LN(2)/35)*P26+(1-EXP(-LN(2)/35))/(LN(2)/35)*M27*L27*$W$1*0.475*44/12</f>
        <v>0</v>
      </c>
      <c r="Q27" s="190">
        <f t="shared" si="11"/>
        <v>0</v>
      </c>
      <c r="R27" s="190">
        <f t="shared" si="10"/>
        <v>0</v>
      </c>
      <c r="S27" s="190">
        <f t="shared" si="12"/>
        <v>0</v>
      </c>
      <c r="W27" s="188"/>
    </row>
    <row r="28" spans="1:25" x14ac:dyDescent="0.25">
      <c r="A28" s="181">
        <v>26</v>
      </c>
      <c r="B28" s="222">
        <f t="shared" si="5"/>
        <v>26</v>
      </c>
      <c r="C28" s="223">
        <f t="shared" si="0"/>
        <v>23.119199999999999</v>
      </c>
      <c r="D28" s="223">
        <f t="shared" si="1"/>
        <v>7.3919399937804329</v>
      </c>
      <c r="E28" s="223">
        <f t="shared" si="2"/>
        <v>53.140235489167587</v>
      </c>
      <c r="F28" s="183">
        <v>25</v>
      </c>
      <c r="G28" s="185">
        <v>145</v>
      </c>
      <c r="H28" s="185">
        <f t="shared" si="3"/>
        <v>62.35</v>
      </c>
      <c r="I28" s="185">
        <f t="shared" si="4"/>
        <v>17.761087711234602</v>
      </c>
      <c r="J28" s="185">
        <f t="shared" si="7"/>
        <v>139.52681109706691</v>
      </c>
      <c r="K28" s="186">
        <f t="shared" si="8"/>
        <v>26</v>
      </c>
      <c r="L28" s="204"/>
      <c r="M28" s="204"/>
      <c r="N28" s="187"/>
      <c r="O28" s="187"/>
      <c r="P28" s="190">
        <f t="shared" si="9"/>
        <v>0</v>
      </c>
      <c r="Q28" s="190">
        <f t="shared" si="11"/>
        <v>0</v>
      </c>
      <c r="R28" s="190">
        <f t="shared" si="10"/>
        <v>0</v>
      </c>
      <c r="S28" s="190">
        <f t="shared" si="12"/>
        <v>0</v>
      </c>
      <c r="W28" s="188"/>
    </row>
    <row r="29" spans="1:25" x14ac:dyDescent="0.25">
      <c r="A29" s="181">
        <v>27</v>
      </c>
      <c r="B29" s="222">
        <f t="shared" si="5"/>
        <v>27</v>
      </c>
      <c r="C29" s="223">
        <f t="shared" si="0"/>
        <v>24.008400000000002</v>
      </c>
      <c r="D29" s="223">
        <f t="shared" si="1"/>
        <v>7.6425977910346994</v>
      </c>
      <c r="E29" s="223">
        <f t="shared" si="2"/>
        <v>55.125487819385434</v>
      </c>
      <c r="F29" s="183">
        <f t="shared" si="6"/>
        <v>26</v>
      </c>
      <c r="G29" s="185">
        <f>$G$28+(F29-$F$28)*($G$33-$G$28)/($F$33-$F$28)</f>
        <v>157.6</v>
      </c>
      <c r="H29" s="185">
        <f t="shared" si="3"/>
        <v>67.768000000000001</v>
      </c>
      <c r="I29" s="185">
        <f t="shared" si="4"/>
        <v>19.118132278240573</v>
      </c>
      <c r="J29" s="185">
        <f t="shared" si="7"/>
        <v>151.32668038460233</v>
      </c>
      <c r="K29" s="186">
        <f t="shared" si="8"/>
        <v>27</v>
      </c>
      <c r="L29" s="204"/>
      <c r="M29" s="205"/>
      <c r="N29" s="196"/>
      <c r="O29" s="196"/>
      <c r="P29" s="190">
        <f t="shared" si="9"/>
        <v>0</v>
      </c>
      <c r="Q29" s="190">
        <f t="shared" si="11"/>
        <v>0</v>
      </c>
      <c r="R29" s="190">
        <f t="shared" si="10"/>
        <v>0</v>
      </c>
      <c r="S29" s="190">
        <f t="shared" si="12"/>
        <v>0</v>
      </c>
      <c r="W29" s="188"/>
    </row>
    <row r="30" spans="1:25" x14ac:dyDescent="0.25">
      <c r="A30" s="181">
        <v>28</v>
      </c>
      <c r="B30" s="222">
        <f t="shared" si="5"/>
        <v>28</v>
      </c>
      <c r="C30" s="223">
        <f t="shared" si="0"/>
        <v>24.897599999999997</v>
      </c>
      <c r="D30" s="223">
        <f t="shared" si="1"/>
        <v>7.8921770401958238</v>
      </c>
      <c r="E30" s="223">
        <f t="shared" si="2"/>
        <v>57.10886167834105</v>
      </c>
      <c r="F30" s="183">
        <f t="shared" si="6"/>
        <v>27</v>
      </c>
      <c r="G30" s="185">
        <f>$G$28+(F30-$F$28)*($G$33-$G$28)/($F$33-$F$28)</f>
        <v>170.2</v>
      </c>
      <c r="H30" s="185">
        <f t="shared" si="3"/>
        <v>73.185999999999993</v>
      </c>
      <c r="I30" s="185">
        <f t="shared" si="4"/>
        <v>20.462592502396515</v>
      </c>
      <c r="J30" s="185">
        <f t="shared" si="7"/>
        <v>163.10463194167394</v>
      </c>
      <c r="K30" s="186">
        <f t="shared" si="8"/>
        <v>28</v>
      </c>
      <c r="L30" s="204"/>
      <c r="M30" s="204"/>
      <c r="N30" s="187"/>
      <c r="O30" s="187"/>
      <c r="P30" s="190">
        <f t="shared" si="9"/>
        <v>0</v>
      </c>
      <c r="Q30" s="190">
        <f t="shared" si="11"/>
        <v>0</v>
      </c>
      <c r="R30" s="190">
        <f t="shared" si="10"/>
        <v>0</v>
      </c>
      <c r="S30" s="190">
        <f t="shared" si="12"/>
        <v>0</v>
      </c>
      <c r="W30" s="188"/>
    </row>
    <row r="31" spans="1:25" x14ac:dyDescent="0.25">
      <c r="A31" s="181">
        <v>29</v>
      </c>
      <c r="B31" s="222">
        <f t="shared" si="5"/>
        <v>29</v>
      </c>
      <c r="C31" s="223">
        <f t="shared" si="0"/>
        <v>25.786799999999999</v>
      </c>
      <c r="D31" s="223">
        <f t="shared" si="1"/>
        <v>8.1407206738151334</v>
      </c>
      <c r="E31" s="223">
        <f t="shared" si="2"/>
        <v>59.090431840228007</v>
      </c>
      <c r="F31" s="183">
        <f t="shared" si="6"/>
        <v>28</v>
      </c>
      <c r="G31" s="185">
        <f>$G$28+(F31-$F$28)*($G$33-$G$28)/($F$33-$F$28)</f>
        <v>182.8</v>
      </c>
      <c r="H31" s="185">
        <f t="shared" si="3"/>
        <v>78.603999999999999</v>
      </c>
      <c r="I31" s="185">
        <f t="shared" si="4"/>
        <v>21.795505948627731</v>
      </c>
      <c r="J31" s="185">
        <f t="shared" si="7"/>
        <v>174.86247286052662</v>
      </c>
      <c r="K31" s="186">
        <f t="shared" si="8"/>
        <v>29</v>
      </c>
      <c r="L31" s="204"/>
      <c r="M31" s="205"/>
      <c r="N31" s="196"/>
      <c r="O31" s="196"/>
      <c r="P31" s="190">
        <f t="shared" si="9"/>
        <v>0</v>
      </c>
      <c r="Q31" s="190">
        <f t="shared" si="11"/>
        <v>0</v>
      </c>
      <c r="R31" s="190">
        <f t="shared" si="10"/>
        <v>0</v>
      </c>
      <c r="S31" s="190">
        <f t="shared" si="12"/>
        <v>0</v>
      </c>
      <c r="W31" s="188"/>
    </row>
    <row r="32" spans="1:25" x14ac:dyDescent="0.25">
      <c r="A32" s="181">
        <v>30</v>
      </c>
      <c r="B32" s="222">
        <f t="shared" si="5"/>
        <v>30</v>
      </c>
      <c r="C32" s="223">
        <f t="shared" si="0"/>
        <v>26.675999999999998</v>
      </c>
      <c r="D32" s="223">
        <f t="shared" si="1"/>
        <v>8.388268495647786</v>
      </c>
      <c r="E32" s="223">
        <f t="shared" si="2"/>
        <v>61.07026762991989</v>
      </c>
      <c r="F32" s="183">
        <f t="shared" si="6"/>
        <v>29</v>
      </c>
      <c r="G32" s="185">
        <f>$G$28+(F32-$F$28)*($G$33-$G$28)/($F$33-$F$28)</f>
        <v>195.4</v>
      </c>
      <c r="H32" s="185">
        <f t="shared" si="3"/>
        <v>84.022000000000006</v>
      </c>
      <c r="I32" s="185">
        <f t="shared" si="4"/>
        <v>23.117759050061025</v>
      </c>
      <c r="J32" s="185">
        <f t="shared" si="7"/>
        <v>186.60174701218963</v>
      </c>
      <c r="K32" s="186">
        <f t="shared" si="8"/>
        <v>30</v>
      </c>
      <c r="L32" s="204"/>
      <c r="M32" s="205"/>
      <c r="N32" s="196"/>
      <c r="O32" s="196"/>
      <c r="P32" s="190">
        <f t="shared" si="9"/>
        <v>0</v>
      </c>
      <c r="Q32" s="190">
        <f t="shared" si="11"/>
        <v>0</v>
      </c>
      <c r="R32" s="190">
        <f t="shared" si="10"/>
        <v>0</v>
      </c>
      <c r="S32" s="190">
        <f t="shared" si="12"/>
        <v>0</v>
      </c>
      <c r="W32" s="188"/>
    </row>
    <row r="33" spans="1:25" x14ac:dyDescent="0.25">
      <c r="A33" s="181">
        <v>31</v>
      </c>
      <c r="B33" s="222">
        <f t="shared" si="5"/>
        <v>31</v>
      </c>
      <c r="C33" s="223">
        <f t="shared" si="0"/>
        <v>27.565199999999997</v>
      </c>
      <c r="D33" s="223">
        <f t="shared" si="1"/>
        <v>8.6348575052881742</v>
      </c>
      <c r="E33" s="223">
        <f t="shared" si="2"/>
        <v>63.048433488376901</v>
      </c>
      <c r="F33" s="183">
        <f t="shared" si="6"/>
        <v>30</v>
      </c>
      <c r="G33" s="185">
        <v>208</v>
      </c>
      <c r="H33" s="185">
        <f t="shared" si="3"/>
        <v>89.44</v>
      </c>
      <c r="I33" s="185">
        <f t="shared" si="4"/>
        <v>24.430117455867048</v>
      </c>
      <c r="J33" s="185">
        <f t="shared" si="7"/>
        <v>198.32378790230177</v>
      </c>
      <c r="K33" s="188"/>
      <c r="L33" s="188"/>
      <c r="M33" s="225"/>
      <c r="N33" s="225"/>
      <c r="O33" s="225"/>
      <c r="P33" s="189"/>
      <c r="Q33" s="189"/>
      <c r="R33" s="189"/>
      <c r="S33" s="189"/>
      <c r="W33" s="188"/>
    </row>
    <row r="34" spans="1:25" x14ac:dyDescent="0.25">
      <c r="A34" s="181">
        <v>32</v>
      </c>
      <c r="B34" s="222">
        <f t="shared" si="5"/>
        <v>32</v>
      </c>
      <c r="C34" s="223">
        <f t="shared" si="0"/>
        <v>28.4544</v>
      </c>
      <c r="D34" s="223">
        <f t="shared" si="1"/>
        <v>8.8805221797401614</v>
      </c>
      <c r="E34" s="223">
        <f t="shared" si="2"/>
        <v>65.024989463047447</v>
      </c>
      <c r="F34" s="183">
        <f t="shared" si="6"/>
        <v>31</v>
      </c>
      <c r="G34" s="185">
        <f>$G$33+(F34-$F$33)*($G$38-$G$33)/($F$38-$F$33)</f>
        <v>220</v>
      </c>
      <c r="H34" s="185">
        <f t="shared" si="3"/>
        <v>94.6</v>
      </c>
      <c r="I34" s="185">
        <f t="shared" si="4"/>
        <v>25.671395227101225</v>
      </c>
      <c r="J34" s="185">
        <f t="shared" si="7"/>
        <v>209.47268002053463</v>
      </c>
      <c r="K34" s="188"/>
      <c r="L34" s="18"/>
      <c r="M34" s="226"/>
      <c r="N34" s="226"/>
      <c r="O34" s="226"/>
      <c r="P34" s="189"/>
      <c r="Q34" s="189"/>
      <c r="R34" s="189"/>
      <c r="S34" s="189"/>
      <c r="W34" s="188"/>
    </row>
    <row r="35" spans="1:25" x14ac:dyDescent="0.25">
      <c r="A35" s="181">
        <v>33</v>
      </c>
      <c r="B35" s="222">
        <f t="shared" si="5"/>
        <v>33</v>
      </c>
      <c r="C35" s="223">
        <f t="shared" si="0"/>
        <v>29.343599999999999</v>
      </c>
      <c r="D35" s="223">
        <f t="shared" si="1"/>
        <v>9.1252947188023139</v>
      </c>
      <c r="E35" s="223">
        <f t="shared" si="2"/>
        <v>66.999991635247355</v>
      </c>
      <c r="F35" s="183">
        <f t="shared" si="6"/>
        <v>32</v>
      </c>
      <c r="G35" s="185">
        <f>$G$33+(F35-$F$33)*($G$38-$G$33)/($F$38-$F$33)</f>
        <v>232</v>
      </c>
      <c r="H35" s="185">
        <f t="shared" si="3"/>
        <v>99.76</v>
      </c>
      <c r="I35" s="185">
        <f t="shared" si="4"/>
        <v>26.904812864288012</v>
      </c>
      <c r="J35" s="185">
        <f t="shared" si="7"/>
        <v>220.60788240530164</v>
      </c>
      <c r="K35" s="188"/>
      <c r="L35" s="188"/>
      <c r="M35" s="188"/>
      <c r="N35" s="188"/>
      <c r="O35" s="188"/>
      <c r="P35" s="189"/>
      <c r="Q35" s="189"/>
      <c r="R35" s="189"/>
      <c r="S35" s="189"/>
      <c r="W35" s="188"/>
      <c r="X35" s="188"/>
      <c r="Y35" s="188"/>
    </row>
    <row r="36" spans="1:25" x14ac:dyDescent="0.25">
      <c r="A36" s="181">
        <v>34</v>
      </c>
      <c r="B36" s="222">
        <f t="shared" si="5"/>
        <v>34</v>
      </c>
      <c r="C36" s="223">
        <f t="shared" si="0"/>
        <v>30.232799999999997</v>
      </c>
      <c r="D36" s="223">
        <f t="shared" si="1"/>
        <v>9.3692052598737945</v>
      </c>
      <c r="E36" s="223">
        <f t="shared" si="2"/>
        <v>68.97349249428018</v>
      </c>
      <c r="F36" s="183">
        <f t="shared" si="6"/>
        <v>33</v>
      </c>
      <c r="G36" s="185">
        <f>$G$33+(F36-$F$33)*($G$38-$G$33)/($F$38-$F$33)</f>
        <v>244</v>
      </c>
      <c r="H36" s="185">
        <f t="shared" si="3"/>
        <v>104.92</v>
      </c>
      <c r="I36" s="185">
        <f t="shared" si="4"/>
        <v>28.130823299932707</v>
      </c>
      <c r="J36" s="185">
        <f t="shared" si="7"/>
        <v>231.73018391404946</v>
      </c>
      <c r="K36" s="188"/>
      <c r="L36" s="188"/>
      <c r="M36" s="188"/>
      <c r="N36" s="188"/>
      <c r="O36" s="188"/>
      <c r="P36" s="189"/>
      <c r="Q36" s="189"/>
      <c r="R36" s="189"/>
      <c r="S36" s="189"/>
      <c r="W36" s="188"/>
      <c r="X36" s="188"/>
      <c r="Y36" s="188"/>
    </row>
    <row r="37" spans="1:25" x14ac:dyDescent="0.25">
      <c r="A37" s="181">
        <v>35</v>
      </c>
      <c r="B37" s="222">
        <f t="shared" si="5"/>
        <v>35</v>
      </c>
      <c r="C37" s="223">
        <f t="shared" si="0"/>
        <v>31.122</v>
      </c>
      <c r="D37" s="223">
        <f t="shared" si="1"/>
        <v>9.6122820667788016</v>
      </c>
      <c r="E37" s="223">
        <f t="shared" si="2"/>
        <v>70.945541266306407</v>
      </c>
      <c r="F37" s="183">
        <f t="shared" si="6"/>
        <v>34</v>
      </c>
      <c r="G37" s="185">
        <f>$G$33+(F37-$F$33)*($G$38-$G$33)/($F$38-$F$33)</f>
        <v>256</v>
      </c>
      <c r="H37" s="185">
        <f t="shared" si="3"/>
        <v>110.08</v>
      </c>
      <c r="I37" s="185">
        <f t="shared" si="4"/>
        <v>29.349832398940979</v>
      </c>
      <c r="J37" s="185">
        <f t="shared" si="7"/>
        <v>242.84029142815555</v>
      </c>
      <c r="K37" s="188"/>
      <c r="L37" s="188"/>
      <c r="M37" s="188"/>
      <c r="N37" s="188"/>
      <c r="O37" s="188"/>
      <c r="P37" s="189"/>
      <c r="Q37" s="189"/>
      <c r="R37" s="189"/>
      <c r="S37" s="189"/>
      <c r="W37" s="188"/>
      <c r="X37" s="188"/>
      <c r="Y37" s="188"/>
    </row>
    <row r="38" spans="1:25" x14ac:dyDescent="0.25">
      <c r="A38" s="181">
        <v>36</v>
      </c>
      <c r="B38" s="222">
        <f t="shared" si="5"/>
        <v>36</v>
      </c>
      <c r="C38" s="223">
        <f t="shared" si="0"/>
        <v>32.011200000000002</v>
      </c>
      <c r="D38" s="223">
        <f t="shared" si="1"/>
        <v>9.8545516964045792</v>
      </c>
      <c r="E38" s="223">
        <f t="shared" si="2"/>
        <v>72.916184204571309</v>
      </c>
      <c r="F38" s="183">
        <f t="shared" si="6"/>
        <v>35</v>
      </c>
      <c r="G38" s="185">
        <f>242+208-182</f>
        <v>268</v>
      </c>
      <c r="H38" s="185">
        <f t="shared" si="3"/>
        <v>115.24</v>
      </c>
      <c r="I38" s="185">
        <f t="shared" si="4"/>
        <v>30.562205826107991</v>
      </c>
      <c r="J38" s="185">
        <f t="shared" si="7"/>
        <v>253.93884181380471</v>
      </c>
      <c r="K38" s="188"/>
      <c r="L38" s="188"/>
      <c r="M38" s="225"/>
      <c r="N38" s="225"/>
      <c r="O38" s="225"/>
      <c r="P38" s="189"/>
      <c r="Q38" s="189"/>
      <c r="R38" s="189"/>
      <c r="S38" s="189"/>
      <c r="W38" s="188"/>
      <c r="X38" s="188"/>
      <c r="Y38" s="188"/>
    </row>
    <row r="39" spans="1:25" x14ac:dyDescent="0.25">
      <c r="A39" s="181">
        <v>37</v>
      </c>
      <c r="B39" s="222">
        <f t="shared" si="5"/>
        <v>37</v>
      </c>
      <c r="C39" s="223">
        <f t="shared" si="0"/>
        <v>32.900399999999998</v>
      </c>
      <c r="D39" s="223">
        <f t="shared" si="1"/>
        <v>10.096039146303504</v>
      </c>
      <c r="E39" s="223">
        <f t="shared" si="2"/>
        <v>74.885464846478598</v>
      </c>
      <c r="F39" s="183">
        <v>35</v>
      </c>
      <c r="G39" s="185">
        <v>215</v>
      </c>
      <c r="H39" s="185">
        <f t="shared" si="3"/>
        <v>92.45</v>
      </c>
      <c r="I39" s="185">
        <f t="shared" si="4"/>
        <v>25.155179194747834</v>
      </c>
      <c r="J39" s="185">
        <f t="shared" si="7"/>
        <v>204.82902043085244</v>
      </c>
      <c r="K39" s="188"/>
      <c r="L39" s="188"/>
      <c r="M39" s="188"/>
      <c r="N39" s="188"/>
      <c r="O39" s="188"/>
      <c r="P39" s="189"/>
      <c r="Q39" s="189"/>
      <c r="R39" s="189"/>
      <c r="S39" s="189"/>
      <c r="W39" s="188"/>
      <c r="X39" s="188"/>
      <c r="Y39" s="188"/>
    </row>
    <row r="40" spans="1:25" x14ac:dyDescent="0.25">
      <c r="A40" s="181">
        <v>38</v>
      </c>
      <c r="B40" s="222">
        <f t="shared" si="5"/>
        <v>38</v>
      </c>
      <c r="C40" s="223">
        <f t="shared" si="0"/>
        <v>33.7896</v>
      </c>
      <c r="D40" s="223">
        <f t="shared" si="1"/>
        <v>10.3367679858895</v>
      </c>
      <c r="E40" s="223">
        <f t="shared" si="2"/>
        <v>76.853424242090881</v>
      </c>
      <c r="F40" s="183">
        <f t="shared" si="6"/>
        <v>36</v>
      </c>
      <c r="G40" s="185">
        <f>$G$39+(F40-$F$39)*($G$44-$G$39)/($F$44-$F$39)</f>
        <v>226.2</v>
      </c>
      <c r="H40" s="185">
        <f t="shared" si="3"/>
        <v>97.265999999999991</v>
      </c>
      <c r="I40" s="185">
        <f t="shared" si="4"/>
        <v>26.309612648745627</v>
      </c>
      <c r="J40" s="185">
        <f t="shared" si="7"/>
        <v>215.22752536323196</v>
      </c>
      <c r="K40" s="188"/>
      <c r="L40" s="188"/>
      <c r="M40" s="188"/>
      <c r="N40" s="188"/>
      <c r="O40" s="188"/>
      <c r="P40" s="189"/>
      <c r="Q40" s="189"/>
      <c r="R40" s="189"/>
      <c r="S40" s="189"/>
      <c r="W40" s="188"/>
      <c r="X40" s="188"/>
      <c r="Y40" s="188"/>
    </row>
    <row r="41" spans="1:25" x14ac:dyDescent="0.25">
      <c r="A41" s="181">
        <v>39</v>
      </c>
      <c r="B41" s="222">
        <f t="shared" si="5"/>
        <v>39</v>
      </c>
      <c r="C41" s="223">
        <f t="shared" si="0"/>
        <v>34.678800000000003</v>
      </c>
      <c r="D41" s="223">
        <f t="shared" si="1"/>
        <v>10.576760473435781</v>
      </c>
      <c r="E41" s="223">
        <f t="shared" si="2"/>
        <v>78.820101157900652</v>
      </c>
      <c r="F41" s="183">
        <f t="shared" si="6"/>
        <v>37</v>
      </c>
      <c r="G41" s="185">
        <f>$G$39+(F41-$F$39)*($G$44-$G$39)/($F$44-$F$39)</f>
        <v>237.4</v>
      </c>
      <c r="H41" s="185">
        <f t="shared" si="3"/>
        <v>102.08200000000001</v>
      </c>
      <c r="I41" s="185">
        <f t="shared" si="4"/>
        <v>27.457408919716965</v>
      </c>
      <c r="J41" s="185">
        <f t="shared" si="7"/>
        <v>225.61447053517372</v>
      </c>
      <c r="K41" s="188"/>
      <c r="L41" s="18"/>
      <c r="M41" s="226"/>
      <c r="N41" s="226"/>
      <c r="O41" s="226"/>
      <c r="P41" s="189"/>
      <c r="Q41" s="189"/>
      <c r="R41" s="189"/>
      <c r="S41" s="189"/>
      <c r="W41" s="188"/>
      <c r="X41" s="188"/>
      <c r="Y41" s="188"/>
    </row>
    <row r="42" spans="1:25" x14ac:dyDescent="0.25">
      <c r="A42" s="181">
        <v>40</v>
      </c>
      <c r="B42" s="222">
        <f t="shared" si="5"/>
        <v>40</v>
      </c>
      <c r="C42" s="223">
        <f t="shared" si="0"/>
        <v>35.567999999999998</v>
      </c>
      <c r="D42" s="223">
        <f t="shared" si="1"/>
        <v>10.816037660735208</v>
      </c>
      <c r="E42" s="223">
        <f t="shared" si="2"/>
        <v>80.785532259113808</v>
      </c>
      <c r="F42" s="183">
        <f t="shared" si="6"/>
        <v>38</v>
      </c>
      <c r="G42" s="185">
        <f>$G$39+(F42-$F$39)*($G$44-$G$39)/($F$44-$F$39)</f>
        <v>248.6</v>
      </c>
      <c r="H42" s="185">
        <f t="shared" si="3"/>
        <v>106.898</v>
      </c>
      <c r="I42" s="185">
        <f t="shared" si="4"/>
        <v>28.598916889719312</v>
      </c>
      <c r="J42" s="185">
        <f t="shared" si="7"/>
        <v>235.99046358292776</v>
      </c>
      <c r="K42" s="188"/>
      <c r="L42" s="188"/>
      <c r="M42" s="188"/>
      <c r="N42" s="188"/>
      <c r="O42" s="188"/>
      <c r="P42" s="189"/>
      <c r="Q42" s="189"/>
      <c r="R42" s="189"/>
      <c r="S42" s="189"/>
      <c r="W42" s="188"/>
      <c r="X42" s="188"/>
      <c r="Y42" s="188"/>
    </row>
    <row r="43" spans="1:25" x14ac:dyDescent="0.25">
      <c r="A43" s="181">
        <v>41</v>
      </c>
      <c r="B43" s="222">
        <f t="shared" si="5"/>
        <v>41</v>
      </c>
      <c r="C43" s="223">
        <f t="shared" si="0"/>
        <v>36.4572</v>
      </c>
      <c r="D43" s="223">
        <f t="shared" si="1"/>
        <v>11.054619486999963</v>
      </c>
      <c r="E43" s="223">
        <f t="shared" si="2"/>
        <v>82.749752273191604</v>
      </c>
      <c r="F43" s="183">
        <f t="shared" si="6"/>
        <v>39</v>
      </c>
      <c r="G43" s="185">
        <f>$G$39+(F43-$F$39)*($G$44-$G$39)/($F$44-$F$39)</f>
        <v>259.8</v>
      </c>
      <c r="H43" s="185">
        <f t="shared" si="3"/>
        <v>111.714</v>
      </c>
      <c r="I43" s="185">
        <f t="shared" si="4"/>
        <v>29.734452227843956</v>
      </c>
      <c r="J43" s="185">
        <f t="shared" si="7"/>
        <v>246.3560542968282</v>
      </c>
      <c r="K43" s="188"/>
      <c r="L43" s="188"/>
      <c r="M43" s="188"/>
      <c r="N43" s="188"/>
      <c r="O43" s="188"/>
      <c r="P43" s="189"/>
      <c r="Q43" s="189"/>
      <c r="R43" s="189"/>
      <c r="S43" s="189"/>
      <c r="W43" s="188"/>
      <c r="X43" s="188"/>
      <c r="Y43" s="188"/>
    </row>
    <row r="44" spans="1:25" x14ac:dyDescent="0.25">
      <c r="A44" s="181">
        <v>42</v>
      </c>
      <c r="B44" s="222">
        <f t="shared" si="5"/>
        <v>42</v>
      </c>
      <c r="C44" s="223">
        <f t="shared" si="0"/>
        <v>37.346399999999996</v>
      </c>
      <c r="D44" s="223">
        <f t="shared" si="1"/>
        <v>11.292524863342392</v>
      </c>
      <c r="E44" s="223">
        <f t="shared" si="2"/>
        <v>84.712794136987995</v>
      </c>
      <c r="F44" s="183">
        <f t="shared" si="6"/>
        <v>40</v>
      </c>
      <c r="G44" s="209">
        <v>271</v>
      </c>
      <c r="H44" s="185">
        <f t="shared" si="3"/>
        <v>116.53</v>
      </c>
      <c r="I44" s="185">
        <f t="shared" si="4"/>
        <v>30.864301846880135</v>
      </c>
      <c r="J44" s="185">
        <f t="shared" si="7"/>
        <v>256.71174238331622</v>
      </c>
      <c r="K44" s="188"/>
      <c r="L44" s="188"/>
      <c r="M44" s="225"/>
      <c r="N44" s="225"/>
      <c r="O44" s="225"/>
      <c r="P44" s="189"/>
      <c r="Q44" s="189"/>
      <c r="R44" s="189"/>
      <c r="S44" s="189"/>
      <c r="W44" s="188"/>
      <c r="X44" s="188"/>
      <c r="Y44" s="188"/>
    </row>
    <row r="45" spans="1:25" x14ac:dyDescent="0.25">
      <c r="A45" s="181">
        <v>43</v>
      </c>
      <c r="B45" s="222">
        <f t="shared" si="5"/>
        <v>43</v>
      </c>
      <c r="C45" s="223">
        <f t="shared" si="0"/>
        <v>38.235599999999998</v>
      </c>
      <c r="D45" s="223">
        <f t="shared" si="1"/>
        <v>11.529771748983352</v>
      </c>
      <c r="E45" s="223">
        <f t="shared" si="2"/>
        <v>86.674689129479319</v>
      </c>
      <c r="F45" s="183">
        <f t="shared" si="6"/>
        <v>41</v>
      </c>
      <c r="G45" s="209">
        <f>$G$44+(F45-$F$44)*($G$49-$G$44)/($F$49-$F$44)</f>
        <v>281.60000000000002</v>
      </c>
      <c r="H45" s="185">
        <f t="shared" si="3"/>
        <v>121.08800000000001</v>
      </c>
      <c r="I45" s="185">
        <f t="shared" si="4"/>
        <v>31.92862397367816</v>
      </c>
      <c r="J45" s="185">
        <f t="shared" si="7"/>
        <v>266.50395342082282</v>
      </c>
      <c r="K45" s="188"/>
      <c r="L45" s="188"/>
      <c r="M45" s="188"/>
      <c r="N45" s="188"/>
      <c r="O45" s="188"/>
      <c r="P45" s="189"/>
      <c r="Q45" s="189"/>
      <c r="R45" s="189"/>
      <c r="S45" s="189"/>
      <c r="W45" s="188"/>
      <c r="X45" s="188"/>
      <c r="Y45" s="188"/>
    </row>
    <row r="46" spans="1:25" x14ac:dyDescent="0.25">
      <c r="A46" s="181">
        <v>44</v>
      </c>
      <c r="B46" s="222">
        <f t="shared" si="5"/>
        <v>44</v>
      </c>
      <c r="C46" s="223">
        <f t="shared" si="0"/>
        <v>39.1248</v>
      </c>
      <c r="D46" s="223">
        <f t="shared" si="1"/>
        <v>11.766377220171686</v>
      </c>
      <c r="E46" s="223">
        <f t="shared" si="2"/>
        <v>88.635466991799021</v>
      </c>
      <c r="F46" s="183">
        <f t="shared" si="6"/>
        <v>42</v>
      </c>
      <c r="G46" s="209">
        <f>$G$44+(F46-$F$44)*($G$49-$G$44)/($F$49-$F$44)</f>
        <v>292.2</v>
      </c>
      <c r="H46" s="185">
        <f t="shared" si="3"/>
        <v>125.64599999999999</v>
      </c>
      <c r="I46" s="185">
        <f t="shared" si="4"/>
        <v>32.988291777273552</v>
      </c>
      <c r="J46" s="185">
        <f t="shared" si="7"/>
        <v>276.28805817875144</v>
      </c>
      <c r="K46" s="188"/>
      <c r="L46" s="188"/>
      <c r="M46" s="188"/>
      <c r="N46" s="188"/>
      <c r="O46" s="188"/>
      <c r="P46" s="189"/>
      <c r="Q46" s="189"/>
      <c r="R46" s="189"/>
      <c r="S46" s="189"/>
      <c r="W46" s="188"/>
      <c r="X46" s="188"/>
      <c r="Y46" s="188"/>
    </row>
    <row r="47" spans="1:25" x14ac:dyDescent="0.25">
      <c r="A47" s="181">
        <v>45</v>
      </c>
      <c r="B47" s="222">
        <f t="shared" si="5"/>
        <v>45</v>
      </c>
      <c r="C47" s="223">
        <f t="shared" si="0"/>
        <v>40.013999999999996</v>
      </c>
      <c r="D47" s="223">
        <f t="shared" si="1"/>
        <v>12.002357532661732</v>
      </c>
      <c r="E47" s="223">
        <f t="shared" si="2"/>
        <v>90.595156036052515</v>
      </c>
      <c r="F47" s="183">
        <f t="shared" si="6"/>
        <v>43</v>
      </c>
      <c r="G47" s="209">
        <f>$G$44+(F47-$F$44)*($G$49-$G$44)/($F$49-$F$44)</f>
        <v>302.8</v>
      </c>
      <c r="H47" s="185">
        <f t="shared" si="3"/>
        <v>130.20400000000001</v>
      </c>
      <c r="I47" s="185">
        <f t="shared" si="4"/>
        <v>34.043493440159544</v>
      </c>
      <c r="J47" s="185">
        <f t="shared" si="7"/>
        <v>286.06438440827787</v>
      </c>
      <c r="K47" s="188"/>
      <c r="L47" s="18"/>
      <c r="M47" s="18"/>
      <c r="N47" s="18"/>
      <c r="O47" s="18"/>
      <c r="P47" s="189"/>
      <c r="Q47" s="189"/>
      <c r="R47" s="189"/>
      <c r="S47" s="189"/>
      <c r="W47" s="188"/>
      <c r="X47" s="188"/>
      <c r="Y47" s="188"/>
    </row>
    <row r="48" spans="1:25" x14ac:dyDescent="0.25">
      <c r="A48" s="181">
        <v>46</v>
      </c>
      <c r="B48" s="222">
        <f t="shared" si="5"/>
        <v>46</v>
      </c>
      <c r="C48" s="223">
        <f t="shared" si="0"/>
        <v>40.903199999999998</v>
      </c>
      <c r="D48" s="223">
        <f t="shared" si="1"/>
        <v>12.2377281784806</v>
      </c>
      <c r="E48" s="223">
        <f t="shared" si="2"/>
        <v>92.553783244187045</v>
      </c>
      <c r="F48" s="183">
        <f t="shared" si="6"/>
        <v>44</v>
      </c>
      <c r="G48" s="209">
        <f>$G$44+(F48-$F$44)*($G$49-$G$44)/($F$49-$F$44)</f>
        <v>313.39999999999998</v>
      </c>
      <c r="H48" s="185">
        <f t="shared" si="3"/>
        <v>134.762</v>
      </c>
      <c r="I48" s="185">
        <f>EXP(-1.0587+0.8836*LN(H48)+0.284)</f>
        <v>35.094403222473595</v>
      </c>
      <c r="J48" s="185">
        <f t="shared" si="7"/>
        <v>295.83323561247488</v>
      </c>
      <c r="K48" s="188"/>
      <c r="L48" s="188"/>
      <c r="M48" s="225"/>
      <c r="N48" s="225"/>
      <c r="O48" s="225"/>
      <c r="P48" s="189"/>
      <c r="Q48" s="189"/>
      <c r="R48" s="189"/>
      <c r="S48" s="189"/>
      <c r="W48" s="188"/>
      <c r="X48" s="188"/>
      <c r="Y48" s="188"/>
    </row>
    <row r="49" spans="1:25" x14ac:dyDescent="0.25">
      <c r="A49" s="181">
        <v>47</v>
      </c>
      <c r="B49" s="222">
        <f t="shared" si="5"/>
        <v>47</v>
      </c>
      <c r="C49" s="223">
        <f t="shared" si="0"/>
        <v>41.792400000000001</v>
      </c>
      <c r="D49" s="223">
        <f t="shared" si="1"/>
        <v>12.472503937619972</v>
      </c>
      <c r="E49" s="223">
        <f t="shared" si="2"/>
        <v>94.511374358021442</v>
      </c>
      <c r="F49" s="183">
        <f t="shared" si="6"/>
        <v>45</v>
      </c>
      <c r="G49" s="209">
        <f>297+271-244</f>
        <v>324</v>
      </c>
      <c r="H49" s="185">
        <f t="shared" si="3"/>
        <v>139.32</v>
      </c>
      <c r="I49" s="185">
        <f t="shared" ref="I49:I112" si="14">EXP(-1.0587+0.8836*LN(H49)+0.284)</f>
        <v>36.141182927738022</v>
      </c>
      <c r="J49" s="185">
        <f t="shared" si="7"/>
        <v>305.59489359914369</v>
      </c>
      <c r="K49" s="188"/>
      <c r="L49" s="188"/>
      <c r="M49" s="188"/>
      <c r="N49" s="188"/>
      <c r="O49" s="188"/>
      <c r="P49" s="189"/>
      <c r="Q49" s="189"/>
      <c r="R49" s="189"/>
      <c r="S49" s="189"/>
      <c r="W49" s="188"/>
      <c r="X49" s="188"/>
      <c r="Y49" s="188"/>
    </row>
    <row r="50" spans="1:25" x14ac:dyDescent="0.25">
      <c r="A50" s="181">
        <v>48</v>
      </c>
      <c r="B50" s="222">
        <f t="shared" si="5"/>
        <v>48</v>
      </c>
      <c r="C50" s="223">
        <f t="shared" si="0"/>
        <v>42.681599999999996</v>
      </c>
      <c r="D50" s="223">
        <f t="shared" si="1"/>
        <v>12.70669892520443</v>
      </c>
      <c r="E50" s="223">
        <f t="shared" si="2"/>
        <v>96.467953961397697</v>
      </c>
      <c r="F50" s="183">
        <v>45</v>
      </c>
      <c r="G50" s="209">
        <v>271</v>
      </c>
      <c r="H50" s="185">
        <f t="shared" si="3"/>
        <v>116.53</v>
      </c>
      <c r="I50" s="185">
        <f t="shared" si="14"/>
        <v>30.864301846880135</v>
      </c>
      <c r="J50" s="185">
        <f t="shared" si="7"/>
        <v>256.71174238331622</v>
      </c>
      <c r="K50" s="188"/>
      <c r="L50" s="188"/>
      <c r="M50" s="225"/>
      <c r="N50" s="225"/>
      <c r="O50" s="225"/>
      <c r="P50" s="189"/>
      <c r="Q50" s="189"/>
      <c r="R50" s="189"/>
      <c r="S50" s="189"/>
      <c r="W50" s="188"/>
      <c r="X50" s="188"/>
      <c r="Y50" s="188"/>
    </row>
    <row r="51" spans="1:25" x14ac:dyDescent="0.25">
      <c r="A51" s="181">
        <v>49</v>
      </c>
      <c r="B51" s="222">
        <f t="shared" si="5"/>
        <v>49</v>
      </c>
      <c r="C51" s="223">
        <f t="shared" si="0"/>
        <v>43.570799999999998</v>
      </c>
      <c r="D51" s="223">
        <f t="shared" si="1"/>
        <v>12.940326634618202</v>
      </c>
      <c r="E51" s="223">
        <f t="shared" si="2"/>
        <v>98.423545555293359</v>
      </c>
      <c r="F51" s="183">
        <f t="shared" si="6"/>
        <v>46</v>
      </c>
      <c r="G51" s="209">
        <f>$G$50+(F51-$F$50)*($G$55-$G$50)/($F$55-$F$50)</f>
        <v>280.8</v>
      </c>
      <c r="H51" s="185">
        <f t="shared" si="3"/>
        <v>120.744</v>
      </c>
      <c r="I51" s="185">
        <f t="shared" si="14"/>
        <v>31.848462605207807</v>
      </c>
      <c r="J51" s="185">
        <f t="shared" si="7"/>
        <v>265.76520570407024</v>
      </c>
      <c r="K51" s="188"/>
      <c r="L51" s="188"/>
      <c r="M51" s="188"/>
      <c r="N51" s="188"/>
      <c r="O51" s="188"/>
      <c r="P51" s="189"/>
      <c r="Q51" s="189"/>
      <c r="R51" s="189"/>
      <c r="S51" s="189"/>
      <c r="W51" s="188"/>
      <c r="X51" s="188"/>
      <c r="Y51" s="188"/>
    </row>
    <row r="52" spans="1:25" x14ac:dyDescent="0.25">
      <c r="A52" s="181">
        <v>50</v>
      </c>
      <c r="B52" s="222">
        <f t="shared" si="5"/>
        <v>50</v>
      </c>
      <c r="C52" s="223">
        <f t="shared" si="0"/>
        <v>44.459999999999994</v>
      </c>
      <c r="D52" s="223">
        <f t="shared" si="1"/>
        <v>13.173399977011854</v>
      </c>
      <c r="E52" s="223">
        <f t="shared" si="2"/>
        <v>100.37817162662895</v>
      </c>
      <c r="F52" s="183">
        <f t="shared" si="6"/>
        <v>47</v>
      </c>
      <c r="G52" s="209">
        <f>$G$50+(F52-$F$50)*($G$55-$G$50)/($F$55-$F$50)</f>
        <v>290.60000000000002</v>
      </c>
      <c r="H52" s="185">
        <f t="shared" si="3"/>
        <v>124.95800000000001</v>
      </c>
      <c r="I52" s="185">
        <f t="shared" si="14"/>
        <v>32.828632569621575</v>
      </c>
      <c r="J52" s="185">
        <f t="shared" si="7"/>
        <v>274.81171839209094</v>
      </c>
      <c r="K52" s="188"/>
      <c r="L52" s="188"/>
      <c r="M52" s="188"/>
      <c r="N52" s="188"/>
      <c r="O52" s="188"/>
      <c r="P52" s="189"/>
      <c r="Q52" s="189"/>
      <c r="R52" s="189"/>
      <c r="S52" s="189"/>
      <c r="W52" s="188"/>
      <c r="X52" s="188"/>
      <c r="Y52" s="188"/>
    </row>
    <row r="53" spans="1:25" x14ac:dyDescent="0.25">
      <c r="A53" s="181">
        <v>51</v>
      </c>
      <c r="B53" s="222">
        <f t="shared" si="5"/>
        <v>51</v>
      </c>
      <c r="C53" s="223">
        <f t="shared" si="0"/>
        <v>45.349199999999996</v>
      </c>
      <c r="D53" s="223">
        <f t="shared" si="1"/>
        <v>13.405931317559235</v>
      </c>
      <c r="E53" s="223">
        <f t="shared" si="2"/>
        <v>102.33185371141566</v>
      </c>
      <c r="F53" s="183">
        <f t="shared" si="6"/>
        <v>48</v>
      </c>
      <c r="G53" s="209">
        <f>$G$50+(F53-$F$50)*($G$55-$G$50)/($F$55-$F$50)</f>
        <v>300.39999999999998</v>
      </c>
      <c r="H53" s="185">
        <f t="shared" si="3"/>
        <v>129.172</v>
      </c>
      <c r="I53" s="185">
        <f t="shared" si="14"/>
        <v>33.804961751689021</v>
      </c>
      <c r="J53" s="185">
        <f t="shared" si="7"/>
        <v>283.85154171752504</v>
      </c>
      <c r="K53" s="188"/>
      <c r="L53" s="188"/>
      <c r="M53" s="188"/>
      <c r="N53" s="188"/>
      <c r="O53" s="188"/>
      <c r="P53" s="189"/>
      <c r="Q53" s="189"/>
      <c r="R53" s="189"/>
      <c r="S53" s="189"/>
      <c r="W53" s="188"/>
      <c r="X53" s="188"/>
      <c r="Y53" s="188"/>
    </row>
    <row r="54" spans="1:25" x14ac:dyDescent="0.25">
      <c r="A54" s="181">
        <v>52</v>
      </c>
      <c r="B54" s="222">
        <f t="shared" si="5"/>
        <v>52</v>
      </c>
      <c r="C54" s="223">
        <f t="shared" si="0"/>
        <v>46.238399999999999</v>
      </c>
      <c r="D54" s="223">
        <f t="shared" si="1"/>
        <v>13.637932508790355</v>
      </c>
      <c r="E54" s="223">
        <f t="shared" si="2"/>
        <v>104.28461245280987</v>
      </c>
      <c r="F54" s="183">
        <f t="shared" si="6"/>
        <v>49</v>
      </c>
      <c r="G54" s="209">
        <f>$G$50+(F54-$F$50)*($G$55-$G$50)/($F$55-$F$50)</f>
        <v>310.2</v>
      </c>
      <c r="H54" s="185">
        <f t="shared" si="3"/>
        <v>133.386</v>
      </c>
      <c r="I54" s="185">
        <f t="shared" si="14"/>
        <v>34.777589819693418</v>
      </c>
      <c r="J54" s="185">
        <f t="shared" si="7"/>
        <v>292.88491893596603</v>
      </c>
      <c r="K54" s="188"/>
      <c r="L54" s="18"/>
      <c r="M54" s="18"/>
      <c r="N54" s="18"/>
      <c r="O54" s="18"/>
      <c r="P54" s="189"/>
      <c r="Q54" s="189"/>
      <c r="R54" s="189"/>
      <c r="S54" s="189"/>
      <c r="W54" s="188"/>
      <c r="X54" s="188"/>
      <c r="Y54" s="188"/>
    </row>
    <row r="55" spans="1:25" x14ac:dyDescent="0.25">
      <c r="A55" s="181">
        <v>53</v>
      </c>
      <c r="B55" s="222">
        <f t="shared" si="5"/>
        <v>53</v>
      </c>
      <c r="C55" s="223">
        <f t="shared" si="0"/>
        <v>47.127600000000001</v>
      </c>
      <c r="D55" s="223">
        <f t="shared" si="1"/>
        <v>13.869414921287742</v>
      </c>
      <c r="E55" s="223">
        <f t="shared" si="2"/>
        <v>106.23646765457615</v>
      </c>
      <c r="F55" s="183">
        <f t="shared" si="6"/>
        <v>50</v>
      </c>
      <c r="G55" s="210">
        <v>320</v>
      </c>
      <c r="H55" s="185">
        <f t="shared" si="3"/>
        <v>137.6</v>
      </c>
      <c r="I55" s="185">
        <f t="shared" si="14"/>
        <v>35.746647115800606</v>
      </c>
      <c r="J55" s="185">
        <f t="shared" si="7"/>
        <v>301.91207706001939</v>
      </c>
      <c r="K55" s="188"/>
      <c r="L55" s="188"/>
      <c r="M55" s="225"/>
      <c r="N55" s="225"/>
      <c r="O55" s="225"/>
      <c r="P55" s="189"/>
      <c r="Q55" s="189"/>
      <c r="R55" s="189"/>
      <c r="S55" s="189"/>
      <c r="W55" s="188"/>
      <c r="X55" s="188"/>
      <c r="Y55" s="188"/>
    </row>
    <row r="56" spans="1:25" x14ac:dyDescent="0.25">
      <c r="A56" s="181">
        <v>54</v>
      </c>
      <c r="B56" s="222">
        <f t="shared" si="5"/>
        <v>54</v>
      </c>
      <c r="C56" s="223">
        <f t="shared" si="0"/>
        <v>48.016800000000003</v>
      </c>
      <c r="D56" s="223">
        <f t="shared" si="1"/>
        <v>14.10038947200055</v>
      </c>
      <c r="E56" s="223">
        <f t="shared" si="2"/>
        <v>108.18743833040098</v>
      </c>
      <c r="F56" s="183">
        <f t="shared" si="6"/>
        <v>51</v>
      </c>
      <c r="G56" s="210">
        <f>$G$55+(F56-$F$55)*($G$60-$G$55)/($F$60-$F$55)</f>
        <v>329</v>
      </c>
      <c r="H56" s="185">
        <f t="shared" si="3"/>
        <v>141.47</v>
      </c>
      <c r="I56" s="185">
        <f t="shared" si="14"/>
        <v>36.633556860452131</v>
      </c>
      <c r="J56" s="185">
        <f t="shared" si="7"/>
        <v>310.19702819862079</v>
      </c>
      <c r="K56" s="188"/>
      <c r="L56" s="188"/>
      <c r="M56" s="225"/>
      <c r="N56" s="225"/>
      <c r="O56" s="225"/>
      <c r="P56" s="189"/>
      <c r="Q56" s="189"/>
      <c r="R56" s="189"/>
      <c r="S56" s="189"/>
      <c r="W56" s="188"/>
      <c r="X56" s="188"/>
      <c r="Y56" s="188"/>
    </row>
    <row r="57" spans="1:25" x14ac:dyDescent="0.25">
      <c r="A57" s="181">
        <v>55</v>
      </c>
      <c r="B57" s="222">
        <f t="shared" si="5"/>
        <v>55</v>
      </c>
      <c r="C57" s="223">
        <f t="shared" si="0"/>
        <v>48.905999999999992</v>
      </c>
      <c r="D57" s="223">
        <f t="shared" si="1"/>
        <v>14.330866650402026</v>
      </c>
      <c r="E57" s="223">
        <f t="shared" si="2"/>
        <v>110.13754274945018</v>
      </c>
      <c r="F57" s="183">
        <f t="shared" si="6"/>
        <v>52</v>
      </c>
      <c r="G57" s="210">
        <f>$G$55+(F57-$F$55)*($G$60-$G$55)/($F$60-$F$55)</f>
        <v>338</v>
      </c>
      <c r="H57" s="185">
        <f t="shared" si="3"/>
        <v>145.34</v>
      </c>
      <c r="I57" s="185">
        <f t="shared" si="14"/>
        <v>37.517646631752974</v>
      </c>
      <c r="J57" s="185">
        <f t="shared" si="7"/>
        <v>318.47706788363638</v>
      </c>
      <c r="K57" s="188"/>
      <c r="L57" s="188"/>
      <c r="M57" s="188"/>
      <c r="N57" s="188"/>
      <c r="O57" s="188"/>
      <c r="P57" s="189"/>
      <c r="Q57" s="189"/>
      <c r="R57" s="189"/>
      <c r="S57" s="189"/>
      <c r="W57" s="188"/>
      <c r="X57" s="188"/>
      <c r="Y57" s="188"/>
    </row>
    <row r="58" spans="1:25" x14ac:dyDescent="0.25">
      <c r="A58" s="181">
        <v>56</v>
      </c>
      <c r="B58" s="222">
        <f t="shared" si="5"/>
        <v>56</v>
      </c>
      <c r="C58" s="223">
        <f t="shared" si="0"/>
        <v>49.795199999999994</v>
      </c>
      <c r="D58" s="223">
        <f t="shared" si="1"/>
        <v>14.560856542690773</v>
      </c>
      <c r="E58" s="223">
        <f t="shared" si="2"/>
        <v>112.08679847851975</v>
      </c>
      <c r="F58" s="183">
        <f t="shared" si="6"/>
        <v>53</v>
      </c>
      <c r="G58" s="210">
        <f>$G$55+(F58-$F$55)*($G$60-$G$55)/($F$60-$F$55)</f>
        <v>347</v>
      </c>
      <c r="H58" s="185">
        <f t="shared" si="3"/>
        <v>149.21</v>
      </c>
      <c r="I58" s="185">
        <f t="shared" si="14"/>
        <v>38.399000148253727</v>
      </c>
      <c r="J58" s="185">
        <f t="shared" si="7"/>
        <v>326.75234192487522</v>
      </c>
      <c r="K58" s="188"/>
      <c r="L58" s="188"/>
      <c r="M58" s="188"/>
      <c r="N58" s="188"/>
      <c r="O58" s="188"/>
      <c r="P58" s="189"/>
      <c r="Q58" s="189"/>
      <c r="R58" s="189"/>
      <c r="S58" s="189"/>
      <c r="T58" s="188"/>
      <c r="U58" s="188"/>
      <c r="V58" s="188"/>
      <c r="W58" s="188"/>
      <c r="X58" s="188"/>
      <c r="Y58" s="188"/>
    </row>
    <row r="59" spans="1:25" x14ac:dyDescent="0.25">
      <c r="A59" s="181">
        <v>57</v>
      </c>
      <c r="B59" s="222">
        <f t="shared" si="5"/>
        <v>57</v>
      </c>
      <c r="C59" s="223">
        <f t="shared" si="0"/>
        <v>50.684399999999997</v>
      </c>
      <c r="D59" s="223">
        <f t="shared" si="1"/>
        <v>14.790368854214469</v>
      </c>
      <c r="E59" s="223">
        <f t="shared" si="2"/>
        <v>114.03522242109018</v>
      </c>
      <c r="F59" s="183">
        <f t="shared" si="6"/>
        <v>54</v>
      </c>
      <c r="G59" s="210">
        <f>$G$55+(F59-$F$55)*($G$60-$G$55)/($F$60-$F$55)</f>
        <v>356</v>
      </c>
      <c r="H59" s="185">
        <f t="shared" si="3"/>
        <v>153.07999999999998</v>
      </c>
      <c r="I59" s="185">
        <f t="shared" si="14"/>
        <v>39.277696538385001</v>
      </c>
      <c r="J59" s="185">
        <f t="shared" si="7"/>
        <v>335.02298813768715</v>
      </c>
      <c r="K59" s="188"/>
      <c r="L59" s="188"/>
      <c r="M59" s="188"/>
      <c r="N59" s="188"/>
      <c r="O59" s="188"/>
      <c r="P59" s="189"/>
      <c r="Q59" s="189"/>
      <c r="R59" s="189"/>
      <c r="S59" s="189"/>
      <c r="T59" s="188"/>
      <c r="U59" s="188"/>
      <c r="V59" s="188"/>
      <c r="W59" s="188"/>
      <c r="X59" s="188"/>
      <c r="Y59" s="188"/>
    </row>
    <row r="60" spans="1:25" x14ac:dyDescent="0.25">
      <c r="A60" s="181">
        <v>58</v>
      </c>
      <c r="B60" s="222">
        <f t="shared" si="5"/>
        <v>58</v>
      </c>
      <c r="C60" s="223">
        <f t="shared" si="0"/>
        <v>51.573599999999999</v>
      </c>
      <c r="D60" s="223">
        <f t="shared" si="1"/>
        <v>15.019412930275323</v>
      </c>
      <c r="E60" s="223">
        <f t="shared" si="2"/>
        <v>115.98283085356285</v>
      </c>
      <c r="F60" s="183">
        <f t="shared" si="6"/>
        <v>55</v>
      </c>
      <c r="G60" s="210">
        <f>340+320-295</f>
        <v>365</v>
      </c>
      <c r="H60" s="185">
        <f t="shared" si="3"/>
        <v>156.94999999999999</v>
      </c>
      <c r="I60" s="185">
        <f t="shared" si="14"/>
        <v>40.153810701715507</v>
      </c>
      <c r="J60" s="185">
        <f t="shared" si="7"/>
        <v>343.28913697215444</v>
      </c>
      <c r="K60" s="188"/>
      <c r="L60" s="188"/>
      <c r="M60" s="188"/>
      <c r="N60" s="188"/>
      <c r="O60" s="188"/>
      <c r="P60" s="189"/>
      <c r="Q60" s="189"/>
      <c r="R60" s="189"/>
      <c r="S60" s="189"/>
      <c r="T60" s="188"/>
      <c r="U60" s="188"/>
      <c r="V60" s="188"/>
      <c r="W60" s="188"/>
      <c r="X60" s="188"/>
      <c r="Y60" s="188"/>
    </row>
    <row r="61" spans="1:25" x14ac:dyDescent="0.25">
      <c r="A61" s="181">
        <v>59</v>
      </c>
      <c r="B61" s="222">
        <f t="shared" si="5"/>
        <v>59</v>
      </c>
      <c r="C61" s="223">
        <f t="shared" si="0"/>
        <v>52.462800000000001</v>
      </c>
      <c r="D61" s="223">
        <f t="shared" si="1"/>
        <v>15.247997775460169</v>
      </c>
      <c r="E61" s="223">
        <f t="shared" si="2"/>
        <v>117.92963945892645</v>
      </c>
      <c r="F61" s="183">
        <v>55</v>
      </c>
      <c r="G61" s="210">
        <v>316</v>
      </c>
      <c r="H61" s="185">
        <f t="shared" si="3"/>
        <v>135.88</v>
      </c>
      <c r="I61" s="185">
        <f t="shared" si="14"/>
        <v>35.351536820589814</v>
      </c>
      <c r="J61" s="185">
        <f t="shared" si="7"/>
        <v>298.22825996252726</v>
      </c>
      <c r="K61" s="188"/>
      <c r="L61" s="18"/>
      <c r="M61" s="18"/>
      <c r="N61" s="18"/>
      <c r="O61" s="18"/>
      <c r="P61" s="189"/>
      <c r="Q61" s="189"/>
      <c r="R61" s="189"/>
      <c r="S61" s="189"/>
      <c r="T61" s="188"/>
      <c r="U61" s="188"/>
      <c r="V61" s="188"/>
      <c r="W61" s="188"/>
      <c r="X61" s="188"/>
      <c r="Y61" s="188"/>
    </row>
    <row r="62" spans="1:25" x14ac:dyDescent="0.25">
      <c r="A62" s="181">
        <v>60</v>
      </c>
      <c r="B62" s="222">
        <f t="shared" si="5"/>
        <v>60</v>
      </c>
      <c r="C62" s="223">
        <f t="shared" si="0"/>
        <v>53.351999999999997</v>
      </c>
      <c r="D62" s="223">
        <f t="shared" si="1"/>
        <v>15.476132071622843</v>
      </c>
      <c r="E62" s="223">
        <f t="shared" si="2"/>
        <v>119.87566335807644</v>
      </c>
      <c r="F62" s="183">
        <f t="shared" si="6"/>
        <v>56</v>
      </c>
      <c r="G62" s="210">
        <f>$G$61+(F62-$F$61)*($G$66-$G$61)/($F$66-$F$61)</f>
        <v>324.39999999999998</v>
      </c>
      <c r="H62" s="185">
        <f t="shared" si="3"/>
        <v>139.49199999999999</v>
      </c>
      <c r="I62" s="185">
        <f t="shared" si="14"/>
        <v>36.180605218782823</v>
      </c>
      <c r="J62" s="185">
        <f t="shared" si="7"/>
        <v>305.96312075604669</v>
      </c>
      <c r="K62" s="188"/>
      <c r="L62" s="18"/>
      <c r="M62" s="226"/>
      <c r="N62" s="226"/>
      <c r="O62" s="226"/>
      <c r="P62" s="189"/>
      <c r="Q62" s="189"/>
      <c r="R62" s="189"/>
      <c r="S62" s="189"/>
      <c r="T62" s="188"/>
      <c r="U62" s="188"/>
      <c r="V62" s="188"/>
    </row>
    <row r="63" spans="1:25" x14ac:dyDescent="0.25">
      <c r="A63" s="181">
        <v>61</v>
      </c>
      <c r="B63" s="222">
        <f t="shared" si="5"/>
        <v>61</v>
      </c>
      <c r="C63" s="223">
        <f t="shared" si="0"/>
        <v>54.241199999999992</v>
      </c>
      <c r="D63" s="223">
        <f t="shared" si="1"/>
        <v>15.703824194633755</v>
      </c>
      <c r="E63" s="223">
        <f t="shared" si="2"/>
        <v>121.82091713898711</v>
      </c>
      <c r="F63" s="183">
        <f t="shared" si="6"/>
        <v>57</v>
      </c>
      <c r="G63" s="210">
        <f>$G$61+(F63-$F$61)*($G$66-$G$61)/($F$66-$F$61)</f>
        <v>332.8</v>
      </c>
      <c r="H63" s="185">
        <f t="shared" si="3"/>
        <v>143.10400000000001</v>
      </c>
      <c r="I63" s="185">
        <f t="shared" si="14"/>
        <v>37.007178225178052</v>
      </c>
      <c r="J63" s="185">
        <f t="shared" si="7"/>
        <v>313.69363540885178</v>
      </c>
      <c r="K63" s="188"/>
      <c r="L63" s="18"/>
      <c r="M63" s="18"/>
      <c r="N63" s="18"/>
      <c r="O63" s="18"/>
      <c r="P63" s="189"/>
      <c r="Q63" s="189"/>
      <c r="R63" s="189"/>
      <c r="S63" s="189"/>
      <c r="T63" s="188"/>
      <c r="U63" s="188"/>
      <c r="V63" s="188"/>
    </row>
    <row r="64" spans="1:25" x14ac:dyDescent="0.25">
      <c r="A64" s="181">
        <v>62</v>
      </c>
      <c r="B64" s="222">
        <f t="shared" si="5"/>
        <v>62</v>
      </c>
      <c r="C64" s="223">
        <f t="shared" si="0"/>
        <v>55.130399999999995</v>
      </c>
      <c r="D64" s="223">
        <f t="shared" si="1"/>
        <v>15.931082230000035</v>
      </c>
      <c r="E64" s="223">
        <f t="shared" si="2"/>
        <v>123.7654148839167</v>
      </c>
      <c r="F64" s="183">
        <f t="shared" si="6"/>
        <v>58</v>
      </c>
      <c r="G64" s="210">
        <f>$G$61+(F64-$F$61)*($G$66-$G$61)/($F$66-$F$61)</f>
        <v>341.2</v>
      </c>
      <c r="H64" s="185">
        <f t="shared" si="3"/>
        <v>146.71599999999998</v>
      </c>
      <c r="I64" s="185">
        <f t="shared" si="14"/>
        <v>37.831326067731702</v>
      </c>
      <c r="J64" s="185">
        <f t="shared" si="7"/>
        <v>321.41992623463267</v>
      </c>
      <c r="K64" s="188"/>
      <c r="L64" s="18"/>
      <c r="M64" s="18"/>
      <c r="N64" s="18"/>
      <c r="O64" s="18"/>
      <c r="P64" s="189"/>
      <c r="Q64" s="189"/>
      <c r="R64" s="189"/>
      <c r="S64" s="189"/>
    </row>
    <row r="65" spans="1:19" x14ac:dyDescent="0.25">
      <c r="A65" s="181">
        <v>63</v>
      </c>
      <c r="B65" s="222">
        <f t="shared" si="5"/>
        <v>63</v>
      </c>
      <c r="C65" s="223">
        <f t="shared" si="0"/>
        <v>56.019599999999997</v>
      </c>
      <c r="D65" s="223">
        <f t="shared" si="1"/>
        <v>16.15791398744928</v>
      </c>
      <c r="E65" s="223">
        <f t="shared" si="2"/>
        <v>125.70917019480748</v>
      </c>
      <c r="F65" s="183">
        <f t="shared" si="6"/>
        <v>59</v>
      </c>
      <c r="G65" s="210">
        <f>$G$61+(F65-$F$61)*($G$66-$G$61)/($F$66-$F$61)</f>
        <v>349.6</v>
      </c>
      <c r="H65" s="185">
        <f t="shared" si="3"/>
        <v>150.328</v>
      </c>
      <c r="I65" s="185">
        <f t="shared" si="14"/>
        <v>38.653115319393493</v>
      </c>
      <c r="J65" s="185">
        <f t="shared" si="7"/>
        <v>329.14210918127696</v>
      </c>
      <c r="K65" s="188"/>
      <c r="L65" s="18"/>
      <c r="M65" s="18"/>
      <c r="N65" s="18"/>
      <c r="O65" s="18"/>
      <c r="P65" s="189"/>
      <c r="Q65" s="189"/>
      <c r="R65" s="189"/>
      <c r="S65" s="189"/>
    </row>
    <row r="66" spans="1:19" x14ac:dyDescent="0.25">
      <c r="A66" s="181">
        <v>64</v>
      </c>
      <c r="B66" s="222">
        <f t="shared" si="5"/>
        <v>64</v>
      </c>
      <c r="C66" s="223">
        <f t="shared" si="0"/>
        <v>56.908799999999999</v>
      </c>
      <c r="D66" s="223">
        <f t="shared" si="1"/>
        <v>16.384327014561205</v>
      </c>
      <c r="E66" s="223">
        <f t="shared" si="2"/>
        <v>127.65219621702742</v>
      </c>
      <c r="F66" s="183">
        <f t="shared" si="6"/>
        <v>60</v>
      </c>
      <c r="G66" s="210">
        <v>358</v>
      </c>
      <c r="H66" s="185">
        <f t="shared" si="3"/>
        <v>153.94</v>
      </c>
      <c r="I66" s="185">
        <f t="shared" si="14"/>
        <v>39.472609171514129</v>
      </c>
      <c r="J66" s="185">
        <f t="shared" si="7"/>
        <v>336.86029430705378</v>
      </c>
      <c r="K66" s="188"/>
      <c r="L66" s="18"/>
      <c r="M66" s="18"/>
      <c r="N66" s="18"/>
      <c r="O66" s="18"/>
      <c r="P66" s="189"/>
      <c r="Q66" s="189"/>
      <c r="R66" s="189"/>
      <c r="S66" s="189"/>
    </row>
    <row r="67" spans="1:19" x14ac:dyDescent="0.25">
      <c r="A67" s="181">
        <v>65</v>
      </c>
      <c r="B67" s="222">
        <f t="shared" si="5"/>
        <v>65</v>
      </c>
      <c r="C67" s="223">
        <f t="shared" ref="C67:C112" si="15">B67*1.56*$U$1</f>
        <v>57.798000000000002</v>
      </c>
      <c r="D67" s="223">
        <f t="shared" ref="D67:D112" si="16">EXP(-1.0587+0.8836*LN(C67)+0.284)</f>
        <v>16.610328609522991</v>
      </c>
      <c r="E67" s="223">
        <f t="shared" ref="E67:E112" si="17">(C67+D67)*0.475*44/12</f>
        <v>129.59450566158588</v>
      </c>
      <c r="F67" s="183">
        <f t="shared" si="6"/>
        <v>61</v>
      </c>
      <c r="G67" s="210">
        <f>$G$66+(F67-$F$66)*($G$71-$G$66)/($F$71-$F$66)</f>
        <v>366</v>
      </c>
      <c r="H67" s="185">
        <f t="shared" ref="H67:H121" si="18">G67*$W$1</f>
        <v>157.38</v>
      </c>
      <c r="I67" s="185">
        <f t="shared" si="14"/>
        <v>40.251000442952474</v>
      </c>
      <c r="J67" s="185">
        <f t="shared" si="7"/>
        <v>344.20732577147555</v>
      </c>
      <c r="K67" s="188"/>
      <c r="L67" s="18"/>
      <c r="M67" s="18"/>
      <c r="N67" s="18"/>
      <c r="O67" s="18"/>
      <c r="P67" s="189"/>
      <c r="Q67" s="189"/>
      <c r="R67" s="189"/>
      <c r="S67" s="189"/>
    </row>
    <row r="68" spans="1:19" x14ac:dyDescent="0.25">
      <c r="A68" s="181">
        <v>66</v>
      </c>
      <c r="B68" s="222">
        <f t="shared" ref="B68:B112" si="19">B67+1</f>
        <v>66</v>
      </c>
      <c r="C68" s="223">
        <f t="shared" si="15"/>
        <v>58.687199999999997</v>
      </c>
      <c r="D68" s="223">
        <f t="shared" si="16"/>
        <v>16.835925833077539</v>
      </c>
      <c r="E68" s="223">
        <f t="shared" si="17"/>
        <v>131.53611082594338</v>
      </c>
      <c r="F68" s="183">
        <f t="shared" ref="F68:F119" si="20">F67+1</f>
        <v>62</v>
      </c>
      <c r="G68" s="210">
        <f>$G$66+(F68-$F$66)*($G$71-$G$66)/($F$71-$F$66)</f>
        <v>374</v>
      </c>
      <c r="H68" s="185">
        <f t="shared" si="18"/>
        <v>160.82</v>
      </c>
      <c r="I68" s="185">
        <f t="shared" si="14"/>
        <v>41.02741363357611</v>
      </c>
      <c r="J68" s="185">
        <f t="shared" ref="J68:J121" si="21">(H68+I68)*0.475*44/12</f>
        <v>351.5509120784784</v>
      </c>
      <c r="K68" s="188"/>
      <c r="L68" s="18"/>
      <c r="M68" s="18"/>
      <c r="N68" s="18"/>
      <c r="O68" s="18"/>
      <c r="P68" s="189"/>
      <c r="Q68" s="189"/>
      <c r="R68" s="189"/>
      <c r="S68" s="189"/>
    </row>
    <row r="69" spans="1:19" x14ac:dyDescent="0.25">
      <c r="A69" s="181">
        <v>67</v>
      </c>
      <c r="B69" s="222">
        <f t="shared" si="19"/>
        <v>67</v>
      </c>
      <c r="C69" s="223">
        <f t="shared" si="15"/>
        <v>59.5764</v>
      </c>
      <c r="D69" s="223">
        <f t="shared" si="16"/>
        <v>17.06112551972695</v>
      </c>
      <c r="E69" s="223">
        <f t="shared" si="17"/>
        <v>133.47702361352444</v>
      </c>
      <c r="F69" s="183">
        <f t="shared" si="20"/>
        <v>63</v>
      </c>
      <c r="G69" s="210">
        <f>$G$66+(F69-$F$66)*($G$71-$G$66)/($F$71-$F$66)</f>
        <v>382</v>
      </c>
      <c r="H69" s="185">
        <f t="shared" si="18"/>
        <v>164.26</v>
      </c>
      <c r="I69" s="185">
        <f t="shared" si="14"/>
        <v>41.801895928887475</v>
      </c>
      <c r="J69" s="185">
        <f t="shared" si="21"/>
        <v>358.89113540947892</v>
      </c>
      <c r="K69" s="188"/>
      <c r="L69" s="18"/>
      <c r="M69" s="18"/>
      <c r="N69" s="18"/>
      <c r="O69" s="18"/>
      <c r="P69" s="189"/>
      <c r="Q69" s="189"/>
      <c r="R69" s="189"/>
      <c r="S69" s="189"/>
    </row>
    <row r="70" spans="1:19" x14ac:dyDescent="0.25">
      <c r="A70" s="181">
        <v>68</v>
      </c>
      <c r="B70" s="222">
        <f t="shared" si="19"/>
        <v>68</v>
      </c>
      <c r="C70" s="223">
        <f t="shared" si="15"/>
        <v>60.465599999999995</v>
      </c>
      <c r="D70" s="223">
        <f t="shared" si="16"/>
        <v>17.285934288248196</v>
      </c>
      <c r="E70" s="223">
        <f t="shared" si="17"/>
        <v>135.41725555203226</v>
      </c>
      <c r="F70" s="183">
        <f t="shared" si="20"/>
        <v>64</v>
      </c>
      <c r="G70" s="210">
        <f>$G$66+(F70-$F$66)*($G$71-$G$66)/($F$71-$F$66)</f>
        <v>390</v>
      </c>
      <c r="H70" s="185">
        <f t="shared" si="18"/>
        <v>167.7</v>
      </c>
      <c r="I70" s="185">
        <f t="shared" si="14"/>
        <v>42.574492425097432</v>
      </c>
      <c r="J70" s="185">
        <f t="shared" si="21"/>
        <v>366.22807430704466</v>
      </c>
      <c r="K70" s="188"/>
      <c r="L70" s="18"/>
      <c r="M70" s="18"/>
      <c r="N70" s="18"/>
      <c r="O70" s="18"/>
      <c r="P70" s="189"/>
      <c r="Q70" s="189"/>
      <c r="R70" s="189"/>
      <c r="S70" s="189"/>
    </row>
    <row r="71" spans="1:19" x14ac:dyDescent="0.25">
      <c r="A71" s="181">
        <v>69</v>
      </c>
      <c r="B71" s="222">
        <f t="shared" si="19"/>
        <v>69</v>
      </c>
      <c r="C71" s="223">
        <f t="shared" si="15"/>
        <v>61.354799999999997</v>
      </c>
      <c r="D71" s="223">
        <f t="shared" si="16"/>
        <v>17.510358551572615</v>
      </c>
      <c r="E71" s="223">
        <f t="shared" si="17"/>
        <v>137.35681781065566</v>
      </c>
      <c r="F71" s="183">
        <f t="shared" si="20"/>
        <v>65</v>
      </c>
      <c r="G71" s="209">
        <f>375+358-335</f>
        <v>398</v>
      </c>
      <c r="H71" s="185">
        <f t="shared" si="18"/>
        <v>171.14</v>
      </c>
      <c r="I71" s="185">
        <f t="shared" si="14"/>
        <v>43.345246262563791</v>
      </c>
      <c r="J71" s="185">
        <f t="shared" si="21"/>
        <v>373.56180390729855</v>
      </c>
      <c r="K71" s="188"/>
      <c r="L71" s="18"/>
      <c r="M71" s="18"/>
      <c r="N71" s="18"/>
      <c r="O71" s="18"/>
      <c r="P71" s="189"/>
      <c r="Q71" s="189"/>
      <c r="R71" s="189"/>
      <c r="S71" s="189"/>
    </row>
    <row r="72" spans="1:19" x14ac:dyDescent="0.25">
      <c r="A72" s="181">
        <v>70</v>
      </c>
      <c r="B72" s="222">
        <f t="shared" si="19"/>
        <v>70</v>
      </c>
      <c r="C72" s="223">
        <f t="shared" si="15"/>
        <v>62.244</v>
      </c>
      <c r="D72" s="223">
        <f t="shared" si="16"/>
        <v>17.734404526076432</v>
      </c>
      <c r="E72" s="223">
        <f t="shared" si="17"/>
        <v>139.29572121624977</v>
      </c>
      <c r="F72" s="183">
        <v>65</v>
      </c>
      <c r="G72" s="209">
        <v>354</v>
      </c>
      <c r="H72" s="185">
        <f t="shared" si="18"/>
        <v>152.22</v>
      </c>
      <c r="I72" s="185">
        <f t="shared" si="14"/>
        <v>39.082656403139858</v>
      </c>
      <c r="J72" s="185">
        <f t="shared" si="21"/>
        <v>333.18545990213522</v>
      </c>
      <c r="K72" s="188"/>
      <c r="L72" s="18"/>
      <c r="M72" s="18"/>
      <c r="N72" s="18"/>
      <c r="O72" s="18"/>
      <c r="P72" s="189"/>
      <c r="Q72" s="189"/>
      <c r="R72" s="189"/>
      <c r="S72" s="189"/>
    </row>
    <row r="73" spans="1:19" x14ac:dyDescent="0.25">
      <c r="A73" s="181">
        <v>71</v>
      </c>
      <c r="B73" s="222">
        <f t="shared" si="19"/>
        <v>71</v>
      </c>
      <c r="C73" s="223">
        <f t="shared" si="15"/>
        <v>63.133199999999995</v>
      </c>
      <c r="D73" s="223">
        <f t="shared" si="16"/>
        <v>17.958078240325325</v>
      </c>
      <c r="E73" s="223">
        <f t="shared" si="17"/>
        <v>141.23397626856661</v>
      </c>
      <c r="F73" s="183">
        <f t="shared" si="20"/>
        <v>66</v>
      </c>
      <c r="G73" s="209">
        <f>$G$72+(F73-$F$72)*($G$77-$G$72)/($F$77-$F$72)</f>
        <v>361.8</v>
      </c>
      <c r="H73" s="185">
        <f t="shared" si="18"/>
        <v>155.57400000000001</v>
      </c>
      <c r="I73" s="185">
        <f t="shared" si="14"/>
        <v>39.842594745761524</v>
      </c>
      <c r="J73" s="185">
        <f t="shared" si="21"/>
        <v>340.3505691822013</v>
      </c>
      <c r="K73" s="188"/>
      <c r="L73" s="18"/>
      <c r="M73" s="18"/>
      <c r="N73" s="18"/>
      <c r="O73" s="18"/>
      <c r="P73" s="18"/>
      <c r="Q73" s="18"/>
      <c r="R73" s="18"/>
      <c r="S73" s="18"/>
    </row>
    <row r="74" spans="1:19" x14ac:dyDescent="0.25">
      <c r="A74" s="181">
        <v>72</v>
      </c>
      <c r="B74" s="222">
        <f t="shared" si="19"/>
        <v>72</v>
      </c>
      <c r="C74" s="223">
        <f t="shared" si="15"/>
        <v>64.022400000000005</v>
      </c>
      <c r="D74" s="223">
        <f t="shared" si="16"/>
        <v>18.181385543312242</v>
      </c>
      <c r="E74" s="223">
        <f t="shared" si="17"/>
        <v>143.17159315460216</v>
      </c>
      <c r="F74" s="183">
        <f t="shared" si="20"/>
        <v>67</v>
      </c>
      <c r="G74" s="209">
        <f>$G$72+(F74-$F$72)*($G$77-$G$72)/($F$77-$F$72)</f>
        <v>369.6</v>
      </c>
      <c r="H74" s="185">
        <f t="shared" si="18"/>
        <v>158.928</v>
      </c>
      <c r="I74" s="185">
        <f t="shared" si="14"/>
        <v>40.600628293866855</v>
      </c>
      <c r="J74" s="185">
        <f t="shared" si="21"/>
        <v>347.51236094515139</v>
      </c>
      <c r="K74" s="188"/>
      <c r="L74" s="18"/>
      <c r="M74" s="18"/>
      <c r="N74" s="18"/>
      <c r="O74" s="18"/>
      <c r="P74" s="18"/>
      <c r="Q74" s="18"/>
      <c r="R74" s="18"/>
      <c r="S74" s="18"/>
    </row>
    <row r="75" spans="1:19" x14ac:dyDescent="0.25">
      <c r="A75" s="181">
        <v>73</v>
      </c>
      <c r="B75" s="222">
        <f t="shared" si="19"/>
        <v>73</v>
      </c>
      <c r="C75" s="223">
        <f t="shared" si="15"/>
        <v>64.911599999999993</v>
      </c>
      <c r="D75" s="223">
        <f t="shared" si="16"/>
        <v>18.404332112224708</v>
      </c>
      <c r="E75" s="223">
        <f t="shared" si="17"/>
        <v>145.10858176212469</v>
      </c>
      <c r="F75" s="183">
        <f t="shared" si="20"/>
        <v>68</v>
      </c>
      <c r="G75" s="209">
        <f>$G$72+(F75-$F$72)*($G$77-$G$72)/($F$77-$F$72)</f>
        <v>377.4</v>
      </c>
      <c r="H75" s="185">
        <f t="shared" si="18"/>
        <v>162.28199999999998</v>
      </c>
      <c r="I75" s="185">
        <f t="shared" si="14"/>
        <v>41.356801876800624</v>
      </c>
      <c r="J75" s="185">
        <f t="shared" si="21"/>
        <v>354.67091326876107</v>
      </c>
      <c r="K75" s="188"/>
      <c r="L75" s="18"/>
      <c r="M75" s="18"/>
      <c r="N75" s="18"/>
      <c r="O75" s="18"/>
      <c r="P75" s="18"/>
      <c r="Q75" s="18"/>
      <c r="R75" s="18"/>
      <c r="S75" s="18"/>
    </row>
    <row r="76" spans="1:19" x14ac:dyDescent="0.25">
      <c r="A76" s="181">
        <v>74</v>
      </c>
      <c r="B76" s="222">
        <f t="shared" si="19"/>
        <v>74</v>
      </c>
      <c r="C76" s="223">
        <f t="shared" si="15"/>
        <v>65.800799999999995</v>
      </c>
      <c r="D76" s="223">
        <f t="shared" si="16"/>
        <v>18.626923459774289</v>
      </c>
      <c r="E76" s="223">
        <f t="shared" si="17"/>
        <v>147.04495169244021</v>
      </c>
      <c r="F76" s="183">
        <f t="shared" si="20"/>
        <v>69</v>
      </c>
      <c r="G76" s="209">
        <f>$G$72+(F76-$F$72)*($G$77-$G$72)/($F$77-$F$72)</f>
        <v>385.2</v>
      </c>
      <c r="H76" s="185">
        <f t="shared" si="18"/>
        <v>165.636</v>
      </c>
      <c r="I76" s="185">
        <f t="shared" si="14"/>
        <v>42.111158364957326</v>
      </c>
      <c r="J76" s="185">
        <f t="shared" si="21"/>
        <v>361.82630081896735</v>
      </c>
      <c r="K76" s="188"/>
      <c r="L76" s="18"/>
      <c r="M76" s="18"/>
      <c r="N76" s="18"/>
      <c r="O76" s="18"/>
      <c r="P76" s="18"/>
      <c r="Q76" s="18"/>
      <c r="R76" s="18"/>
      <c r="S76" s="18"/>
    </row>
    <row r="77" spans="1:19" x14ac:dyDescent="0.25">
      <c r="A77" s="181">
        <v>75</v>
      </c>
      <c r="B77" s="222">
        <f t="shared" si="19"/>
        <v>75</v>
      </c>
      <c r="C77" s="223">
        <f t="shared" si="15"/>
        <v>66.69</v>
      </c>
      <c r="D77" s="223">
        <f t="shared" si="16"/>
        <v>18.849164941118623</v>
      </c>
      <c r="E77" s="223">
        <f t="shared" si="17"/>
        <v>148.98071227244827</v>
      </c>
      <c r="F77" s="183">
        <f t="shared" si="20"/>
        <v>70</v>
      </c>
      <c r="G77" s="209">
        <v>393</v>
      </c>
      <c r="H77" s="185">
        <f t="shared" si="18"/>
        <v>168.99</v>
      </c>
      <c r="I77" s="185">
        <f t="shared" si="14"/>
        <v>42.863738793288526</v>
      </c>
      <c r="J77" s="185">
        <f t="shared" si="21"/>
        <v>368.97859506497747</v>
      </c>
      <c r="K77" s="188"/>
      <c r="L77" s="18"/>
      <c r="M77" s="18"/>
      <c r="N77" s="18"/>
      <c r="O77" s="18"/>
      <c r="P77" s="18"/>
      <c r="Q77" s="18"/>
      <c r="R77" s="18"/>
      <c r="S77" s="18"/>
    </row>
    <row r="78" spans="1:19" x14ac:dyDescent="0.25">
      <c r="A78" s="181">
        <v>76</v>
      </c>
      <c r="B78" s="222">
        <f t="shared" si="19"/>
        <v>76</v>
      </c>
      <c r="C78" s="223">
        <f t="shared" si="15"/>
        <v>67.5792</v>
      </c>
      <c r="D78" s="223">
        <f t="shared" si="16"/>
        <v>19.07106176040384</v>
      </c>
      <c r="E78" s="223">
        <f t="shared" si="17"/>
        <v>150.91587256603668</v>
      </c>
      <c r="F78" s="183">
        <f t="shared" si="20"/>
        <v>71</v>
      </c>
      <c r="G78" s="209">
        <f>$G$77+(F78-$F$77)*($G$82-$G$77)/($F$82-$F$77)</f>
        <v>400.2</v>
      </c>
      <c r="H78" s="185">
        <f t="shared" si="18"/>
        <v>172.08599999999998</v>
      </c>
      <c r="I78" s="185">
        <f t="shared" si="14"/>
        <v>43.556886060678053</v>
      </c>
      <c r="J78" s="185">
        <f t="shared" si="21"/>
        <v>375.57802655568094</v>
      </c>
      <c r="K78" s="188"/>
      <c r="L78" s="18"/>
      <c r="M78" s="18"/>
      <c r="N78" s="18"/>
      <c r="O78" s="18"/>
      <c r="P78" s="18"/>
      <c r="Q78" s="18"/>
      <c r="R78" s="18"/>
      <c r="S78" s="18"/>
    </row>
    <row r="79" spans="1:19" x14ac:dyDescent="0.25">
      <c r="A79" s="181">
        <v>77</v>
      </c>
      <c r="B79" s="222">
        <f t="shared" si="19"/>
        <v>77</v>
      </c>
      <c r="C79" s="223">
        <f t="shared" si="15"/>
        <v>68.468400000000003</v>
      </c>
      <c r="D79" s="223">
        <f t="shared" si="16"/>
        <v>19.292618976952735</v>
      </c>
      <c r="E79" s="223">
        <f t="shared" si="17"/>
        <v>152.85044138485935</v>
      </c>
      <c r="F79" s="183">
        <f t="shared" si="20"/>
        <v>72</v>
      </c>
      <c r="G79" s="209">
        <f>$G$77+(F79-$F$77)*($G$82-$G$77)/($F$82-$F$77)</f>
        <v>407.4</v>
      </c>
      <c r="H79" s="185">
        <f t="shared" si="18"/>
        <v>175.18199999999999</v>
      </c>
      <c r="I79" s="185">
        <f t="shared" si="14"/>
        <v>44.248583207820339</v>
      </c>
      <c r="J79" s="185">
        <f t="shared" si="21"/>
        <v>382.17493242028701</v>
      </c>
      <c r="K79" s="188"/>
      <c r="L79" s="18"/>
      <c r="M79" s="18"/>
      <c r="N79" s="18"/>
      <c r="O79" s="18"/>
      <c r="P79" s="18"/>
      <c r="Q79" s="18"/>
      <c r="R79" s="18"/>
      <c r="S79" s="18"/>
    </row>
    <row r="80" spans="1:19" x14ac:dyDescent="0.25">
      <c r="A80" s="181">
        <v>78</v>
      </c>
      <c r="B80" s="222">
        <f t="shared" si="19"/>
        <v>78</v>
      </c>
      <c r="C80" s="223">
        <f t="shared" si="15"/>
        <v>69.357600000000005</v>
      </c>
      <c r="D80" s="223">
        <f t="shared" si="16"/>
        <v>19.513841511122433</v>
      </c>
      <c r="E80" s="223">
        <f t="shared" si="17"/>
        <v>154.78442729853825</v>
      </c>
      <c r="F80" s="183">
        <f t="shared" si="20"/>
        <v>73</v>
      </c>
      <c r="G80" s="209">
        <f>$G$77+(F80-$F$77)*($G$82-$G$77)/($F$82-$F$77)</f>
        <v>414.6</v>
      </c>
      <c r="H80" s="185">
        <f t="shared" si="18"/>
        <v>178.27800000000002</v>
      </c>
      <c r="I80" s="185">
        <f t="shared" si="14"/>
        <v>44.938858819456854</v>
      </c>
      <c r="J80" s="185">
        <f t="shared" si="21"/>
        <v>388.76936244388736</v>
      </c>
      <c r="K80" s="188"/>
      <c r="L80" s="18"/>
      <c r="M80" s="18"/>
      <c r="N80" s="18"/>
      <c r="O80" s="18"/>
      <c r="P80" s="18"/>
      <c r="Q80" s="18"/>
      <c r="R80" s="18"/>
      <c r="S80" s="18"/>
    </row>
    <row r="81" spans="1:11" x14ac:dyDescent="0.25">
      <c r="A81" s="181">
        <v>79</v>
      </c>
      <c r="B81" s="222">
        <f t="shared" si="19"/>
        <v>79</v>
      </c>
      <c r="C81" s="223">
        <f t="shared" si="15"/>
        <v>70.246799999999993</v>
      </c>
      <c r="D81" s="223">
        <f t="shared" si="16"/>
        <v>19.734734149853068</v>
      </c>
      <c r="E81" s="223">
        <f t="shared" si="17"/>
        <v>156.7178386443274</v>
      </c>
      <c r="F81" s="183">
        <f t="shared" si="20"/>
        <v>74</v>
      </c>
      <c r="G81" s="209">
        <f>$G$77+(F81-$F$77)*($G$82-$G$77)/($F$82-$F$77)</f>
        <v>421.8</v>
      </c>
      <c r="H81" s="185">
        <f t="shared" si="18"/>
        <v>181.374</v>
      </c>
      <c r="I81" s="185">
        <f t="shared" si="14"/>
        <v>45.627740430637772</v>
      </c>
      <c r="J81" s="185">
        <f t="shared" si="21"/>
        <v>395.36136458336074</v>
      </c>
      <c r="K81" s="188"/>
    </row>
    <row r="82" spans="1:11" x14ac:dyDescent="0.25">
      <c r="A82" s="181">
        <v>80</v>
      </c>
      <c r="B82" s="222">
        <f t="shared" si="19"/>
        <v>80</v>
      </c>
      <c r="C82" s="223">
        <f t="shared" si="15"/>
        <v>71.135999999999996</v>
      </c>
      <c r="D82" s="223">
        <f t="shared" si="16"/>
        <v>19.955301551927469</v>
      </c>
      <c r="E82" s="223">
        <f t="shared" si="17"/>
        <v>158.65068353627368</v>
      </c>
      <c r="F82" s="183">
        <f t="shared" si="20"/>
        <v>75</v>
      </c>
      <c r="G82" s="212">
        <f>407+393-371</f>
        <v>429</v>
      </c>
      <c r="H82" s="185">
        <f t="shared" si="18"/>
        <v>184.47</v>
      </c>
      <c r="I82" s="185">
        <f t="shared" si="14"/>
        <v>46.315254582516594</v>
      </c>
      <c r="J82" s="185">
        <f t="shared" si="21"/>
        <v>401.95098506454968</v>
      </c>
      <c r="K82" s="188"/>
    </row>
    <row r="83" spans="1:11" x14ac:dyDescent="0.25">
      <c r="A83" s="181">
        <v>81</v>
      </c>
      <c r="B83" s="222">
        <f t="shared" si="19"/>
        <v>81</v>
      </c>
      <c r="C83" s="223">
        <f t="shared" si="15"/>
        <v>72.025199999999998</v>
      </c>
      <c r="D83" s="223">
        <f t="shared" si="16"/>
        <v>20.175548252960461</v>
      </c>
      <c r="E83" s="223">
        <f t="shared" si="17"/>
        <v>160.58296987390614</v>
      </c>
      <c r="F83" s="183">
        <v>75</v>
      </c>
      <c r="G83" s="212">
        <v>386</v>
      </c>
      <c r="H83" s="185">
        <f t="shared" si="18"/>
        <v>165.98</v>
      </c>
      <c r="I83" s="185">
        <f t="shared" si="14"/>
        <v>42.188427161252903</v>
      </c>
      <c r="J83" s="185">
        <f t="shared" si="21"/>
        <v>362.56001063918211</v>
      </c>
      <c r="K83" s="188"/>
    </row>
    <row r="84" spans="1:11" x14ac:dyDescent="0.25">
      <c r="A84" s="181">
        <v>82</v>
      </c>
      <c r="B84" s="222">
        <f t="shared" si="19"/>
        <v>82</v>
      </c>
      <c r="C84" s="223">
        <f t="shared" si="15"/>
        <v>72.914400000000001</v>
      </c>
      <c r="D84" s="223">
        <f t="shared" si="16"/>
        <v>20.395478670134668</v>
      </c>
      <c r="E84" s="223">
        <f t="shared" si="17"/>
        <v>162.51470535048455</v>
      </c>
      <c r="F84" s="183">
        <f t="shared" si="20"/>
        <v>76</v>
      </c>
      <c r="G84" s="212">
        <f>$G$83+(F84-$F$83)*($G$88-$G$83)/($F$88-$F$83)</f>
        <v>392.6</v>
      </c>
      <c r="H84" s="185">
        <f t="shared" si="18"/>
        <v>168.81800000000001</v>
      </c>
      <c r="I84" s="185">
        <f t="shared" si="14"/>
        <v>42.825187501685285</v>
      </c>
      <c r="J84" s="185">
        <f t="shared" si="21"/>
        <v>368.61188489876855</v>
      </c>
      <c r="K84" s="188"/>
    </row>
    <row r="85" spans="1:11" x14ac:dyDescent="0.25">
      <c r="A85" s="181">
        <v>83</v>
      </c>
      <c r="B85" s="222">
        <f t="shared" si="19"/>
        <v>83</v>
      </c>
      <c r="C85" s="223">
        <f t="shared" si="15"/>
        <v>73.803600000000003</v>
      </c>
      <c r="D85" s="223">
        <f t="shared" si="16"/>
        <v>20.615097106698759</v>
      </c>
      <c r="E85" s="223">
        <f t="shared" si="17"/>
        <v>164.44589746083366</v>
      </c>
      <c r="F85" s="183">
        <f t="shared" si="20"/>
        <v>77</v>
      </c>
      <c r="G85" s="212">
        <f>$G$83+(F85-$F$83)*($G$88-$G$83)/($F$88-$F$83)</f>
        <v>399.2</v>
      </c>
      <c r="H85" s="185">
        <f t="shared" si="18"/>
        <v>171.65600000000001</v>
      </c>
      <c r="I85" s="185">
        <f t="shared" si="14"/>
        <v>43.460702985278566</v>
      </c>
      <c r="J85" s="185">
        <f t="shared" si="21"/>
        <v>374.66159103269348</v>
      </c>
      <c r="K85" s="188"/>
    </row>
    <row r="86" spans="1:11" x14ac:dyDescent="0.25">
      <c r="A86" s="181">
        <v>84</v>
      </c>
      <c r="B86" s="222">
        <f t="shared" si="19"/>
        <v>84</v>
      </c>
      <c r="C86" s="223">
        <f t="shared" si="15"/>
        <v>74.692799999999991</v>
      </c>
      <c r="D86" s="223">
        <f t="shared" si="16"/>
        <v>20.834407756242822</v>
      </c>
      <c r="E86" s="223">
        <f t="shared" si="17"/>
        <v>166.37655350878956</v>
      </c>
      <c r="F86" s="183">
        <f t="shared" si="20"/>
        <v>78</v>
      </c>
      <c r="G86" s="212">
        <f>$G$83+(F86-$F$83)*($G$88-$G$83)/($F$88-$F$83)</f>
        <v>405.8</v>
      </c>
      <c r="H86" s="185">
        <f t="shared" si="18"/>
        <v>174.494</v>
      </c>
      <c r="I86" s="185">
        <f t="shared" si="14"/>
        <v>44.094996569009133</v>
      </c>
      <c r="J86" s="185">
        <f t="shared" si="21"/>
        <v>380.70916902435761</v>
      </c>
      <c r="K86" s="188"/>
    </row>
    <row r="87" spans="1:11" x14ac:dyDescent="0.25">
      <c r="A87" s="181">
        <v>85</v>
      </c>
      <c r="B87" s="222">
        <f t="shared" si="19"/>
        <v>85</v>
      </c>
      <c r="C87" s="223">
        <f t="shared" si="15"/>
        <v>75.581999999999994</v>
      </c>
      <c r="D87" s="223">
        <f t="shared" si="16"/>
        <v>21.053414706764119</v>
      </c>
      <c r="E87" s="223">
        <f t="shared" si="17"/>
        <v>168.30668061428082</v>
      </c>
      <c r="F87" s="183">
        <f t="shared" si="20"/>
        <v>79</v>
      </c>
      <c r="G87" s="212">
        <f>$G$83+(F87-$F$83)*($G$88-$G$83)/($F$88-$F$83)</f>
        <v>412.4</v>
      </c>
      <c r="H87" s="185">
        <f t="shared" si="18"/>
        <v>177.33199999999999</v>
      </c>
      <c r="I87" s="185">
        <f t="shared" si="14"/>
        <v>44.728090420283614</v>
      </c>
      <c r="J87" s="185">
        <f t="shared" si="21"/>
        <v>386.75465748199395</v>
      </c>
      <c r="K87" s="188"/>
    </row>
    <row r="88" spans="1:11" x14ac:dyDescent="0.25">
      <c r="A88" s="181">
        <v>86</v>
      </c>
      <c r="B88" s="222">
        <f t="shared" si="19"/>
        <v>86</v>
      </c>
      <c r="C88" s="223">
        <f t="shared" si="15"/>
        <v>76.471199999999996</v>
      </c>
      <c r="D88" s="223">
        <f t="shared" si="16"/>
        <v>21.272121944536345</v>
      </c>
      <c r="E88" s="223">
        <f t="shared" si="17"/>
        <v>170.23628572006746</v>
      </c>
      <c r="F88" s="183">
        <f t="shared" si="20"/>
        <v>80</v>
      </c>
      <c r="G88" s="212">
        <v>419</v>
      </c>
      <c r="H88" s="185">
        <f t="shared" si="18"/>
        <v>180.17</v>
      </c>
      <c r="I88" s="185">
        <f t="shared" si="14"/>
        <v>45.360005956288127</v>
      </c>
      <c r="J88" s="185">
        <f t="shared" si="21"/>
        <v>392.79809370720182</v>
      </c>
      <c r="K88" s="188"/>
    </row>
    <row r="89" spans="1:11" x14ac:dyDescent="0.25">
      <c r="A89" s="181">
        <v>87</v>
      </c>
      <c r="B89" s="222">
        <f t="shared" si="19"/>
        <v>87</v>
      </c>
      <c r="C89" s="223">
        <f t="shared" si="15"/>
        <v>77.360399999999998</v>
      </c>
      <c r="D89" s="223">
        <f t="shared" si="16"/>
        <v>21.490533357793495</v>
      </c>
      <c r="E89" s="223">
        <f t="shared" si="17"/>
        <v>172.165375598157</v>
      </c>
      <c r="F89" s="183">
        <f t="shared" si="20"/>
        <v>81</v>
      </c>
      <c r="G89" s="212">
        <f>$G$88+(F89-$F$88)*($G$93-$G$88)/($F$93-$F$88)</f>
        <v>425.4</v>
      </c>
      <c r="H89" s="185">
        <f t="shared" si="18"/>
        <v>182.922</v>
      </c>
      <c r="I89" s="185">
        <f t="shared" si="14"/>
        <v>45.971666817546797</v>
      </c>
      <c r="J89" s="185">
        <f t="shared" si="21"/>
        <v>398.65646970722736</v>
      </c>
      <c r="K89" s="188"/>
    </row>
    <row r="90" spans="1:11" x14ac:dyDescent="0.25">
      <c r="A90" s="181">
        <v>88</v>
      </c>
      <c r="B90" s="222">
        <f t="shared" si="19"/>
        <v>88</v>
      </c>
      <c r="C90" s="223">
        <f t="shared" si="15"/>
        <v>78.249600000000001</v>
      </c>
      <c r="D90" s="223">
        <f t="shared" si="16"/>
        <v>21.708652740239781</v>
      </c>
      <c r="E90" s="223">
        <f t="shared" si="17"/>
        <v>174.09395685591764</v>
      </c>
      <c r="F90" s="183">
        <f t="shared" si="20"/>
        <v>82</v>
      </c>
      <c r="G90" s="212">
        <f>$G$88+(F90-$F$88)*($G$93-$G$88)/($F$93-$F$88)</f>
        <v>431.8</v>
      </c>
      <c r="H90" s="185">
        <f t="shared" si="18"/>
        <v>185.67400000000001</v>
      </c>
      <c r="I90" s="185">
        <f t="shared" si="14"/>
        <v>46.582257433649239</v>
      </c>
      <c r="J90" s="185">
        <f t="shared" si="21"/>
        <v>404.51298169693905</v>
      </c>
      <c r="K90" s="188"/>
    </row>
    <row r="91" spans="1:11" x14ac:dyDescent="0.25">
      <c r="A91" s="181">
        <v>89</v>
      </c>
      <c r="B91" s="222">
        <f t="shared" si="19"/>
        <v>89</v>
      </c>
      <c r="C91" s="223">
        <f t="shared" si="15"/>
        <v>79.138799999999989</v>
      </c>
      <c r="D91" s="223">
        <f t="shared" si="16"/>
        <v>21.926483794395324</v>
      </c>
      <c r="E91" s="223">
        <f t="shared" si="17"/>
        <v>176.02203594190516</v>
      </c>
      <c r="F91" s="183">
        <f t="shared" si="20"/>
        <v>83</v>
      </c>
      <c r="G91" s="212">
        <f>$G$88+(F91-$F$88)*($G$93-$G$88)/($F$93-$F$88)</f>
        <v>438.2</v>
      </c>
      <c r="H91" s="185">
        <f t="shared" si="18"/>
        <v>188.42599999999999</v>
      </c>
      <c r="I91" s="185">
        <f t="shared" si="14"/>
        <v>47.191795499893274</v>
      </c>
      <c r="J91" s="185">
        <f t="shared" si="21"/>
        <v>410.36766049564739</v>
      </c>
      <c r="K91" s="188"/>
    </row>
    <row r="92" spans="1:11" x14ac:dyDescent="0.25">
      <c r="A92" s="181">
        <v>90</v>
      </c>
      <c r="B92" s="222">
        <f t="shared" si="19"/>
        <v>90</v>
      </c>
      <c r="C92" s="223">
        <f t="shared" si="15"/>
        <v>80.027999999999992</v>
      </c>
      <c r="D92" s="223">
        <f t="shared" si="16"/>
        <v>22.144030134787155</v>
      </c>
      <c r="E92" s="223">
        <f t="shared" si="17"/>
        <v>177.94961915142096</v>
      </c>
      <c r="F92" s="183">
        <f t="shared" si="20"/>
        <v>84</v>
      </c>
      <c r="G92" s="212">
        <f>$G$88+(F92-$F$88)*($G$93-$G$88)/($F$93-$F$88)</f>
        <v>444.6</v>
      </c>
      <c r="H92" s="185">
        <f t="shared" si="18"/>
        <v>191.178</v>
      </c>
      <c r="I92" s="185">
        <f t="shared" si="14"/>
        <v>47.80029816501365</v>
      </c>
      <c r="J92" s="185">
        <f t="shared" si="21"/>
        <v>416.2205359707321</v>
      </c>
      <c r="K92" s="188"/>
    </row>
    <row r="93" spans="1:11" x14ac:dyDescent="0.25">
      <c r="A93" s="181">
        <v>91</v>
      </c>
      <c r="B93" s="222">
        <f t="shared" si="19"/>
        <v>91</v>
      </c>
      <c r="C93" s="223">
        <f t="shared" si="15"/>
        <v>80.917199999999994</v>
      </c>
      <c r="D93" s="223">
        <f t="shared" si="16"/>
        <v>22.361295290994434</v>
      </c>
      <c r="E93" s="223">
        <f t="shared" si="17"/>
        <v>179.87671263181528</v>
      </c>
      <c r="F93" s="183">
        <f t="shared" si="20"/>
        <v>85</v>
      </c>
      <c r="G93" s="212">
        <f>431+419-399</f>
        <v>451</v>
      </c>
      <c r="H93" s="185">
        <f t="shared" si="18"/>
        <v>193.93</v>
      </c>
      <c r="I93" s="185">
        <f t="shared" si="14"/>
        <v>48.407782055683981</v>
      </c>
      <c r="J93" s="185">
        <f t="shared" si="21"/>
        <v>422.07163708031629</v>
      </c>
      <c r="K93" s="188"/>
    </row>
    <row r="94" spans="1:11" x14ac:dyDescent="0.25">
      <c r="A94" s="181">
        <v>92</v>
      </c>
      <c r="B94" s="222">
        <f t="shared" si="19"/>
        <v>92</v>
      </c>
      <c r="C94" s="223">
        <f t="shared" si="15"/>
        <v>81.806399999999996</v>
      </c>
      <c r="D94" s="223">
        <f t="shared" si="16"/>
        <v>22.578282710556032</v>
      </c>
      <c r="E94" s="223">
        <f t="shared" si="17"/>
        <v>181.80332238755173</v>
      </c>
      <c r="F94" s="183">
        <v>85</v>
      </c>
      <c r="G94" s="212">
        <v>412</v>
      </c>
      <c r="H94" s="185">
        <f t="shared" si="18"/>
        <v>177.16</v>
      </c>
      <c r="I94" s="185">
        <f t="shared" si="14"/>
        <v>44.68975485044345</v>
      </c>
      <c r="J94" s="185">
        <f t="shared" si="21"/>
        <v>386.38832303118897</v>
      </c>
      <c r="K94" s="188"/>
    </row>
    <row r="95" spans="1:11" x14ac:dyDescent="0.25">
      <c r="A95" s="181">
        <v>93</v>
      </c>
      <c r="B95" s="222">
        <f t="shared" si="19"/>
        <v>93</v>
      </c>
      <c r="C95" s="223">
        <f t="shared" si="15"/>
        <v>82.695599999999999</v>
      </c>
      <c r="D95" s="223">
        <f t="shared" si="16"/>
        <v>22.794995761747849</v>
      </c>
      <c r="E95" s="223">
        <f t="shared" si="17"/>
        <v>183.72945428504417</v>
      </c>
      <c r="F95" s="183">
        <f t="shared" si="20"/>
        <v>86</v>
      </c>
      <c r="G95" s="212">
        <f>$G$94+(F95-$F$94)*($G$99-$G$94)/($F$99-$F$94)</f>
        <v>418</v>
      </c>
      <c r="H95" s="185">
        <f t="shared" si="18"/>
        <v>179.74</v>
      </c>
      <c r="I95" s="185">
        <f t="shared" si="14"/>
        <v>45.264336091309922</v>
      </c>
      <c r="J95" s="185">
        <f t="shared" si="21"/>
        <v>391.88255202569809</v>
      </c>
      <c r="K95" s="188"/>
    </row>
    <row r="96" spans="1:11" x14ac:dyDescent="0.25">
      <c r="A96" s="181">
        <v>94</v>
      </c>
      <c r="B96" s="222">
        <f t="shared" si="19"/>
        <v>94</v>
      </c>
      <c r="C96" s="223">
        <f t="shared" si="15"/>
        <v>83.584800000000001</v>
      </c>
      <c r="D96" s="223">
        <f t="shared" si="16"/>
        <v>23.011437736237617</v>
      </c>
      <c r="E96" s="223">
        <f t="shared" si="17"/>
        <v>185.65511405728049</v>
      </c>
      <c r="F96" s="183">
        <f t="shared" si="20"/>
        <v>87</v>
      </c>
      <c r="G96" s="212">
        <f>$G$94+(F96-$F$94)*($G$99-$G$94)/($F$99-$F$94)</f>
        <v>424</v>
      </c>
      <c r="H96" s="185">
        <f t="shared" si="18"/>
        <v>182.32</v>
      </c>
      <c r="I96" s="185">
        <f t="shared" si="14"/>
        <v>45.837958080870081</v>
      </c>
      <c r="J96" s="185">
        <f t="shared" si="21"/>
        <v>397.375110324182</v>
      </c>
      <c r="K96" s="188"/>
    </row>
    <row r="97" spans="1:11" x14ac:dyDescent="0.25">
      <c r="A97" s="181">
        <v>95</v>
      </c>
      <c r="B97" s="222">
        <f t="shared" si="19"/>
        <v>95</v>
      </c>
      <c r="C97" s="223">
        <f t="shared" si="15"/>
        <v>84.474000000000004</v>
      </c>
      <c r="D97" s="223">
        <f t="shared" si="16"/>
        <v>23.22761185162317</v>
      </c>
      <c r="E97" s="223">
        <f t="shared" si="17"/>
        <v>187.5803073082437</v>
      </c>
      <c r="F97" s="183">
        <f t="shared" si="20"/>
        <v>88</v>
      </c>
      <c r="G97" s="212">
        <f>$G$94+(F97-$F$94)*($G$99-$G$94)/($F$99-$F$94)</f>
        <v>430</v>
      </c>
      <c r="H97" s="185">
        <f t="shared" si="18"/>
        <v>184.9</v>
      </c>
      <c r="I97" s="185">
        <f t="shared" si="14"/>
        <v>46.410635962027868</v>
      </c>
      <c r="J97" s="185">
        <f t="shared" si="21"/>
        <v>402.86602430053182</v>
      </c>
      <c r="K97" s="188"/>
    </row>
    <row r="98" spans="1:11" x14ac:dyDescent="0.25">
      <c r="A98" s="181">
        <v>96</v>
      </c>
      <c r="B98" s="222">
        <f t="shared" si="19"/>
        <v>96</v>
      </c>
      <c r="C98" s="223">
        <f t="shared" si="15"/>
        <v>85.363199999999992</v>
      </c>
      <c r="D98" s="223">
        <f t="shared" si="16"/>
        <v>23.443521253861029</v>
      </c>
      <c r="E98" s="223">
        <f t="shared" si="17"/>
        <v>189.50503951714128</v>
      </c>
      <c r="F98" s="183">
        <f t="shared" si="20"/>
        <v>89</v>
      </c>
      <c r="G98" s="212">
        <f>$G$94+(F98-$F$94)*($G$99-$G$94)/($F$99-$F$94)</f>
        <v>436</v>
      </c>
      <c r="H98" s="185">
        <f t="shared" si="18"/>
        <v>187.48</v>
      </c>
      <c r="I98" s="185">
        <f t="shared" si="14"/>
        <v>46.98238443081938</v>
      </c>
      <c r="J98" s="185">
        <f t="shared" si="21"/>
        <v>408.35531955034372</v>
      </c>
    </row>
    <row r="99" spans="1:11" x14ac:dyDescent="0.25">
      <c r="A99" s="181">
        <v>97</v>
      </c>
      <c r="B99" s="222">
        <f t="shared" si="19"/>
        <v>97</v>
      </c>
      <c r="C99" s="223">
        <f t="shared" si="15"/>
        <v>86.252399999999994</v>
      </c>
      <c r="D99" s="223">
        <f t="shared" si="16"/>
        <v>23.659169019590802</v>
      </c>
      <c r="E99" s="223">
        <f t="shared" si="17"/>
        <v>191.42931604245396</v>
      </c>
      <c r="F99" s="183">
        <f t="shared" si="20"/>
        <v>90</v>
      </c>
      <c r="G99" s="212">
        <v>442</v>
      </c>
      <c r="H99" s="185">
        <f t="shared" si="18"/>
        <v>190.06</v>
      </c>
      <c r="I99" s="185">
        <f t="shared" si="14"/>
        <v>47.55321775556439</v>
      </c>
      <c r="J99" s="185">
        <f t="shared" si="21"/>
        <v>413.84302092427464</v>
      </c>
    </row>
    <row r="100" spans="1:11" x14ac:dyDescent="0.25">
      <c r="A100" s="181">
        <v>98</v>
      </c>
      <c r="B100" s="222">
        <f t="shared" si="19"/>
        <v>98</v>
      </c>
      <c r="C100" s="223">
        <f t="shared" si="15"/>
        <v>87.141599999999997</v>
      </c>
      <c r="D100" s="223">
        <f t="shared" si="16"/>
        <v>23.874558158360944</v>
      </c>
      <c r="E100" s="223">
        <f t="shared" si="17"/>
        <v>193.35314212581196</v>
      </c>
      <c r="F100" s="183">
        <f t="shared" si="20"/>
        <v>91</v>
      </c>
      <c r="G100" s="212">
        <f>$G$99+(F100-$F$99)*($G$104-$G$99)/($F$104-$F$99)</f>
        <v>447.8</v>
      </c>
      <c r="H100" s="185">
        <f t="shared" si="18"/>
        <v>192.554</v>
      </c>
      <c r="I100" s="185">
        <f t="shared" si="14"/>
        <v>48.104166437740787</v>
      </c>
      <c r="J100" s="185">
        <f t="shared" si="21"/>
        <v>419.14630654573187</v>
      </c>
    </row>
    <row r="101" spans="1:11" x14ac:dyDescent="0.25">
      <c r="A101" s="181">
        <v>99</v>
      </c>
      <c r="B101" s="222">
        <f t="shared" si="19"/>
        <v>99</v>
      </c>
      <c r="C101" s="223">
        <f t="shared" si="15"/>
        <v>88.030799999999985</v>
      </c>
      <c r="D101" s="223">
        <f t="shared" si="16"/>
        <v>24.089691614761261</v>
      </c>
      <c r="E101" s="223">
        <f t="shared" si="17"/>
        <v>195.27652289570918</v>
      </c>
      <c r="F101" s="183">
        <f t="shared" si="20"/>
        <v>92</v>
      </c>
      <c r="G101" s="212">
        <f>$G$99+(F101-$F$99)*($G$104-$G$99)/($F$104-$F$99)</f>
        <v>453.6</v>
      </c>
      <c r="H101" s="185">
        <f t="shared" si="18"/>
        <v>195.048</v>
      </c>
      <c r="I101" s="185">
        <f t="shared" si="14"/>
        <v>48.654285090402247</v>
      </c>
      <c r="J101" s="185">
        <f t="shared" si="21"/>
        <v>424.44814653245061</v>
      </c>
    </row>
    <row r="102" spans="1:11" x14ac:dyDescent="0.25">
      <c r="A102" s="181">
        <v>100</v>
      </c>
      <c r="B102" s="222">
        <f t="shared" si="19"/>
        <v>100</v>
      </c>
      <c r="C102" s="223">
        <f t="shared" si="15"/>
        <v>88.919999999999987</v>
      </c>
      <c r="D102" s="223">
        <f t="shared" si="16"/>
        <v>24.30457227046648</v>
      </c>
      <c r="E102" s="223">
        <f t="shared" si="17"/>
        <v>197.19946337106239</v>
      </c>
      <c r="F102" s="183">
        <f t="shared" si="20"/>
        <v>93</v>
      </c>
      <c r="G102" s="212">
        <f>$G$99+(F102-$F$99)*($G$104-$G$99)/($F$104-$F$99)</f>
        <v>459.4</v>
      </c>
      <c r="H102" s="185">
        <f t="shared" si="18"/>
        <v>197.54199999999997</v>
      </c>
      <c r="I102" s="185">
        <f t="shared" si="14"/>
        <v>49.203585554019433</v>
      </c>
      <c r="J102" s="185">
        <f t="shared" si="21"/>
        <v>429.74856150658383</v>
      </c>
    </row>
    <row r="103" spans="1:11" x14ac:dyDescent="0.25">
      <c r="A103" s="181">
        <v>101</v>
      </c>
      <c r="B103" s="222">
        <f t="shared" si="19"/>
        <v>101</v>
      </c>
      <c r="C103" s="223">
        <f t="shared" si="15"/>
        <v>89.80919999999999</v>
      </c>
      <c r="D103" s="223">
        <f t="shared" si="16"/>
        <v>24.519202946196106</v>
      </c>
      <c r="E103" s="223">
        <f t="shared" si="17"/>
        <v>199.12196846462484</v>
      </c>
      <c r="F103" s="183">
        <f t="shared" si="20"/>
        <v>94</v>
      </c>
      <c r="G103" s="212">
        <f>$G$99+(F103-$F$99)*($G$104-$G$99)/($F$104-$F$99)</f>
        <v>465.2</v>
      </c>
      <c r="H103" s="185">
        <f t="shared" si="18"/>
        <v>200.036</v>
      </c>
      <c r="I103" s="185">
        <f t="shared" si="14"/>
        <v>49.752079352894029</v>
      </c>
      <c r="J103" s="185">
        <f t="shared" si="21"/>
        <v>435.04757153962379</v>
      </c>
    </row>
    <row r="104" spans="1:11" x14ac:dyDescent="0.25">
      <c r="A104" s="181">
        <v>102</v>
      </c>
      <c r="B104" s="222">
        <f t="shared" si="19"/>
        <v>102</v>
      </c>
      <c r="C104" s="223">
        <f t="shared" si="15"/>
        <v>90.698399999999992</v>
      </c>
      <c r="D104" s="223">
        <f t="shared" si="16"/>
        <v>24.733586403594185</v>
      </c>
      <c r="E104" s="223">
        <f t="shared" si="17"/>
        <v>201.04404298625983</v>
      </c>
      <c r="F104" s="183">
        <f t="shared" si="20"/>
        <v>95</v>
      </c>
      <c r="G104" s="212">
        <f>452+442-423</f>
        <v>471</v>
      </c>
      <c r="H104" s="185">
        <f t="shared" si="18"/>
        <v>202.53</v>
      </c>
      <c r="I104" s="185">
        <f t="shared" si="14"/>
        <v>50.299777707436071</v>
      </c>
      <c r="J104" s="185">
        <f t="shared" si="21"/>
        <v>440.34519617378447</v>
      </c>
    </row>
    <row r="105" spans="1:11" x14ac:dyDescent="0.25">
      <c r="A105" s="181">
        <v>103</v>
      </c>
      <c r="B105" s="222">
        <f t="shared" si="19"/>
        <v>103</v>
      </c>
      <c r="C105" s="223">
        <f t="shared" si="15"/>
        <v>91.587599999999995</v>
      </c>
      <c r="D105" s="223">
        <f t="shared" si="16"/>
        <v>24.947725347033259</v>
      </c>
      <c r="E105" s="223">
        <f t="shared" si="17"/>
        <v>202.96569164608289</v>
      </c>
      <c r="F105" s="183">
        <v>95</v>
      </c>
      <c r="G105" s="212">
        <v>434</v>
      </c>
      <c r="H105" s="185">
        <f t="shared" si="18"/>
        <v>186.62</v>
      </c>
      <c r="I105" s="185">
        <f t="shared" si="14"/>
        <v>46.791903986571207</v>
      </c>
      <c r="J105" s="185">
        <f t="shared" si="21"/>
        <v>406.52573277661151</v>
      </c>
    </row>
    <row r="106" spans="1:11" x14ac:dyDescent="0.25">
      <c r="A106" s="181">
        <v>104</v>
      </c>
      <c r="B106" s="222">
        <f t="shared" si="19"/>
        <v>104</v>
      </c>
      <c r="C106" s="223">
        <f t="shared" si="15"/>
        <v>92.476799999999997</v>
      </c>
      <c r="D106" s="223">
        <f t="shared" si="16"/>
        <v>25.161622425346422</v>
      </c>
      <c r="E106" s="223">
        <f t="shared" si="17"/>
        <v>204.88691905747837</v>
      </c>
      <c r="F106" s="183">
        <f t="shared" si="20"/>
        <v>96</v>
      </c>
      <c r="G106" s="212">
        <f>$G$105+(F106-$F$105)*($G$110-$G$105)/($F$110-$F$105)</f>
        <v>439.6</v>
      </c>
      <c r="H106" s="185">
        <f t="shared" si="18"/>
        <v>189.02800000000002</v>
      </c>
      <c r="I106" s="185">
        <f t="shared" si="14"/>
        <v>47.324993347023778</v>
      </c>
      <c r="J106" s="185">
        <f t="shared" si="21"/>
        <v>411.64813007939983</v>
      </c>
    </row>
    <row r="107" spans="1:11" x14ac:dyDescent="0.25">
      <c r="A107" s="181">
        <v>105</v>
      </c>
      <c r="B107" s="222">
        <f t="shared" si="19"/>
        <v>105</v>
      </c>
      <c r="C107" s="223">
        <f t="shared" si="15"/>
        <v>93.366</v>
      </c>
      <c r="D107" s="223">
        <f t="shared" si="16"/>
        <v>25.375280233490678</v>
      </c>
      <c r="E107" s="223">
        <f t="shared" si="17"/>
        <v>206.80772973999626</v>
      </c>
      <c r="F107" s="183">
        <f t="shared" si="20"/>
        <v>97</v>
      </c>
      <c r="G107" s="212">
        <f>$G$105+(F107-$F$105)*($G$110-$G$105)/($F$110-$F$105)</f>
        <v>445.2</v>
      </c>
      <c r="H107" s="185">
        <f t="shared" si="18"/>
        <v>191.43599999999998</v>
      </c>
      <c r="I107" s="185">
        <f t="shared" si="14"/>
        <v>47.857292804386063</v>
      </c>
      <c r="J107" s="185">
        <f t="shared" si="21"/>
        <v>416.76915163430567</v>
      </c>
    </row>
    <row r="108" spans="1:11" x14ac:dyDescent="0.25">
      <c r="A108" s="181">
        <v>106</v>
      </c>
      <c r="B108" s="222">
        <f t="shared" si="19"/>
        <v>106</v>
      </c>
      <c r="C108" s="223">
        <f t="shared" si="15"/>
        <v>94.255200000000002</v>
      </c>
      <c r="D108" s="223">
        <f t="shared" si="16"/>
        <v>25.588701314145247</v>
      </c>
      <c r="E108" s="223">
        <f t="shared" si="17"/>
        <v>208.72812812213633</v>
      </c>
      <c r="F108" s="183">
        <f t="shared" si="20"/>
        <v>98</v>
      </c>
      <c r="G108" s="212">
        <f>$G$105+(F108-$F$105)*($G$110-$G$105)/($F$110-$F$105)</f>
        <v>450.8</v>
      </c>
      <c r="H108" s="185">
        <f t="shared" si="18"/>
        <v>193.84399999999999</v>
      </c>
      <c r="I108" s="185">
        <f t="shared" si="14"/>
        <v>48.388813443554795</v>
      </c>
      <c r="J108" s="185">
        <f t="shared" si="21"/>
        <v>421.88881674752457</v>
      </c>
    </row>
    <row r="109" spans="1:11" x14ac:dyDescent="0.25">
      <c r="A109" s="181">
        <v>107</v>
      </c>
      <c r="B109" s="222">
        <f t="shared" si="19"/>
        <v>107</v>
      </c>
      <c r="C109" s="223">
        <f t="shared" si="15"/>
        <v>95.144400000000005</v>
      </c>
      <c r="D109" s="223">
        <f t="shared" si="16"/>
        <v>25.801888159247703</v>
      </c>
      <c r="E109" s="223">
        <f t="shared" si="17"/>
        <v>210.64811854402308</v>
      </c>
      <c r="F109" s="183">
        <f t="shared" si="20"/>
        <v>99</v>
      </c>
      <c r="G109" s="212">
        <f>$G$105+(F109-$F$105)*($G$110-$G$105)/($F$110-$F$105)</f>
        <v>456.4</v>
      </c>
      <c r="H109" s="185">
        <f t="shared" si="18"/>
        <v>196.25199999999998</v>
      </c>
      <c r="I109" s="185">
        <f t="shared" si="14"/>
        <v>48.919566058185353</v>
      </c>
      <c r="J109" s="185">
        <f t="shared" si="21"/>
        <v>427.00714421800609</v>
      </c>
    </row>
    <row r="110" spans="1:11" x14ac:dyDescent="0.25">
      <c r="A110" s="181">
        <v>108</v>
      </c>
      <c r="B110" s="222">
        <f t="shared" si="19"/>
        <v>108</v>
      </c>
      <c r="C110" s="223">
        <f t="shared" si="15"/>
        <v>96.033600000000007</v>
      </c>
      <c r="D110" s="223">
        <f t="shared" si="16"/>
        <v>26.014843211471227</v>
      </c>
      <c r="E110" s="223">
        <f t="shared" si="17"/>
        <v>212.56770525997908</v>
      </c>
      <c r="F110" s="183">
        <f t="shared" si="20"/>
        <v>100</v>
      </c>
      <c r="G110" s="212">
        <v>462</v>
      </c>
      <c r="H110" s="185">
        <f t="shared" si="18"/>
        <v>198.66</v>
      </c>
      <c r="I110" s="185">
        <f t="shared" si="14"/>
        <v>49.449561161821713</v>
      </c>
      <c r="J110" s="185">
        <f t="shared" si="21"/>
        <v>432.12415235683949</v>
      </c>
    </row>
    <row r="111" spans="1:11" x14ac:dyDescent="0.25">
      <c r="A111" s="181">
        <v>109</v>
      </c>
      <c r="B111" s="222">
        <f t="shared" si="19"/>
        <v>109</v>
      </c>
      <c r="C111" s="223">
        <f t="shared" si="15"/>
        <v>96.922799999999981</v>
      </c>
      <c r="D111" s="223">
        <f t="shared" si="16"/>
        <v>26.227568865645353</v>
      </c>
      <c r="E111" s="223">
        <f t="shared" si="17"/>
        <v>214.48689244099896</v>
      </c>
      <c r="F111" s="183">
        <f t="shared" si="20"/>
        <v>101</v>
      </c>
      <c r="G111" s="212">
        <f>$G$110+(F111-$F$110)*($G$115-$G$110)/($F$115-$F$110)</f>
        <v>467</v>
      </c>
      <c r="H111" s="185">
        <f t="shared" si="18"/>
        <v>200.81</v>
      </c>
      <c r="I111" s="185">
        <f t="shared" si="14"/>
        <v>49.922139312667404</v>
      </c>
      <c r="J111" s="185">
        <f t="shared" si="21"/>
        <v>436.69180930289576</v>
      </c>
    </row>
    <row r="112" spans="1:11" x14ac:dyDescent="0.25">
      <c r="A112" s="181">
        <v>110</v>
      </c>
      <c r="B112" s="222">
        <f t="shared" si="19"/>
        <v>110</v>
      </c>
      <c r="C112" s="223">
        <f t="shared" si="15"/>
        <v>97.811999999999983</v>
      </c>
      <c r="D112" s="223">
        <f t="shared" si="16"/>
        <v>26.44006747012326</v>
      </c>
      <c r="E112" s="223">
        <f t="shared" si="17"/>
        <v>216.40568417713132</v>
      </c>
      <c r="F112" s="183">
        <f t="shared" si="20"/>
        <v>102</v>
      </c>
      <c r="G112" s="212">
        <f>$G$110+(F112-$F$110)*($G$115-$G$110)/($F$115-$F$110)</f>
        <v>472</v>
      </c>
      <c r="H112" s="185">
        <f t="shared" si="18"/>
        <v>202.96</v>
      </c>
      <c r="I112" s="185">
        <f t="shared" si="14"/>
        <v>50.394128866673796</v>
      </c>
      <c r="J112" s="185">
        <f t="shared" si="21"/>
        <v>441.2584411094569</v>
      </c>
    </row>
    <row r="113" spans="2:10" x14ac:dyDescent="0.25">
      <c r="B113" s="188"/>
      <c r="C113" s="189"/>
      <c r="D113" s="189"/>
      <c r="E113" s="189"/>
      <c r="F113" s="183">
        <f t="shared" si="20"/>
        <v>103</v>
      </c>
      <c r="G113" s="212">
        <f>$G$110+(F113-$F$110)*($G$115-$G$110)/($F$115-$F$110)</f>
        <v>477</v>
      </c>
      <c r="H113" s="185">
        <f t="shared" si="18"/>
        <v>205.10999999999999</v>
      </c>
      <c r="I113" s="185">
        <f>EXP(-1.0587+0.8836*LN(H113)+0.284)</f>
        <v>50.865536780718593</v>
      </c>
      <c r="J113" s="185">
        <f t="shared" si="21"/>
        <v>445.82405989308478</v>
      </c>
    </row>
    <row r="114" spans="2:10" x14ac:dyDescent="0.25">
      <c r="B114" s="188"/>
      <c r="C114" s="189"/>
      <c r="D114" s="189"/>
      <c r="E114" s="189"/>
      <c r="F114" s="183">
        <f t="shared" si="20"/>
        <v>104</v>
      </c>
      <c r="G114" s="212">
        <f>$G$110+(F114-$F$110)*($G$115-$G$110)/($F$115-$F$110)</f>
        <v>482</v>
      </c>
      <c r="H114" s="185">
        <f t="shared" si="18"/>
        <v>207.26</v>
      </c>
      <c r="I114" s="185">
        <f>EXP(-1.0587+0.8836*LN(H114)+0.284)</f>
        <v>51.336369857430014</v>
      </c>
      <c r="J114" s="185">
        <f t="shared" si="21"/>
        <v>450.38867750169055</v>
      </c>
    </row>
    <row r="115" spans="2:10" x14ac:dyDescent="0.25">
      <c r="F115" s="183">
        <f t="shared" si="20"/>
        <v>105</v>
      </c>
      <c r="G115" s="212">
        <f>470+462-445</f>
        <v>487</v>
      </c>
      <c r="H115" s="185">
        <f t="shared" si="18"/>
        <v>209.41</v>
      </c>
      <c r="I115" s="185">
        <f t="shared" ref="I115:I120" si="22">EXP(-1.0587+0.8836*LN(H115)+0.284)</f>
        <v>51.806634750171533</v>
      </c>
      <c r="J115" s="185">
        <f t="shared" si="21"/>
        <v>454.95230552321544</v>
      </c>
    </row>
    <row r="116" spans="2:10" x14ac:dyDescent="0.25">
      <c r="F116" s="183">
        <f t="shared" si="20"/>
        <v>106</v>
      </c>
      <c r="G116" s="212">
        <f>$G$115+(F116-$F$115)*($G$120-$G$115)/($F$120-$F$115)</f>
        <v>492.2</v>
      </c>
      <c r="H116" s="185">
        <f t="shared" si="18"/>
        <v>211.64599999999999</v>
      </c>
      <c r="I116" s="185">
        <f t="shared" si="22"/>
        <v>52.295114504226561</v>
      </c>
      <c r="J116" s="185">
        <f t="shared" si="21"/>
        <v>459.69744109486123</v>
      </c>
    </row>
    <row r="117" spans="2:10" x14ac:dyDescent="0.25">
      <c r="F117" s="183">
        <f t="shared" si="20"/>
        <v>107</v>
      </c>
      <c r="G117" s="212">
        <f>$G$115+(F117-$F$115)*($G$120-$G$115)/($F$120-$F$115)</f>
        <v>497.4</v>
      </c>
      <c r="H117" s="185">
        <f t="shared" si="18"/>
        <v>213.88199999999998</v>
      </c>
      <c r="I117" s="185">
        <f t="shared" si="22"/>
        <v>52.782993910626054</v>
      </c>
      <c r="J117" s="185">
        <f t="shared" si="21"/>
        <v>464.44153106100697</v>
      </c>
    </row>
    <row r="118" spans="2:10" x14ac:dyDescent="0.25">
      <c r="F118" s="183">
        <f t="shared" si="20"/>
        <v>108</v>
      </c>
      <c r="G118" s="212">
        <f>$G$115+(F118-$F$115)*($G$120-$G$115)/($F$120-$F$115)</f>
        <v>502.6</v>
      </c>
      <c r="H118" s="185">
        <f t="shared" si="18"/>
        <v>216.11799999999999</v>
      </c>
      <c r="I118" s="185">
        <f t="shared" si="22"/>
        <v>53.270279972172681</v>
      </c>
      <c r="J118" s="185">
        <f t="shared" si="21"/>
        <v>469.18458761820074</v>
      </c>
    </row>
    <row r="119" spans="2:10" x14ac:dyDescent="0.25">
      <c r="F119" s="183">
        <f t="shared" si="20"/>
        <v>109</v>
      </c>
      <c r="G119" s="212">
        <f>$G$115+(F119-$F$115)*($G$120-$G$115)/($F$120-$F$115)</f>
        <v>507.8</v>
      </c>
      <c r="H119" s="185">
        <f t="shared" si="18"/>
        <v>218.35400000000001</v>
      </c>
      <c r="I119" s="185">
        <f t="shared" si="22"/>
        <v>53.756979538415074</v>
      </c>
      <c r="J119" s="185">
        <f t="shared" si="21"/>
        <v>473.92662269607291</v>
      </c>
    </row>
    <row r="120" spans="2:10" x14ac:dyDescent="0.25">
      <c r="F120" s="184">
        <v>110</v>
      </c>
      <c r="G120" s="212">
        <f>479+470-453+462-445</f>
        <v>513</v>
      </c>
      <c r="H120" s="185">
        <f t="shared" si="18"/>
        <v>220.59</v>
      </c>
      <c r="I120" s="185">
        <f t="shared" si="22"/>
        <v>54.243099310535925</v>
      </c>
      <c r="J120" s="185">
        <f t="shared" si="21"/>
        <v>478.66764796584999</v>
      </c>
    </row>
    <row r="121" spans="2:10" x14ac:dyDescent="0.25">
      <c r="F121" s="184">
        <v>110</v>
      </c>
      <c r="G121" s="212">
        <v>0</v>
      </c>
      <c r="H121" s="185">
        <f t="shared" si="18"/>
        <v>0</v>
      </c>
      <c r="I121" s="185">
        <v>0</v>
      </c>
      <c r="J121" s="185">
        <f t="shared" si="21"/>
        <v>0</v>
      </c>
    </row>
    <row r="122" spans="2:10" x14ac:dyDescent="0.25">
      <c r="F122" s="188"/>
    </row>
    <row r="123" spans="2:10" x14ac:dyDescent="0.25">
      <c r="F123" s="188"/>
    </row>
    <row r="124" spans="2:10" x14ac:dyDescent="0.25">
      <c r="F124" s="188"/>
    </row>
    <row r="125" spans="2:10" x14ac:dyDescent="0.25">
      <c r="F125" s="188"/>
    </row>
    <row r="126" spans="2:10" x14ac:dyDescent="0.25">
      <c r="F126" s="188"/>
    </row>
    <row r="127" spans="2:10" x14ac:dyDescent="0.25">
      <c r="F127" s="188"/>
    </row>
    <row r="128" spans="2:10" x14ac:dyDescent="0.25">
      <c r="F128" s="188"/>
    </row>
    <row r="129" spans="6:6" x14ac:dyDescent="0.25">
      <c r="F129" s="188"/>
    </row>
    <row r="130" spans="6:6" x14ac:dyDescent="0.25">
      <c r="F130" s="188"/>
    </row>
    <row r="131" spans="6:6" x14ac:dyDescent="0.25">
      <c r="F131" s="188"/>
    </row>
    <row r="132" spans="6:6" x14ac:dyDescent="0.25">
      <c r="F132" s="188"/>
    </row>
    <row r="133" spans="6:6" x14ac:dyDescent="0.25">
      <c r="F133" s="188"/>
    </row>
    <row r="134" spans="6:6" x14ac:dyDescent="0.25">
      <c r="F134" s="188"/>
    </row>
    <row r="135" spans="6:6" x14ac:dyDescent="0.25">
      <c r="F135" s="188"/>
    </row>
    <row r="136" spans="6:6" x14ac:dyDescent="0.25">
      <c r="F136" s="188"/>
    </row>
    <row r="137" spans="6:6" x14ac:dyDescent="0.25">
      <c r="F137" s="188"/>
    </row>
    <row r="138" spans="6:6" x14ac:dyDescent="0.25">
      <c r="F138" s="188"/>
    </row>
    <row r="139" spans="6:6" x14ac:dyDescent="0.25">
      <c r="F139" s="188"/>
    </row>
    <row r="140" spans="6:6" x14ac:dyDescent="0.25">
      <c r="F140" s="188"/>
    </row>
    <row r="141" spans="6:6" x14ac:dyDescent="0.25">
      <c r="F141" s="188"/>
    </row>
    <row r="142" spans="6:6" x14ac:dyDescent="0.25">
      <c r="F142" s="188"/>
    </row>
    <row r="143" spans="6:6" x14ac:dyDescent="0.25">
      <c r="F143" s="188"/>
    </row>
    <row r="144" spans="6:6" x14ac:dyDescent="0.25">
      <c r="F144" s="188"/>
    </row>
    <row r="145" spans="6:6" x14ac:dyDescent="0.25">
      <c r="F145" s="188"/>
    </row>
    <row r="146" spans="6:6" x14ac:dyDescent="0.25">
      <c r="F146" s="188"/>
    </row>
    <row r="147" spans="6:6" x14ac:dyDescent="0.25">
      <c r="F147" s="188"/>
    </row>
    <row r="148" spans="6:6" x14ac:dyDescent="0.25">
      <c r="F148" s="188"/>
    </row>
    <row r="149" spans="6:6" x14ac:dyDescent="0.25">
      <c r="F149" s="188"/>
    </row>
    <row r="150" spans="6:6" x14ac:dyDescent="0.25">
      <c r="F150" s="188"/>
    </row>
    <row r="151" spans="6:6" x14ac:dyDescent="0.25">
      <c r="F151" s="188"/>
    </row>
    <row r="152" spans="6:6" x14ac:dyDescent="0.25">
      <c r="F152" s="188"/>
    </row>
    <row r="153" spans="6:6" x14ac:dyDescent="0.25">
      <c r="F153" s="188"/>
    </row>
    <row r="154" spans="6:6" x14ac:dyDescent="0.25">
      <c r="F154" s="188"/>
    </row>
    <row r="155" spans="6:6" x14ac:dyDescent="0.25">
      <c r="F155" s="188"/>
    </row>
    <row r="156" spans="6:6" x14ac:dyDescent="0.25">
      <c r="F156" s="188"/>
    </row>
    <row r="157" spans="6:6" x14ac:dyDescent="0.25">
      <c r="F157" s="188"/>
    </row>
    <row r="158" spans="6:6" x14ac:dyDescent="0.25">
      <c r="F158" s="188"/>
    </row>
    <row r="159" spans="6:6" x14ac:dyDescent="0.25">
      <c r="F159" s="188"/>
    </row>
    <row r="160" spans="6:6" x14ac:dyDescent="0.25">
      <c r="F160" s="188"/>
    </row>
    <row r="161" spans="6:6" x14ac:dyDescent="0.25">
      <c r="F161" s="188"/>
    </row>
    <row r="162" spans="6:6" x14ac:dyDescent="0.25">
      <c r="F162" s="188"/>
    </row>
    <row r="163" spans="6:6" x14ac:dyDescent="0.25">
      <c r="F163" s="188"/>
    </row>
    <row r="164" spans="6:6" x14ac:dyDescent="0.25">
      <c r="F164" s="188"/>
    </row>
    <row r="165" spans="6:6" x14ac:dyDescent="0.25">
      <c r="F165" s="188"/>
    </row>
    <row r="166" spans="6:6" x14ac:dyDescent="0.25">
      <c r="F166" s="188"/>
    </row>
    <row r="167" spans="6:6" x14ac:dyDescent="0.25">
      <c r="F167" s="188"/>
    </row>
    <row r="168" spans="6:6" x14ac:dyDescent="0.25">
      <c r="F168" s="188"/>
    </row>
    <row r="169" spans="6:6" x14ac:dyDescent="0.25">
      <c r="F169" s="188"/>
    </row>
    <row r="170" spans="6:6" x14ac:dyDescent="0.25">
      <c r="F170" s="188"/>
    </row>
    <row r="171" spans="6:6" x14ac:dyDescent="0.25">
      <c r="F171" s="188"/>
    </row>
    <row r="172" spans="6:6" x14ac:dyDescent="0.25">
      <c r="F172" s="188"/>
    </row>
    <row r="173" spans="6:6" x14ac:dyDescent="0.25">
      <c r="F173" s="188"/>
    </row>
    <row r="174" spans="6:6" x14ac:dyDescent="0.25">
      <c r="F174" s="188"/>
    </row>
    <row r="175" spans="6:6" x14ac:dyDescent="0.25">
      <c r="F175" s="188"/>
    </row>
    <row r="176" spans="6:6" x14ac:dyDescent="0.25">
      <c r="F176" s="188"/>
    </row>
    <row r="177" spans="6:6" x14ac:dyDescent="0.25">
      <c r="F177" s="188"/>
    </row>
    <row r="178" spans="6:6" x14ac:dyDescent="0.25">
      <c r="F178" s="188"/>
    </row>
    <row r="179" spans="6:6" x14ac:dyDescent="0.25">
      <c r="F179" s="188"/>
    </row>
    <row r="180" spans="6:6" x14ac:dyDescent="0.25">
      <c r="F180" s="188"/>
    </row>
    <row r="181" spans="6:6" x14ac:dyDescent="0.25">
      <c r="F181" s="188"/>
    </row>
    <row r="182" spans="6:6" x14ac:dyDescent="0.25">
      <c r="F182" s="188"/>
    </row>
    <row r="183" spans="6:6" x14ac:dyDescent="0.25">
      <c r="F183" s="188"/>
    </row>
    <row r="184" spans="6:6" x14ac:dyDescent="0.25">
      <c r="F184" s="188"/>
    </row>
    <row r="185" spans="6:6" x14ac:dyDescent="0.25">
      <c r="F185" s="188"/>
    </row>
    <row r="186" spans="6:6" x14ac:dyDescent="0.25">
      <c r="F186" s="188"/>
    </row>
    <row r="187" spans="6:6" x14ac:dyDescent="0.25">
      <c r="F187" s="188"/>
    </row>
    <row r="188" spans="6:6" x14ac:dyDescent="0.25">
      <c r="F188" s="188"/>
    </row>
    <row r="189" spans="6:6" x14ac:dyDescent="0.25">
      <c r="F189" s="188"/>
    </row>
    <row r="190" spans="6:6" x14ac:dyDescent="0.25">
      <c r="F190" s="188"/>
    </row>
    <row r="191" spans="6:6" x14ac:dyDescent="0.25">
      <c r="F191" s="188"/>
    </row>
    <row r="192" spans="6:6" x14ac:dyDescent="0.25">
      <c r="F192" s="188"/>
    </row>
    <row r="193" spans="6:6" x14ac:dyDescent="0.25">
      <c r="F193" s="188"/>
    </row>
    <row r="194" spans="6:6" x14ac:dyDescent="0.25">
      <c r="F194" s="188"/>
    </row>
    <row r="195" spans="6:6" x14ac:dyDescent="0.25">
      <c r="F195" s="188"/>
    </row>
    <row r="196" spans="6:6" x14ac:dyDescent="0.25">
      <c r="F196" s="188"/>
    </row>
    <row r="197" spans="6:6" x14ac:dyDescent="0.25">
      <c r="F197" s="188"/>
    </row>
    <row r="198" spans="6:6" x14ac:dyDescent="0.25">
      <c r="F198" s="188"/>
    </row>
    <row r="199" spans="6:6" x14ac:dyDescent="0.25">
      <c r="F199" s="188"/>
    </row>
    <row r="200" spans="6:6" x14ac:dyDescent="0.25">
      <c r="F200" s="188"/>
    </row>
    <row r="201" spans="6:6" x14ac:dyDescent="0.25">
      <c r="F201" s="188"/>
    </row>
    <row r="202" spans="6:6" x14ac:dyDescent="0.25">
      <c r="F202" s="188"/>
    </row>
    <row r="203" spans="6:6" x14ac:dyDescent="0.25">
      <c r="F203" s="188"/>
    </row>
    <row r="204" spans="6:6" x14ac:dyDescent="0.25">
      <c r="F204" s="188"/>
    </row>
    <row r="205" spans="6:6" x14ac:dyDescent="0.25">
      <c r="F205" s="188"/>
    </row>
    <row r="206" spans="6:6" x14ac:dyDescent="0.25">
      <c r="F206" s="188"/>
    </row>
    <row r="207" spans="6:6" x14ac:dyDescent="0.25">
      <c r="F207" s="188"/>
    </row>
    <row r="208" spans="6:6" x14ac:dyDescent="0.25">
      <c r="F208" s="188"/>
    </row>
    <row r="209" spans="6:6" x14ac:dyDescent="0.25">
      <c r="F209" s="188"/>
    </row>
    <row r="210" spans="6:6" x14ac:dyDescent="0.25">
      <c r="F210" s="188"/>
    </row>
    <row r="211" spans="6:6" x14ac:dyDescent="0.25">
      <c r="F211" s="188"/>
    </row>
    <row r="212" spans="6:6" x14ac:dyDescent="0.25">
      <c r="F212" s="188"/>
    </row>
    <row r="213" spans="6:6" x14ac:dyDescent="0.25">
      <c r="F213" s="188"/>
    </row>
    <row r="214" spans="6:6" x14ac:dyDescent="0.25">
      <c r="F214" s="188"/>
    </row>
    <row r="215" spans="6:6" x14ac:dyDescent="0.25">
      <c r="F215" s="188"/>
    </row>
    <row r="216" spans="6:6" x14ac:dyDescent="0.25">
      <c r="F216" s="188"/>
    </row>
    <row r="217" spans="6:6" x14ac:dyDescent="0.25">
      <c r="F217" s="188"/>
    </row>
    <row r="218" spans="6:6" x14ac:dyDescent="0.25">
      <c r="F218" s="188"/>
    </row>
    <row r="219" spans="6:6" x14ac:dyDescent="0.25">
      <c r="F219" s="188"/>
    </row>
    <row r="220" spans="6:6" x14ac:dyDescent="0.25">
      <c r="F220" s="188"/>
    </row>
    <row r="221" spans="6:6" x14ac:dyDescent="0.25">
      <c r="F221" s="188"/>
    </row>
    <row r="222" spans="6:6" x14ac:dyDescent="0.25">
      <c r="F222" s="188"/>
    </row>
    <row r="223" spans="6:6" x14ac:dyDescent="0.25">
      <c r="F223" s="188"/>
    </row>
    <row r="224" spans="6:6" x14ac:dyDescent="0.25">
      <c r="F224" s="188"/>
    </row>
    <row r="225" spans="6:6" x14ac:dyDescent="0.25">
      <c r="F225" s="188"/>
    </row>
    <row r="226" spans="6:6" x14ac:dyDescent="0.25">
      <c r="F226" s="188"/>
    </row>
    <row r="227" spans="6:6" x14ac:dyDescent="0.25">
      <c r="F227" s="188"/>
    </row>
    <row r="228" spans="6:6" x14ac:dyDescent="0.25">
      <c r="F228" s="188"/>
    </row>
    <row r="229" spans="6:6" x14ac:dyDescent="0.25">
      <c r="F229" s="188"/>
    </row>
    <row r="230" spans="6:6" x14ac:dyDescent="0.25">
      <c r="F230" s="188"/>
    </row>
    <row r="231" spans="6:6" x14ac:dyDescent="0.25">
      <c r="F231" s="188"/>
    </row>
    <row r="232" spans="6:6" x14ac:dyDescent="0.25">
      <c r="F232" s="188"/>
    </row>
    <row r="233" spans="6:6" x14ac:dyDescent="0.25">
      <c r="F233" s="188"/>
    </row>
    <row r="234" spans="6:6" x14ac:dyDescent="0.25">
      <c r="F234" s="188"/>
    </row>
    <row r="235" spans="6:6" x14ac:dyDescent="0.25">
      <c r="F235" s="188"/>
    </row>
    <row r="236" spans="6:6" x14ac:dyDescent="0.25">
      <c r="F236" s="188"/>
    </row>
    <row r="237" spans="6:6" x14ac:dyDescent="0.25">
      <c r="F237" s="188"/>
    </row>
    <row r="238" spans="6:6" x14ac:dyDescent="0.25">
      <c r="F238" s="188"/>
    </row>
    <row r="239" spans="6:6" x14ac:dyDescent="0.25">
      <c r="F239" s="188"/>
    </row>
    <row r="240" spans="6:6" x14ac:dyDescent="0.25">
      <c r="F240" s="188"/>
    </row>
    <row r="241" spans="6:6" x14ac:dyDescent="0.25">
      <c r="F241" s="188"/>
    </row>
    <row r="242" spans="6:6" x14ac:dyDescent="0.25">
      <c r="F242" s="188"/>
    </row>
    <row r="243" spans="6:6" x14ac:dyDescent="0.25">
      <c r="F243" s="188"/>
    </row>
  </sheetData>
  <mergeCells count="1">
    <mergeCell ref="X1:X1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0237-C092-48B4-AF77-E99EBE887966}">
  <sheetPr>
    <tabColor rgb="FFFFC000"/>
  </sheetPr>
  <dimension ref="S7:T16"/>
  <sheetViews>
    <sheetView topLeftCell="F1" workbookViewId="0">
      <selection activeCell="W1" sqref="W1:W16"/>
    </sheetView>
  </sheetViews>
  <sheetFormatPr baseColWidth="10" defaultColWidth="10.85546875" defaultRowHeight="15" x14ac:dyDescent="0.25"/>
  <cols>
    <col min="19" max="19" width="17.7109375" bestFit="1" customWidth="1"/>
    <col min="20" max="20" width="64.85546875" bestFit="1" customWidth="1"/>
  </cols>
  <sheetData>
    <row r="7" spans="19:20" x14ac:dyDescent="0.25">
      <c r="S7" s="595" t="s">
        <v>407</v>
      </c>
      <c r="T7" s="227" t="s">
        <v>408</v>
      </c>
    </row>
    <row r="8" spans="19:20" x14ac:dyDescent="0.25">
      <c r="S8" s="596"/>
      <c r="T8" s="22" t="s">
        <v>409</v>
      </c>
    </row>
    <row r="9" spans="19:20" x14ac:dyDescent="0.25">
      <c r="S9" s="228" t="s">
        <v>390</v>
      </c>
      <c r="T9" s="22" t="s">
        <v>410</v>
      </c>
    </row>
    <row r="10" spans="19:20" x14ac:dyDescent="0.25">
      <c r="S10" s="228" t="s">
        <v>392</v>
      </c>
      <c r="T10" s="22" t="s">
        <v>411</v>
      </c>
    </row>
    <row r="11" spans="19:20" x14ac:dyDescent="0.25">
      <c r="S11" s="228" t="s">
        <v>225</v>
      </c>
      <c r="T11" s="22">
        <v>2004</v>
      </c>
    </row>
    <row r="12" spans="19:20" x14ac:dyDescent="0.25">
      <c r="S12" s="228" t="s">
        <v>394</v>
      </c>
      <c r="T12" s="22" t="s">
        <v>412</v>
      </c>
    </row>
    <row r="13" spans="19:20" x14ac:dyDescent="0.25">
      <c r="S13" s="228" t="s">
        <v>396</v>
      </c>
      <c r="T13" s="22">
        <v>6</v>
      </c>
    </row>
    <row r="14" spans="19:20" x14ac:dyDescent="0.25">
      <c r="S14" s="228" t="s">
        <v>397</v>
      </c>
      <c r="T14" s="22">
        <v>3</v>
      </c>
    </row>
    <row r="15" spans="19:20" x14ac:dyDescent="0.25">
      <c r="S15" s="228" t="s">
        <v>398</v>
      </c>
      <c r="T15" s="22" t="s">
        <v>413</v>
      </c>
    </row>
    <row r="16" spans="19:20" x14ac:dyDescent="0.25">
      <c r="S16" s="228" t="s">
        <v>400</v>
      </c>
      <c r="T16" s="22" t="s">
        <v>414</v>
      </c>
    </row>
  </sheetData>
  <mergeCells count="1">
    <mergeCell ref="S7:S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3117-368B-4EF0-BA91-DE38056318D5}">
  <sheetPr>
    <tabColor theme="9"/>
    <pageSetUpPr fitToPage="1"/>
  </sheetPr>
  <dimension ref="A1:AC163"/>
  <sheetViews>
    <sheetView zoomScale="90" zoomScaleNormal="90" workbookViewId="0">
      <selection activeCell="L148" sqref="L148"/>
    </sheetView>
  </sheetViews>
  <sheetFormatPr baseColWidth="10" defaultColWidth="11.42578125" defaultRowHeight="15" x14ac:dyDescent="0.25"/>
  <cols>
    <col min="1" max="1" width="13" style="256" customWidth="1"/>
    <col min="2" max="3" width="12.28515625" style="256" customWidth="1"/>
    <col min="4" max="5" width="13.5703125" style="256" customWidth="1"/>
    <col min="6" max="7" width="15.28515625" style="256" bestFit="1" customWidth="1"/>
    <col min="8" max="8" width="15.28515625" style="256" customWidth="1"/>
    <col min="9" max="9" width="20.7109375" style="256" customWidth="1"/>
    <col min="10" max="10" width="14.85546875" style="256" bestFit="1" customWidth="1"/>
    <col min="11" max="11" width="12.28515625" style="256" customWidth="1"/>
    <col min="12" max="12" width="9.140625" style="256" customWidth="1"/>
    <col min="13" max="13" width="14.140625" style="256" customWidth="1"/>
    <col min="14" max="14" width="11.5703125" style="256" customWidth="1"/>
    <col min="15" max="15" width="13.28515625" style="256" customWidth="1"/>
    <col min="16" max="16" width="12.7109375" style="256" customWidth="1"/>
    <col min="17" max="17" width="11.42578125" style="256"/>
    <col min="18" max="18" width="15.7109375" style="256" bestFit="1" customWidth="1"/>
    <col min="19" max="20" width="11.42578125" style="256" customWidth="1"/>
    <col min="21" max="27" width="13.85546875" style="256" customWidth="1"/>
    <col min="28" max="28" width="15.7109375" style="256" customWidth="1"/>
    <col min="29" max="29" width="9.28515625" style="256" customWidth="1"/>
    <col min="30" max="16384" width="11.42578125" style="256"/>
  </cols>
  <sheetData>
    <row r="1" spans="1:29" ht="24" customHeight="1" thickBot="1" x14ac:dyDescent="0.4">
      <c r="A1" s="550" t="s">
        <v>141</v>
      </c>
      <c r="B1" s="551"/>
      <c r="C1" s="551"/>
      <c r="D1" s="551"/>
      <c r="E1" s="551"/>
      <c r="F1" s="552"/>
      <c r="G1" s="550" t="s">
        <v>134</v>
      </c>
      <c r="H1" s="551"/>
      <c r="I1" s="551"/>
      <c r="J1" s="551"/>
      <c r="K1" s="551"/>
      <c r="L1" s="552"/>
      <c r="M1" s="559" t="s">
        <v>135</v>
      </c>
      <c r="N1" s="560"/>
      <c r="O1" s="560"/>
      <c r="P1" s="560"/>
      <c r="Q1" s="560"/>
      <c r="R1" s="561"/>
      <c r="S1" s="487" t="s">
        <v>456</v>
      </c>
      <c r="T1" s="488"/>
      <c r="U1" s="488"/>
      <c r="V1" s="488"/>
      <c r="W1" s="488"/>
      <c r="X1" s="488"/>
      <c r="Y1" s="488"/>
      <c r="Z1" s="488"/>
      <c r="AA1" s="488"/>
      <c r="AB1" s="470" t="s">
        <v>485</v>
      </c>
      <c r="AC1" s="471"/>
    </row>
    <row r="2" spans="1:29" s="286" customFormat="1" ht="60.75" thickBot="1" x14ac:dyDescent="0.3">
      <c r="A2" s="328" t="s">
        <v>126</v>
      </c>
      <c r="B2" s="329" t="s">
        <v>130</v>
      </c>
      <c r="C2" s="329" t="s">
        <v>281</v>
      </c>
      <c r="D2" s="329" t="s">
        <v>127</v>
      </c>
      <c r="E2" s="329" t="s">
        <v>128</v>
      </c>
      <c r="F2" s="330" t="s">
        <v>144</v>
      </c>
      <c r="G2" s="328" t="s">
        <v>129</v>
      </c>
      <c r="H2" s="329" t="s">
        <v>111</v>
      </c>
      <c r="I2" s="329" t="s">
        <v>254</v>
      </c>
      <c r="J2" s="329" t="s">
        <v>143</v>
      </c>
      <c r="K2" s="329" t="s">
        <v>131</v>
      </c>
      <c r="L2" s="330" t="s">
        <v>133</v>
      </c>
      <c r="M2" s="331" t="s">
        <v>136</v>
      </c>
      <c r="N2" s="329" t="s">
        <v>138</v>
      </c>
      <c r="O2" s="329" t="s">
        <v>139</v>
      </c>
      <c r="P2" s="329" t="s">
        <v>140</v>
      </c>
      <c r="Q2" s="329" t="s">
        <v>137</v>
      </c>
      <c r="R2" s="330" t="s">
        <v>15</v>
      </c>
      <c r="S2" s="332" t="s">
        <v>457</v>
      </c>
      <c r="T2" s="332" t="s">
        <v>466</v>
      </c>
      <c r="U2" s="333" t="s">
        <v>449</v>
      </c>
      <c r="V2" s="334" t="s">
        <v>450</v>
      </c>
      <c r="W2" s="333" t="s">
        <v>451</v>
      </c>
      <c r="X2" s="334" t="s">
        <v>452</v>
      </c>
      <c r="Y2" s="333" t="s">
        <v>453</v>
      </c>
      <c r="Z2" s="333" t="s">
        <v>454</v>
      </c>
      <c r="AA2" s="334" t="s">
        <v>455</v>
      </c>
      <c r="AB2" s="330" t="s">
        <v>483</v>
      </c>
      <c r="AC2" s="426" t="s">
        <v>482</v>
      </c>
    </row>
    <row r="3" spans="1:29" ht="14.45" hidden="1" customHeight="1" x14ac:dyDescent="0.3">
      <c r="A3" s="553" t="s">
        <v>478</v>
      </c>
      <c r="B3" s="546" t="s">
        <v>155</v>
      </c>
      <c r="C3" s="527" t="s">
        <v>279</v>
      </c>
      <c r="D3" s="546" t="s">
        <v>142</v>
      </c>
      <c r="E3" s="546" t="s">
        <v>280</v>
      </c>
      <c r="F3" s="570">
        <v>12.5</v>
      </c>
      <c r="G3" s="553" t="s">
        <v>153</v>
      </c>
      <c r="H3" s="527" t="s">
        <v>171</v>
      </c>
      <c r="I3" s="419" t="s">
        <v>298</v>
      </c>
      <c r="J3" s="419">
        <v>1200</v>
      </c>
      <c r="K3" s="421">
        <f>IFERROR(J3/J7,0)</f>
        <v>0.75</v>
      </c>
      <c r="L3" s="422">
        <f>$F$7*K3</f>
        <v>9.375</v>
      </c>
      <c r="M3" s="555">
        <v>100</v>
      </c>
      <c r="N3" s="419">
        <v>3500</v>
      </c>
      <c r="O3" s="419">
        <v>300</v>
      </c>
      <c r="P3" s="546">
        <v>250</v>
      </c>
      <c r="Q3" s="557">
        <v>0.12</v>
      </c>
      <c r="R3" s="335">
        <f>L3*(M3+N3+O3+P3+Q3)</f>
        <v>38907.375</v>
      </c>
      <c r="S3" s="489" t="s">
        <v>461</v>
      </c>
      <c r="T3" s="490"/>
      <c r="U3" s="490"/>
      <c r="V3" s="490"/>
      <c r="W3" s="490"/>
      <c r="X3" s="490"/>
      <c r="Y3" s="490"/>
      <c r="Z3" s="490"/>
      <c r="AA3" s="490"/>
      <c r="AB3" s="335"/>
      <c r="AC3" s="427"/>
    </row>
    <row r="4" spans="1:29" ht="15" hidden="1" customHeight="1" x14ac:dyDescent="0.3">
      <c r="A4" s="554"/>
      <c r="B4" s="547"/>
      <c r="C4" s="528"/>
      <c r="D4" s="547"/>
      <c r="E4" s="547"/>
      <c r="F4" s="571"/>
      <c r="G4" s="554"/>
      <c r="H4" s="528"/>
      <c r="I4" s="420" t="s">
        <v>86</v>
      </c>
      <c r="J4" s="420">
        <v>400</v>
      </c>
      <c r="K4" s="423">
        <f>IFERROR(J4/J7,0)</f>
        <v>0.25</v>
      </c>
      <c r="L4" s="424">
        <f>$F$7*K4</f>
        <v>3.125</v>
      </c>
      <c r="M4" s="556"/>
      <c r="N4" s="420">
        <v>1500</v>
      </c>
      <c r="O4" s="420"/>
      <c r="P4" s="547"/>
      <c r="Q4" s="558"/>
      <c r="R4" s="336">
        <f>L4*(M3+N4+O4+P3+Q3)</f>
        <v>5781.625</v>
      </c>
      <c r="S4" s="491"/>
      <c r="T4" s="492"/>
      <c r="U4" s="492"/>
      <c r="V4" s="492"/>
      <c r="W4" s="492"/>
      <c r="X4" s="492"/>
      <c r="Y4" s="492"/>
      <c r="Z4" s="492"/>
      <c r="AA4" s="492"/>
      <c r="AB4" s="336"/>
      <c r="AC4" s="428"/>
    </row>
    <row r="5" spans="1:29" ht="15" hidden="1" customHeight="1" x14ac:dyDescent="0.3">
      <c r="A5" s="554"/>
      <c r="B5" s="547"/>
      <c r="C5" s="528"/>
      <c r="D5" s="547" t="s">
        <v>148</v>
      </c>
      <c r="E5" s="547"/>
      <c r="F5" s="571"/>
      <c r="G5" s="554"/>
      <c r="H5" s="528"/>
      <c r="I5" s="420"/>
      <c r="J5" s="420"/>
      <c r="K5" s="423">
        <f>IFERROR(J5/J7,0)</f>
        <v>0</v>
      </c>
      <c r="L5" s="424">
        <f>$F$7*K5</f>
        <v>0</v>
      </c>
      <c r="M5" s="556"/>
      <c r="N5" s="420"/>
      <c r="O5" s="420"/>
      <c r="P5" s="547"/>
      <c r="Q5" s="558"/>
      <c r="R5" s="336">
        <f>L5*(M3+N5+O5+P3+Q3)</f>
        <v>0</v>
      </c>
      <c r="S5" s="491"/>
      <c r="T5" s="492"/>
      <c r="U5" s="492"/>
      <c r="V5" s="492"/>
      <c r="W5" s="492"/>
      <c r="X5" s="492"/>
      <c r="Y5" s="492"/>
      <c r="Z5" s="492"/>
      <c r="AA5" s="492"/>
      <c r="AB5" s="336"/>
      <c r="AC5" s="428"/>
    </row>
    <row r="6" spans="1:29" ht="15" hidden="1" customHeight="1" x14ac:dyDescent="0.3">
      <c r="A6" s="554"/>
      <c r="B6" s="547"/>
      <c r="C6" s="529"/>
      <c r="D6" s="547"/>
      <c r="E6" s="547"/>
      <c r="F6" s="571"/>
      <c r="G6" s="554"/>
      <c r="H6" s="529"/>
      <c r="I6" s="420"/>
      <c r="J6" s="420"/>
      <c r="K6" s="423">
        <f>IFERROR(J6/J7,0)</f>
        <v>0</v>
      </c>
      <c r="L6" s="425">
        <f>$F$7*K6</f>
        <v>0</v>
      </c>
      <c r="M6" s="556"/>
      <c r="N6" s="420"/>
      <c r="O6" s="420"/>
      <c r="P6" s="547"/>
      <c r="Q6" s="558"/>
      <c r="R6" s="336">
        <f>L6*(M6+N6+O6+P6+Q6)</f>
        <v>0</v>
      </c>
      <c r="S6" s="491"/>
      <c r="T6" s="492"/>
      <c r="U6" s="492"/>
      <c r="V6" s="492"/>
      <c r="W6" s="492"/>
      <c r="X6" s="492"/>
      <c r="Y6" s="492"/>
      <c r="Z6" s="492"/>
      <c r="AA6" s="492"/>
      <c r="AB6" s="336"/>
      <c r="AC6" s="429"/>
    </row>
    <row r="7" spans="1:29" ht="15.75" hidden="1" customHeight="1" thickBot="1" x14ac:dyDescent="0.3">
      <c r="A7" s="585" t="s">
        <v>132</v>
      </c>
      <c r="B7" s="586"/>
      <c r="C7" s="586"/>
      <c r="D7" s="586"/>
      <c r="E7" s="568"/>
      <c r="F7" s="337">
        <f>SUM(F3:F6)</f>
        <v>12.5</v>
      </c>
      <c r="G7" s="338"/>
      <c r="H7" s="339"/>
      <c r="I7" s="339">
        <f>COUNTA(I3:I6)</f>
        <v>2</v>
      </c>
      <c r="J7" s="339">
        <f>SUM(J3:J6)</f>
        <v>1600</v>
      </c>
      <c r="K7" s="340">
        <f>SUM(K3:K6)</f>
        <v>1</v>
      </c>
      <c r="L7" s="341">
        <f>SUM(L3:L6)</f>
        <v>12.5</v>
      </c>
      <c r="M7" s="568" t="s">
        <v>132</v>
      </c>
      <c r="N7" s="569"/>
      <c r="O7" s="569"/>
      <c r="P7" s="569"/>
      <c r="Q7" s="569"/>
      <c r="R7" s="342">
        <f>SUM(R3:R6)</f>
        <v>44689</v>
      </c>
      <c r="S7" s="493"/>
      <c r="T7" s="494"/>
      <c r="U7" s="494"/>
      <c r="V7" s="494"/>
      <c r="W7" s="494"/>
      <c r="X7" s="494"/>
      <c r="Y7" s="494"/>
      <c r="Z7" s="494"/>
      <c r="AA7" s="494"/>
      <c r="AB7" s="342"/>
      <c r="AC7" s="430"/>
    </row>
    <row r="8" spans="1:29" ht="14.45" customHeight="1" x14ac:dyDescent="0.25">
      <c r="A8" s="562"/>
      <c r="B8" s="564">
        <v>1</v>
      </c>
      <c r="C8" s="530" t="s">
        <v>486</v>
      </c>
      <c r="D8" s="532" t="s">
        <v>487</v>
      </c>
      <c r="E8" s="532" t="s">
        <v>488</v>
      </c>
      <c r="F8" s="567">
        <v>3.84</v>
      </c>
      <c r="G8" s="525" t="s">
        <v>154</v>
      </c>
      <c r="H8" s="482" t="s">
        <v>171</v>
      </c>
      <c r="I8" s="323" t="s">
        <v>298</v>
      </c>
      <c r="J8" s="323">
        <v>960</v>
      </c>
      <c r="K8" s="343">
        <f>IFERROR(J8/J12,0)</f>
        <v>0.9125475285171103</v>
      </c>
      <c r="L8" s="344">
        <f>$F$12*K8</f>
        <v>3.5041825095057035</v>
      </c>
      <c r="M8" s="572">
        <f>4500/3.84</f>
        <v>1171.875</v>
      </c>
      <c r="N8" s="323">
        <f>(1.13+0.7)*(3600/3.84)</f>
        <v>1715.6249999999998</v>
      </c>
      <c r="O8" s="323">
        <v>1950</v>
      </c>
      <c r="P8" s="575">
        <v>250</v>
      </c>
      <c r="Q8" s="533">
        <v>0.12</v>
      </c>
      <c r="R8" s="345">
        <f>L8*(M8+N8+O8+P8)*(1+$Q$8)</f>
        <v>19966.831939163501</v>
      </c>
      <c r="S8" s="346" t="str">
        <f>IF(I8="Peuplier ",25,IF(I8&lt;&gt;"","Supérieure à 30 ans",""))</f>
        <v>Supérieure à 30 ans</v>
      </c>
      <c r="T8" s="347"/>
      <c r="U8" s="347">
        <f>IFERROR(VLOOKUP(I8,'Recapitulatif REE'!$A$2:$R$23,12,FALSE),"0")</f>
        <v>133.63266168802028</v>
      </c>
      <c r="V8" s="348">
        <f>IFERROR(U8*(J8/$J$12)*$F$12*(1-Fiche_signalétique_projet!$C$66),0)</f>
        <v>421.44591220726824</v>
      </c>
      <c r="W8" s="348">
        <f>IFERROR(VLOOKUP(I8,'Recapitulatif REE'!$A$2:$R$23,16,FALSE),"0")</f>
        <v>0</v>
      </c>
      <c r="X8" s="348">
        <f>W8*L8*(1-Fiche_signalétique_projet!$C$66)</f>
        <v>0</v>
      </c>
      <c r="Y8" s="348">
        <f>IFERROR(VLOOKUP(I8,'Recapitulatif REE'!$A$2:$R$23,15,FALSE),"0")</f>
        <v>2</v>
      </c>
      <c r="Z8" s="348">
        <f>IFERROR(Y8*(J8/$J$12)*$L$12*(1-Fiche_signalétique_projet!$C$66),0)</f>
        <v>6.3075285171102662</v>
      </c>
      <c r="AA8" s="439">
        <f>Z8+X8+V8</f>
        <v>427.75344072437849</v>
      </c>
      <c r="AB8" s="345">
        <f>R8-(O8*(1+Q8))</f>
        <v>17782.831939163501</v>
      </c>
      <c r="AC8" s="431">
        <f>J8*L8</f>
        <v>3364.0152091254754</v>
      </c>
    </row>
    <row r="9" spans="1:29" x14ac:dyDescent="0.25">
      <c r="A9" s="563"/>
      <c r="B9" s="565"/>
      <c r="C9" s="531"/>
      <c r="D9" s="535"/>
      <c r="E9" s="535"/>
      <c r="F9" s="536"/>
      <c r="G9" s="526"/>
      <c r="H9" s="483"/>
      <c r="I9" s="325" t="s">
        <v>28</v>
      </c>
      <c r="J9" s="325">
        <v>42</v>
      </c>
      <c r="K9" s="349">
        <f>IFERROR(J9/J12,0)</f>
        <v>3.9923954372623575E-2</v>
      </c>
      <c r="L9" s="344">
        <f>$F$12*K9</f>
        <v>0.15330798479087451</v>
      </c>
      <c r="M9" s="573"/>
      <c r="N9" s="325">
        <f>(0.75+0.5)*42</f>
        <v>52.5</v>
      </c>
      <c r="O9" s="325"/>
      <c r="P9" s="576"/>
      <c r="Q9" s="534"/>
      <c r="R9" s="345">
        <f>L9*($M$8+N9+O9+$P$8)*(1+$Q$8)</f>
        <v>253.1574752851711</v>
      </c>
      <c r="S9" s="351" t="str">
        <f>IF(I9="Peuplier ",25,IF(I9&lt;&gt;"","Supérieure à 30 ans",""))</f>
        <v>Supérieure à 30 ans</v>
      </c>
      <c r="T9" s="352"/>
      <c r="U9" s="352">
        <f>IFERROR(VLOOKUP(I9,'Recapitulatif REE'!$A$2:$R$23,12,FALSE),"0")</f>
        <v>0</v>
      </c>
      <c r="V9" s="353">
        <f>IFERROR(U9*(J9/$J$12)*$F$12*(1-Fiche_signalétique_projet!$C$66),0)</f>
        <v>0</v>
      </c>
      <c r="W9" s="353">
        <f>IFERROR(VLOOKUP(I9,'Recapitulatif REE'!$A$2:$R$23,16,FALSE),"0")</f>
        <v>0</v>
      </c>
      <c r="X9" s="353">
        <f>W9*L9*(1-Fiche_signalétique_projet!$C$66)</f>
        <v>0</v>
      </c>
      <c r="Y9" s="353">
        <f>IFERROR(VLOOKUP(I9,'Recapitulatif REE'!$A$2:$R$23,15,FALSE),"0")</f>
        <v>0</v>
      </c>
      <c r="Z9" s="353">
        <f>IFERROR(Y9*(J9/$J$12)*$L$12*(1-Fiche_signalétique_projet!$C$66),0)</f>
        <v>0</v>
      </c>
      <c r="AA9" s="440">
        <f>Z9+X9+V9</f>
        <v>0</v>
      </c>
      <c r="AB9" s="345">
        <f>R9-(O9*(1+Q8))</f>
        <v>253.1574752851711</v>
      </c>
      <c r="AC9" s="431">
        <f>J9*L9</f>
        <v>6.4389353612167293</v>
      </c>
    </row>
    <row r="10" spans="1:29" x14ac:dyDescent="0.25">
      <c r="A10" s="563"/>
      <c r="B10" s="565"/>
      <c r="C10" s="531"/>
      <c r="D10" s="535"/>
      <c r="E10" s="535"/>
      <c r="F10" s="536"/>
      <c r="G10" s="526"/>
      <c r="H10" s="483"/>
      <c r="I10" s="325" t="s">
        <v>468</v>
      </c>
      <c r="J10" s="325">
        <v>25</v>
      </c>
      <c r="K10" s="349">
        <f>IFERROR(J10/J12,0)</f>
        <v>2.3764258555133078E-2</v>
      </c>
      <c r="L10" s="454">
        <f>$F$12*K10</f>
        <v>9.1254752851711016E-2</v>
      </c>
      <c r="M10" s="573"/>
      <c r="N10" s="325">
        <f>(0.65+0.75)*25</f>
        <v>35</v>
      </c>
      <c r="O10" s="325"/>
      <c r="P10" s="576"/>
      <c r="Q10" s="534"/>
      <c r="R10" s="345">
        <f>L10*($M$8+N10+O10+$P$8)*(1+$Q$8)</f>
        <v>148.9003802281369</v>
      </c>
      <c r="S10" s="351" t="str">
        <f>IF(I10="Peuplier ",25,IF(I10&lt;&gt;"","Supérieure à 30 ans",""))</f>
        <v>Supérieure à 30 ans</v>
      </c>
      <c r="T10" s="352"/>
      <c r="U10" s="352">
        <f>IFERROR(VLOOKUP(I10,'Recapitulatif REE'!$A$2:$R$23,12,FALSE),"0")</f>
        <v>0</v>
      </c>
      <c r="V10" s="353">
        <f>IFERROR(U10*(J10/$J$12)*$F$12*(1-Fiche_signalétique_projet!$C$66),0)</f>
        <v>0</v>
      </c>
      <c r="W10" s="353">
        <f>IFERROR(VLOOKUP(I10,'Recapitulatif REE'!$A$2:$R$23,16,FALSE),"0")</f>
        <v>0</v>
      </c>
      <c r="X10" s="353">
        <f>W10*L10*(1-Fiche_signalétique_projet!$C$66)</f>
        <v>0</v>
      </c>
      <c r="Y10" s="353">
        <f>IFERROR(VLOOKUP(I10,'Recapitulatif REE'!$A$2:$R$23,15,FALSE),"0")</f>
        <v>0</v>
      </c>
      <c r="Z10" s="353">
        <f>IFERROR(Y10*(J10/$J$12)*$L$12*(1-Fiche_signalétique_projet!$C$66),0)</f>
        <v>0</v>
      </c>
      <c r="AA10" s="440">
        <f>Z10+X10+V10</f>
        <v>0</v>
      </c>
      <c r="AB10" s="345">
        <f>R10-(O10*(1+Q8))</f>
        <v>148.9003802281369</v>
      </c>
      <c r="AC10" s="431">
        <f>J10*L10</f>
        <v>2.2813688212927752</v>
      </c>
    </row>
    <row r="11" spans="1:29" x14ac:dyDescent="0.25">
      <c r="A11" s="563"/>
      <c r="B11" s="566"/>
      <c r="C11" s="532"/>
      <c r="D11" s="535"/>
      <c r="E11" s="535"/>
      <c r="F11" s="536"/>
      <c r="G11" s="526"/>
      <c r="H11" s="484"/>
      <c r="I11" s="325" t="s">
        <v>29</v>
      </c>
      <c r="J11" s="325">
        <v>25</v>
      </c>
      <c r="K11" s="349">
        <f>IFERROR(J11/J12,0)</f>
        <v>2.3764258555133078E-2</v>
      </c>
      <c r="L11" s="354">
        <f>$F$12*K11</f>
        <v>9.1254752851711016E-2</v>
      </c>
      <c r="M11" s="574"/>
      <c r="N11" s="325">
        <f>(0.61+0.75)*25</f>
        <v>34</v>
      </c>
      <c r="O11" s="325"/>
      <c r="P11" s="576"/>
      <c r="Q11" s="479"/>
      <c r="R11" s="345">
        <f>L11*($M$8+N11+O11+$P$8)*(1+$Q$8)</f>
        <v>148.79817490494295</v>
      </c>
      <c r="S11" s="351" t="str">
        <f>IF(I11="Peuplier ",25,IF(I11&lt;&gt;"","Supérieure à 30 ans",""))</f>
        <v>Supérieure à 30 ans</v>
      </c>
      <c r="T11" s="352"/>
      <c r="U11" s="352">
        <f>IFERROR(VLOOKUP(I11,'Recapitulatif REE'!$A$2:$R$23,12,FALSE),"0")</f>
        <v>0</v>
      </c>
      <c r="V11" s="353">
        <f>IFERROR(U11*(J11/$J$12)*$F$12*(1-Fiche_signalétique_projet!$C$66),0)</f>
        <v>0</v>
      </c>
      <c r="W11" s="353">
        <f>IFERROR(VLOOKUP(I11,'Recapitulatif REE'!$A$2:$R$23,16,FALSE),"0")</f>
        <v>0</v>
      </c>
      <c r="X11" s="353">
        <f>W11*L11*(1-Fiche_signalétique_projet!$C$66)</f>
        <v>0</v>
      </c>
      <c r="Y11" s="353">
        <f>IFERROR(VLOOKUP(I11,'Recapitulatif REE'!$A$2:$R$23,15,FALSE),"0")</f>
        <v>0</v>
      </c>
      <c r="Z11" s="353">
        <f>IFERROR(Y11*(J11/$J$12)*$L$12*(1-Fiche_signalétique_projet!$C$66),0)</f>
        <v>0</v>
      </c>
      <c r="AA11" s="440">
        <f>Z11+X11+V11</f>
        <v>0</v>
      </c>
      <c r="AB11" s="345">
        <f>R11-(O11*(1+Q8))</f>
        <v>148.79817490494295</v>
      </c>
      <c r="AC11" s="431">
        <f>J11*L11</f>
        <v>2.2813688212927752</v>
      </c>
    </row>
    <row r="12" spans="1:29" ht="15" customHeight="1" thickBot="1" x14ac:dyDescent="0.3">
      <c r="A12" s="495" t="s">
        <v>132</v>
      </c>
      <c r="B12" s="496"/>
      <c r="C12" s="496"/>
      <c r="D12" s="496"/>
      <c r="E12" s="496"/>
      <c r="F12" s="355">
        <f>SUM(F8:F11)</f>
        <v>3.84</v>
      </c>
      <c r="G12" s="356"/>
      <c r="H12" s="357"/>
      <c r="I12" s="357">
        <f>COUNTA(I8:I11)</f>
        <v>4</v>
      </c>
      <c r="J12" s="357">
        <f>SUM(J8:J11)</f>
        <v>1052</v>
      </c>
      <c r="K12" s="358">
        <f>SUM(K8:K11)</f>
        <v>1</v>
      </c>
      <c r="L12" s="359">
        <f>SUM(L8:L11)</f>
        <v>3.84</v>
      </c>
      <c r="M12" s="497" t="s">
        <v>132</v>
      </c>
      <c r="N12" s="498"/>
      <c r="O12" s="498"/>
      <c r="P12" s="498"/>
      <c r="Q12" s="498"/>
      <c r="R12" s="360">
        <f>SUM(R8:R11)</f>
        <v>20517.687969581752</v>
      </c>
      <c r="S12" s="360">
        <f t="shared" ref="S12:AB12" si="0">SUM(S8:S11)</f>
        <v>0</v>
      </c>
      <c r="T12" s="360">
        <f t="shared" si="0"/>
        <v>0</v>
      </c>
      <c r="U12" s="360">
        <f t="shared" si="0"/>
        <v>133.63266168802028</v>
      </c>
      <c r="V12" s="360">
        <f t="shared" si="0"/>
        <v>421.44591220726824</v>
      </c>
      <c r="W12" s="360">
        <f t="shared" si="0"/>
        <v>0</v>
      </c>
      <c r="X12" s="360">
        <f t="shared" si="0"/>
        <v>0</v>
      </c>
      <c r="Y12" s="360">
        <f t="shared" si="0"/>
        <v>2</v>
      </c>
      <c r="Z12" s="360">
        <f t="shared" si="0"/>
        <v>6.3075285171102662</v>
      </c>
      <c r="AA12" s="360">
        <f t="shared" si="0"/>
        <v>427.75344072437849</v>
      </c>
      <c r="AB12" s="360">
        <f t="shared" si="0"/>
        <v>18333.687969581752</v>
      </c>
      <c r="AC12" s="432">
        <f>SUM(AC8:AC11)</f>
        <v>3375.0168821292777</v>
      </c>
    </row>
    <row r="13" spans="1:29" ht="14.45" hidden="1" customHeight="1" x14ac:dyDescent="0.25">
      <c r="A13" s="499" t="str">
        <f>IF(Fiche_signalétique_projet!C13&gt;=2, Fiche_signalétique_projet!C7,"LIGNES A MASQUER POUR IMPRESSION")</f>
        <v>LIGNES A MASQUER POUR IMPRESSION</v>
      </c>
      <c r="B13" s="501">
        <v>2</v>
      </c>
      <c r="C13" s="503"/>
      <c r="D13" s="506"/>
      <c r="E13" s="506"/>
      <c r="F13" s="508"/>
      <c r="G13" s="509"/>
      <c r="H13" s="511"/>
      <c r="I13" s="326"/>
      <c r="J13" s="326"/>
      <c r="K13" s="364">
        <f>IFERROR(J13/J17,0)</f>
        <v>0</v>
      </c>
      <c r="L13" s="365">
        <f>$F$17*K13</f>
        <v>0</v>
      </c>
      <c r="M13" s="514"/>
      <c r="N13" s="326"/>
      <c r="O13" s="326"/>
      <c r="P13" s="506"/>
      <c r="Q13" s="548">
        <v>0.12</v>
      </c>
      <c r="R13" s="366">
        <f>L13*(M13+N13+O13+P13)*(1+$Q$13)</f>
        <v>0</v>
      </c>
      <c r="S13" s="367" t="str">
        <f>IF(I13="Peuplier ",25,IF(I13&lt;&gt;"","Supérieure à 30 ans",""))</f>
        <v/>
      </c>
      <c r="T13" s="368"/>
      <c r="U13" s="368" t="str">
        <f>IFERROR(VLOOKUP(I13,'Recapitulatif REE'!$A$2:$R$23,12,FALSE),"0")</f>
        <v>0</v>
      </c>
      <c r="V13" s="369" t="str">
        <f>IFERROR(U13*(J13/$J$17)*$F$17*(1-Fiche_signalétique_projet!$C$66),"0")</f>
        <v>0</v>
      </c>
      <c r="W13" s="369" t="str">
        <f>IFERROR(VLOOKUP(I13,'Recapitulatif REE'!$A$2:$R$23,16,FALSE),"0")</f>
        <v>0</v>
      </c>
      <c r="X13" s="369">
        <f>IFERROR(W13*L13*(1-Fiche_signalétique_projet!$C$66),"")</f>
        <v>0</v>
      </c>
      <c r="Y13" s="369" t="str">
        <f>IFERROR(VLOOKUP(I13,'Recapitulatif REE'!$A$2:$R$23,15,FALSE),"0")</f>
        <v>0</v>
      </c>
      <c r="Z13" s="369" t="str">
        <f>IFERROR(Y13*(J13/$J$17)*$L$17*(1-Fiche_signalétique_projet!$C$66),"0")</f>
        <v>0</v>
      </c>
      <c r="AA13" s="441">
        <f>IFERROR(Z13+X13+V13,"0")</f>
        <v>0</v>
      </c>
      <c r="AB13" s="366">
        <f>R13-(O13*(1+Q13))</f>
        <v>0</v>
      </c>
      <c r="AC13" s="433">
        <f>J13*L13</f>
        <v>0</v>
      </c>
    </row>
    <row r="14" spans="1:29" hidden="1" x14ac:dyDescent="0.25">
      <c r="A14" s="500"/>
      <c r="B14" s="502"/>
      <c r="C14" s="504"/>
      <c r="D14" s="507"/>
      <c r="E14" s="507"/>
      <c r="F14" s="472"/>
      <c r="G14" s="510"/>
      <c r="H14" s="512"/>
      <c r="I14" s="327"/>
      <c r="J14" s="327"/>
      <c r="K14" s="370">
        <f>IFERROR(J14/J17,0)</f>
        <v>0</v>
      </c>
      <c r="L14" s="371">
        <f>$F$17*K14</f>
        <v>0</v>
      </c>
      <c r="M14" s="515"/>
      <c r="N14" s="327"/>
      <c r="O14" s="327"/>
      <c r="P14" s="507"/>
      <c r="Q14" s="549"/>
      <c r="R14" s="372">
        <f>L14*($M$13+N14+O14+$P$13)*(1+$Q$13)</f>
        <v>0</v>
      </c>
      <c r="S14" s="373" t="str">
        <f>IF(I14="Peuplier ",25,IF(I14&lt;&gt;"","Supérieure à 30 ans",""))</f>
        <v/>
      </c>
      <c r="T14" s="374"/>
      <c r="U14" s="374" t="str">
        <f>IFERROR(VLOOKUP(I14,'Recapitulatif REE'!$A$2:$R$23,12,FALSE),"0")</f>
        <v>0</v>
      </c>
      <c r="V14" s="375" t="str">
        <f>IFERROR(U14*(J14/$J$17)*$F$17*(1-Fiche_signalétique_projet!$C$66),"0")</f>
        <v>0</v>
      </c>
      <c r="W14" s="375" t="str">
        <f>IFERROR(VLOOKUP(I14,'Recapitulatif REE'!$A$2:$R$23,16,FALSE),"0")</f>
        <v>0</v>
      </c>
      <c r="X14" s="375">
        <f>IFERROR(W14*L14*(1-Fiche_signalétique_projet!$C$66),"")</f>
        <v>0</v>
      </c>
      <c r="Y14" s="375" t="str">
        <f>IFERROR(VLOOKUP(I14,'Recapitulatif REE'!$A$2:$R$23,15,FALSE),"0")</f>
        <v>0</v>
      </c>
      <c r="Z14" s="375" t="str">
        <f>IFERROR(Y14*(J14/$J$17)*$L$17*(1-Fiche_signalétique_projet!$C$66),"0")</f>
        <v>0</v>
      </c>
      <c r="AA14" s="442">
        <f>IFERROR(Z14+X14+V14,"0")</f>
        <v>0</v>
      </c>
      <c r="AB14" s="372">
        <f>R14-(O14*(1+Q13))</f>
        <v>0</v>
      </c>
      <c r="AC14" s="434">
        <f>J14*L14</f>
        <v>0</v>
      </c>
    </row>
    <row r="15" spans="1:29" hidden="1" x14ac:dyDescent="0.25">
      <c r="A15" s="500"/>
      <c r="B15" s="502"/>
      <c r="C15" s="504"/>
      <c r="D15" s="507"/>
      <c r="E15" s="507"/>
      <c r="F15" s="472"/>
      <c r="G15" s="510"/>
      <c r="H15" s="512"/>
      <c r="I15" s="327"/>
      <c r="J15" s="327"/>
      <c r="K15" s="370">
        <f>IFERROR(J15/J17,0)</f>
        <v>0</v>
      </c>
      <c r="L15" s="371">
        <f>$F$17*K15</f>
        <v>0</v>
      </c>
      <c r="M15" s="515"/>
      <c r="N15" s="327"/>
      <c r="O15" s="327"/>
      <c r="P15" s="507"/>
      <c r="Q15" s="549"/>
      <c r="R15" s="372">
        <f>L15*($M$13+N15+O15+$P$13)*(1+$Q$13)</f>
        <v>0</v>
      </c>
      <c r="S15" s="373" t="str">
        <f>IF(I15="Peuplier ",25,IF(I15&lt;&gt;"","Supérieure à 30 ans",""))</f>
        <v/>
      </c>
      <c r="T15" s="374"/>
      <c r="U15" s="374" t="str">
        <f>IFERROR(VLOOKUP(I15,'Recapitulatif REE'!$A$2:$R$23,12,FALSE),"0")</f>
        <v>0</v>
      </c>
      <c r="V15" s="375" t="str">
        <f>IFERROR(U15*(J15/$J$17)*$F$17*(1-Fiche_signalétique_projet!$C$66),"0")</f>
        <v>0</v>
      </c>
      <c r="W15" s="375" t="str">
        <f>IFERROR(VLOOKUP(I15,'Recapitulatif REE'!$A$2:$R$23,16,FALSE),"0")</f>
        <v>0</v>
      </c>
      <c r="X15" s="375">
        <f>IFERROR(W15*L15*(1-Fiche_signalétique_projet!$C$66),"")</f>
        <v>0</v>
      </c>
      <c r="Y15" s="375" t="str">
        <f>IFERROR(VLOOKUP(I15,'Recapitulatif REE'!$A$2:$R$23,15,FALSE),"0")</f>
        <v>0</v>
      </c>
      <c r="Z15" s="375" t="str">
        <f>IFERROR(Y15*(J15/$J$17)*$L$17*(1-Fiche_signalétique_projet!$C$66),"0")</f>
        <v>0</v>
      </c>
      <c r="AA15" s="442">
        <f>IFERROR(Z15+X15+V15,"0")</f>
        <v>0</v>
      </c>
      <c r="AB15" s="372">
        <f>R15-(O15*(1+Q13))</f>
        <v>0</v>
      </c>
      <c r="AC15" s="434">
        <f>J15*L15</f>
        <v>0</v>
      </c>
    </row>
    <row r="16" spans="1:29" hidden="1" x14ac:dyDescent="0.25">
      <c r="A16" s="500"/>
      <c r="B16" s="502"/>
      <c r="C16" s="505"/>
      <c r="D16" s="507"/>
      <c r="E16" s="507"/>
      <c r="F16" s="472"/>
      <c r="G16" s="510"/>
      <c r="H16" s="513"/>
      <c r="I16" s="327"/>
      <c r="J16" s="327"/>
      <c r="K16" s="370">
        <f>IFERROR(J16/J17,0)</f>
        <v>0</v>
      </c>
      <c r="L16" s="371">
        <f>$F$17*K16</f>
        <v>0</v>
      </c>
      <c r="M16" s="515"/>
      <c r="N16" s="327"/>
      <c r="O16" s="327"/>
      <c r="P16" s="507"/>
      <c r="Q16" s="549"/>
      <c r="R16" s="372">
        <f>L16*($M$13+N16+O16+$P$13)*(1+$Q$13)</f>
        <v>0</v>
      </c>
      <c r="S16" s="373" t="str">
        <f>IF(I16="Peuplier ",25,IF(I16&lt;&gt;"","Supérieure à 30 ans",""))</f>
        <v/>
      </c>
      <c r="T16" s="374"/>
      <c r="U16" s="374" t="str">
        <f>IFERROR(VLOOKUP(I16,'Recapitulatif REE'!$A$2:$R$23,12,FALSE),"0")</f>
        <v>0</v>
      </c>
      <c r="V16" s="375" t="str">
        <f>IFERROR(U16*(J16/$J$17)*$F$17*(1-Fiche_signalétique_projet!$C$66),"0")</f>
        <v>0</v>
      </c>
      <c r="W16" s="375" t="str">
        <f>IFERROR(VLOOKUP(I16,'Recapitulatif REE'!$A$2:$R$23,16,FALSE),"0")</f>
        <v>0</v>
      </c>
      <c r="X16" s="375">
        <f>IFERROR(W16*L16*(1-Fiche_signalétique_projet!$C$66),"")</f>
        <v>0</v>
      </c>
      <c r="Y16" s="375" t="str">
        <f>IFERROR(VLOOKUP(I16,'Recapitulatif REE'!$A$2:$R$23,15,FALSE),"0")</f>
        <v>0</v>
      </c>
      <c r="Z16" s="375" t="str">
        <f>IFERROR(Y16*(J16/$J$17)*$L$17*(1-Fiche_signalétique_projet!$C$66),"0")</f>
        <v>0</v>
      </c>
      <c r="AA16" s="442">
        <f>IFERROR(Z16+X16+V16,"0")</f>
        <v>0</v>
      </c>
      <c r="AB16" s="372">
        <f>R16-(O16*(1+Q13))</f>
        <v>0</v>
      </c>
      <c r="AC16" s="434">
        <f>J16*L16</f>
        <v>0</v>
      </c>
    </row>
    <row r="17" spans="1:29" ht="15" hidden="1" customHeight="1" thickBot="1" x14ac:dyDescent="0.3">
      <c r="A17" s="473" t="s">
        <v>132</v>
      </c>
      <c r="B17" s="474"/>
      <c r="C17" s="474"/>
      <c r="D17" s="474"/>
      <c r="E17" s="475"/>
      <c r="F17" s="376">
        <f>SUM(F13:F16)</f>
        <v>0</v>
      </c>
      <c r="G17" s="377"/>
      <c r="H17" s="378"/>
      <c r="I17" s="378">
        <f>COUNTA(I13:I16)</f>
        <v>0</v>
      </c>
      <c r="J17" s="378">
        <f>SUM(J13:J16)</f>
        <v>0</v>
      </c>
      <c r="K17" s="379">
        <f>SUM(K13:K16)</f>
        <v>0</v>
      </c>
      <c r="L17" s="380">
        <f>SUM(L13:L16)</f>
        <v>0</v>
      </c>
      <c r="M17" s="475" t="s">
        <v>132</v>
      </c>
      <c r="N17" s="476"/>
      <c r="O17" s="476"/>
      <c r="P17" s="476"/>
      <c r="Q17" s="476"/>
      <c r="R17" s="381">
        <f>SUM(R13:R16)</f>
        <v>0</v>
      </c>
      <c r="S17" s="382" t="s">
        <v>132</v>
      </c>
      <c r="T17" s="383"/>
      <c r="U17" s="383"/>
      <c r="V17" s="383"/>
      <c r="W17" s="383"/>
      <c r="X17" s="383"/>
      <c r="Y17" s="383"/>
      <c r="Z17" s="384"/>
      <c r="AA17" s="443">
        <f>SUM(AA13:AA16)</f>
        <v>0</v>
      </c>
      <c r="AB17" s="381">
        <f>R17-(O17*(1+Q13))</f>
        <v>0</v>
      </c>
      <c r="AC17" s="435">
        <f>SUM(AC13:AC16)</f>
        <v>0</v>
      </c>
    </row>
    <row r="18" spans="1:29" hidden="1" x14ac:dyDescent="0.25">
      <c r="A18" s="518" t="str">
        <f>IF(Fiche_signalétique_projet!C13&gt;=3, Fiche_signalétique_projet!C7,"LIGNES A MASQUER POUR IMPRESSION")</f>
        <v>LIGNES A MASQUER POUR IMPRESSION</v>
      </c>
      <c r="B18" s="520">
        <v>3</v>
      </c>
      <c r="C18" s="522"/>
      <c r="D18" s="477"/>
      <c r="E18" s="477"/>
      <c r="F18" s="524"/>
      <c r="G18" s="525"/>
      <c r="H18" s="482"/>
      <c r="I18" s="322"/>
      <c r="J18" s="322"/>
      <c r="K18" s="343">
        <f>IFERROR(J18/J22,0)</f>
        <v>0</v>
      </c>
      <c r="L18" s="385">
        <f>$F$22*K18</f>
        <v>0</v>
      </c>
      <c r="M18" s="485"/>
      <c r="N18" s="322"/>
      <c r="O18" s="322"/>
      <c r="P18" s="477"/>
      <c r="Q18" s="479">
        <v>0.12</v>
      </c>
      <c r="R18" s="345">
        <f>L18*(M18+N18+O18+P18)*(1+Q18)</f>
        <v>0</v>
      </c>
      <c r="S18" s="346" t="str">
        <f>IF(I18="Peuplier ",25,IF(I18&lt;&gt;"","Supérieure à 30 ans",""))</f>
        <v/>
      </c>
      <c r="T18" s="347"/>
      <c r="U18" s="347" t="str">
        <f>IFERROR(VLOOKUP(I18,'Recapitulatif REE'!$A$2:$R$23,12,FALSE),"0")</f>
        <v>0</v>
      </c>
      <c r="V18" s="348" t="str">
        <f>IFERROR(U13*(J18/$J$22)*$F$22*(1-Fiche_signalétique_projet!$C$66),"0")</f>
        <v>0</v>
      </c>
      <c r="W18" s="348" t="str">
        <f>IFERROR(VLOOKUP(I18,'Recapitulatif REE'!$A$2:$R$23,16,FALSE),"0")</f>
        <v>0</v>
      </c>
      <c r="X18" s="348">
        <f>IFERROR(W18*L18*(1-Fiche_signalétique_projet!$C$66),"")</f>
        <v>0</v>
      </c>
      <c r="Y18" s="348" t="str">
        <f>IFERROR(VLOOKUP(I18,'Recapitulatif REE'!$A$2:$R$23,15,FALSE),"0")</f>
        <v>0</v>
      </c>
      <c r="Z18" s="348" t="str">
        <f>IFERROR(Y18*(J18/$J$22)*$L$22*(1-Fiche_signalétique_projet!$C$66),"0")</f>
        <v>0</v>
      </c>
      <c r="AA18" s="444">
        <f>IFERROR(Z18+X18+V18,"0")</f>
        <v>0</v>
      </c>
      <c r="AB18" s="345">
        <f>R18-(O18*(1+Q18))</f>
        <v>0</v>
      </c>
      <c r="AC18" s="431">
        <f>J18*L18</f>
        <v>0</v>
      </c>
    </row>
    <row r="19" spans="1:29" hidden="1" x14ac:dyDescent="0.25">
      <c r="A19" s="519"/>
      <c r="B19" s="521"/>
      <c r="C19" s="523"/>
      <c r="D19" s="478"/>
      <c r="E19" s="478"/>
      <c r="F19" s="481"/>
      <c r="G19" s="526"/>
      <c r="H19" s="483"/>
      <c r="I19" s="324"/>
      <c r="J19" s="324"/>
      <c r="K19" s="349">
        <f>IFERROR(J19/J22,0)</f>
        <v>0</v>
      </c>
      <c r="L19" s="385">
        <f>$F$22*K19</f>
        <v>0</v>
      </c>
      <c r="M19" s="486"/>
      <c r="N19" s="324"/>
      <c r="O19" s="324"/>
      <c r="P19" s="478"/>
      <c r="Q19" s="480"/>
      <c r="R19" s="350">
        <f>L19*($M$18+N19+O19+$P$18)*(1+$Q$18)</f>
        <v>0</v>
      </c>
      <c r="S19" s="351" t="str">
        <f>IF(I19="Peuplier ",25,IF(I19&lt;&gt;"","Supérieure à 30 ans",""))</f>
        <v/>
      </c>
      <c r="T19" s="352"/>
      <c r="U19" s="352" t="str">
        <f>IFERROR(VLOOKUP(I19,'Recapitulatif REE'!$A$2:$R$23,12,FALSE),"0")</f>
        <v>0</v>
      </c>
      <c r="V19" s="353" t="str">
        <f>IFERROR(U14*(J19/$J$22)*$F$22*(1-Fiche_signalétique_projet!$C$66),"0")</f>
        <v>0</v>
      </c>
      <c r="W19" s="353" t="str">
        <f>IFERROR(VLOOKUP(I19,'Recapitulatif REE'!$A$2:$R$23,16,FALSE),"0")</f>
        <v>0</v>
      </c>
      <c r="X19" s="353">
        <f>IFERROR(W19*L19*(1-Fiche_signalétique_projet!$C$66),"")</f>
        <v>0</v>
      </c>
      <c r="Y19" s="353" t="str">
        <f>IFERROR(VLOOKUP(I19,'Recapitulatif REE'!$A$2:$R$23,15,FALSE),"0")</f>
        <v>0</v>
      </c>
      <c r="Z19" s="353" t="str">
        <f>IFERROR(Y19*(J19/$J$22)*$L$22*(1-Fiche_signalétique_projet!$C$66),"0")</f>
        <v>0</v>
      </c>
      <c r="AA19" s="445">
        <f>IFERROR(Z19+X19+V19,"0")</f>
        <v>0</v>
      </c>
      <c r="AB19" s="350">
        <f>R19-(O19*(1+Q18))</f>
        <v>0</v>
      </c>
      <c r="AC19" s="431">
        <f>J19*L19</f>
        <v>0</v>
      </c>
    </row>
    <row r="20" spans="1:29" hidden="1" x14ac:dyDescent="0.25">
      <c r="A20" s="519"/>
      <c r="B20" s="521"/>
      <c r="C20" s="523"/>
      <c r="D20" s="478"/>
      <c r="E20" s="478"/>
      <c r="F20" s="481"/>
      <c r="G20" s="526"/>
      <c r="H20" s="483"/>
      <c r="I20" s="324"/>
      <c r="J20" s="324"/>
      <c r="K20" s="349">
        <f>IFERROR(J20/J22,0)</f>
        <v>0</v>
      </c>
      <c r="L20" s="385">
        <f>$F$22*K20</f>
        <v>0</v>
      </c>
      <c r="M20" s="486"/>
      <c r="N20" s="324"/>
      <c r="O20" s="324"/>
      <c r="P20" s="478"/>
      <c r="Q20" s="480"/>
      <c r="R20" s="350">
        <f>L20*($M$18+N20+O20+$P$18)*(1+$Q$18)</f>
        <v>0</v>
      </c>
      <c r="S20" s="351" t="str">
        <f>IF(I20="Peuplier ",25,IF(I20&lt;&gt;"","Supérieure à 30 ans",""))</f>
        <v/>
      </c>
      <c r="T20" s="352"/>
      <c r="U20" s="352" t="str">
        <f>IFERROR(VLOOKUP(I20,'Recapitulatif REE'!$A$2:$R$23,12,FALSE),"0")</f>
        <v>0</v>
      </c>
      <c r="V20" s="353" t="str">
        <f>IFERROR(U15*(J20/$J$22)*$F$22*(1-Fiche_signalétique_projet!$C$66),"0")</f>
        <v>0</v>
      </c>
      <c r="W20" s="353" t="str">
        <f>IFERROR(VLOOKUP(I20,'Recapitulatif REE'!$A$2:$R$23,16,FALSE),"0")</f>
        <v>0</v>
      </c>
      <c r="X20" s="353">
        <f>IFERROR(W20*L20*(1-Fiche_signalétique_projet!$C$66),"")</f>
        <v>0</v>
      </c>
      <c r="Y20" s="353" t="str">
        <f>IFERROR(VLOOKUP(I20,'Recapitulatif REE'!$A$2:$R$23,15,FALSE),"0")</f>
        <v>0</v>
      </c>
      <c r="Z20" s="353" t="str">
        <f>IFERROR(Y20*(J20/$J$22)*$L$22*(1-Fiche_signalétique_projet!$C$66),"0")</f>
        <v>0</v>
      </c>
      <c r="AA20" s="445">
        <f>IFERROR(Z20+X20+V20,"0")</f>
        <v>0</v>
      </c>
      <c r="AB20" s="350">
        <f>R20-(O20*(1+Q18))</f>
        <v>0</v>
      </c>
      <c r="AC20" s="431">
        <f>J20*L20</f>
        <v>0</v>
      </c>
    </row>
    <row r="21" spans="1:29" hidden="1" x14ac:dyDescent="0.25">
      <c r="A21" s="519"/>
      <c r="B21" s="521"/>
      <c r="C21" s="477"/>
      <c r="D21" s="478"/>
      <c r="E21" s="478"/>
      <c r="F21" s="481"/>
      <c r="G21" s="526"/>
      <c r="H21" s="484"/>
      <c r="I21" s="324"/>
      <c r="J21" s="324"/>
      <c r="K21" s="349">
        <f>IFERROR(J21/J22,0)</f>
        <v>0</v>
      </c>
      <c r="L21" s="385">
        <f>$F$22*K21</f>
        <v>0</v>
      </c>
      <c r="M21" s="486"/>
      <c r="N21" s="324"/>
      <c r="O21" s="324"/>
      <c r="P21" s="478"/>
      <c r="Q21" s="480"/>
      <c r="R21" s="350">
        <f>L21*($M$18+N21+O21+$P$18)*(1+$Q$18)</f>
        <v>0</v>
      </c>
      <c r="S21" s="351" t="str">
        <f>IF(I21="Peuplier ",25,IF(I21&lt;&gt;"","Supérieure à 30 ans",""))</f>
        <v/>
      </c>
      <c r="T21" s="352"/>
      <c r="U21" s="352" t="str">
        <f>IFERROR(VLOOKUP(I21,'Recapitulatif REE'!$A$2:$R$23,12,FALSE),"0")</f>
        <v>0</v>
      </c>
      <c r="V21" s="353" t="str">
        <f>IFERROR(U16*(J21/$J$22)*$F$22*(1-Fiche_signalétique_projet!$C$66),"0")</f>
        <v>0</v>
      </c>
      <c r="W21" s="353" t="str">
        <f>IFERROR(VLOOKUP(I21,'Recapitulatif REE'!$A$2:$R$23,16,FALSE),"0")</f>
        <v>0</v>
      </c>
      <c r="X21" s="353">
        <f>IFERROR(W21*L21*(1-Fiche_signalétique_projet!$C$66),"")</f>
        <v>0</v>
      </c>
      <c r="Y21" s="353" t="str">
        <f>IFERROR(VLOOKUP(I21,'Recapitulatif REE'!$A$2:$R$23,15,FALSE),"0")</f>
        <v>0</v>
      </c>
      <c r="Z21" s="353" t="str">
        <f>IFERROR(Y21*(J21/$J$22)*$L$22*(1-Fiche_signalétique_projet!$C$66),"0")</f>
        <v>0</v>
      </c>
      <c r="AA21" s="445">
        <f>IFERROR(Z21+X21+V21,"0")</f>
        <v>0</v>
      </c>
      <c r="AB21" s="350">
        <f>R21-(O21*(1+Q18))</f>
        <v>0</v>
      </c>
      <c r="AC21" s="431">
        <f>J21*L21</f>
        <v>0</v>
      </c>
    </row>
    <row r="22" spans="1:29" ht="15" hidden="1" customHeight="1" thickBot="1" x14ac:dyDescent="0.3">
      <c r="A22" s="495" t="s">
        <v>132</v>
      </c>
      <c r="B22" s="496"/>
      <c r="C22" s="496"/>
      <c r="D22" s="496"/>
      <c r="E22" s="497"/>
      <c r="F22" s="386">
        <f>SUM(F18:F21)</f>
        <v>0</v>
      </c>
      <c r="G22" s="356"/>
      <c r="H22" s="357"/>
      <c r="I22" s="357">
        <f>COUNTA(I18:I21)</f>
        <v>0</v>
      </c>
      <c r="J22" s="357">
        <f>SUM(J18:J21)</f>
        <v>0</v>
      </c>
      <c r="K22" s="358">
        <f>SUM(K18:K21)</f>
        <v>0</v>
      </c>
      <c r="L22" s="359">
        <f>SUM(L18:L21)</f>
        <v>0</v>
      </c>
      <c r="M22" s="497" t="s">
        <v>132</v>
      </c>
      <c r="N22" s="498"/>
      <c r="O22" s="498"/>
      <c r="P22" s="498"/>
      <c r="Q22" s="498"/>
      <c r="R22" s="360">
        <f>SUM(R18:R21)</f>
        <v>0</v>
      </c>
      <c r="S22" s="361" t="s">
        <v>132</v>
      </c>
      <c r="T22" s="362"/>
      <c r="U22" s="362"/>
      <c r="V22" s="362"/>
      <c r="W22" s="362"/>
      <c r="X22" s="362"/>
      <c r="Y22" s="362"/>
      <c r="Z22" s="363"/>
      <c r="AA22" s="446">
        <f>SUM(AA18:AA21)</f>
        <v>0</v>
      </c>
      <c r="AB22" s="360">
        <f>R22-(O22*(1+Q18))</f>
        <v>0</v>
      </c>
      <c r="AC22" s="432">
        <f>SUM(AC18:AC21)</f>
        <v>0</v>
      </c>
    </row>
    <row r="23" spans="1:29" hidden="1" x14ac:dyDescent="0.25">
      <c r="A23" s="577" t="str">
        <f>IF(Fiche_signalétique_projet!C13&gt;=4, Fiche_signalétique_projet!C7,"LIGNES A MASQUER POUR IMPRESSION")</f>
        <v>LIGNES A MASQUER POUR IMPRESSION</v>
      </c>
      <c r="B23" s="501">
        <v>4</v>
      </c>
      <c r="C23" s="503"/>
      <c r="D23" s="506"/>
      <c r="E23" s="506"/>
      <c r="F23" s="508"/>
      <c r="G23" s="509"/>
      <c r="H23" s="511"/>
      <c r="I23" s="326"/>
      <c r="J23" s="326"/>
      <c r="K23" s="364">
        <f>IFERROR(J23/J27,0)</f>
        <v>0</v>
      </c>
      <c r="L23" s="365">
        <f>$F$27*K23</f>
        <v>0</v>
      </c>
      <c r="M23" s="514"/>
      <c r="N23" s="326"/>
      <c r="O23" s="326"/>
      <c r="P23" s="506"/>
      <c r="Q23" s="516">
        <v>0.12</v>
      </c>
      <c r="R23" s="366">
        <f>L23*(M23+N23+O23+P$23)*(1+Q23)</f>
        <v>0</v>
      </c>
      <c r="S23" s="367" t="str">
        <f>IF(I23="Peuplier ",25,IF(I23&lt;&gt;"","Supérieure à 30 ans",""))</f>
        <v/>
      </c>
      <c r="T23" s="368"/>
      <c r="U23" s="368" t="str">
        <f>IFERROR(VLOOKUP(I23,'Recapitulatif REE'!$A$2:$R$23,12,FALSE),"0")</f>
        <v>0</v>
      </c>
      <c r="V23" s="369" t="str">
        <f>IFERROR(U13*(J23/$J$27)*$F$27*(1-Fiche_signalétique_projet!$C$66),"0")</f>
        <v>0</v>
      </c>
      <c r="W23" s="369" t="str">
        <f>IFERROR(VLOOKUP(I23,'Recapitulatif REE'!$A$2:$R$23,16,FALSE),"0")</f>
        <v>0</v>
      </c>
      <c r="X23" s="369">
        <f>IFERROR(W23*L23*(1-Fiche_signalétique_projet!$C$66),"")</f>
        <v>0</v>
      </c>
      <c r="Y23" s="369" t="str">
        <f>IFERROR(VLOOKUP(I23,'Recapitulatif REE'!$A$2:$R$23,15,FALSE),"0")</f>
        <v>0</v>
      </c>
      <c r="Z23" s="369" t="str">
        <f>IFERROR(Y23*(J23/$J$27)*$L$27*(1-Fiche_signalétique_projet!$C$66),"0")</f>
        <v>0</v>
      </c>
      <c r="AA23" s="441">
        <f>IFERROR(Z23+X23+V23,"0")</f>
        <v>0</v>
      </c>
      <c r="AB23" s="366">
        <f>R23-(O23*(1+Q23))</f>
        <v>0</v>
      </c>
      <c r="AC23" s="433">
        <f>J23*L23</f>
        <v>0</v>
      </c>
    </row>
    <row r="24" spans="1:29" hidden="1" x14ac:dyDescent="0.25">
      <c r="A24" s="578"/>
      <c r="B24" s="502"/>
      <c r="C24" s="504"/>
      <c r="D24" s="507"/>
      <c r="E24" s="507"/>
      <c r="F24" s="472"/>
      <c r="G24" s="510"/>
      <c r="H24" s="512"/>
      <c r="I24" s="327"/>
      <c r="J24" s="327"/>
      <c r="K24" s="370">
        <f>IFERROR(J24/J27,0)</f>
        <v>0</v>
      </c>
      <c r="L24" s="371">
        <f>$F$27*K24</f>
        <v>0</v>
      </c>
      <c r="M24" s="515"/>
      <c r="N24" s="327"/>
      <c r="O24" s="327"/>
      <c r="P24" s="507"/>
      <c r="Q24" s="517"/>
      <c r="R24" s="372">
        <f>L24*($M$23+N24+O24+$P$23)*(1+$Q$23)</f>
        <v>0</v>
      </c>
      <c r="S24" s="373" t="str">
        <f>IF(I24="Peuplier ",25,IF(I24&lt;&gt;"","Supérieure à 30 ans",""))</f>
        <v/>
      </c>
      <c r="T24" s="374"/>
      <c r="U24" s="374" t="str">
        <f>IFERROR(VLOOKUP(I24,'Recapitulatif REE'!$A$2:$R$23,12,FALSE),"0")</f>
        <v>0</v>
      </c>
      <c r="V24" s="375" t="str">
        <f>IFERROR(U14*(J24/$J$27)*$F$27*(1-Fiche_signalétique_projet!$C$66),"0")</f>
        <v>0</v>
      </c>
      <c r="W24" s="375" t="str">
        <f>IFERROR(VLOOKUP(I24,'Recapitulatif REE'!$A$2:$R$23,16,FALSE),"0")</f>
        <v>0</v>
      </c>
      <c r="X24" s="375">
        <f>IFERROR(W24*L24*(1-Fiche_signalétique_projet!$C$66),"")</f>
        <v>0</v>
      </c>
      <c r="Y24" s="375" t="str">
        <f>IFERROR(VLOOKUP(I24,'Recapitulatif REE'!$A$2:$R$23,15,FALSE),"0")</f>
        <v>0</v>
      </c>
      <c r="Z24" s="375" t="str">
        <f>IFERROR(Y24*(J24/$J$27)*$L$27*(1-Fiche_signalétique_projet!$C$66),"0")</f>
        <v>0</v>
      </c>
      <c r="AA24" s="442">
        <f>IFERROR(Z24+X24+V24,"0")</f>
        <v>0</v>
      </c>
      <c r="AB24" s="372">
        <f>R24-(O24*(1+Q23))</f>
        <v>0</v>
      </c>
      <c r="AC24" s="434">
        <f>J24*L24</f>
        <v>0</v>
      </c>
    </row>
    <row r="25" spans="1:29" hidden="1" x14ac:dyDescent="0.25">
      <c r="A25" s="578"/>
      <c r="B25" s="502"/>
      <c r="C25" s="504"/>
      <c r="D25" s="507"/>
      <c r="E25" s="507"/>
      <c r="F25" s="472"/>
      <c r="G25" s="510"/>
      <c r="H25" s="512"/>
      <c r="I25" s="327"/>
      <c r="J25" s="327"/>
      <c r="K25" s="370">
        <f>IFERROR(J25/J27,0)</f>
        <v>0</v>
      </c>
      <c r="L25" s="371">
        <f>$F$27*K25</f>
        <v>0</v>
      </c>
      <c r="M25" s="515"/>
      <c r="N25" s="327"/>
      <c r="O25" s="327"/>
      <c r="P25" s="507"/>
      <c r="Q25" s="517"/>
      <c r="R25" s="372">
        <f>L25*($M$23+N25+O25+$P$23)*(1+$Q$23)</f>
        <v>0</v>
      </c>
      <c r="S25" s="373" t="str">
        <f>IF(I25="Peuplier ",25,IF(I25&lt;&gt;"","Supérieure à 30 ans",""))</f>
        <v/>
      </c>
      <c r="T25" s="374"/>
      <c r="U25" s="374" t="str">
        <f>IFERROR(VLOOKUP(I25,'Recapitulatif REE'!$A$2:$R$23,12,FALSE),"0")</f>
        <v>0</v>
      </c>
      <c r="V25" s="375" t="str">
        <f>IFERROR(U15*(J25/$J$27)*$F$27*(1-Fiche_signalétique_projet!$C$66),"0")</f>
        <v>0</v>
      </c>
      <c r="W25" s="375" t="str">
        <f>IFERROR(VLOOKUP(I25,'Recapitulatif REE'!$A$2:$R$23,16,FALSE),"0")</f>
        <v>0</v>
      </c>
      <c r="X25" s="375">
        <f>IFERROR(W25*L25*(1-Fiche_signalétique_projet!$C$66),"")</f>
        <v>0</v>
      </c>
      <c r="Y25" s="375" t="str">
        <f>IFERROR(VLOOKUP(I25,'Recapitulatif REE'!$A$2:$R$23,15,FALSE),"0")</f>
        <v>0</v>
      </c>
      <c r="Z25" s="375" t="str">
        <f>IFERROR(Y25*(J25/$J$27)*$L$27*(1-Fiche_signalétique_projet!$C$66),"0")</f>
        <v>0</v>
      </c>
      <c r="AA25" s="442">
        <f>IFERROR(Z25+X25+V25,"0")</f>
        <v>0</v>
      </c>
      <c r="AB25" s="372">
        <f>R25-(O25*(1+Q23))</f>
        <v>0</v>
      </c>
      <c r="AC25" s="434">
        <f>J25*L25</f>
        <v>0</v>
      </c>
    </row>
    <row r="26" spans="1:29" hidden="1" x14ac:dyDescent="0.25">
      <c r="A26" s="579"/>
      <c r="B26" s="502"/>
      <c r="C26" s="505"/>
      <c r="D26" s="507"/>
      <c r="E26" s="507"/>
      <c r="F26" s="472"/>
      <c r="G26" s="510"/>
      <c r="H26" s="513"/>
      <c r="I26" s="327"/>
      <c r="J26" s="327"/>
      <c r="K26" s="370">
        <f>IFERROR(J26/J27,0)</f>
        <v>0</v>
      </c>
      <c r="L26" s="371">
        <f>$F$27*K26</f>
        <v>0</v>
      </c>
      <c r="M26" s="515"/>
      <c r="N26" s="327"/>
      <c r="O26" s="327"/>
      <c r="P26" s="507"/>
      <c r="Q26" s="517"/>
      <c r="R26" s="372">
        <f>L26*($M$23+N26+O26+$P$23)*(1+$Q$23)</f>
        <v>0</v>
      </c>
      <c r="S26" s="373" t="str">
        <f>IF(I26="Peuplier ",25,IF(I26&lt;&gt;"","Supérieure à 30 ans",""))</f>
        <v/>
      </c>
      <c r="T26" s="374"/>
      <c r="U26" s="374" t="str">
        <f>IFERROR(VLOOKUP(I26,'Recapitulatif REE'!$A$2:$R$23,12,FALSE),"0")</f>
        <v>0</v>
      </c>
      <c r="V26" s="375" t="str">
        <f>IFERROR(U16*(J26/$J$27)*$F$27*(1-Fiche_signalétique_projet!$C$66),"0")</f>
        <v>0</v>
      </c>
      <c r="W26" s="375" t="str">
        <f>IFERROR(VLOOKUP(I26,'Recapitulatif REE'!$A$2:$R$23,16,FALSE),"0")</f>
        <v>0</v>
      </c>
      <c r="X26" s="375">
        <f>IFERROR(W26*L26*(1-Fiche_signalétique_projet!$C$66),"")</f>
        <v>0</v>
      </c>
      <c r="Y26" s="375" t="str">
        <f>IFERROR(VLOOKUP(I26,'Recapitulatif REE'!$A$2:$R$23,15,FALSE),"0")</f>
        <v>0</v>
      </c>
      <c r="Z26" s="375" t="str">
        <f>IFERROR(Y26*(J26/$J$27)*$L$27*(1-Fiche_signalétique_projet!$C$66),"0")</f>
        <v>0</v>
      </c>
      <c r="AA26" s="442">
        <f>IFERROR(Z26+X26+V26,"0")</f>
        <v>0</v>
      </c>
      <c r="AB26" s="372">
        <f>R26-(O26*(1+Q23))</f>
        <v>0</v>
      </c>
      <c r="AC26" s="434">
        <f>J26*L26</f>
        <v>0</v>
      </c>
    </row>
    <row r="27" spans="1:29" ht="15" hidden="1" customHeight="1" thickBot="1" x14ac:dyDescent="0.3">
      <c r="A27" s="473" t="s">
        <v>132</v>
      </c>
      <c r="B27" s="474"/>
      <c r="C27" s="474"/>
      <c r="D27" s="474"/>
      <c r="E27" s="475"/>
      <c r="F27" s="376">
        <f>SUM(F23:F26)</f>
        <v>0</v>
      </c>
      <c r="G27" s="377"/>
      <c r="H27" s="378"/>
      <c r="I27" s="378">
        <f>COUNTA(I23:I26)</f>
        <v>0</v>
      </c>
      <c r="J27" s="378">
        <f>SUM(J23:J26)</f>
        <v>0</v>
      </c>
      <c r="K27" s="379">
        <f>SUM(K23:K26)</f>
        <v>0</v>
      </c>
      <c r="L27" s="380">
        <f>SUM(L23:L26)</f>
        <v>0</v>
      </c>
      <c r="M27" s="475" t="s">
        <v>132</v>
      </c>
      <c r="N27" s="476"/>
      <c r="O27" s="476"/>
      <c r="P27" s="476"/>
      <c r="Q27" s="476"/>
      <c r="R27" s="381">
        <f>SUM(R23:R26)</f>
        <v>0</v>
      </c>
      <c r="S27" s="382" t="s">
        <v>132</v>
      </c>
      <c r="T27" s="383"/>
      <c r="U27" s="383"/>
      <c r="V27" s="383"/>
      <c r="W27" s="383"/>
      <c r="X27" s="383"/>
      <c r="Y27" s="383"/>
      <c r="Z27" s="384"/>
      <c r="AA27" s="443">
        <f>SUM(AA23:AA26)</f>
        <v>0</v>
      </c>
      <c r="AB27" s="381">
        <f>R27-(O27*(1+Q23))</f>
        <v>0</v>
      </c>
      <c r="AC27" s="435">
        <f>SUM(AC23:AC26)</f>
        <v>0</v>
      </c>
    </row>
    <row r="28" spans="1:29" ht="15" hidden="1" customHeight="1" x14ac:dyDescent="0.25">
      <c r="A28" s="544" t="str">
        <f>IF(Fiche_signalétique_projet!C13&gt;=5, Fiche_signalétique_projet!C7,"LIGNES A MASQUER POUR IMPRESSION")</f>
        <v>LIGNES A MASQUER POUR IMPRESSION</v>
      </c>
      <c r="B28" s="520">
        <v>5</v>
      </c>
      <c r="C28" s="522"/>
      <c r="D28" s="477"/>
      <c r="E28" s="477"/>
      <c r="F28" s="524"/>
      <c r="G28" s="525"/>
      <c r="H28" s="482"/>
      <c r="I28" s="322"/>
      <c r="J28" s="322"/>
      <c r="K28" s="343">
        <f>IFERROR(J28/J32,0)</f>
        <v>0</v>
      </c>
      <c r="L28" s="385">
        <f>$F$32*K28</f>
        <v>0</v>
      </c>
      <c r="M28" s="485"/>
      <c r="N28" s="322"/>
      <c r="O28" s="322"/>
      <c r="P28" s="477"/>
      <c r="Q28" s="479">
        <v>0.12</v>
      </c>
      <c r="R28" s="345">
        <f>L28*($M$28+N28+O28+$P$28)*(1+$Q$28)</f>
        <v>0</v>
      </c>
      <c r="S28" s="346" t="str">
        <f>IF(I28="Peuplier ",25,IF(I28&lt;&gt;"","Supérieure à 30 ans",""))</f>
        <v/>
      </c>
      <c r="T28" s="347"/>
      <c r="U28" s="347" t="str">
        <f>IFERROR(VLOOKUP(I28,'Recapitulatif REE'!$A$2:$R$23,12,FALSE),"0")</f>
        <v>0</v>
      </c>
      <c r="V28" s="348" t="str">
        <f>IFERROR(U13*(J28/$J$32)*$F$32*(1-Fiche_signalétique_projet!$C$66),"0")</f>
        <v>0</v>
      </c>
      <c r="W28" s="348" t="str">
        <f>IFERROR(VLOOKUP(I28,'Recapitulatif REE'!$A$2:$R$23,16,FALSE),"0")</f>
        <v>0</v>
      </c>
      <c r="X28" s="348">
        <f>IFERROR(W28*L28*(1-Fiche_signalétique_projet!$C$66),"")</f>
        <v>0</v>
      </c>
      <c r="Y28" s="348" t="str">
        <f>IFERROR(VLOOKUP(I28,'Recapitulatif REE'!$A$2:$R$23,15,FALSE),"0")</f>
        <v>0</v>
      </c>
      <c r="Z28" s="348" t="str">
        <f>IFERROR(Y28*(J28/$J$32)*$L$32*(1-Fiche_signalétique_projet!$C$66),"0")</f>
        <v>0</v>
      </c>
      <c r="AA28" s="444">
        <f>IFERROR(Z28+X28+V28,"0")</f>
        <v>0</v>
      </c>
      <c r="AB28" s="345">
        <f>R28-(O28*(1+Q28))</f>
        <v>0</v>
      </c>
      <c r="AC28" s="431">
        <f>J28*L28</f>
        <v>0</v>
      </c>
    </row>
    <row r="29" spans="1:29" hidden="1" x14ac:dyDescent="0.25">
      <c r="A29" s="545"/>
      <c r="B29" s="521"/>
      <c r="C29" s="523"/>
      <c r="D29" s="478"/>
      <c r="E29" s="478"/>
      <c r="F29" s="481"/>
      <c r="G29" s="526"/>
      <c r="H29" s="483"/>
      <c r="I29" s="324"/>
      <c r="J29" s="324"/>
      <c r="K29" s="349">
        <f>IFERROR(J29/J32,0)</f>
        <v>0</v>
      </c>
      <c r="L29" s="344">
        <f>$F$32*K29</f>
        <v>0</v>
      </c>
      <c r="M29" s="486"/>
      <c r="N29" s="324"/>
      <c r="O29" s="324"/>
      <c r="P29" s="478"/>
      <c r="Q29" s="480"/>
      <c r="R29" s="350">
        <f>L29*($M$28+N29+O29+$P$28)*(1+$Q$28)</f>
        <v>0</v>
      </c>
      <c r="S29" s="351" t="str">
        <f>IF(I29="Peuplier ",25,IF(I29&lt;&gt;"","Supérieure à 30 ans",""))</f>
        <v/>
      </c>
      <c r="T29" s="352"/>
      <c r="U29" s="352" t="str">
        <f>IFERROR(VLOOKUP(I29,'Recapitulatif REE'!$A$2:$R$23,12,FALSE),"0")</f>
        <v>0</v>
      </c>
      <c r="V29" s="353" t="str">
        <f>IFERROR(U14*(J29/$J$32)*$F$32*(1-Fiche_signalétique_projet!$C$66),"0")</f>
        <v>0</v>
      </c>
      <c r="W29" s="353" t="str">
        <f>IFERROR(VLOOKUP(I29,'Recapitulatif REE'!$A$2:$R$23,16,FALSE),"0")</f>
        <v>0</v>
      </c>
      <c r="X29" s="353">
        <f>IFERROR(W29*L29*(1-Fiche_signalétique_projet!$C$66),"")</f>
        <v>0</v>
      </c>
      <c r="Y29" s="353" t="str">
        <f>IFERROR(VLOOKUP(I29,'Recapitulatif REE'!$A$2:$R$23,15,FALSE),"0")</f>
        <v>0</v>
      </c>
      <c r="Z29" s="353" t="str">
        <f>IFERROR(Y29*(J29/$J$32)*$L$32*(1-Fiche_signalétique_projet!$C$66),"0")</f>
        <v>0</v>
      </c>
      <c r="AA29" s="445">
        <f>IFERROR(Z29+X29+V29,"0")</f>
        <v>0</v>
      </c>
      <c r="AB29" s="350">
        <f>R29-(O29*(1+Q28))</f>
        <v>0</v>
      </c>
      <c r="AC29" s="431">
        <f>J29*L29</f>
        <v>0</v>
      </c>
    </row>
    <row r="30" spans="1:29" hidden="1" x14ac:dyDescent="0.25">
      <c r="A30" s="545"/>
      <c r="B30" s="521"/>
      <c r="C30" s="523"/>
      <c r="D30" s="478"/>
      <c r="E30" s="478"/>
      <c r="F30" s="481"/>
      <c r="G30" s="526"/>
      <c r="H30" s="483"/>
      <c r="I30" s="324"/>
      <c r="J30" s="324"/>
      <c r="K30" s="349">
        <f>IFERROR(J30/J32,0)</f>
        <v>0</v>
      </c>
      <c r="L30" s="344">
        <f>$F$32*K30</f>
        <v>0</v>
      </c>
      <c r="M30" s="486"/>
      <c r="N30" s="324"/>
      <c r="O30" s="324"/>
      <c r="P30" s="478"/>
      <c r="Q30" s="480"/>
      <c r="R30" s="350">
        <f>L30*($M$28+N30+O30+$P$28)*(1+$Q$28)</f>
        <v>0</v>
      </c>
      <c r="S30" s="351" t="str">
        <f>IF(I30="Peuplier ",25,IF(I30&lt;&gt;"","Supérieure à 30 ans",""))</f>
        <v/>
      </c>
      <c r="T30" s="352"/>
      <c r="U30" s="352" t="str">
        <f>IFERROR(VLOOKUP(I30,'Recapitulatif REE'!$A$2:$R$23,12,FALSE),"0")</f>
        <v>0</v>
      </c>
      <c r="V30" s="353" t="str">
        <f>IFERROR(U15*(J30/$J$32)*$F$32*(1-Fiche_signalétique_projet!$C$66),"0")</f>
        <v>0</v>
      </c>
      <c r="W30" s="353" t="str">
        <f>IFERROR(VLOOKUP(I30,'Recapitulatif REE'!$A$2:$R$23,16,FALSE),"0")</f>
        <v>0</v>
      </c>
      <c r="X30" s="353">
        <f>IFERROR(W30*L30*(1-Fiche_signalétique_projet!$C$66),"")</f>
        <v>0</v>
      </c>
      <c r="Y30" s="353" t="str">
        <f>IFERROR(VLOOKUP(I30,'Recapitulatif REE'!$A$2:$R$23,15,FALSE),"0")</f>
        <v>0</v>
      </c>
      <c r="Z30" s="353" t="str">
        <f>IFERROR(Y30*(J30/$J$32)*$L$32*(1-Fiche_signalétique_projet!$C$66),"0")</f>
        <v>0</v>
      </c>
      <c r="AA30" s="445">
        <f>IFERROR(Z30+X30+V30,"0")</f>
        <v>0</v>
      </c>
      <c r="AB30" s="350">
        <f>R30-(O30*(1+Q28))</f>
        <v>0</v>
      </c>
      <c r="AC30" s="431">
        <f>J30*L30</f>
        <v>0</v>
      </c>
    </row>
    <row r="31" spans="1:29" hidden="1" x14ac:dyDescent="0.25">
      <c r="A31" s="518"/>
      <c r="B31" s="521"/>
      <c r="C31" s="477"/>
      <c r="D31" s="478"/>
      <c r="E31" s="478"/>
      <c r="F31" s="481"/>
      <c r="G31" s="526"/>
      <c r="H31" s="484"/>
      <c r="I31" s="324"/>
      <c r="J31" s="324"/>
      <c r="K31" s="349">
        <f>IFERROR(J31/J32,0)</f>
        <v>0</v>
      </c>
      <c r="L31" s="344">
        <f>$F$32*K31</f>
        <v>0</v>
      </c>
      <c r="M31" s="486"/>
      <c r="N31" s="324"/>
      <c r="O31" s="324"/>
      <c r="P31" s="478"/>
      <c r="Q31" s="480"/>
      <c r="R31" s="350">
        <f>L31*($M$28+N31+O31+$P$28)*(1+$Q$28)</f>
        <v>0</v>
      </c>
      <c r="S31" s="351" t="str">
        <f>IF(I31="Peuplier ",25,IF(I31&lt;&gt;"","Supérieure à 30 ans",""))</f>
        <v/>
      </c>
      <c r="T31" s="352"/>
      <c r="U31" s="352" t="str">
        <f>IFERROR(VLOOKUP(I31,'Recapitulatif REE'!$A$2:$R$23,12,FALSE),"0")</f>
        <v>0</v>
      </c>
      <c r="V31" s="353" t="str">
        <f>IFERROR(U16*(J31/$J$32)*$F$32*(1-Fiche_signalétique_projet!$C$66),"0")</f>
        <v>0</v>
      </c>
      <c r="W31" s="353" t="str">
        <f>IFERROR(VLOOKUP(I31,'Recapitulatif REE'!$A$2:$R$23,16,FALSE),"0")</f>
        <v>0</v>
      </c>
      <c r="X31" s="353">
        <f>IFERROR(W31*L31*(1-Fiche_signalétique_projet!$C$66),"")</f>
        <v>0</v>
      </c>
      <c r="Y31" s="353" t="str">
        <f>IFERROR(VLOOKUP(I31,'Recapitulatif REE'!$A$2:$R$23,15,FALSE),"0")</f>
        <v>0</v>
      </c>
      <c r="Z31" s="353" t="str">
        <f>IFERROR(Y31*(J31/$J$32)*$L$32*(1-Fiche_signalétique_projet!$C$66),"0")</f>
        <v>0</v>
      </c>
      <c r="AA31" s="445">
        <f>IFERROR(Z31+X31+V31,"0")</f>
        <v>0</v>
      </c>
      <c r="AB31" s="350">
        <f>R31-(O31*(1+Q28))</f>
        <v>0</v>
      </c>
      <c r="AC31" s="431">
        <f>J31*L31</f>
        <v>0</v>
      </c>
    </row>
    <row r="32" spans="1:29" ht="15" hidden="1" customHeight="1" thickBot="1" x14ac:dyDescent="0.3">
      <c r="A32" s="495" t="s">
        <v>132</v>
      </c>
      <c r="B32" s="496"/>
      <c r="C32" s="496"/>
      <c r="D32" s="496"/>
      <c r="E32" s="497"/>
      <c r="F32" s="386">
        <f>SUM(F28:F31)</f>
        <v>0</v>
      </c>
      <c r="G32" s="356"/>
      <c r="H32" s="357"/>
      <c r="I32" s="357">
        <f>COUNTA(I28:I31)</f>
        <v>0</v>
      </c>
      <c r="J32" s="357">
        <f>SUM(J28:J31)</f>
        <v>0</v>
      </c>
      <c r="K32" s="358">
        <f>SUM(K28:K31)</f>
        <v>0</v>
      </c>
      <c r="L32" s="359">
        <f>SUM(L28:L31)</f>
        <v>0</v>
      </c>
      <c r="M32" s="497" t="s">
        <v>132</v>
      </c>
      <c r="N32" s="498"/>
      <c r="O32" s="498"/>
      <c r="P32" s="498"/>
      <c r="Q32" s="498"/>
      <c r="R32" s="360">
        <f>SUM(R28:R31)</f>
        <v>0</v>
      </c>
      <c r="S32" s="361" t="s">
        <v>132</v>
      </c>
      <c r="T32" s="362"/>
      <c r="U32" s="362"/>
      <c r="V32" s="362"/>
      <c r="W32" s="362"/>
      <c r="X32" s="362"/>
      <c r="Y32" s="362"/>
      <c r="Z32" s="363"/>
      <c r="AA32" s="446">
        <f>SUM(AA28:AA31)</f>
        <v>0</v>
      </c>
      <c r="AB32" s="360">
        <f>R32-(O32*(1+Q28))</f>
        <v>0</v>
      </c>
      <c r="AC32" s="432">
        <f>SUM(AC28:AC31)</f>
        <v>0</v>
      </c>
    </row>
    <row r="33" spans="1:29" ht="15" hidden="1" customHeight="1" x14ac:dyDescent="0.25">
      <c r="A33" s="577" t="str">
        <f>IF(Fiche_signalétique_projet!C13&gt;=6, Fiche_signalétique_projet!C7,"LIGNES A MASQUER POUR IMPRESSION")</f>
        <v>LIGNES A MASQUER POUR IMPRESSION</v>
      </c>
      <c r="B33" s="501">
        <v>6</v>
      </c>
      <c r="C33" s="503"/>
      <c r="D33" s="506"/>
      <c r="E33" s="506"/>
      <c r="F33" s="508"/>
      <c r="G33" s="509"/>
      <c r="H33" s="511"/>
      <c r="I33" s="326"/>
      <c r="J33" s="326"/>
      <c r="K33" s="364">
        <f>IFERROR(J33/J37,0)</f>
        <v>0</v>
      </c>
      <c r="L33" s="365">
        <f>$F$37*K33</f>
        <v>0</v>
      </c>
      <c r="M33" s="514"/>
      <c r="N33" s="326"/>
      <c r="O33" s="326"/>
      <c r="P33" s="506"/>
      <c r="Q33" s="516">
        <v>0.12</v>
      </c>
      <c r="R33" s="366">
        <f>L33*(M33+N33+O33+P33)*(1+$Q$33)</f>
        <v>0</v>
      </c>
      <c r="S33" s="367" t="str">
        <f>IF(I33="Peuplier ",25,IF(I33&lt;&gt;"","Supérieure à 30 ans",""))</f>
        <v/>
      </c>
      <c r="T33" s="368"/>
      <c r="U33" s="368" t="str">
        <f>IFERROR(VLOOKUP(I33,'Recapitulatif REE'!$A$2:$R$23,12,FALSE),"0")</f>
        <v>0</v>
      </c>
      <c r="V33" s="369" t="str">
        <f>IFERROR(U13*(J33/$J$37)*$F$37*(1-Fiche_signalétique_projet!$C$66),"0")</f>
        <v>0</v>
      </c>
      <c r="W33" s="369" t="str">
        <f>IFERROR(VLOOKUP(I33,'Recapitulatif REE'!$A$2:$R$23,16,FALSE),"0")</f>
        <v>0</v>
      </c>
      <c r="X33" s="369">
        <f>IFERROR(W33*L33*(1-Fiche_signalétique_projet!$C$66),"")</f>
        <v>0</v>
      </c>
      <c r="Y33" s="369" t="str">
        <f>IFERROR(VLOOKUP(I33,'Recapitulatif REE'!$A$2:$R$23,15,FALSE),"0")</f>
        <v>0</v>
      </c>
      <c r="Z33" s="369" t="str">
        <f>IFERROR(Y33*(J33/$J$37)*$L$37*(1-Fiche_signalétique_projet!$C$66),"0")</f>
        <v>0</v>
      </c>
      <c r="AA33" s="441">
        <f>IFERROR(Z33+X33+V33,"0")</f>
        <v>0</v>
      </c>
      <c r="AB33" s="366">
        <f>R33-(O33*(1+Q33))</f>
        <v>0</v>
      </c>
      <c r="AC33" s="433">
        <f>J33*L33</f>
        <v>0</v>
      </c>
    </row>
    <row r="34" spans="1:29" hidden="1" x14ac:dyDescent="0.25">
      <c r="A34" s="578"/>
      <c r="B34" s="502"/>
      <c r="C34" s="504"/>
      <c r="D34" s="507"/>
      <c r="E34" s="507"/>
      <c r="F34" s="472"/>
      <c r="G34" s="510"/>
      <c r="H34" s="512"/>
      <c r="I34" s="327"/>
      <c r="J34" s="327"/>
      <c r="K34" s="370">
        <f>IFERROR(J34/J37,0)</f>
        <v>0</v>
      </c>
      <c r="L34" s="371">
        <f>$F$37*K34</f>
        <v>0</v>
      </c>
      <c r="M34" s="515"/>
      <c r="N34" s="327"/>
      <c r="O34" s="327"/>
      <c r="P34" s="507"/>
      <c r="Q34" s="517"/>
      <c r="R34" s="372">
        <f>L34*($M$33+N34+O34+$P$33)*(1+$Q$33)</f>
        <v>0</v>
      </c>
      <c r="S34" s="373" t="str">
        <f>IF(I34="Peuplier ",25,IF(I34&lt;&gt;"","Supérieure à 30 ans",""))</f>
        <v/>
      </c>
      <c r="T34" s="374"/>
      <c r="U34" s="374" t="str">
        <f>IFERROR(VLOOKUP(I34,'Recapitulatif REE'!$A$2:$R$23,12,FALSE),"0")</f>
        <v>0</v>
      </c>
      <c r="V34" s="375" t="str">
        <f>IFERROR(U14*(J34/$J$37)*$F$37*(1-Fiche_signalétique_projet!$C$66),"0")</f>
        <v>0</v>
      </c>
      <c r="W34" s="375" t="str">
        <f>IFERROR(VLOOKUP(I34,'Recapitulatif REE'!$A$2:$R$23,16,FALSE),"0")</f>
        <v>0</v>
      </c>
      <c r="X34" s="375">
        <f>IFERROR(W34*L34*(1-Fiche_signalétique_projet!$C$66),"")</f>
        <v>0</v>
      </c>
      <c r="Y34" s="375" t="str">
        <f>IFERROR(VLOOKUP(I34,'Recapitulatif REE'!$A$2:$R$23,15,FALSE),"0")</f>
        <v>0</v>
      </c>
      <c r="Z34" s="375" t="str">
        <f>IFERROR(Y34*(J34/$J$37)*$L$37*(1-Fiche_signalétique_projet!$C$66),"0")</f>
        <v>0</v>
      </c>
      <c r="AA34" s="442">
        <f>IFERROR(Z34+X34+V34,"0")</f>
        <v>0</v>
      </c>
      <c r="AB34" s="372">
        <f>R34-(O34*(1+Q33))</f>
        <v>0</v>
      </c>
      <c r="AC34" s="434">
        <f>J34*L34</f>
        <v>0</v>
      </c>
    </row>
    <row r="35" spans="1:29" hidden="1" x14ac:dyDescent="0.25">
      <c r="A35" s="578"/>
      <c r="B35" s="502"/>
      <c r="C35" s="504"/>
      <c r="D35" s="507"/>
      <c r="E35" s="507"/>
      <c r="F35" s="472"/>
      <c r="G35" s="510"/>
      <c r="H35" s="512"/>
      <c r="I35" s="327"/>
      <c r="J35" s="327"/>
      <c r="K35" s="370">
        <f>IFERROR(J35/J37,0)</f>
        <v>0</v>
      </c>
      <c r="L35" s="371">
        <f>$F$37*K35</f>
        <v>0</v>
      </c>
      <c r="M35" s="515"/>
      <c r="N35" s="327"/>
      <c r="O35" s="327"/>
      <c r="P35" s="507"/>
      <c r="Q35" s="517"/>
      <c r="R35" s="372">
        <f>L35*($M$33+N35+O35+$P$33)*(1+$Q$33)</f>
        <v>0</v>
      </c>
      <c r="S35" s="373" t="str">
        <f>IF(I35="Peuplier ",25,IF(I35&lt;&gt;"","Supérieure à 30 ans",""))</f>
        <v/>
      </c>
      <c r="T35" s="374"/>
      <c r="U35" s="374" t="str">
        <f>IFERROR(VLOOKUP(I35,'Recapitulatif REE'!$A$2:$R$23,12,FALSE),"0")</f>
        <v>0</v>
      </c>
      <c r="V35" s="375" t="str">
        <f>IFERROR(U15*(J35/$J$37)*$F$37*(1-Fiche_signalétique_projet!$C$66),"0")</f>
        <v>0</v>
      </c>
      <c r="W35" s="375" t="str">
        <f>IFERROR(VLOOKUP(I35,'Recapitulatif REE'!$A$2:$R$23,16,FALSE),"0")</f>
        <v>0</v>
      </c>
      <c r="X35" s="375">
        <f>IFERROR(W35*L35*(1-Fiche_signalétique_projet!$C$66),"")</f>
        <v>0</v>
      </c>
      <c r="Y35" s="375" t="str">
        <f>IFERROR(VLOOKUP(I35,'Recapitulatif REE'!$A$2:$R$23,15,FALSE),"0")</f>
        <v>0</v>
      </c>
      <c r="Z35" s="375" t="str">
        <f>IFERROR(Y35*(J35/$J$37)*$L$37*(1-Fiche_signalétique_projet!$C$66),"0")</f>
        <v>0</v>
      </c>
      <c r="AA35" s="442">
        <f>IFERROR(Z35+X35+V35,"0")</f>
        <v>0</v>
      </c>
      <c r="AB35" s="372">
        <f>R35-(O35*(1+Q33))</f>
        <v>0</v>
      </c>
      <c r="AC35" s="434">
        <f>J35*L35</f>
        <v>0</v>
      </c>
    </row>
    <row r="36" spans="1:29" hidden="1" x14ac:dyDescent="0.25">
      <c r="A36" s="579"/>
      <c r="B36" s="502"/>
      <c r="C36" s="505"/>
      <c r="D36" s="507"/>
      <c r="E36" s="507"/>
      <c r="F36" s="472"/>
      <c r="G36" s="510"/>
      <c r="H36" s="513"/>
      <c r="I36" s="327"/>
      <c r="J36" s="327"/>
      <c r="K36" s="370">
        <f>IFERROR(J36/J37,0)</f>
        <v>0</v>
      </c>
      <c r="L36" s="371">
        <f>$F$37*K36</f>
        <v>0</v>
      </c>
      <c r="M36" s="515"/>
      <c r="N36" s="327"/>
      <c r="O36" s="327"/>
      <c r="P36" s="507"/>
      <c r="Q36" s="517"/>
      <c r="R36" s="372">
        <f>L36*($M$33+N36+O36+$P$33)*(1+$Q$33)</f>
        <v>0</v>
      </c>
      <c r="S36" s="373" t="str">
        <f>IF(I36="Peuplier ",25,IF(I36&lt;&gt;"","Supérieure à 30 ans",""))</f>
        <v/>
      </c>
      <c r="T36" s="374"/>
      <c r="U36" s="374" t="str">
        <f>IFERROR(VLOOKUP(I36,'Recapitulatif REE'!$A$2:$R$23,12,FALSE),"0")</f>
        <v>0</v>
      </c>
      <c r="V36" s="375" t="str">
        <f>IFERROR(U16*(J36/$J$37)*$F$37*(1-Fiche_signalétique_projet!$C$66),"0")</f>
        <v>0</v>
      </c>
      <c r="W36" s="375" t="str">
        <f>IFERROR(VLOOKUP(I36,'Recapitulatif REE'!$A$2:$R$23,16,FALSE),"0")</f>
        <v>0</v>
      </c>
      <c r="X36" s="375">
        <f>IFERROR(W36*L36*(1-Fiche_signalétique_projet!$C$66),"")</f>
        <v>0</v>
      </c>
      <c r="Y36" s="375" t="str">
        <f>IFERROR(VLOOKUP(I36,'Recapitulatif REE'!$A$2:$R$23,15,FALSE),"0")</f>
        <v>0</v>
      </c>
      <c r="Z36" s="375" t="str">
        <f>IFERROR(Y36*(J36/$J$37)*$L$37*(1-Fiche_signalétique_projet!$C$66),"0")</f>
        <v>0</v>
      </c>
      <c r="AA36" s="442">
        <f>IFERROR(Z36+X36+V36,"0")</f>
        <v>0</v>
      </c>
      <c r="AB36" s="372">
        <f>R36-(O36*(1+Q33))</f>
        <v>0</v>
      </c>
      <c r="AC36" s="434">
        <f>J36*L36</f>
        <v>0</v>
      </c>
    </row>
    <row r="37" spans="1:29" ht="15" hidden="1" customHeight="1" thickBot="1" x14ac:dyDescent="0.3">
      <c r="A37" s="473" t="s">
        <v>132</v>
      </c>
      <c r="B37" s="474"/>
      <c r="C37" s="474"/>
      <c r="D37" s="474"/>
      <c r="E37" s="475"/>
      <c r="F37" s="376">
        <f>SUM(F33:F36)</f>
        <v>0</v>
      </c>
      <c r="G37" s="377"/>
      <c r="H37" s="378"/>
      <c r="I37" s="378">
        <f>COUNTA(I33:I36)</f>
        <v>0</v>
      </c>
      <c r="J37" s="378">
        <f>SUM(J33:J36)</f>
        <v>0</v>
      </c>
      <c r="K37" s="379">
        <f>SUM(K33:K36)</f>
        <v>0</v>
      </c>
      <c r="L37" s="380">
        <f>SUM(L33:L36)</f>
        <v>0</v>
      </c>
      <c r="M37" s="475" t="s">
        <v>132</v>
      </c>
      <c r="N37" s="476"/>
      <c r="O37" s="476"/>
      <c r="P37" s="476"/>
      <c r="Q37" s="476"/>
      <c r="R37" s="381">
        <f>SUM(R33:R36)</f>
        <v>0</v>
      </c>
      <c r="S37" s="382" t="s">
        <v>132</v>
      </c>
      <c r="T37" s="383"/>
      <c r="U37" s="383"/>
      <c r="V37" s="383"/>
      <c r="W37" s="383"/>
      <c r="X37" s="383"/>
      <c r="Y37" s="383"/>
      <c r="Z37" s="384"/>
      <c r="AA37" s="443">
        <f>SUM(AA33:AA36)</f>
        <v>0</v>
      </c>
      <c r="AB37" s="381">
        <f>R37-(O37*(1+Q33))</f>
        <v>0</v>
      </c>
      <c r="AC37" s="435">
        <f>SUM(AC33:AC36)</f>
        <v>0</v>
      </c>
    </row>
    <row r="38" spans="1:29" hidden="1" x14ac:dyDescent="0.25">
      <c r="A38" s="518" t="str">
        <f>IF(Fiche_signalétique_projet!C13&gt;=7, Fiche_signalétique_projet!C7,"LIGNES A MASQUER POUR IMPRESSION")</f>
        <v>LIGNES A MASQUER POUR IMPRESSION</v>
      </c>
      <c r="B38" s="520">
        <v>7</v>
      </c>
      <c r="C38" s="522"/>
      <c r="D38" s="477"/>
      <c r="E38" s="477"/>
      <c r="F38" s="524"/>
      <c r="G38" s="525"/>
      <c r="H38" s="482"/>
      <c r="I38" s="322"/>
      <c r="J38" s="322"/>
      <c r="K38" s="343">
        <f>IFERROR(J38/J42,0)</f>
        <v>0</v>
      </c>
      <c r="L38" s="385">
        <f>$F$42*K38</f>
        <v>0</v>
      </c>
      <c r="M38" s="485"/>
      <c r="N38" s="322"/>
      <c r="O38" s="322"/>
      <c r="P38" s="477"/>
      <c r="Q38" s="479">
        <v>0.12</v>
      </c>
      <c r="R38" s="345">
        <f>L38*(M38+N38+O38+P38)*(1+Q38)</f>
        <v>0</v>
      </c>
      <c r="S38" s="346" t="str">
        <f>IF(I38="Peuplier ",25,IF(I38&lt;&gt;"","Supérieure à 30 ans",""))</f>
        <v/>
      </c>
      <c r="T38" s="347"/>
      <c r="U38" s="347" t="str">
        <f>IFERROR(VLOOKUP(I38,'Recapitulatif REE'!$A$2:$R$23,12,FALSE),"0")</f>
        <v>0</v>
      </c>
      <c r="V38" s="348" t="str">
        <f>IFERROR(U13*(J38/$J$42)*$F$42*(1-Fiche_signalétique_projet!$C$66),"0")</f>
        <v>0</v>
      </c>
      <c r="W38" s="348" t="str">
        <f>IFERROR(VLOOKUP(I38,'Recapitulatif REE'!$A$2:$R$23,16,FALSE),"0")</f>
        <v>0</v>
      </c>
      <c r="X38" s="348">
        <f>IFERROR(W38*L38*(1-Fiche_signalétique_projet!$C$66),"")</f>
        <v>0</v>
      </c>
      <c r="Y38" s="348" t="str">
        <f>IFERROR(VLOOKUP(I38,'Recapitulatif REE'!$A$2:$R$23,15,FALSE),"0")</f>
        <v>0</v>
      </c>
      <c r="Z38" s="348" t="str">
        <f>IFERROR(Y38*(J38/$J$42)*$L$42*(1-Fiche_signalétique_projet!$C$66),"0")</f>
        <v>0</v>
      </c>
      <c r="AA38" s="444">
        <f>IFERROR(Z38+X38+V38,"0")</f>
        <v>0</v>
      </c>
      <c r="AB38" s="345">
        <f>R38-(O38*(1+Q38))</f>
        <v>0</v>
      </c>
      <c r="AC38" s="431">
        <f>J38*L38</f>
        <v>0</v>
      </c>
    </row>
    <row r="39" spans="1:29" hidden="1" x14ac:dyDescent="0.25">
      <c r="A39" s="519"/>
      <c r="B39" s="521"/>
      <c r="C39" s="523"/>
      <c r="D39" s="478"/>
      <c r="E39" s="478"/>
      <c r="F39" s="481"/>
      <c r="G39" s="526"/>
      <c r="H39" s="483"/>
      <c r="I39" s="324"/>
      <c r="J39" s="324"/>
      <c r="K39" s="349">
        <f>IFERROR(J39/J42,0)</f>
        <v>0</v>
      </c>
      <c r="L39" s="344">
        <f>$F$42*K39</f>
        <v>0</v>
      </c>
      <c r="M39" s="486"/>
      <c r="N39" s="324"/>
      <c r="O39" s="324"/>
      <c r="P39" s="478"/>
      <c r="Q39" s="480"/>
      <c r="R39" s="350">
        <f>L39*($M$38+N39+O39+$P$38)*(1+$Q$38)</f>
        <v>0</v>
      </c>
      <c r="S39" s="351" t="str">
        <f>IF(I39="Peuplier ",25,IF(I39&lt;&gt;"","Supérieure à 30 ans",""))</f>
        <v/>
      </c>
      <c r="T39" s="352"/>
      <c r="U39" s="352" t="str">
        <f>IFERROR(VLOOKUP(I39,'Recapitulatif REE'!$A$2:$R$23,12,FALSE),"0")</f>
        <v>0</v>
      </c>
      <c r="V39" s="353" t="str">
        <f>IFERROR(U14*(J39/$J$42)*$F$42*(1-Fiche_signalétique_projet!$C$66),"0")</f>
        <v>0</v>
      </c>
      <c r="W39" s="353" t="str">
        <f>IFERROR(VLOOKUP(I39,'Recapitulatif REE'!$A$2:$R$23,16,FALSE),"0")</f>
        <v>0</v>
      </c>
      <c r="X39" s="353">
        <f>IFERROR(W39*L39*(1-Fiche_signalétique_projet!$C$66),"")</f>
        <v>0</v>
      </c>
      <c r="Y39" s="353" t="str">
        <f>IFERROR(VLOOKUP(I39,'Recapitulatif REE'!$A$2:$R$23,15,FALSE),"0")</f>
        <v>0</v>
      </c>
      <c r="Z39" s="353" t="str">
        <f>IFERROR(Y39*(J39/$J$42)*$L$42*(1-Fiche_signalétique_projet!$C$66),"0")</f>
        <v>0</v>
      </c>
      <c r="AA39" s="445">
        <f>IFERROR(Z39+X39+V39,"0")</f>
        <v>0</v>
      </c>
      <c r="AB39" s="350">
        <f>R39-(O39*(1+Q38))</f>
        <v>0</v>
      </c>
      <c r="AC39" s="431">
        <f>J39*L39</f>
        <v>0</v>
      </c>
    </row>
    <row r="40" spans="1:29" hidden="1" x14ac:dyDescent="0.25">
      <c r="A40" s="519"/>
      <c r="B40" s="521"/>
      <c r="C40" s="523"/>
      <c r="D40" s="478"/>
      <c r="E40" s="478"/>
      <c r="F40" s="481"/>
      <c r="G40" s="526"/>
      <c r="H40" s="483"/>
      <c r="I40" s="324"/>
      <c r="J40" s="324"/>
      <c r="K40" s="349">
        <f>IFERROR(J40/J42,0)</f>
        <v>0</v>
      </c>
      <c r="L40" s="344">
        <f>$F$42*K40</f>
        <v>0</v>
      </c>
      <c r="M40" s="486"/>
      <c r="N40" s="324"/>
      <c r="O40" s="324"/>
      <c r="P40" s="478"/>
      <c r="Q40" s="480"/>
      <c r="R40" s="350">
        <f>L40*($M$38+N40+O40+$P$38)*(1+$Q$38)</f>
        <v>0</v>
      </c>
      <c r="S40" s="351" t="str">
        <f>IF(I40="Peuplier ",25,IF(I40&lt;&gt;"","Supérieure à 30 ans",""))</f>
        <v/>
      </c>
      <c r="T40" s="352"/>
      <c r="U40" s="352" t="str">
        <f>IFERROR(VLOOKUP(I40,'Recapitulatif REE'!$A$2:$R$23,12,FALSE),"0")</f>
        <v>0</v>
      </c>
      <c r="V40" s="353" t="str">
        <f>IFERROR(U15*(J40/$J$42)*$F$42*(1-Fiche_signalétique_projet!$C$66),"0")</f>
        <v>0</v>
      </c>
      <c r="W40" s="353" t="str">
        <f>IFERROR(VLOOKUP(I40,'Recapitulatif REE'!$A$2:$R$23,16,FALSE),"0")</f>
        <v>0</v>
      </c>
      <c r="X40" s="353">
        <f>IFERROR(W40*L40*(1-Fiche_signalétique_projet!$C$66),"")</f>
        <v>0</v>
      </c>
      <c r="Y40" s="353" t="str">
        <f>IFERROR(VLOOKUP(I40,'Recapitulatif REE'!$A$2:$R$23,15,FALSE),"0")</f>
        <v>0</v>
      </c>
      <c r="Z40" s="353" t="str">
        <f>IFERROR(Y40*(J40/$J$42)*$L$42*(1-Fiche_signalétique_projet!$C$66),"0")</f>
        <v>0</v>
      </c>
      <c r="AA40" s="445">
        <f>IFERROR(Z40+X40+V40,"0")</f>
        <v>0</v>
      </c>
      <c r="AB40" s="350">
        <f>R40-(O40*(1+Q38))</f>
        <v>0</v>
      </c>
      <c r="AC40" s="431">
        <f>J40*L40</f>
        <v>0</v>
      </c>
    </row>
    <row r="41" spans="1:29" hidden="1" x14ac:dyDescent="0.25">
      <c r="A41" s="519"/>
      <c r="B41" s="521"/>
      <c r="C41" s="477"/>
      <c r="D41" s="478"/>
      <c r="E41" s="478"/>
      <c r="F41" s="481"/>
      <c r="G41" s="526"/>
      <c r="H41" s="484"/>
      <c r="I41" s="324"/>
      <c r="J41" s="324"/>
      <c r="K41" s="349">
        <f>IFERROR(J41/J42,0)</f>
        <v>0</v>
      </c>
      <c r="L41" s="344">
        <f>$F$42*K41</f>
        <v>0</v>
      </c>
      <c r="M41" s="486"/>
      <c r="N41" s="324"/>
      <c r="O41" s="324"/>
      <c r="P41" s="478"/>
      <c r="Q41" s="480"/>
      <c r="R41" s="350">
        <f>L41*($M$38+N41+O41+$P$38)*(1+$Q$38)</f>
        <v>0</v>
      </c>
      <c r="S41" s="351" t="str">
        <f>IF(I41="Peuplier ",25,IF(I41&lt;&gt;"","Supérieure à 30 ans",""))</f>
        <v/>
      </c>
      <c r="T41" s="352"/>
      <c r="U41" s="352" t="str">
        <f>IFERROR(VLOOKUP(I41,'Recapitulatif REE'!$A$2:$R$23,12,FALSE),"0")</f>
        <v>0</v>
      </c>
      <c r="V41" s="353" t="str">
        <f>IFERROR(U16*(J41/$J$42)*$F$42*(1-Fiche_signalétique_projet!$C$66),"0")</f>
        <v>0</v>
      </c>
      <c r="W41" s="353" t="str">
        <f>IFERROR(VLOOKUP(I41,'Recapitulatif REE'!$A$2:$R$23,16,FALSE),"0")</f>
        <v>0</v>
      </c>
      <c r="X41" s="353">
        <f>IFERROR(W41*L41*(1-Fiche_signalétique_projet!$C$66),"")</f>
        <v>0</v>
      </c>
      <c r="Y41" s="353" t="str">
        <f>IFERROR(VLOOKUP(I41,'Recapitulatif REE'!$A$2:$R$23,15,FALSE),"0")</f>
        <v>0</v>
      </c>
      <c r="Z41" s="353" t="str">
        <f>IFERROR(Y41*(J41/$J$42)*$L$42*(1-Fiche_signalétique_projet!$C$66),"0")</f>
        <v>0</v>
      </c>
      <c r="AA41" s="445">
        <f>IFERROR(Z41+X41+V41,"0")</f>
        <v>0</v>
      </c>
      <c r="AB41" s="350">
        <f>R41-(O41*(1+Q38))</f>
        <v>0</v>
      </c>
      <c r="AC41" s="431">
        <f>J41*L41</f>
        <v>0</v>
      </c>
    </row>
    <row r="42" spans="1:29" ht="15" hidden="1" customHeight="1" thickBot="1" x14ac:dyDescent="0.3">
      <c r="A42" s="495" t="s">
        <v>132</v>
      </c>
      <c r="B42" s="496"/>
      <c r="C42" s="496"/>
      <c r="D42" s="496"/>
      <c r="E42" s="497"/>
      <c r="F42" s="386">
        <f>SUM(F38:F41)</f>
        <v>0</v>
      </c>
      <c r="G42" s="356"/>
      <c r="H42" s="357"/>
      <c r="I42" s="357">
        <f>COUNTA(I38:I41)</f>
        <v>0</v>
      </c>
      <c r="J42" s="357">
        <f>SUM(J38:J41)</f>
        <v>0</v>
      </c>
      <c r="K42" s="358">
        <f>SUM(K38:K41)</f>
        <v>0</v>
      </c>
      <c r="L42" s="359">
        <f>SUM(L38:L41)</f>
        <v>0</v>
      </c>
      <c r="M42" s="497" t="s">
        <v>132</v>
      </c>
      <c r="N42" s="498"/>
      <c r="O42" s="498"/>
      <c r="P42" s="498"/>
      <c r="Q42" s="498"/>
      <c r="R42" s="360">
        <f>SUM(R38:R41)</f>
        <v>0</v>
      </c>
      <c r="S42" s="361" t="s">
        <v>132</v>
      </c>
      <c r="T42" s="362"/>
      <c r="U42" s="362"/>
      <c r="V42" s="362"/>
      <c r="W42" s="362"/>
      <c r="X42" s="362"/>
      <c r="Y42" s="362"/>
      <c r="Z42" s="363"/>
      <c r="AA42" s="446">
        <f>SUM(AA38:AA41)</f>
        <v>0</v>
      </c>
      <c r="AB42" s="360">
        <f>R42-(O42*(1+Q38))</f>
        <v>0</v>
      </c>
      <c r="AC42" s="432">
        <f>SUM(AC38:AC41)</f>
        <v>0</v>
      </c>
    </row>
    <row r="43" spans="1:29" hidden="1" x14ac:dyDescent="0.25">
      <c r="A43" s="499" t="str">
        <f>IF(Fiche_signalétique_projet!C13&gt;=8, Fiche_signalétique_projet!C7,"LIGNES A MASQUER POUR IMPRESSION")</f>
        <v>LIGNES A MASQUER POUR IMPRESSION</v>
      </c>
      <c r="B43" s="501">
        <v>8</v>
      </c>
      <c r="C43" s="503"/>
      <c r="D43" s="506"/>
      <c r="E43" s="506"/>
      <c r="F43" s="508"/>
      <c r="G43" s="509"/>
      <c r="H43" s="511"/>
      <c r="I43" s="326"/>
      <c r="J43" s="326"/>
      <c r="K43" s="364">
        <f>IFERROR(J43/J47,0)</f>
        <v>0</v>
      </c>
      <c r="L43" s="365">
        <f>$F$47*K43</f>
        <v>0</v>
      </c>
      <c r="M43" s="514"/>
      <c r="N43" s="326"/>
      <c r="O43" s="326"/>
      <c r="P43" s="506"/>
      <c r="Q43" s="516">
        <v>0.12</v>
      </c>
      <c r="R43" s="366">
        <f>L43*(M43+N43+O43+P43)*(1+Q43)</f>
        <v>0</v>
      </c>
      <c r="S43" s="367" t="str">
        <f>IF(I43="Peuplier ",25,IF(I43&lt;&gt;"","Supérieure à 30 ans",""))</f>
        <v/>
      </c>
      <c r="T43" s="368"/>
      <c r="U43" s="368" t="str">
        <f>IFERROR(VLOOKUP(I43,'Recapitulatif REE'!$A$2:$R$23,12,FALSE),"0")</f>
        <v>0</v>
      </c>
      <c r="V43" s="369" t="str">
        <f>IFERROR(U13*(J43/$J$47)*$F$47*(1-Fiche_signalétique_projet!$C$66),"0")</f>
        <v>0</v>
      </c>
      <c r="W43" s="369" t="str">
        <f>IFERROR(VLOOKUP(I43,'Recapitulatif REE'!$A$2:$R$23,16,FALSE),"0")</f>
        <v>0</v>
      </c>
      <c r="X43" s="369">
        <f>IFERROR(W43*L43*(1-Fiche_signalétique_projet!$C$66),"")</f>
        <v>0</v>
      </c>
      <c r="Y43" s="369" t="str">
        <f>IFERROR(VLOOKUP(I43,'Recapitulatif REE'!$A$2:$R$23,15,FALSE),"0")</f>
        <v>0</v>
      </c>
      <c r="Z43" s="369" t="str">
        <f>IFERROR(Y13*(J43/$J$47)*$L$47*(1-Fiche_signalétique_projet!$C$66),"0")</f>
        <v>0</v>
      </c>
      <c r="AA43" s="441">
        <f>IFERROR(Z43+X43+V43,"0")</f>
        <v>0</v>
      </c>
      <c r="AB43" s="366">
        <f>R43-(O43*(1+Q43))</f>
        <v>0</v>
      </c>
      <c r="AC43" s="433">
        <f>J43*L43</f>
        <v>0</v>
      </c>
    </row>
    <row r="44" spans="1:29" hidden="1" x14ac:dyDescent="0.25">
      <c r="A44" s="500"/>
      <c r="B44" s="502"/>
      <c r="C44" s="504"/>
      <c r="D44" s="507"/>
      <c r="E44" s="507"/>
      <c r="F44" s="472"/>
      <c r="G44" s="510"/>
      <c r="H44" s="512"/>
      <c r="I44" s="327"/>
      <c r="J44" s="327"/>
      <c r="K44" s="370">
        <f>IFERROR(J44/J47,0)</f>
        <v>0</v>
      </c>
      <c r="L44" s="371">
        <f>$F$47*K44</f>
        <v>0</v>
      </c>
      <c r="M44" s="515"/>
      <c r="N44" s="327"/>
      <c r="O44" s="327"/>
      <c r="P44" s="507"/>
      <c r="Q44" s="517"/>
      <c r="R44" s="372">
        <f>L44*($M$43+N44+O44+$P$43)*(1+$Q$43)</f>
        <v>0</v>
      </c>
      <c r="S44" s="373" t="str">
        <f>IF(I44="Peuplier ",25,IF(I44&lt;&gt;"","Supérieure à 30 ans",""))</f>
        <v/>
      </c>
      <c r="T44" s="374"/>
      <c r="U44" s="374" t="str">
        <f>IFERROR(VLOOKUP(I44,'Recapitulatif REE'!$A$2:$R$23,12,FALSE),"0")</f>
        <v>0</v>
      </c>
      <c r="V44" s="375" t="str">
        <f>IFERROR(U14*(J44/$J$47)*$F$47*(1-Fiche_signalétique_projet!$C$66),"0")</f>
        <v>0</v>
      </c>
      <c r="W44" s="375" t="str">
        <f>IFERROR(VLOOKUP(I44,'Recapitulatif REE'!$A$2:$R$23,16,FALSE),"0")</f>
        <v>0</v>
      </c>
      <c r="X44" s="375">
        <f>IFERROR(W44*L44*(1-Fiche_signalétique_projet!$C$66),"")</f>
        <v>0</v>
      </c>
      <c r="Y44" s="375" t="str">
        <f>IFERROR(VLOOKUP(I44,'Recapitulatif REE'!$A$2:$R$23,15,FALSE),"0")</f>
        <v>0</v>
      </c>
      <c r="Z44" s="375" t="str">
        <f>IFERROR(Y14*(J44/$J$47)*$L$47*(1-Fiche_signalétique_projet!$C$66),"0")</f>
        <v>0</v>
      </c>
      <c r="AA44" s="442">
        <f>IFERROR(Z44+X44+V44,"0")</f>
        <v>0</v>
      </c>
      <c r="AB44" s="372">
        <f>R44-(O44*(1+Q43))</f>
        <v>0</v>
      </c>
      <c r="AC44" s="434">
        <f>J44*L44</f>
        <v>0</v>
      </c>
    </row>
    <row r="45" spans="1:29" hidden="1" x14ac:dyDescent="0.25">
      <c r="A45" s="500"/>
      <c r="B45" s="502"/>
      <c r="C45" s="504"/>
      <c r="D45" s="507"/>
      <c r="E45" s="507"/>
      <c r="F45" s="472"/>
      <c r="G45" s="510"/>
      <c r="H45" s="512"/>
      <c r="I45" s="327"/>
      <c r="J45" s="327"/>
      <c r="K45" s="370">
        <f>IFERROR(J45/J47,0)</f>
        <v>0</v>
      </c>
      <c r="L45" s="371">
        <f>$F$47*K45</f>
        <v>0</v>
      </c>
      <c r="M45" s="515"/>
      <c r="N45" s="327"/>
      <c r="O45" s="327"/>
      <c r="P45" s="507"/>
      <c r="Q45" s="517"/>
      <c r="R45" s="372">
        <f>L45*($M$43+N45+O45+$P$43)*(1+$Q$43)</f>
        <v>0</v>
      </c>
      <c r="S45" s="373" t="str">
        <f>IF(I45="Peuplier ",25,IF(I45&lt;&gt;"","Supérieure à 30 ans",""))</f>
        <v/>
      </c>
      <c r="T45" s="374"/>
      <c r="U45" s="374" t="str">
        <f>IFERROR(VLOOKUP(I45,'Recapitulatif REE'!$A$2:$R$23,12,FALSE),"0")</f>
        <v>0</v>
      </c>
      <c r="V45" s="375" t="str">
        <f>IFERROR(U15*(J45/$J$47)*$F$47*(1-Fiche_signalétique_projet!$C$66),"0")</f>
        <v>0</v>
      </c>
      <c r="W45" s="375" t="str">
        <f>IFERROR(VLOOKUP(I45,'Recapitulatif REE'!$A$2:$R$23,16,FALSE),"0")</f>
        <v>0</v>
      </c>
      <c r="X45" s="375">
        <f>IFERROR(W45*L45*(1-Fiche_signalétique_projet!$C$66),"")</f>
        <v>0</v>
      </c>
      <c r="Y45" s="375" t="str">
        <f>IFERROR(VLOOKUP(I45,'Recapitulatif REE'!$A$2:$R$23,15,FALSE),"0")</f>
        <v>0</v>
      </c>
      <c r="Z45" s="375" t="str">
        <f>IFERROR(Y15*(J45/$J$47)*$L$47*(1-Fiche_signalétique_projet!$C$66),"0")</f>
        <v>0</v>
      </c>
      <c r="AA45" s="442">
        <f>IFERROR(Z45+X45+V45,"0")</f>
        <v>0</v>
      </c>
      <c r="AB45" s="372">
        <f>R45-(O45*(1+Q43))</f>
        <v>0</v>
      </c>
      <c r="AC45" s="434">
        <f>J45*L45</f>
        <v>0</v>
      </c>
    </row>
    <row r="46" spans="1:29" hidden="1" x14ac:dyDescent="0.25">
      <c r="A46" s="500"/>
      <c r="B46" s="502"/>
      <c r="C46" s="505"/>
      <c r="D46" s="507"/>
      <c r="E46" s="507"/>
      <c r="F46" s="472"/>
      <c r="G46" s="510"/>
      <c r="H46" s="513"/>
      <c r="I46" s="327"/>
      <c r="J46" s="327"/>
      <c r="K46" s="370">
        <f>IFERROR(J46/J47,0)</f>
        <v>0</v>
      </c>
      <c r="L46" s="371">
        <f>$F$47*K46</f>
        <v>0</v>
      </c>
      <c r="M46" s="515"/>
      <c r="N46" s="327"/>
      <c r="O46" s="327"/>
      <c r="P46" s="507"/>
      <c r="Q46" s="517"/>
      <c r="R46" s="372">
        <f>L46*($M$43+N46+O46+$P$43)*(1+$Q$43)</f>
        <v>0</v>
      </c>
      <c r="S46" s="373" t="str">
        <f>IF(I46="Peuplier ",25,IF(I46&lt;&gt;"","Supérieure à 30 ans",""))</f>
        <v/>
      </c>
      <c r="T46" s="374"/>
      <c r="U46" s="374" t="str">
        <f>IFERROR(VLOOKUP(I46,'Recapitulatif REE'!$A$2:$R$23,12,FALSE),"0")</f>
        <v>0</v>
      </c>
      <c r="V46" s="375" t="str">
        <f>IFERROR(U16*(J46/$J$47)*$F$47*(1-Fiche_signalétique_projet!$C$66),"0")</f>
        <v>0</v>
      </c>
      <c r="W46" s="375" t="str">
        <f>IFERROR(VLOOKUP(I46,'Recapitulatif REE'!$A$2:$R$23,16,FALSE),"0")</f>
        <v>0</v>
      </c>
      <c r="X46" s="375">
        <f>IFERROR(W46*L46*(1-Fiche_signalétique_projet!$C$66),"")</f>
        <v>0</v>
      </c>
      <c r="Y46" s="375" t="str">
        <f>IFERROR(VLOOKUP(I46,'Recapitulatif REE'!$A$2:$R$23,15,FALSE),"0")</f>
        <v>0</v>
      </c>
      <c r="Z46" s="375" t="str">
        <f>IFERROR(Y16*(J46/$J$47)*$L$47*(1-Fiche_signalétique_projet!$C$66),"0")</f>
        <v>0</v>
      </c>
      <c r="AA46" s="442">
        <f>IFERROR(Z46+X46+V46,"0")</f>
        <v>0</v>
      </c>
      <c r="AB46" s="372">
        <f>R46-(O46*(1+Q43))</f>
        <v>0</v>
      </c>
      <c r="AC46" s="434">
        <f>J46*L46</f>
        <v>0</v>
      </c>
    </row>
    <row r="47" spans="1:29" ht="15" hidden="1" customHeight="1" thickBot="1" x14ac:dyDescent="0.3">
      <c r="A47" s="473" t="s">
        <v>132</v>
      </c>
      <c r="B47" s="474"/>
      <c r="C47" s="474"/>
      <c r="D47" s="474"/>
      <c r="E47" s="474"/>
      <c r="F47" s="387">
        <f>SUM(F43:F46)</f>
        <v>0</v>
      </c>
      <c r="G47" s="377"/>
      <c r="H47" s="378"/>
      <c r="I47" s="378">
        <f>COUNTA(I43:I46)</f>
        <v>0</v>
      </c>
      <c r="J47" s="378">
        <f>SUM(J43:J46)</f>
        <v>0</v>
      </c>
      <c r="K47" s="379">
        <f>SUM(K43:K46)</f>
        <v>0</v>
      </c>
      <c r="L47" s="380">
        <f>SUM(L43:L46)</f>
        <v>0</v>
      </c>
      <c r="M47" s="475" t="s">
        <v>132</v>
      </c>
      <c r="N47" s="476"/>
      <c r="O47" s="476"/>
      <c r="P47" s="476"/>
      <c r="Q47" s="476"/>
      <c r="R47" s="381">
        <f>SUM(R43:R46)</f>
        <v>0</v>
      </c>
      <c r="S47" s="382" t="s">
        <v>132</v>
      </c>
      <c r="T47" s="383"/>
      <c r="U47" s="383"/>
      <c r="V47" s="383"/>
      <c r="W47" s="383"/>
      <c r="X47" s="383"/>
      <c r="Y47" s="383"/>
      <c r="Z47" s="384"/>
      <c r="AA47" s="443">
        <f>SUM(AA43:AA46)</f>
        <v>0</v>
      </c>
      <c r="AB47" s="381">
        <f>R47-(O47*(1+Q43))</f>
        <v>0</v>
      </c>
      <c r="AC47" s="435">
        <f>SUM(AC43:AC46)</f>
        <v>0</v>
      </c>
    </row>
    <row r="48" spans="1:29" ht="18.600000000000001" hidden="1" customHeight="1" x14ac:dyDescent="0.25">
      <c r="A48" s="518" t="str">
        <f>IF(Fiche_signalétique_projet!C13&gt;=9, Fiche_signalétique_projet!C7,"LIGNES A MASQUER POUR IMPRESSION")</f>
        <v>LIGNES A MASQUER POUR IMPRESSION</v>
      </c>
      <c r="B48" s="520">
        <v>9</v>
      </c>
      <c r="C48" s="522"/>
      <c r="D48" s="477"/>
      <c r="E48" s="477"/>
      <c r="F48" s="524"/>
      <c r="G48" s="525"/>
      <c r="H48" s="482"/>
      <c r="I48" s="322"/>
      <c r="J48" s="322"/>
      <c r="K48" s="343">
        <f>IFERROR(J48/J52,0)</f>
        <v>0</v>
      </c>
      <c r="L48" s="385">
        <f>$F$42*K48</f>
        <v>0</v>
      </c>
      <c r="M48" s="485"/>
      <c r="N48" s="322"/>
      <c r="O48" s="322"/>
      <c r="P48" s="477"/>
      <c r="Q48" s="479">
        <v>0.12</v>
      </c>
      <c r="R48" s="345">
        <f>L48*(M48+N48+O48+P48)*(1+Q48)</f>
        <v>0</v>
      </c>
      <c r="S48" s="346" t="str">
        <f>IF(I48="Peuplier ",25,IF(I48&lt;&gt;"","Supérieure à 30 ans",""))</f>
        <v/>
      </c>
      <c r="T48" s="347"/>
      <c r="U48" s="347" t="str">
        <f>IFERROR(VLOOKUP(I48,'Recapitulatif REE'!$A$2:$R$23,12,FALSE),"0")</f>
        <v>0</v>
      </c>
      <c r="V48" s="348" t="str">
        <f>IFERROR(U23*(J48/$J$42)*$F$42*(1-Fiche_signalétique_projet!$C$66),"0")</f>
        <v>0</v>
      </c>
      <c r="W48" s="348" t="str">
        <f>IFERROR(VLOOKUP(I48,'Recapitulatif REE'!$A$2:$R$23,16,FALSE),"0")</f>
        <v>0</v>
      </c>
      <c r="X48" s="348">
        <f>IFERROR(W48*L48*(1-Fiche_signalétique_projet!$C$66),"")</f>
        <v>0</v>
      </c>
      <c r="Y48" s="348" t="str">
        <f>IFERROR(VLOOKUP(I48,'Recapitulatif REE'!$A$2:$R$23,15,FALSE),"0")</f>
        <v>0</v>
      </c>
      <c r="Z48" s="348" t="str">
        <f>IFERROR(Y48*(J48/$J$42)*$L$42*(1-Fiche_signalétique_projet!$C$66),"0")</f>
        <v>0</v>
      </c>
      <c r="AA48" s="444">
        <f>IFERROR(Z48+X48+V48,"0")</f>
        <v>0</v>
      </c>
      <c r="AB48" s="345">
        <f>R48-(O48*(1+Q48))</f>
        <v>0</v>
      </c>
      <c r="AC48" s="431">
        <f>J48*L48</f>
        <v>0</v>
      </c>
    </row>
    <row r="49" spans="1:29" hidden="1" x14ac:dyDescent="0.25">
      <c r="A49" s="519"/>
      <c r="B49" s="521"/>
      <c r="C49" s="523"/>
      <c r="D49" s="478"/>
      <c r="E49" s="478"/>
      <c r="F49" s="481"/>
      <c r="G49" s="526"/>
      <c r="H49" s="483"/>
      <c r="I49" s="324"/>
      <c r="J49" s="324"/>
      <c r="K49" s="349">
        <f>IFERROR(J49/J52,0)</f>
        <v>0</v>
      </c>
      <c r="L49" s="344">
        <f>$F$42*K49</f>
        <v>0</v>
      </c>
      <c r="M49" s="486"/>
      <c r="N49" s="324"/>
      <c r="O49" s="324"/>
      <c r="P49" s="478"/>
      <c r="Q49" s="480"/>
      <c r="R49" s="350">
        <f>L49*($M$48+N49+O49+$P$48)*(1+$Q$48)</f>
        <v>0</v>
      </c>
      <c r="S49" s="351" t="str">
        <f>IF(I49="Peuplier ",25,IF(I49&lt;&gt;"","Supérieure à 30 ans",""))</f>
        <v/>
      </c>
      <c r="T49" s="352"/>
      <c r="U49" s="352" t="str">
        <f>IFERROR(VLOOKUP(I49,'Recapitulatif REE'!$A$2:$R$23,12,FALSE),"0")</f>
        <v>0</v>
      </c>
      <c r="V49" s="353" t="str">
        <f>IFERROR(U24*(J49/$J$42)*$F$42*(1-Fiche_signalétique_projet!$C$66),"0")</f>
        <v>0</v>
      </c>
      <c r="W49" s="353" t="str">
        <f>IFERROR(VLOOKUP(I49,'Recapitulatif REE'!$A$2:$R$23,16,FALSE),"0")</f>
        <v>0</v>
      </c>
      <c r="X49" s="353">
        <f>IFERROR(W49*L49*(1-Fiche_signalétique_projet!$C$66),"")</f>
        <v>0</v>
      </c>
      <c r="Y49" s="353" t="str">
        <f>IFERROR(VLOOKUP(I49,'Recapitulatif REE'!$A$2:$R$23,15,FALSE),"0")</f>
        <v>0</v>
      </c>
      <c r="Z49" s="353" t="str">
        <f>IFERROR(Y49*(J49/$J$42)*$L$42*(1-Fiche_signalétique_projet!$C$66),"0")</f>
        <v>0</v>
      </c>
      <c r="AA49" s="445">
        <f>IFERROR(Z49+X49+V49,"0")</f>
        <v>0</v>
      </c>
      <c r="AB49" s="350">
        <f>R49-(O49*(1+Q48))</f>
        <v>0</v>
      </c>
      <c r="AC49" s="431">
        <f>J49*L49</f>
        <v>0</v>
      </c>
    </row>
    <row r="50" spans="1:29" hidden="1" x14ac:dyDescent="0.25">
      <c r="A50" s="519"/>
      <c r="B50" s="521"/>
      <c r="C50" s="523"/>
      <c r="D50" s="478"/>
      <c r="E50" s="478"/>
      <c r="F50" s="481"/>
      <c r="G50" s="526"/>
      <c r="H50" s="483"/>
      <c r="I50" s="324"/>
      <c r="J50" s="324"/>
      <c r="K50" s="349">
        <f>IFERROR(J50/J52,0)</f>
        <v>0</v>
      </c>
      <c r="L50" s="344">
        <f>$F$42*K50</f>
        <v>0</v>
      </c>
      <c r="M50" s="486"/>
      <c r="N50" s="324"/>
      <c r="O50" s="324"/>
      <c r="P50" s="478"/>
      <c r="Q50" s="480"/>
      <c r="R50" s="350">
        <f>L50*($M$48+N50+O50+$P$48)*(1+$Q$48)</f>
        <v>0</v>
      </c>
      <c r="S50" s="351" t="str">
        <f>IF(I50="Peuplier ",25,IF(I50&lt;&gt;"","Supérieure à 30 ans",""))</f>
        <v/>
      </c>
      <c r="T50" s="352"/>
      <c r="U50" s="352" t="str">
        <f>IFERROR(VLOOKUP(I50,'Recapitulatif REE'!$A$2:$R$23,12,FALSE),"0")</f>
        <v>0</v>
      </c>
      <c r="V50" s="353" t="str">
        <f>IFERROR(U25*(J50/$J$42)*$F$42*(1-Fiche_signalétique_projet!$C$66),"0")</f>
        <v>0</v>
      </c>
      <c r="W50" s="353" t="str">
        <f>IFERROR(VLOOKUP(I50,'Recapitulatif REE'!$A$2:$R$23,16,FALSE),"0")</f>
        <v>0</v>
      </c>
      <c r="X50" s="353">
        <f>IFERROR(W50*L50*(1-Fiche_signalétique_projet!$C$66),"")</f>
        <v>0</v>
      </c>
      <c r="Y50" s="353" t="str">
        <f>IFERROR(VLOOKUP(I50,'Recapitulatif REE'!$A$2:$R$23,15,FALSE),"0")</f>
        <v>0</v>
      </c>
      <c r="Z50" s="353" t="str">
        <f>IFERROR(Y50*(J50/$J$42)*$L$42*(1-Fiche_signalétique_projet!$C$66),"0")</f>
        <v>0</v>
      </c>
      <c r="AA50" s="445">
        <f>IFERROR(Z50+X50+V50,"0")</f>
        <v>0</v>
      </c>
      <c r="AB50" s="350">
        <f>R50-(O50*(1+Q48))</f>
        <v>0</v>
      </c>
      <c r="AC50" s="431">
        <f>J50*L50</f>
        <v>0</v>
      </c>
    </row>
    <row r="51" spans="1:29" hidden="1" x14ac:dyDescent="0.25">
      <c r="A51" s="519"/>
      <c r="B51" s="521"/>
      <c r="C51" s="477"/>
      <c r="D51" s="478"/>
      <c r="E51" s="478"/>
      <c r="F51" s="481"/>
      <c r="G51" s="526"/>
      <c r="H51" s="484"/>
      <c r="I51" s="324"/>
      <c r="J51" s="324"/>
      <c r="K51" s="349">
        <f>IFERROR(J51/J52,0)</f>
        <v>0</v>
      </c>
      <c r="L51" s="344">
        <f>$F$42*K51</f>
        <v>0</v>
      </c>
      <c r="M51" s="486"/>
      <c r="N51" s="324"/>
      <c r="O51" s="324"/>
      <c r="P51" s="478"/>
      <c r="Q51" s="480"/>
      <c r="R51" s="350">
        <f>L51*($M$48+N51+O51+$P$48)*(1+$Q$48)</f>
        <v>0</v>
      </c>
      <c r="S51" s="351" t="str">
        <f>IF(I51="Peuplier ",25,IF(I51&lt;&gt;"","Supérieure à 30 ans",""))</f>
        <v/>
      </c>
      <c r="T51" s="352"/>
      <c r="U51" s="352" t="str">
        <f>IFERROR(VLOOKUP(I51,'Recapitulatif REE'!$A$2:$R$23,12,FALSE),"0")</f>
        <v>0</v>
      </c>
      <c r="V51" s="353" t="str">
        <f>IFERROR(U26*(J51/$J$42)*$F$42*(1-Fiche_signalétique_projet!$C$66),"0")</f>
        <v>0</v>
      </c>
      <c r="W51" s="353" t="str">
        <f>IFERROR(VLOOKUP(I51,'Recapitulatif REE'!$A$2:$R$23,16,FALSE),"0")</f>
        <v>0</v>
      </c>
      <c r="X51" s="353">
        <f>IFERROR(W51*L51*(1-Fiche_signalétique_projet!$C$66),"")</f>
        <v>0</v>
      </c>
      <c r="Y51" s="353" t="str">
        <f>IFERROR(VLOOKUP(I51,'Recapitulatif REE'!$A$2:$R$23,15,FALSE),"0")</f>
        <v>0</v>
      </c>
      <c r="Z51" s="353" t="str">
        <f>IFERROR(Y51*(J51/$J$42)*$L$42*(1-Fiche_signalétique_projet!$C$66),"0")</f>
        <v>0</v>
      </c>
      <c r="AA51" s="445">
        <f>IFERROR(Z51+X51+V51,"0")</f>
        <v>0</v>
      </c>
      <c r="AB51" s="350">
        <f>R51-(O51*(1+Q48))</f>
        <v>0</v>
      </c>
      <c r="AC51" s="431">
        <f>J51*L51</f>
        <v>0</v>
      </c>
    </row>
    <row r="52" spans="1:29" ht="14.45" hidden="1" customHeight="1" thickBot="1" x14ac:dyDescent="0.3">
      <c r="A52" s="495" t="s">
        <v>132</v>
      </c>
      <c r="B52" s="496"/>
      <c r="C52" s="496"/>
      <c r="D52" s="496"/>
      <c r="E52" s="497"/>
      <c r="F52" s="386">
        <f>SUM(F48:F51)</f>
        <v>0</v>
      </c>
      <c r="G52" s="356"/>
      <c r="H52" s="357"/>
      <c r="I52" s="357">
        <f>COUNTA(I48:I51)</f>
        <v>0</v>
      </c>
      <c r="J52" s="357">
        <f>SUM(J48:J51)</f>
        <v>0</v>
      </c>
      <c r="K52" s="358">
        <f>SUM(K48:K51)</f>
        <v>0</v>
      </c>
      <c r="L52" s="359">
        <f>SUM(L48:L51)</f>
        <v>0</v>
      </c>
      <c r="M52" s="497" t="s">
        <v>132</v>
      </c>
      <c r="N52" s="498"/>
      <c r="O52" s="498"/>
      <c r="P52" s="498"/>
      <c r="Q52" s="498"/>
      <c r="R52" s="360">
        <f>SUM(R48:R51)</f>
        <v>0</v>
      </c>
      <c r="S52" s="361" t="s">
        <v>132</v>
      </c>
      <c r="T52" s="362"/>
      <c r="U52" s="362"/>
      <c r="V52" s="362"/>
      <c r="W52" s="362"/>
      <c r="X52" s="362"/>
      <c r="Y52" s="362"/>
      <c r="Z52" s="363"/>
      <c r="AA52" s="446">
        <f>SUM(AA48:AA51)</f>
        <v>0</v>
      </c>
      <c r="AB52" s="360">
        <f>R52-(O52*(1+Q48))</f>
        <v>0</v>
      </c>
      <c r="AC52" s="432">
        <f>SUM(AC48:AC51)</f>
        <v>0</v>
      </c>
    </row>
    <row r="53" spans="1:29" ht="14.45" hidden="1" customHeight="1" x14ac:dyDescent="0.25">
      <c r="A53" s="499" t="str">
        <f>IF(Fiche_signalétique_projet!C13&gt;=10, Fiche_signalétique_projet!C7,"LIGNES A MASQUER POUR IMPRESSION")</f>
        <v>LIGNES A MASQUER POUR IMPRESSION</v>
      </c>
      <c r="B53" s="501">
        <v>10</v>
      </c>
      <c r="C53" s="503"/>
      <c r="D53" s="506"/>
      <c r="E53" s="506"/>
      <c r="F53" s="508"/>
      <c r="G53" s="509"/>
      <c r="H53" s="511"/>
      <c r="I53" s="326"/>
      <c r="J53" s="326"/>
      <c r="K53" s="364">
        <f>IFERROR(J53/J57,0)</f>
        <v>0</v>
      </c>
      <c r="L53" s="365">
        <f>$F$47*K53</f>
        <v>0</v>
      </c>
      <c r="M53" s="514"/>
      <c r="N53" s="326"/>
      <c r="O53" s="326"/>
      <c r="P53" s="506"/>
      <c r="Q53" s="516">
        <v>0.12</v>
      </c>
      <c r="R53" s="366">
        <f>L53*(M53+N53+O53+P53)*(1+Q53)</f>
        <v>0</v>
      </c>
      <c r="S53" s="367" t="str">
        <f>IF(I53="Peuplier ",25,IF(I53&lt;&gt;"","Supérieure à 30 ans",""))</f>
        <v/>
      </c>
      <c r="T53" s="368"/>
      <c r="U53" s="368" t="str">
        <f>IFERROR(VLOOKUP(I53,'Recapitulatif REE'!$A$2:$R$23,12,FALSE),"0")</f>
        <v>0</v>
      </c>
      <c r="V53" s="369" t="str">
        <f>IFERROR(U23*(J53/$J$47)*$F$47*(1-Fiche_signalétique_projet!$C$66),"0")</f>
        <v>0</v>
      </c>
      <c r="W53" s="369" t="str">
        <f>IFERROR(VLOOKUP(I53,'Recapitulatif REE'!$A$2:$R$23,16,FALSE),"0")</f>
        <v>0</v>
      </c>
      <c r="X53" s="369">
        <f>IFERROR(W53*L53*(1-Fiche_signalétique_projet!$C$66),"")</f>
        <v>0</v>
      </c>
      <c r="Y53" s="369" t="str">
        <f>IFERROR(VLOOKUP(I53,'Recapitulatif REE'!$A$2:$R$23,15,FALSE),"0")</f>
        <v>0</v>
      </c>
      <c r="Z53" s="369" t="str">
        <f>IFERROR(Y23*(J53/$J$47)*$L$47*(1-Fiche_signalétique_projet!$C$66),"0")</f>
        <v>0</v>
      </c>
      <c r="AA53" s="441">
        <f>IFERROR(Z53+X53+V53,"0")</f>
        <v>0</v>
      </c>
      <c r="AB53" s="366">
        <f>R53-(O53*(1+Q53))</f>
        <v>0</v>
      </c>
      <c r="AC53" s="433">
        <f>J53*L53</f>
        <v>0</v>
      </c>
    </row>
    <row r="54" spans="1:29" ht="14.45" hidden="1" customHeight="1" x14ac:dyDescent="0.25">
      <c r="A54" s="500"/>
      <c r="B54" s="502"/>
      <c r="C54" s="504"/>
      <c r="D54" s="507"/>
      <c r="E54" s="507"/>
      <c r="F54" s="472"/>
      <c r="G54" s="510"/>
      <c r="H54" s="512"/>
      <c r="I54" s="327"/>
      <c r="J54" s="327"/>
      <c r="K54" s="370">
        <f>IFERROR(J54/J57,0)</f>
        <v>0</v>
      </c>
      <c r="L54" s="371">
        <f>$F$47*K54</f>
        <v>0</v>
      </c>
      <c r="M54" s="515"/>
      <c r="N54" s="327"/>
      <c r="O54" s="327"/>
      <c r="P54" s="507"/>
      <c r="Q54" s="517"/>
      <c r="R54" s="372">
        <f>L54*($M$53+N54+O54+$P$53)*(1+$Q$53)</f>
        <v>0</v>
      </c>
      <c r="S54" s="373" t="str">
        <f>IF(I54="Peuplier ",25,IF(I54&lt;&gt;"","Supérieure à 30 ans",""))</f>
        <v/>
      </c>
      <c r="T54" s="374"/>
      <c r="U54" s="374" t="str">
        <f>IFERROR(VLOOKUP(I54,'Recapitulatif REE'!$A$2:$R$23,12,FALSE),"0")</f>
        <v>0</v>
      </c>
      <c r="V54" s="375" t="str">
        <f>IFERROR(U24*(J54/$J$47)*$F$47*(1-Fiche_signalétique_projet!$C$66),"0")</f>
        <v>0</v>
      </c>
      <c r="W54" s="375" t="str">
        <f>IFERROR(VLOOKUP(I54,'Recapitulatif REE'!$A$2:$R$23,16,FALSE),"0")</f>
        <v>0</v>
      </c>
      <c r="X54" s="375">
        <f>IFERROR(W54*L54*(1-Fiche_signalétique_projet!$C$66),"")</f>
        <v>0</v>
      </c>
      <c r="Y54" s="375" t="str">
        <f>IFERROR(VLOOKUP(I54,'Recapitulatif REE'!$A$2:$R$23,15,FALSE),"0")</f>
        <v>0</v>
      </c>
      <c r="Z54" s="375" t="str">
        <f>IFERROR(Y24*(J54/$J$47)*$L$47*(1-Fiche_signalétique_projet!$C$66),"0")</f>
        <v>0</v>
      </c>
      <c r="AA54" s="442">
        <f>IFERROR(Z54+X54+V54,"0")</f>
        <v>0</v>
      </c>
      <c r="AB54" s="372">
        <f>R54-(O54*(1+Q53))</f>
        <v>0</v>
      </c>
      <c r="AC54" s="434">
        <f>J54*L54</f>
        <v>0</v>
      </c>
    </row>
    <row r="55" spans="1:29" hidden="1" x14ac:dyDescent="0.25">
      <c r="A55" s="500"/>
      <c r="B55" s="502"/>
      <c r="C55" s="504"/>
      <c r="D55" s="507"/>
      <c r="E55" s="507"/>
      <c r="F55" s="472"/>
      <c r="G55" s="510"/>
      <c r="H55" s="512"/>
      <c r="I55" s="327"/>
      <c r="J55" s="327"/>
      <c r="K55" s="370">
        <f>IFERROR(J55/J57,0)</f>
        <v>0</v>
      </c>
      <c r="L55" s="371">
        <f>$F$47*K55</f>
        <v>0</v>
      </c>
      <c r="M55" s="515"/>
      <c r="N55" s="327"/>
      <c r="O55" s="327"/>
      <c r="P55" s="507"/>
      <c r="Q55" s="517"/>
      <c r="R55" s="372">
        <f>L55*($M$53+N55+O55+$P$53)*(1+$Q$53)</f>
        <v>0</v>
      </c>
      <c r="S55" s="373" t="str">
        <f>IF(I55="Peuplier ",25,IF(I55&lt;&gt;"","Supérieure à 30 ans",""))</f>
        <v/>
      </c>
      <c r="T55" s="374"/>
      <c r="U55" s="374" t="str">
        <f>IFERROR(VLOOKUP(I55,'Recapitulatif REE'!$A$2:$R$23,12,FALSE),"0")</f>
        <v>0</v>
      </c>
      <c r="V55" s="375" t="str">
        <f>IFERROR(U25*(J55/$J$47)*$F$47*(1-Fiche_signalétique_projet!$C$66),"0")</f>
        <v>0</v>
      </c>
      <c r="W55" s="375" t="str">
        <f>IFERROR(VLOOKUP(I55,'Recapitulatif REE'!$A$2:$R$23,16,FALSE),"0")</f>
        <v>0</v>
      </c>
      <c r="X55" s="375">
        <f>IFERROR(W55*L55*(1-Fiche_signalétique_projet!$C$66),"")</f>
        <v>0</v>
      </c>
      <c r="Y55" s="375" t="str">
        <f>IFERROR(VLOOKUP(I55,'Recapitulatif REE'!$A$2:$R$23,15,FALSE),"0")</f>
        <v>0</v>
      </c>
      <c r="Z55" s="375" t="str">
        <f>IFERROR(Y25*(J55/$J$47)*$L$47*(1-Fiche_signalétique_projet!$C$66),"0")</f>
        <v>0</v>
      </c>
      <c r="AA55" s="442">
        <f>IFERROR(Z55+X55+V55,"0")</f>
        <v>0</v>
      </c>
      <c r="AB55" s="372">
        <f>R55-(O55*(1+Q53))</f>
        <v>0</v>
      </c>
      <c r="AC55" s="434">
        <f>J55*L55</f>
        <v>0</v>
      </c>
    </row>
    <row r="56" spans="1:29" hidden="1" x14ac:dyDescent="0.25">
      <c r="A56" s="500"/>
      <c r="B56" s="502"/>
      <c r="C56" s="505"/>
      <c r="D56" s="507"/>
      <c r="E56" s="507"/>
      <c r="F56" s="472"/>
      <c r="G56" s="510"/>
      <c r="H56" s="513"/>
      <c r="I56" s="327"/>
      <c r="J56" s="327"/>
      <c r="K56" s="370">
        <f>IFERROR(J56/J57,0)</f>
        <v>0</v>
      </c>
      <c r="L56" s="371">
        <f>$F$47*K56</f>
        <v>0</v>
      </c>
      <c r="M56" s="515"/>
      <c r="N56" s="327"/>
      <c r="O56" s="327"/>
      <c r="P56" s="507"/>
      <c r="Q56" s="517"/>
      <c r="R56" s="372">
        <f>L56*($M$53+N56+O56+$P$53)*(1+$Q$53)</f>
        <v>0</v>
      </c>
      <c r="S56" s="373" t="str">
        <f>IF(I56="Peuplier ",25,IF(I56&lt;&gt;"","Supérieure à 30 ans",""))</f>
        <v/>
      </c>
      <c r="T56" s="374"/>
      <c r="U56" s="374" t="str">
        <f>IFERROR(VLOOKUP(I56,'Recapitulatif REE'!$A$2:$R$23,12,FALSE),"0")</f>
        <v>0</v>
      </c>
      <c r="V56" s="375" t="str">
        <f>IFERROR(U26*(J56/$J$47)*$F$47*(1-Fiche_signalétique_projet!$C$66),"0")</f>
        <v>0</v>
      </c>
      <c r="W56" s="375" t="str">
        <f>IFERROR(VLOOKUP(I56,'Recapitulatif REE'!$A$2:$R$23,16,FALSE),"0")</f>
        <v>0</v>
      </c>
      <c r="X56" s="375">
        <f>IFERROR(W56*L56*(1-Fiche_signalétique_projet!$C$66),"")</f>
        <v>0</v>
      </c>
      <c r="Y56" s="375" t="str">
        <f>IFERROR(VLOOKUP(I56,'Recapitulatif REE'!$A$2:$R$23,15,FALSE),"0")</f>
        <v>0</v>
      </c>
      <c r="Z56" s="375" t="str">
        <f>IFERROR(Y26*(J56/$J$47)*$L$47*(1-Fiche_signalétique_projet!$C$66),"0")</f>
        <v>0</v>
      </c>
      <c r="AA56" s="442">
        <f>IFERROR(Z56+X56+V56,"0")</f>
        <v>0</v>
      </c>
      <c r="AB56" s="372">
        <f>R56-(O56*(1+Q53))</f>
        <v>0</v>
      </c>
      <c r="AC56" s="434">
        <f>J56*L56</f>
        <v>0</v>
      </c>
    </row>
    <row r="57" spans="1:29" ht="15.75" hidden="1" customHeight="1" thickBot="1" x14ac:dyDescent="0.3">
      <c r="A57" s="473" t="s">
        <v>132</v>
      </c>
      <c r="B57" s="474"/>
      <c r="C57" s="474"/>
      <c r="D57" s="474"/>
      <c r="E57" s="474"/>
      <c r="F57" s="387">
        <f>SUM(F53:F56)</f>
        <v>0</v>
      </c>
      <c r="G57" s="377"/>
      <c r="H57" s="378"/>
      <c r="I57" s="378">
        <f>COUNTA(I53:I56)</f>
        <v>0</v>
      </c>
      <c r="J57" s="378">
        <f>SUM(J53:J56)</f>
        <v>0</v>
      </c>
      <c r="K57" s="379">
        <f>SUM(K53:K56)</f>
        <v>0</v>
      </c>
      <c r="L57" s="380">
        <f>SUM(L53:L56)</f>
        <v>0</v>
      </c>
      <c r="M57" s="475" t="s">
        <v>132</v>
      </c>
      <c r="N57" s="476"/>
      <c r="O57" s="476"/>
      <c r="P57" s="476"/>
      <c r="Q57" s="476"/>
      <c r="R57" s="381">
        <f>SUM(R53:R56)</f>
        <v>0</v>
      </c>
      <c r="S57" s="382" t="s">
        <v>132</v>
      </c>
      <c r="T57" s="383"/>
      <c r="U57" s="383"/>
      <c r="V57" s="383"/>
      <c r="W57" s="383"/>
      <c r="X57" s="383"/>
      <c r="Y57" s="383"/>
      <c r="Z57" s="384"/>
      <c r="AA57" s="443">
        <f>SUM(AA53:AA56)</f>
        <v>0</v>
      </c>
      <c r="AB57" s="381">
        <f>R57-(O57*(1+Q53))</f>
        <v>0</v>
      </c>
      <c r="AC57" s="435">
        <f>SUM(AC53:AC56)</f>
        <v>0</v>
      </c>
    </row>
    <row r="58" spans="1:29" hidden="1" x14ac:dyDescent="0.25">
      <c r="A58" s="518" t="str">
        <f>IF(Fiche_signalétique_projet!C13&gt;=11,Fiche_signalétique_projet!C7,"LIGNES A MASQUER POUR IMPRESSION")</f>
        <v>LIGNES A MASQUER POUR IMPRESSION</v>
      </c>
      <c r="B58" s="520">
        <v>11</v>
      </c>
      <c r="C58" s="522"/>
      <c r="D58" s="477"/>
      <c r="E58" s="477"/>
      <c r="F58" s="524"/>
      <c r="G58" s="525"/>
      <c r="H58" s="482"/>
      <c r="I58" s="322"/>
      <c r="J58" s="322"/>
      <c r="K58" s="343">
        <f>IFERROR(J58/J62,0)</f>
        <v>0</v>
      </c>
      <c r="L58" s="385">
        <f>$F$42*K58</f>
        <v>0</v>
      </c>
      <c r="M58" s="485"/>
      <c r="N58" s="322"/>
      <c r="O58" s="322"/>
      <c r="P58" s="477"/>
      <c r="Q58" s="479">
        <v>0.12</v>
      </c>
      <c r="R58" s="345">
        <f>L58*(M58+N58+O58+P58)*(1+Q58)</f>
        <v>0</v>
      </c>
      <c r="S58" s="346" t="str">
        <f>IF(I58="Peuplier ",25,IF(I58&lt;&gt;"","Supérieure à 30 ans",""))</f>
        <v/>
      </c>
      <c r="T58" s="347"/>
      <c r="U58" s="347" t="str">
        <f>IFERROR(VLOOKUP(I58,'Recapitulatif REE'!$A$2:$R$23,12,FALSE),"0")</f>
        <v>0</v>
      </c>
      <c r="V58" s="348" t="str">
        <f>IFERROR(U33*(J58/$J$42)*$F$42*(1-Fiche_signalétique_projet!$C$66),"0")</f>
        <v>0</v>
      </c>
      <c r="W58" s="348" t="str">
        <f>IFERROR(VLOOKUP(I58,'Recapitulatif REE'!$A$2:$R$23,16,FALSE),"0")</f>
        <v>0</v>
      </c>
      <c r="X58" s="348">
        <f>IFERROR(W58*L58*(1-Fiche_signalétique_projet!$C$66),"")</f>
        <v>0</v>
      </c>
      <c r="Y58" s="348" t="str">
        <f>IFERROR(VLOOKUP(I58,'Recapitulatif REE'!$A$2:$R$23,15,FALSE),"0")</f>
        <v>0</v>
      </c>
      <c r="Z58" s="348" t="str">
        <f>IFERROR(Y58*(J58/$J$42)*$L$42*(1-Fiche_signalétique_projet!$C$66),"0")</f>
        <v>0</v>
      </c>
      <c r="AA58" s="444">
        <f>IFERROR(Z58+X58+V58,"0")</f>
        <v>0</v>
      </c>
      <c r="AB58" s="345">
        <f>R58-(O58*(1+Q58))</f>
        <v>0</v>
      </c>
      <c r="AC58" s="431">
        <f>J58*L58</f>
        <v>0</v>
      </c>
    </row>
    <row r="59" spans="1:29" hidden="1" x14ac:dyDescent="0.25">
      <c r="A59" s="519"/>
      <c r="B59" s="521"/>
      <c r="C59" s="523"/>
      <c r="D59" s="478"/>
      <c r="E59" s="478"/>
      <c r="F59" s="481"/>
      <c r="G59" s="526"/>
      <c r="H59" s="483"/>
      <c r="I59" s="324"/>
      <c r="J59" s="324"/>
      <c r="K59" s="349">
        <f>IFERROR(J59/J62,0)</f>
        <v>0</v>
      </c>
      <c r="L59" s="344">
        <f>$F$42*K59</f>
        <v>0</v>
      </c>
      <c r="M59" s="486"/>
      <c r="N59" s="324"/>
      <c r="O59" s="324"/>
      <c r="P59" s="478"/>
      <c r="Q59" s="480"/>
      <c r="R59" s="350">
        <f>L59*($M$58+N59+O59+$P$58)*(1+$Q$58)</f>
        <v>0</v>
      </c>
      <c r="S59" s="351" t="str">
        <f>IF(I59="Peuplier ",25,IF(I59&lt;&gt;"","Supérieure à 30 ans",""))</f>
        <v/>
      </c>
      <c r="T59" s="352"/>
      <c r="U59" s="352" t="str">
        <f>IFERROR(VLOOKUP(I59,'Recapitulatif REE'!$A$2:$R$23,12,FALSE),"0")</f>
        <v>0</v>
      </c>
      <c r="V59" s="353" t="str">
        <f>IFERROR(U34*(J59/$J$42)*$F$42*(1-Fiche_signalétique_projet!$C$66),"0")</f>
        <v>0</v>
      </c>
      <c r="W59" s="353" t="str">
        <f>IFERROR(VLOOKUP(I59,'Recapitulatif REE'!$A$2:$R$23,16,FALSE),"0")</f>
        <v>0</v>
      </c>
      <c r="X59" s="353">
        <f>IFERROR(W59*L59*(1-Fiche_signalétique_projet!$C$66),"")</f>
        <v>0</v>
      </c>
      <c r="Y59" s="353" t="str">
        <f>IFERROR(VLOOKUP(I59,'Recapitulatif REE'!$A$2:$R$23,15,FALSE),"0")</f>
        <v>0</v>
      </c>
      <c r="Z59" s="353" t="str">
        <f>IFERROR(Y59*(J59/$J$42)*$L$42*(1-Fiche_signalétique_projet!$C$66),"0")</f>
        <v>0</v>
      </c>
      <c r="AA59" s="445">
        <f>IFERROR(Z59+X59+V59,"0")</f>
        <v>0</v>
      </c>
      <c r="AB59" s="350">
        <f>R59-(O59*(1+Q58))</f>
        <v>0</v>
      </c>
      <c r="AC59" s="431">
        <f>J59*L59</f>
        <v>0</v>
      </c>
    </row>
    <row r="60" spans="1:29" hidden="1" x14ac:dyDescent="0.25">
      <c r="A60" s="519"/>
      <c r="B60" s="521"/>
      <c r="C60" s="523"/>
      <c r="D60" s="478"/>
      <c r="E60" s="478"/>
      <c r="F60" s="481"/>
      <c r="G60" s="526"/>
      <c r="H60" s="483"/>
      <c r="I60" s="324"/>
      <c r="J60" s="324"/>
      <c r="K60" s="349">
        <f>IFERROR(J60/J62,0)</f>
        <v>0</v>
      </c>
      <c r="L60" s="344">
        <f>$F$42*K60</f>
        <v>0</v>
      </c>
      <c r="M60" s="486"/>
      <c r="N60" s="324"/>
      <c r="O60" s="324"/>
      <c r="P60" s="478"/>
      <c r="Q60" s="480"/>
      <c r="R60" s="350">
        <f>L60*($M$58+N60+O60+$P$58)*(1+$Q$58)</f>
        <v>0</v>
      </c>
      <c r="S60" s="351" t="str">
        <f>IF(I60="Peuplier ",25,IF(I60&lt;&gt;"","Supérieure à 30 ans",""))</f>
        <v/>
      </c>
      <c r="T60" s="352"/>
      <c r="U60" s="352" t="str">
        <f>IFERROR(VLOOKUP(I60,'Recapitulatif REE'!$A$2:$R$23,12,FALSE),"0")</f>
        <v>0</v>
      </c>
      <c r="V60" s="353" t="str">
        <f>IFERROR(U35*(J60/$J$42)*$F$42*(1-Fiche_signalétique_projet!$C$66),"0")</f>
        <v>0</v>
      </c>
      <c r="W60" s="353" t="str">
        <f>IFERROR(VLOOKUP(I60,'Recapitulatif REE'!$A$2:$R$23,16,FALSE),"0")</f>
        <v>0</v>
      </c>
      <c r="X60" s="353">
        <f>IFERROR(W60*L60*(1-Fiche_signalétique_projet!$C$66),"")</f>
        <v>0</v>
      </c>
      <c r="Y60" s="353" t="str">
        <f>IFERROR(VLOOKUP(I60,'Recapitulatif REE'!$A$2:$R$23,15,FALSE),"0")</f>
        <v>0</v>
      </c>
      <c r="Z60" s="353" t="str">
        <f>IFERROR(Y60*(J60/$J$42)*$L$42*(1-Fiche_signalétique_projet!$C$66),"0")</f>
        <v>0</v>
      </c>
      <c r="AA60" s="445">
        <f>IFERROR(Z60+X60+V60,"0")</f>
        <v>0</v>
      </c>
      <c r="AB60" s="350">
        <f>R60-(O60*(1+Q58))</f>
        <v>0</v>
      </c>
      <c r="AC60" s="431">
        <f>J60*L60</f>
        <v>0</v>
      </c>
    </row>
    <row r="61" spans="1:29" hidden="1" x14ac:dyDescent="0.25">
      <c r="A61" s="519"/>
      <c r="B61" s="521"/>
      <c r="C61" s="477"/>
      <c r="D61" s="478"/>
      <c r="E61" s="478"/>
      <c r="F61" s="481"/>
      <c r="G61" s="526"/>
      <c r="H61" s="484"/>
      <c r="I61" s="324"/>
      <c r="J61" s="324"/>
      <c r="K61" s="349">
        <f>IFERROR(J61/J62,0)</f>
        <v>0</v>
      </c>
      <c r="L61" s="344">
        <f>$F$42*K61</f>
        <v>0</v>
      </c>
      <c r="M61" s="486"/>
      <c r="N61" s="324"/>
      <c r="O61" s="324"/>
      <c r="P61" s="478"/>
      <c r="Q61" s="480"/>
      <c r="R61" s="350">
        <f>L61*($M$58+N61+O61+$P$58)*(1+$Q$58)</f>
        <v>0</v>
      </c>
      <c r="S61" s="351" t="str">
        <f>IF(I61="Peuplier ",25,IF(I61&lt;&gt;"","Supérieure à 30 ans",""))</f>
        <v/>
      </c>
      <c r="T61" s="352"/>
      <c r="U61" s="352" t="str">
        <f>IFERROR(VLOOKUP(I61,'Recapitulatif REE'!$A$2:$R$23,12,FALSE),"0")</f>
        <v>0</v>
      </c>
      <c r="V61" s="353" t="str">
        <f>IFERROR(U36*(J61/$J$42)*$F$42*(1-Fiche_signalétique_projet!$C$66),"0")</f>
        <v>0</v>
      </c>
      <c r="W61" s="353" t="str">
        <f>IFERROR(VLOOKUP(I61,'Recapitulatif REE'!$A$2:$R$23,16,FALSE),"0")</f>
        <v>0</v>
      </c>
      <c r="X61" s="353">
        <f>IFERROR(W61*L61*(1-Fiche_signalétique_projet!$C$66),"")</f>
        <v>0</v>
      </c>
      <c r="Y61" s="353" t="str">
        <f>IFERROR(VLOOKUP(I61,'Recapitulatif REE'!$A$2:$R$23,15,FALSE),"0")</f>
        <v>0</v>
      </c>
      <c r="Z61" s="353" t="str">
        <f>IFERROR(Y61*(J61/$J$42)*$L$42*(1-Fiche_signalétique_projet!$C$66),"0")</f>
        <v>0</v>
      </c>
      <c r="AA61" s="445">
        <f>IFERROR(Z61+X61+V61,"0")</f>
        <v>0</v>
      </c>
      <c r="AB61" s="350">
        <f>R61-(O61*(1+Q58))</f>
        <v>0</v>
      </c>
      <c r="AC61" s="431">
        <f>J61*L61</f>
        <v>0</v>
      </c>
    </row>
    <row r="62" spans="1:29" ht="11.25" hidden="1" customHeight="1" thickBot="1" x14ac:dyDescent="0.3">
      <c r="A62" s="495" t="s">
        <v>132</v>
      </c>
      <c r="B62" s="496"/>
      <c r="C62" s="496"/>
      <c r="D62" s="496"/>
      <c r="E62" s="497"/>
      <c r="F62" s="386">
        <f>SUM(F58:F61)</f>
        <v>0</v>
      </c>
      <c r="G62" s="356"/>
      <c r="H62" s="357"/>
      <c r="I62" s="357">
        <f>COUNTA(I58:I61)</f>
        <v>0</v>
      </c>
      <c r="J62" s="357">
        <f>SUM(J58:J61)</f>
        <v>0</v>
      </c>
      <c r="K62" s="358">
        <f>SUM(K58:K61)</f>
        <v>0</v>
      </c>
      <c r="L62" s="359">
        <f>SUM(L58:L61)</f>
        <v>0</v>
      </c>
      <c r="M62" s="497" t="s">
        <v>132</v>
      </c>
      <c r="N62" s="498"/>
      <c r="O62" s="498"/>
      <c r="P62" s="498"/>
      <c r="Q62" s="498"/>
      <c r="R62" s="360">
        <f>SUM(R58:R61)</f>
        <v>0</v>
      </c>
      <c r="S62" s="361" t="s">
        <v>132</v>
      </c>
      <c r="T62" s="362"/>
      <c r="U62" s="362"/>
      <c r="V62" s="362"/>
      <c r="W62" s="362"/>
      <c r="X62" s="362"/>
      <c r="Y62" s="362"/>
      <c r="Z62" s="363"/>
      <c r="AA62" s="446">
        <f>SUM(AA58:AA61)</f>
        <v>0</v>
      </c>
      <c r="AB62" s="360">
        <f>R62-(O62*(1+Q58))</f>
        <v>0</v>
      </c>
      <c r="AC62" s="432">
        <f>SUM(AC58:AC61)</f>
        <v>0</v>
      </c>
    </row>
    <row r="63" spans="1:29" hidden="1" x14ac:dyDescent="0.25">
      <c r="A63" s="499" t="str">
        <f>IF(Fiche_signalétique_projet!C13&gt;=12, Fiche_signalétique_projet!C7,"LIGNES A MASQUER POUR IMPRESSION")</f>
        <v>LIGNES A MASQUER POUR IMPRESSION</v>
      </c>
      <c r="B63" s="501">
        <v>12</v>
      </c>
      <c r="C63" s="503"/>
      <c r="D63" s="506"/>
      <c r="E63" s="506"/>
      <c r="F63" s="508"/>
      <c r="G63" s="509"/>
      <c r="H63" s="511"/>
      <c r="I63" s="326"/>
      <c r="J63" s="326"/>
      <c r="K63" s="364">
        <f>IFERROR(J63/J67,0)</f>
        <v>0</v>
      </c>
      <c r="L63" s="365">
        <f>$F$47*K63</f>
        <v>0</v>
      </c>
      <c r="M63" s="514"/>
      <c r="N63" s="326"/>
      <c r="O63" s="326"/>
      <c r="P63" s="506"/>
      <c r="Q63" s="516">
        <v>0.12</v>
      </c>
      <c r="R63" s="366">
        <f>L63*(M63+N63+O63+P63)*(1+Q63)</f>
        <v>0</v>
      </c>
      <c r="S63" s="367" t="str">
        <f>IF(I63="Peuplier ",25,IF(I63&lt;&gt;"","Supérieure à 30 ans",""))</f>
        <v/>
      </c>
      <c r="T63" s="368"/>
      <c r="U63" s="368" t="str">
        <f>IFERROR(VLOOKUP(I63,'Recapitulatif REE'!$A$2:$R$23,12,FALSE),"0")</f>
        <v>0</v>
      </c>
      <c r="V63" s="369" t="str">
        <f>IFERROR(U33*(J63/$J$47)*$F$47*(1-Fiche_signalétique_projet!$C$66),"0")</f>
        <v>0</v>
      </c>
      <c r="W63" s="369" t="str">
        <f>IFERROR(VLOOKUP(I63,'Recapitulatif REE'!$A$2:$R$23,16,FALSE),"0")</f>
        <v>0</v>
      </c>
      <c r="X63" s="369">
        <f>IFERROR(W63*L63*(1-Fiche_signalétique_projet!$C$66),"")</f>
        <v>0</v>
      </c>
      <c r="Y63" s="369" t="str">
        <f>IFERROR(VLOOKUP(I63,'Recapitulatif REE'!$A$2:$R$23,15,FALSE),"0")</f>
        <v>0</v>
      </c>
      <c r="Z63" s="369" t="str">
        <f>IFERROR(Y33*(J63/$J$47)*$L$47*(1-Fiche_signalétique_projet!$C$66),"0")</f>
        <v>0</v>
      </c>
      <c r="AA63" s="441">
        <f>IFERROR(Z63+X63+V63,"0")</f>
        <v>0</v>
      </c>
      <c r="AB63" s="366">
        <f>R63-(O63*(1+Q63))</f>
        <v>0</v>
      </c>
      <c r="AC63" s="433">
        <f>J63*L63</f>
        <v>0</v>
      </c>
    </row>
    <row r="64" spans="1:29" hidden="1" x14ac:dyDescent="0.25">
      <c r="A64" s="500"/>
      <c r="B64" s="502"/>
      <c r="C64" s="504"/>
      <c r="D64" s="507"/>
      <c r="E64" s="507"/>
      <c r="F64" s="472"/>
      <c r="G64" s="510"/>
      <c r="H64" s="512"/>
      <c r="I64" s="327"/>
      <c r="J64" s="327"/>
      <c r="K64" s="370">
        <f>IFERROR(J64/J67,0)</f>
        <v>0</v>
      </c>
      <c r="L64" s="371">
        <f>$F$47*K64</f>
        <v>0</v>
      </c>
      <c r="M64" s="515"/>
      <c r="N64" s="327"/>
      <c r="O64" s="327"/>
      <c r="P64" s="507"/>
      <c r="Q64" s="517"/>
      <c r="R64" s="372">
        <f>L64*($M$63+N64+O64+$P$63)*(1+$Q$63)</f>
        <v>0</v>
      </c>
      <c r="S64" s="373" t="str">
        <f>IF(I64="Peuplier ",25,IF(I64&lt;&gt;"","Supérieure à 30 ans",""))</f>
        <v/>
      </c>
      <c r="T64" s="374"/>
      <c r="U64" s="374" t="str">
        <f>IFERROR(VLOOKUP(I64,'Recapitulatif REE'!$A$2:$R$23,12,FALSE),"0")</f>
        <v>0</v>
      </c>
      <c r="V64" s="375" t="str">
        <f>IFERROR(U34*(J64/$J$47)*$F$47*(1-Fiche_signalétique_projet!$C$66),"0")</f>
        <v>0</v>
      </c>
      <c r="W64" s="375" t="str">
        <f>IFERROR(VLOOKUP(I64,'Recapitulatif REE'!$A$2:$R$23,16,FALSE),"0")</f>
        <v>0</v>
      </c>
      <c r="X64" s="375">
        <f>IFERROR(W64*L64*(1-Fiche_signalétique_projet!$C$66),"")</f>
        <v>0</v>
      </c>
      <c r="Y64" s="375" t="str">
        <f>IFERROR(VLOOKUP(I64,'Recapitulatif REE'!$A$2:$R$23,15,FALSE),"0")</f>
        <v>0</v>
      </c>
      <c r="Z64" s="375" t="str">
        <f>IFERROR(Y34*(J64/$J$47)*$L$47*(1-Fiche_signalétique_projet!$C$66),"0")</f>
        <v>0</v>
      </c>
      <c r="AA64" s="442">
        <f>IFERROR(Z64+X64+V64,"0")</f>
        <v>0</v>
      </c>
      <c r="AB64" s="372">
        <f>R64-(O64*(1+Q63))</f>
        <v>0</v>
      </c>
      <c r="AC64" s="434">
        <f>J64*L64</f>
        <v>0</v>
      </c>
    </row>
    <row r="65" spans="1:29" hidden="1" x14ac:dyDescent="0.25">
      <c r="A65" s="500"/>
      <c r="B65" s="502"/>
      <c r="C65" s="504"/>
      <c r="D65" s="507"/>
      <c r="E65" s="507"/>
      <c r="F65" s="472"/>
      <c r="G65" s="510"/>
      <c r="H65" s="512"/>
      <c r="I65" s="327"/>
      <c r="J65" s="327"/>
      <c r="K65" s="370">
        <f>IFERROR(J65/J67,0)</f>
        <v>0</v>
      </c>
      <c r="L65" s="371">
        <f>$F$47*K65</f>
        <v>0</v>
      </c>
      <c r="M65" s="515"/>
      <c r="N65" s="327"/>
      <c r="O65" s="327"/>
      <c r="P65" s="507"/>
      <c r="Q65" s="517"/>
      <c r="R65" s="372">
        <f>L65*($M$63+N65+O65+$P$63)*(1+$Q$63)</f>
        <v>0</v>
      </c>
      <c r="S65" s="373" t="str">
        <f>IF(I65="Peuplier ",25,IF(I65&lt;&gt;"","Supérieure à 30 ans",""))</f>
        <v/>
      </c>
      <c r="T65" s="374"/>
      <c r="U65" s="374" t="str">
        <f>IFERROR(VLOOKUP(I65,'Recapitulatif REE'!$A$2:$R$23,12,FALSE),"0")</f>
        <v>0</v>
      </c>
      <c r="V65" s="375" t="str">
        <f>IFERROR(U35*(J65/$J$47)*$F$47*(1-Fiche_signalétique_projet!$C$66),"0")</f>
        <v>0</v>
      </c>
      <c r="W65" s="375" t="str">
        <f>IFERROR(VLOOKUP(I65,'Recapitulatif REE'!$A$2:$R$23,16,FALSE),"0")</f>
        <v>0</v>
      </c>
      <c r="X65" s="375">
        <f>IFERROR(W65*L65*(1-Fiche_signalétique_projet!$C$66),"")</f>
        <v>0</v>
      </c>
      <c r="Y65" s="375" t="str">
        <f>IFERROR(VLOOKUP(I65,'Recapitulatif REE'!$A$2:$R$23,15,FALSE),"0")</f>
        <v>0</v>
      </c>
      <c r="Z65" s="375" t="str">
        <f>IFERROR(Y35*(J65/$J$47)*$L$47*(1-Fiche_signalétique_projet!$C$66),"0")</f>
        <v>0</v>
      </c>
      <c r="AA65" s="442">
        <f>IFERROR(Z65+X65+V65,"0")</f>
        <v>0</v>
      </c>
      <c r="AB65" s="372">
        <f>R65-(O65*(1+Q63))</f>
        <v>0</v>
      </c>
      <c r="AC65" s="434">
        <f>J65*L65</f>
        <v>0</v>
      </c>
    </row>
    <row r="66" spans="1:29" hidden="1" x14ac:dyDescent="0.25">
      <c r="A66" s="500"/>
      <c r="B66" s="502"/>
      <c r="C66" s="505"/>
      <c r="D66" s="507"/>
      <c r="E66" s="507"/>
      <c r="F66" s="472"/>
      <c r="G66" s="510"/>
      <c r="H66" s="513"/>
      <c r="I66" s="327"/>
      <c r="J66" s="327"/>
      <c r="K66" s="370">
        <f>IFERROR(J66/J67,0)</f>
        <v>0</v>
      </c>
      <c r="L66" s="371">
        <f>$F$47*K66</f>
        <v>0</v>
      </c>
      <c r="M66" s="515"/>
      <c r="N66" s="327"/>
      <c r="O66" s="327"/>
      <c r="P66" s="507"/>
      <c r="Q66" s="517"/>
      <c r="R66" s="372">
        <f>L66*($M$63+N66+O66+$P$63)*(1+$Q$63)</f>
        <v>0</v>
      </c>
      <c r="S66" s="373" t="str">
        <f>IF(I66="Peuplier ",25,IF(I66&lt;&gt;"","Supérieure à 30 ans",""))</f>
        <v/>
      </c>
      <c r="T66" s="374"/>
      <c r="U66" s="374" t="str">
        <f>IFERROR(VLOOKUP(I66,'Recapitulatif REE'!$A$2:$R$23,12,FALSE),"0")</f>
        <v>0</v>
      </c>
      <c r="V66" s="375" t="str">
        <f>IFERROR(U36*(J66/$J$47)*$F$47*(1-Fiche_signalétique_projet!$C$66),"0")</f>
        <v>0</v>
      </c>
      <c r="W66" s="375" t="str">
        <f>IFERROR(VLOOKUP(I66,'Recapitulatif REE'!$A$2:$R$23,16,FALSE),"0")</f>
        <v>0</v>
      </c>
      <c r="X66" s="375">
        <f>IFERROR(W66*L66*(1-Fiche_signalétique_projet!$C$66),"")</f>
        <v>0</v>
      </c>
      <c r="Y66" s="375" t="str">
        <f>IFERROR(VLOOKUP(I66,'Recapitulatif REE'!$A$2:$R$23,15,FALSE),"0")</f>
        <v>0</v>
      </c>
      <c r="Z66" s="375" t="str">
        <f>IFERROR(Y36*(J66/$J$47)*$L$47*(1-Fiche_signalétique_projet!$C$66),"0")</f>
        <v>0</v>
      </c>
      <c r="AA66" s="442">
        <f>IFERROR(Z66+X66+V66,"0")</f>
        <v>0</v>
      </c>
      <c r="AB66" s="372">
        <f>R66-(O66*(1+Q63))</f>
        <v>0</v>
      </c>
      <c r="AC66" s="434">
        <f>J66*L66</f>
        <v>0</v>
      </c>
    </row>
    <row r="67" spans="1:29" ht="10.5" hidden="1" customHeight="1" thickBot="1" x14ac:dyDescent="0.3">
      <c r="A67" s="473" t="s">
        <v>132</v>
      </c>
      <c r="B67" s="474"/>
      <c r="C67" s="474"/>
      <c r="D67" s="474"/>
      <c r="E67" s="474"/>
      <c r="F67" s="387">
        <f>SUM(F63:F66)</f>
        <v>0</v>
      </c>
      <c r="G67" s="377"/>
      <c r="H67" s="378"/>
      <c r="I67" s="378">
        <f>COUNTA(I63:I66)</f>
        <v>0</v>
      </c>
      <c r="J67" s="378">
        <f>SUM(J63:J66)</f>
        <v>0</v>
      </c>
      <c r="K67" s="379">
        <f>SUM(K63:K66)</f>
        <v>0</v>
      </c>
      <c r="L67" s="380">
        <f>SUM(L63:L66)</f>
        <v>0</v>
      </c>
      <c r="M67" s="475" t="s">
        <v>132</v>
      </c>
      <c r="N67" s="476"/>
      <c r="O67" s="476"/>
      <c r="P67" s="476"/>
      <c r="Q67" s="476"/>
      <c r="R67" s="381">
        <f>SUM(R63:R66)</f>
        <v>0</v>
      </c>
      <c r="S67" s="382" t="s">
        <v>132</v>
      </c>
      <c r="T67" s="383"/>
      <c r="U67" s="383"/>
      <c r="V67" s="383"/>
      <c r="W67" s="383"/>
      <c r="X67" s="383"/>
      <c r="Y67" s="383"/>
      <c r="Z67" s="384"/>
      <c r="AA67" s="443">
        <f>SUM(AA63:AA66)</f>
        <v>0</v>
      </c>
      <c r="AB67" s="381">
        <f>R67-(O67*(1+Q63))</f>
        <v>0</v>
      </c>
      <c r="AC67" s="435">
        <f>SUM(AC63:AC66)</f>
        <v>0</v>
      </c>
    </row>
    <row r="68" spans="1:29" hidden="1" x14ac:dyDescent="0.25">
      <c r="A68" s="518" t="str">
        <f>IF(Fiche_signalétique_projet!C13&gt;=13, Fiche_signalétique_projet!C7,"LIGNES A MASQUER POUR IMPRESSION")</f>
        <v>LIGNES A MASQUER POUR IMPRESSION</v>
      </c>
      <c r="B68" s="520">
        <v>13</v>
      </c>
      <c r="C68" s="522"/>
      <c r="D68" s="477"/>
      <c r="E68" s="477"/>
      <c r="F68" s="524"/>
      <c r="G68" s="525"/>
      <c r="H68" s="482"/>
      <c r="I68" s="322"/>
      <c r="J68" s="322"/>
      <c r="K68" s="343">
        <f>IFERROR(J68/J72,0)</f>
        <v>0</v>
      </c>
      <c r="L68" s="385">
        <f>$F$42*K68</f>
        <v>0</v>
      </c>
      <c r="M68" s="485"/>
      <c r="N68" s="322"/>
      <c r="O68" s="322"/>
      <c r="P68" s="477"/>
      <c r="Q68" s="479">
        <v>0.12</v>
      </c>
      <c r="R68" s="345">
        <f>L68*(M68+N68+O68+P68)*(1+Q68)</f>
        <v>0</v>
      </c>
      <c r="S68" s="346" t="str">
        <f>IF(I68="Peuplier ",25,IF(I68&lt;&gt;"","Supérieure à 30 ans",""))</f>
        <v/>
      </c>
      <c r="T68" s="347"/>
      <c r="U68" s="347" t="str">
        <f>IFERROR(VLOOKUP(I68,'Recapitulatif REE'!$A$2:$R$23,12,FALSE),"0")</f>
        <v>0</v>
      </c>
      <c r="V68" s="348" t="str">
        <f>IFERROR(U43*(J68/$J$42)*$F$42*(1-Fiche_signalétique_projet!$C$66),"0")</f>
        <v>0</v>
      </c>
      <c r="W68" s="348" t="str">
        <f>IFERROR(VLOOKUP(I68,'Recapitulatif REE'!$A$2:$R$23,16,FALSE),"0")</f>
        <v>0</v>
      </c>
      <c r="X68" s="348">
        <f>IFERROR(W68*L68*(1-Fiche_signalétique_projet!$C$66),"")</f>
        <v>0</v>
      </c>
      <c r="Y68" s="348" t="str">
        <f>IFERROR(VLOOKUP(I68,'Recapitulatif REE'!$A$2:$R$23,15,FALSE),"0")</f>
        <v>0</v>
      </c>
      <c r="Z68" s="348" t="str">
        <f>IFERROR(Y68*(J68/$J$42)*$L$42*(1-Fiche_signalétique_projet!$C$66),"0")</f>
        <v>0</v>
      </c>
      <c r="AA68" s="444">
        <f>IFERROR(Z68+X68+V68,"0")</f>
        <v>0</v>
      </c>
      <c r="AB68" s="345">
        <f>R68-(O68*(1+Q68))</f>
        <v>0</v>
      </c>
      <c r="AC68" s="431">
        <f>J68*L68</f>
        <v>0</v>
      </c>
    </row>
    <row r="69" spans="1:29" hidden="1" x14ac:dyDescent="0.25">
      <c r="A69" s="519"/>
      <c r="B69" s="521"/>
      <c r="C69" s="523"/>
      <c r="D69" s="478"/>
      <c r="E69" s="478"/>
      <c r="F69" s="481"/>
      <c r="G69" s="526"/>
      <c r="H69" s="483"/>
      <c r="I69" s="324"/>
      <c r="J69" s="324"/>
      <c r="K69" s="349">
        <f>IFERROR(J69/J72,0)</f>
        <v>0</v>
      </c>
      <c r="L69" s="344">
        <f>$F$42*K69</f>
        <v>0</v>
      </c>
      <c r="M69" s="486"/>
      <c r="N69" s="324"/>
      <c r="O69" s="324"/>
      <c r="P69" s="478"/>
      <c r="Q69" s="480"/>
      <c r="R69" s="350">
        <f>L69*($M$68+N69+O69+$P$68)*(1+$Q$68)</f>
        <v>0</v>
      </c>
      <c r="S69" s="351" t="str">
        <f>IF(I69="Peuplier ",25,IF(I69&lt;&gt;"","Supérieure à 30 ans",""))</f>
        <v/>
      </c>
      <c r="T69" s="352"/>
      <c r="U69" s="352" t="str">
        <f>IFERROR(VLOOKUP(I69,'Recapitulatif REE'!$A$2:$R$23,12,FALSE),"0")</f>
        <v>0</v>
      </c>
      <c r="V69" s="353" t="str">
        <f>IFERROR(U44*(J69/$J$42)*$F$42*(1-Fiche_signalétique_projet!$C$66),"0")</f>
        <v>0</v>
      </c>
      <c r="W69" s="353" t="str">
        <f>IFERROR(VLOOKUP(I69,'Recapitulatif REE'!$A$2:$R$23,16,FALSE),"0")</f>
        <v>0</v>
      </c>
      <c r="X69" s="353">
        <f>IFERROR(W69*L69*(1-Fiche_signalétique_projet!$C$66),"")</f>
        <v>0</v>
      </c>
      <c r="Y69" s="353" t="str">
        <f>IFERROR(VLOOKUP(I69,'Recapitulatif REE'!$A$2:$R$23,15,FALSE),"0")</f>
        <v>0</v>
      </c>
      <c r="Z69" s="353" t="str">
        <f>IFERROR(Y69*(J69/$J$42)*$L$42*(1-Fiche_signalétique_projet!$C$66),"0")</f>
        <v>0</v>
      </c>
      <c r="AA69" s="445">
        <f>IFERROR(Z69+X69+V69,"0")</f>
        <v>0</v>
      </c>
      <c r="AB69" s="350">
        <f>R69-(O69*(1+Q68))</f>
        <v>0</v>
      </c>
      <c r="AC69" s="431">
        <f>J69*L69</f>
        <v>0</v>
      </c>
    </row>
    <row r="70" spans="1:29" hidden="1" x14ac:dyDescent="0.25">
      <c r="A70" s="519"/>
      <c r="B70" s="521"/>
      <c r="C70" s="523"/>
      <c r="D70" s="478"/>
      <c r="E70" s="478"/>
      <c r="F70" s="481"/>
      <c r="G70" s="526"/>
      <c r="H70" s="483"/>
      <c r="I70" s="324"/>
      <c r="J70" s="324"/>
      <c r="K70" s="349">
        <f>IFERROR(J70/J72,0)</f>
        <v>0</v>
      </c>
      <c r="L70" s="344">
        <f>$F$42*K70</f>
        <v>0</v>
      </c>
      <c r="M70" s="486"/>
      <c r="N70" s="324"/>
      <c r="O70" s="324"/>
      <c r="P70" s="478"/>
      <c r="Q70" s="480"/>
      <c r="R70" s="350">
        <f>L70*($M$68+N70+O70+$P$68)*(1+$Q$68)</f>
        <v>0</v>
      </c>
      <c r="S70" s="351" t="str">
        <f>IF(I70="Peuplier ",25,IF(I70&lt;&gt;"","Supérieure à 30 ans",""))</f>
        <v/>
      </c>
      <c r="T70" s="352"/>
      <c r="U70" s="352" t="str">
        <f>IFERROR(VLOOKUP(I70,'Recapitulatif REE'!$A$2:$R$23,12,FALSE),"0")</f>
        <v>0</v>
      </c>
      <c r="V70" s="353" t="str">
        <f>IFERROR(U45*(J70/$J$42)*$F$42*(1-Fiche_signalétique_projet!$C$66),"0")</f>
        <v>0</v>
      </c>
      <c r="W70" s="353" t="str">
        <f>IFERROR(VLOOKUP(I70,'Recapitulatif REE'!$A$2:$R$23,16,FALSE),"0")</f>
        <v>0</v>
      </c>
      <c r="X70" s="353">
        <f>IFERROR(W70*L70*(1-Fiche_signalétique_projet!$C$66),"")</f>
        <v>0</v>
      </c>
      <c r="Y70" s="353" t="str">
        <f>IFERROR(VLOOKUP(I70,'Recapitulatif REE'!$A$2:$R$23,15,FALSE),"0")</f>
        <v>0</v>
      </c>
      <c r="Z70" s="353" t="str">
        <f>IFERROR(Y70*(J70/$J$42)*$L$42*(1-Fiche_signalétique_projet!$C$66),"0")</f>
        <v>0</v>
      </c>
      <c r="AA70" s="445">
        <f>IFERROR(Z70+X70+V70,"0")</f>
        <v>0</v>
      </c>
      <c r="AB70" s="350">
        <f>R70-(O70*(1+Q68))</f>
        <v>0</v>
      </c>
      <c r="AC70" s="431">
        <f>J70*L70</f>
        <v>0</v>
      </c>
    </row>
    <row r="71" spans="1:29" hidden="1" x14ac:dyDescent="0.25">
      <c r="A71" s="519"/>
      <c r="B71" s="521"/>
      <c r="C71" s="477"/>
      <c r="D71" s="478"/>
      <c r="E71" s="478"/>
      <c r="F71" s="481"/>
      <c r="G71" s="526"/>
      <c r="H71" s="484"/>
      <c r="I71" s="324"/>
      <c r="J71" s="324"/>
      <c r="K71" s="349">
        <f>IFERROR(J71/J72,0)</f>
        <v>0</v>
      </c>
      <c r="L71" s="344">
        <f>$F$42*K71</f>
        <v>0</v>
      </c>
      <c r="M71" s="486"/>
      <c r="N71" s="324"/>
      <c r="O71" s="324"/>
      <c r="P71" s="478"/>
      <c r="Q71" s="480"/>
      <c r="R71" s="350">
        <f>L71*($M$68+N71+O71+$P$68)*(1+$Q$68)</f>
        <v>0</v>
      </c>
      <c r="S71" s="351" t="str">
        <f>IF(I71="Peuplier ",25,IF(I71&lt;&gt;"","Supérieure à 30 ans",""))</f>
        <v/>
      </c>
      <c r="T71" s="352"/>
      <c r="U71" s="352" t="str">
        <f>IFERROR(VLOOKUP(I71,'Recapitulatif REE'!$A$2:$R$23,12,FALSE),"0")</f>
        <v>0</v>
      </c>
      <c r="V71" s="353" t="str">
        <f>IFERROR(U46*(J71/$J$42)*$F$42*(1-Fiche_signalétique_projet!$C$66),"0")</f>
        <v>0</v>
      </c>
      <c r="W71" s="353" t="str">
        <f>IFERROR(VLOOKUP(I71,'Recapitulatif REE'!$A$2:$R$23,16,FALSE),"0")</f>
        <v>0</v>
      </c>
      <c r="X71" s="353">
        <f>IFERROR(W71*L71*(1-Fiche_signalétique_projet!$C$66),"")</f>
        <v>0</v>
      </c>
      <c r="Y71" s="353" t="str">
        <f>IFERROR(VLOOKUP(I71,'Recapitulatif REE'!$A$2:$R$23,15,FALSE),"0")</f>
        <v>0</v>
      </c>
      <c r="Z71" s="353" t="str">
        <f>IFERROR(Y71*(J71/$J$42)*$L$42*(1-Fiche_signalétique_projet!$C$66),"0")</f>
        <v>0</v>
      </c>
      <c r="AA71" s="445">
        <f>IFERROR(Z71+X71+V71,"0")</f>
        <v>0</v>
      </c>
      <c r="AB71" s="350">
        <f>R71-(O71*(1+Q68))</f>
        <v>0</v>
      </c>
      <c r="AC71" s="431">
        <f>J71*L71</f>
        <v>0</v>
      </c>
    </row>
    <row r="72" spans="1:29" ht="12" hidden="1" customHeight="1" thickBot="1" x14ac:dyDescent="0.3">
      <c r="A72" s="495" t="s">
        <v>132</v>
      </c>
      <c r="B72" s="496"/>
      <c r="C72" s="496"/>
      <c r="D72" s="496"/>
      <c r="E72" s="497"/>
      <c r="F72" s="386">
        <f>SUM(F68:F71)</f>
        <v>0</v>
      </c>
      <c r="G72" s="356"/>
      <c r="H72" s="357"/>
      <c r="I72" s="357">
        <f>COUNTA(I68:I71)</f>
        <v>0</v>
      </c>
      <c r="J72" s="357">
        <f>SUM(J68:J71)</f>
        <v>0</v>
      </c>
      <c r="K72" s="358">
        <f>SUM(K68:K71)</f>
        <v>0</v>
      </c>
      <c r="L72" s="359">
        <f>SUM(L68:L71)</f>
        <v>0</v>
      </c>
      <c r="M72" s="497" t="s">
        <v>132</v>
      </c>
      <c r="N72" s="498"/>
      <c r="O72" s="498"/>
      <c r="P72" s="498"/>
      <c r="Q72" s="498"/>
      <c r="R72" s="360">
        <f>SUM(R68:R71)</f>
        <v>0</v>
      </c>
      <c r="S72" s="361" t="s">
        <v>132</v>
      </c>
      <c r="T72" s="362"/>
      <c r="U72" s="362"/>
      <c r="V72" s="362"/>
      <c r="W72" s="362"/>
      <c r="X72" s="362"/>
      <c r="Y72" s="362"/>
      <c r="Z72" s="363"/>
      <c r="AA72" s="446">
        <f>SUM(AA68:AA71)</f>
        <v>0</v>
      </c>
      <c r="AB72" s="360">
        <f>R72-(O72*(1+Q68))</f>
        <v>0</v>
      </c>
      <c r="AC72" s="432">
        <f>SUM(AC68:AC71)</f>
        <v>0</v>
      </c>
    </row>
    <row r="73" spans="1:29" hidden="1" x14ac:dyDescent="0.25">
      <c r="A73" s="499" t="str">
        <f>IF(Fiche_signalétique_projet!C13&gt;=14, Fiche_signalétique_projet!C7,"LIGNES A MASQUER POUR IMPRESSION")</f>
        <v>LIGNES A MASQUER POUR IMPRESSION</v>
      </c>
      <c r="B73" s="501">
        <v>14</v>
      </c>
      <c r="C73" s="503"/>
      <c r="D73" s="506"/>
      <c r="E73" s="506"/>
      <c r="F73" s="508"/>
      <c r="G73" s="509"/>
      <c r="H73" s="511"/>
      <c r="I73" s="326"/>
      <c r="J73" s="326"/>
      <c r="K73" s="364">
        <f>IFERROR(J73/J77,0)</f>
        <v>0</v>
      </c>
      <c r="L73" s="365">
        <f>$F$47*K73</f>
        <v>0</v>
      </c>
      <c r="M73" s="514"/>
      <c r="N73" s="326"/>
      <c r="O73" s="326"/>
      <c r="P73" s="506"/>
      <c r="Q73" s="516">
        <v>0.12</v>
      </c>
      <c r="R73" s="366">
        <f>L73*(M73+N73+O73+P73)*(1+Q73)</f>
        <v>0</v>
      </c>
      <c r="S73" s="367" t="str">
        <f>IF(I73="Peuplier ",25,IF(I73&lt;&gt;"","Supérieure à 30 ans",""))</f>
        <v/>
      </c>
      <c r="T73" s="368"/>
      <c r="U73" s="368" t="str">
        <f>IFERROR(VLOOKUP(I73,'Recapitulatif REE'!$A$2:$R$23,12,FALSE),"0")</f>
        <v>0</v>
      </c>
      <c r="V73" s="369" t="str">
        <f>IFERROR(U43*(J73/$J$47)*$F$47*(1-Fiche_signalétique_projet!$C$66),"0")</f>
        <v>0</v>
      </c>
      <c r="W73" s="369" t="str">
        <f>IFERROR(VLOOKUP(I73,'Recapitulatif REE'!$A$2:$R$23,16,FALSE),"0")</f>
        <v>0</v>
      </c>
      <c r="X73" s="369">
        <f>IFERROR(W73*L73*(1-Fiche_signalétique_projet!$C$66),"")</f>
        <v>0</v>
      </c>
      <c r="Y73" s="369" t="str">
        <f>IFERROR(VLOOKUP(I73,'Recapitulatif REE'!$A$2:$R$23,15,FALSE),"0")</f>
        <v>0</v>
      </c>
      <c r="Z73" s="369" t="str">
        <f>IFERROR(Y43*(J73/$J$47)*$L$47*(1-Fiche_signalétique_projet!$C$66),"0")</f>
        <v>0</v>
      </c>
      <c r="AA73" s="441">
        <f>IFERROR(Z73+X73+V73,"0")</f>
        <v>0</v>
      </c>
      <c r="AB73" s="366">
        <f>R73-(O73*(1+Q73))</f>
        <v>0</v>
      </c>
      <c r="AC73" s="433">
        <f>J73*L73</f>
        <v>0</v>
      </c>
    </row>
    <row r="74" spans="1:29" hidden="1" x14ac:dyDescent="0.25">
      <c r="A74" s="500"/>
      <c r="B74" s="502"/>
      <c r="C74" s="504"/>
      <c r="D74" s="507"/>
      <c r="E74" s="507"/>
      <c r="F74" s="472"/>
      <c r="G74" s="510"/>
      <c r="H74" s="512"/>
      <c r="I74" s="327"/>
      <c r="J74" s="327"/>
      <c r="K74" s="370">
        <f>IFERROR(J74/J77,0)</f>
        <v>0</v>
      </c>
      <c r="L74" s="371">
        <f>$F$47*K74</f>
        <v>0</v>
      </c>
      <c r="M74" s="515"/>
      <c r="N74" s="327"/>
      <c r="O74" s="327"/>
      <c r="P74" s="507"/>
      <c r="Q74" s="517"/>
      <c r="R74" s="372">
        <f>L74*($M$73+N74+O74+$P$73)*(1+$Q$73)</f>
        <v>0</v>
      </c>
      <c r="S74" s="373" t="str">
        <f>IF(I74="Peuplier ",25,IF(I74&lt;&gt;"","Supérieure à 30 ans",""))</f>
        <v/>
      </c>
      <c r="T74" s="374"/>
      <c r="U74" s="374" t="str">
        <f>IFERROR(VLOOKUP(I74,'Recapitulatif REE'!$A$2:$R$23,12,FALSE),"0")</f>
        <v>0</v>
      </c>
      <c r="V74" s="375" t="str">
        <f>IFERROR(U44*(J74/$J$47)*$F$47*(1-Fiche_signalétique_projet!$C$66),"0")</f>
        <v>0</v>
      </c>
      <c r="W74" s="375" t="str">
        <f>IFERROR(VLOOKUP(I74,'Recapitulatif REE'!$A$2:$R$23,16,FALSE),"0")</f>
        <v>0</v>
      </c>
      <c r="X74" s="375">
        <f>IFERROR(W74*L74*(1-Fiche_signalétique_projet!$C$66),"")</f>
        <v>0</v>
      </c>
      <c r="Y74" s="375" t="str">
        <f>IFERROR(VLOOKUP(I74,'Recapitulatif REE'!$A$2:$R$23,15,FALSE),"0")</f>
        <v>0</v>
      </c>
      <c r="Z74" s="375" t="str">
        <f>IFERROR(Y44*(J74/$J$47)*$L$47*(1-Fiche_signalétique_projet!$C$66),"0")</f>
        <v>0</v>
      </c>
      <c r="AA74" s="442">
        <f>IFERROR(Z74+X74+V74,"0")</f>
        <v>0</v>
      </c>
      <c r="AB74" s="372">
        <f>R74-(O74*(1+Q73))</f>
        <v>0</v>
      </c>
      <c r="AC74" s="434">
        <f>J74*L74</f>
        <v>0</v>
      </c>
    </row>
    <row r="75" spans="1:29" hidden="1" x14ac:dyDescent="0.25">
      <c r="A75" s="500"/>
      <c r="B75" s="502"/>
      <c r="C75" s="504"/>
      <c r="D75" s="507"/>
      <c r="E75" s="507"/>
      <c r="F75" s="472"/>
      <c r="G75" s="510"/>
      <c r="H75" s="512"/>
      <c r="I75" s="327"/>
      <c r="J75" s="327"/>
      <c r="K75" s="370">
        <f>IFERROR(J75/J77,0)</f>
        <v>0</v>
      </c>
      <c r="L75" s="371">
        <f>$F$47*K75</f>
        <v>0</v>
      </c>
      <c r="M75" s="515"/>
      <c r="N75" s="327"/>
      <c r="O75" s="327"/>
      <c r="P75" s="507"/>
      <c r="Q75" s="517"/>
      <c r="R75" s="372">
        <f>L75*($M$73+N75+O75+$P$73)*(1+$Q$73)</f>
        <v>0</v>
      </c>
      <c r="S75" s="373" t="str">
        <f>IF(I75="Peuplier ",25,IF(I75&lt;&gt;"","Supérieure à 30 ans",""))</f>
        <v/>
      </c>
      <c r="T75" s="374"/>
      <c r="U75" s="374" t="str">
        <f>IFERROR(VLOOKUP(I75,'Recapitulatif REE'!$A$2:$R$23,12,FALSE),"0")</f>
        <v>0</v>
      </c>
      <c r="V75" s="375" t="str">
        <f>IFERROR(U45*(J75/$J$47)*$F$47*(1-Fiche_signalétique_projet!$C$66),"0")</f>
        <v>0</v>
      </c>
      <c r="W75" s="375" t="str">
        <f>IFERROR(VLOOKUP(I75,'Recapitulatif REE'!$A$2:$R$23,16,FALSE),"0")</f>
        <v>0</v>
      </c>
      <c r="X75" s="375">
        <f>IFERROR(W75*L75*(1-Fiche_signalétique_projet!$C$66),"")</f>
        <v>0</v>
      </c>
      <c r="Y75" s="375" t="str">
        <f>IFERROR(VLOOKUP(I75,'Recapitulatif REE'!$A$2:$R$23,15,FALSE),"0")</f>
        <v>0</v>
      </c>
      <c r="Z75" s="375" t="str">
        <f>IFERROR(Y45*(J75/$J$47)*$L$47*(1-Fiche_signalétique_projet!$C$66),"0")</f>
        <v>0</v>
      </c>
      <c r="AA75" s="442">
        <f>IFERROR(Z75+X75+V75,"0")</f>
        <v>0</v>
      </c>
      <c r="AB75" s="372">
        <f>R75-(O75*(1+Q73))</f>
        <v>0</v>
      </c>
      <c r="AC75" s="434">
        <f>J75*L75</f>
        <v>0</v>
      </c>
    </row>
    <row r="76" spans="1:29" hidden="1" x14ac:dyDescent="0.25">
      <c r="A76" s="500"/>
      <c r="B76" s="502"/>
      <c r="C76" s="505"/>
      <c r="D76" s="507"/>
      <c r="E76" s="507"/>
      <c r="F76" s="472"/>
      <c r="G76" s="510"/>
      <c r="H76" s="513"/>
      <c r="I76" s="327"/>
      <c r="J76" s="327"/>
      <c r="K76" s="370">
        <f>IFERROR(J76/J77,0)</f>
        <v>0</v>
      </c>
      <c r="L76" s="371">
        <f>$F$47*K76</f>
        <v>0</v>
      </c>
      <c r="M76" s="515"/>
      <c r="N76" s="327"/>
      <c r="O76" s="327"/>
      <c r="P76" s="507"/>
      <c r="Q76" s="517"/>
      <c r="R76" s="372">
        <f>L76*($M$73+N76+O76+$P$73)*(1+$Q$73)</f>
        <v>0</v>
      </c>
      <c r="S76" s="373" t="str">
        <f>IF(I76="Peuplier ",25,IF(I76&lt;&gt;"","Supérieure à 30 ans",""))</f>
        <v/>
      </c>
      <c r="T76" s="374"/>
      <c r="U76" s="374" t="str">
        <f>IFERROR(VLOOKUP(I76,'Recapitulatif REE'!$A$2:$R$23,12,FALSE),"0")</f>
        <v>0</v>
      </c>
      <c r="V76" s="375" t="str">
        <f>IFERROR(U46*(J76/$J$47)*$F$47*(1-Fiche_signalétique_projet!$C$66),"0")</f>
        <v>0</v>
      </c>
      <c r="W76" s="375" t="str">
        <f>IFERROR(VLOOKUP(I76,'Recapitulatif REE'!$A$2:$R$23,16,FALSE),"0")</f>
        <v>0</v>
      </c>
      <c r="X76" s="375">
        <f>IFERROR(W76*L76*(1-Fiche_signalétique_projet!$C$66),"")</f>
        <v>0</v>
      </c>
      <c r="Y76" s="375" t="str">
        <f>IFERROR(VLOOKUP(I76,'Recapitulatif REE'!$A$2:$R$23,15,FALSE),"0")</f>
        <v>0</v>
      </c>
      <c r="Z76" s="375" t="str">
        <f>IFERROR(Y46*(J76/$J$47)*$L$47*(1-Fiche_signalétique_projet!$C$66),"0")</f>
        <v>0</v>
      </c>
      <c r="AA76" s="442">
        <f>IFERROR(Z76+X76+V76,"0")</f>
        <v>0</v>
      </c>
      <c r="AB76" s="372">
        <f>R76-(O76*(1+Q73))</f>
        <v>0</v>
      </c>
      <c r="AC76" s="434">
        <f>J76*L76</f>
        <v>0</v>
      </c>
    </row>
    <row r="77" spans="1:29" ht="11.25" hidden="1" customHeight="1" thickBot="1" x14ac:dyDescent="0.3">
      <c r="A77" s="473" t="s">
        <v>132</v>
      </c>
      <c r="B77" s="474"/>
      <c r="C77" s="474"/>
      <c r="D77" s="474"/>
      <c r="E77" s="474"/>
      <c r="F77" s="387">
        <f>SUM(F73:F76)</f>
        <v>0</v>
      </c>
      <c r="G77" s="377"/>
      <c r="H77" s="378"/>
      <c r="I77" s="378">
        <f>COUNTA(I73:I76)</f>
        <v>0</v>
      </c>
      <c r="J77" s="378">
        <f>SUM(J73:J76)</f>
        <v>0</v>
      </c>
      <c r="K77" s="379">
        <f>SUM(K73:K76)</f>
        <v>0</v>
      </c>
      <c r="L77" s="380">
        <f>SUM(L73:L76)</f>
        <v>0</v>
      </c>
      <c r="M77" s="475" t="s">
        <v>132</v>
      </c>
      <c r="N77" s="476"/>
      <c r="O77" s="476"/>
      <c r="P77" s="476"/>
      <c r="Q77" s="476"/>
      <c r="R77" s="381">
        <f>SUM(R73:R76)</f>
        <v>0</v>
      </c>
      <c r="S77" s="382" t="s">
        <v>132</v>
      </c>
      <c r="T77" s="383"/>
      <c r="U77" s="383"/>
      <c r="V77" s="383"/>
      <c r="W77" s="383"/>
      <c r="X77" s="383"/>
      <c r="Y77" s="383"/>
      <c r="Z77" s="384"/>
      <c r="AA77" s="443">
        <f>SUM(AA73:AA76)</f>
        <v>0</v>
      </c>
      <c r="AB77" s="381">
        <f>R77-(O77*(1+Q77))</f>
        <v>0</v>
      </c>
      <c r="AC77" s="435">
        <f>SUM(AC73:AC76)</f>
        <v>0</v>
      </c>
    </row>
    <row r="78" spans="1:29" hidden="1" x14ac:dyDescent="0.25">
      <c r="A78" s="518" t="str">
        <f>IF(Fiche_signalétique_projet!C13&gt;=15, Fiche_signalétique_projet!C7,"LIGNES A MASQUER POUR IMPRESSION")</f>
        <v>LIGNES A MASQUER POUR IMPRESSION</v>
      </c>
      <c r="B78" s="520">
        <v>15</v>
      </c>
      <c r="C78" s="522"/>
      <c r="D78" s="477"/>
      <c r="E78" s="477"/>
      <c r="F78" s="524"/>
      <c r="G78" s="525"/>
      <c r="H78" s="482"/>
      <c r="I78" s="322"/>
      <c r="J78" s="322"/>
      <c r="K78" s="343">
        <f>IFERROR(J78/J82,0)</f>
        <v>0</v>
      </c>
      <c r="L78" s="385">
        <f t="shared" ref="L78:L91" si="1">$F$42*K78</f>
        <v>0</v>
      </c>
      <c r="M78" s="485"/>
      <c r="N78" s="322"/>
      <c r="O78" s="322"/>
      <c r="P78" s="477"/>
      <c r="Q78" s="479">
        <v>0.12</v>
      </c>
      <c r="R78" s="345">
        <f>L78*(M78+N78+O78+P78)*(1+$Q$78)</f>
        <v>0</v>
      </c>
      <c r="S78" s="346" t="str">
        <f>IF(I78="Peuplier ",25,IF(I78&lt;&gt;"","Supérieure à 30 ans",""))</f>
        <v/>
      </c>
      <c r="T78" s="347"/>
      <c r="U78" s="347" t="str">
        <f>IFERROR(VLOOKUP(I78,'Recapitulatif REE'!$A$2:$R$23,12,FALSE),"0")</f>
        <v>0</v>
      </c>
      <c r="V78" s="348" t="str">
        <f>IFERROR(U53*(J78/$J$42)*$F$42*(1-Fiche_signalétique_projet!$C$66),"0")</f>
        <v>0</v>
      </c>
      <c r="W78" s="348" t="str">
        <f>IFERROR(VLOOKUP(I78,'Recapitulatif REE'!$A$2:$R$23,16,FALSE),"0")</f>
        <v>0</v>
      </c>
      <c r="X78" s="348">
        <f>IFERROR(W78*L78*(1-Fiche_signalétique_projet!$C$66),"")</f>
        <v>0</v>
      </c>
      <c r="Y78" s="348" t="str">
        <f>IFERROR(VLOOKUP(I78,'Recapitulatif REE'!$A$2:$R$23,15,FALSE),"0")</f>
        <v>0</v>
      </c>
      <c r="Z78" s="348" t="str">
        <f>IFERROR(Y78*(J78/$J$42)*$L$42*(1-Fiche_signalétique_projet!$C$66),"0")</f>
        <v>0</v>
      </c>
      <c r="AA78" s="444">
        <f>IFERROR(Z78+X78+V78,"0")</f>
        <v>0</v>
      </c>
      <c r="AB78" s="345">
        <f>R78-(O78*(1+Q77))</f>
        <v>0</v>
      </c>
      <c r="AC78" s="431">
        <f>J78*L78</f>
        <v>0</v>
      </c>
    </row>
    <row r="79" spans="1:29" hidden="1" x14ac:dyDescent="0.25">
      <c r="A79" s="519"/>
      <c r="B79" s="521"/>
      <c r="C79" s="523"/>
      <c r="D79" s="478"/>
      <c r="E79" s="478"/>
      <c r="F79" s="481"/>
      <c r="G79" s="526"/>
      <c r="H79" s="483"/>
      <c r="I79" s="324"/>
      <c r="J79" s="324"/>
      <c r="K79" s="349">
        <f>IFERROR(J79/J82,0)</f>
        <v>0</v>
      </c>
      <c r="L79" s="344">
        <f t="shared" si="1"/>
        <v>0</v>
      </c>
      <c r="M79" s="486"/>
      <c r="N79" s="324"/>
      <c r="O79" s="324"/>
      <c r="P79" s="478"/>
      <c r="Q79" s="480"/>
      <c r="R79" s="350">
        <f>L79*(M78+N79+O79+P78)*(1+$Q$78)</f>
        <v>0</v>
      </c>
      <c r="S79" s="351" t="str">
        <f>IF(I79="Peuplier ",25,IF(I79&lt;&gt;"","Supérieure à 30 ans",""))</f>
        <v/>
      </c>
      <c r="T79" s="352"/>
      <c r="U79" s="352" t="str">
        <f>IFERROR(VLOOKUP(I79,'Recapitulatif REE'!$A$2:$R$23,12,FALSE),"0")</f>
        <v>0</v>
      </c>
      <c r="V79" s="353" t="str">
        <f>IFERROR(U54*(J79/$J$42)*$F$42*(1-Fiche_signalétique_projet!$C$66),"0")</f>
        <v>0</v>
      </c>
      <c r="W79" s="353" t="str">
        <f>IFERROR(VLOOKUP(I79,'Recapitulatif REE'!$A$2:$R$23,16,FALSE),"0")</f>
        <v>0</v>
      </c>
      <c r="X79" s="353">
        <f>IFERROR(W79*L79*(1-Fiche_signalétique_projet!$C$66),"")</f>
        <v>0</v>
      </c>
      <c r="Y79" s="353" t="str">
        <f>IFERROR(VLOOKUP(I79,'Recapitulatif REE'!$A$2:$R$23,15,FALSE),"0")</f>
        <v>0</v>
      </c>
      <c r="Z79" s="353" t="str">
        <f>IFERROR(Y79*(J79/$J$42)*$L$42*(1-Fiche_signalétique_projet!$C$66),"0")</f>
        <v>0</v>
      </c>
      <c r="AA79" s="445">
        <f>IFERROR(Z79+X79+V79,"0")</f>
        <v>0</v>
      </c>
      <c r="AB79" s="350">
        <f>R79-(O79*(1+Q77))</f>
        <v>0</v>
      </c>
      <c r="AC79" s="431">
        <f>J79*L79</f>
        <v>0</v>
      </c>
    </row>
    <row r="80" spans="1:29" hidden="1" x14ac:dyDescent="0.25">
      <c r="A80" s="519"/>
      <c r="B80" s="521"/>
      <c r="C80" s="523"/>
      <c r="D80" s="478"/>
      <c r="E80" s="478"/>
      <c r="F80" s="481"/>
      <c r="G80" s="526"/>
      <c r="H80" s="483"/>
      <c r="I80" s="324"/>
      <c r="J80" s="324"/>
      <c r="K80" s="349">
        <f>IFERROR(J80/J82,0)</f>
        <v>0</v>
      </c>
      <c r="L80" s="344">
        <f t="shared" si="1"/>
        <v>0</v>
      </c>
      <c r="M80" s="486"/>
      <c r="N80" s="324"/>
      <c r="O80" s="324"/>
      <c r="P80" s="478"/>
      <c r="Q80" s="480"/>
      <c r="R80" s="350">
        <f>L80*(M79+N80+O80+P79)*(1+$Q$78)</f>
        <v>0</v>
      </c>
      <c r="S80" s="351" t="str">
        <f>IF(I80="Peuplier ",25,IF(I80&lt;&gt;"","Supérieure à 30 ans",""))</f>
        <v/>
      </c>
      <c r="T80" s="352"/>
      <c r="U80" s="352" t="str">
        <f>IFERROR(VLOOKUP(I80,'Recapitulatif REE'!$A$2:$R$23,12,FALSE),"0")</f>
        <v>0</v>
      </c>
      <c r="V80" s="353" t="str">
        <f>IFERROR(U55*(J80/$J$42)*$F$42*(1-Fiche_signalétique_projet!$C$66),"0")</f>
        <v>0</v>
      </c>
      <c r="W80" s="353" t="str">
        <f>IFERROR(VLOOKUP(I80,'Recapitulatif REE'!$A$2:$R$23,16,FALSE),"0")</f>
        <v>0</v>
      </c>
      <c r="X80" s="353">
        <f>IFERROR(W80*L80*(1-Fiche_signalétique_projet!$C$66),"")</f>
        <v>0</v>
      </c>
      <c r="Y80" s="353" t="str">
        <f>IFERROR(VLOOKUP(I80,'Recapitulatif REE'!$A$2:$R$23,15,FALSE),"0")</f>
        <v>0</v>
      </c>
      <c r="Z80" s="353" t="str">
        <f>IFERROR(Y80*(J80/$J$42)*$L$42*(1-Fiche_signalétique_projet!$C$66),"0")</f>
        <v>0</v>
      </c>
      <c r="AA80" s="445">
        <f>IFERROR(Z80+X80+V80,"0")</f>
        <v>0</v>
      </c>
      <c r="AB80" s="350">
        <f>R80-(O80*(1+Q77))</f>
        <v>0</v>
      </c>
      <c r="AC80" s="431">
        <f>J80*L80</f>
        <v>0</v>
      </c>
    </row>
    <row r="81" spans="1:29" hidden="1" x14ac:dyDescent="0.25">
      <c r="A81" s="519"/>
      <c r="B81" s="521"/>
      <c r="C81" s="477"/>
      <c r="D81" s="478"/>
      <c r="E81" s="478"/>
      <c r="F81" s="481"/>
      <c r="G81" s="526"/>
      <c r="H81" s="484"/>
      <c r="I81" s="324"/>
      <c r="J81" s="324"/>
      <c r="K81" s="349">
        <f>IFERROR(J81/J82,0)</f>
        <v>0</v>
      </c>
      <c r="L81" s="344">
        <f t="shared" si="1"/>
        <v>0</v>
      </c>
      <c r="M81" s="486"/>
      <c r="N81" s="324"/>
      <c r="O81" s="324"/>
      <c r="P81" s="478"/>
      <c r="Q81" s="480"/>
      <c r="R81" s="350">
        <f>L81*(M80+N81+O81+P80)*(1+$Q$78)</f>
        <v>0</v>
      </c>
      <c r="S81" s="351" t="str">
        <f>IF(I81="Peuplier ",25,IF(I81&lt;&gt;"","Supérieure à 30 ans",""))</f>
        <v/>
      </c>
      <c r="T81" s="352"/>
      <c r="U81" s="352" t="str">
        <f>IFERROR(VLOOKUP(I81,'Recapitulatif REE'!$A$2:$R$23,12,FALSE),"0")</f>
        <v>0</v>
      </c>
      <c r="V81" s="353" t="str">
        <f>IFERROR(U56*(J81/$J$42)*$F$42*(1-Fiche_signalétique_projet!$C$66),"0")</f>
        <v>0</v>
      </c>
      <c r="W81" s="353" t="str">
        <f>IFERROR(VLOOKUP(I81,'Recapitulatif REE'!$A$2:$R$23,16,FALSE),"0")</f>
        <v>0</v>
      </c>
      <c r="X81" s="353">
        <f>IFERROR(W81*L81*(1-Fiche_signalétique_projet!$C$66),"")</f>
        <v>0</v>
      </c>
      <c r="Y81" s="353" t="str">
        <f>IFERROR(VLOOKUP(I81,'Recapitulatif REE'!$A$2:$R$23,15,FALSE),"0")</f>
        <v>0</v>
      </c>
      <c r="Z81" s="353" t="str">
        <f>IFERROR(Y81*(J81/$J$42)*$L$42*(1-Fiche_signalétique_projet!$C$66),"0")</f>
        <v>0</v>
      </c>
      <c r="AA81" s="445">
        <f>IFERROR(Z81+X81+V81,"0")</f>
        <v>0</v>
      </c>
      <c r="AB81" s="350">
        <f>R81-(O81*(1+Q77))</f>
        <v>0</v>
      </c>
      <c r="AC81" s="431">
        <f>J81*L81</f>
        <v>0</v>
      </c>
    </row>
    <row r="82" spans="1:29" ht="13.5" hidden="1" customHeight="1" thickBot="1" x14ac:dyDescent="0.3">
      <c r="A82" s="495" t="s">
        <v>132</v>
      </c>
      <c r="B82" s="496"/>
      <c r="C82" s="496"/>
      <c r="D82" s="496"/>
      <c r="E82" s="497"/>
      <c r="F82" s="386">
        <f>SUM(F78:F81)</f>
        <v>0</v>
      </c>
      <c r="G82" s="356"/>
      <c r="H82" s="357"/>
      <c r="I82" s="357">
        <f>COUNTA(I78:I81)</f>
        <v>0</v>
      </c>
      <c r="J82" s="357">
        <f>SUM(J78:J81)</f>
        <v>0</v>
      </c>
      <c r="K82" s="358">
        <f>SUM(K78:K81)</f>
        <v>0</v>
      </c>
      <c r="L82" s="359">
        <f>SUM(L78:L81)</f>
        <v>0</v>
      </c>
      <c r="M82" s="497" t="s">
        <v>132</v>
      </c>
      <c r="N82" s="498"/>
      <c r="O82" s="498"/>
      <c r="P82" s="498"/>
      <c r="Q82" s="498"/>
      <c r="R82" s="360">
        <f>SUM(R78:R81)</f>
        <v>0</v>
      </c>
      <c r="S82" s="361" t="s">
        <v>132</v>
      </c>
      <c r="T82" s="362"/>
      <c r="U82" s="362"/>
      <c r="V82" s="362"/>
      <c r="W82" s="362"/>
      <c r="X82" s="362"/>
      <c r="Y82" s="362">
        <v>0</v>
      </c>
      <c r="Z82" s="363"/>
      <c r="AA82" s="446">
        <f>SUM(AA78:AA81)</f>
        <v>0</v>
      </c>
      <c r="AB82" s="360"/>
      <c r="AC82" s="432">
        <f>SUM(AC78:AC81)</f>
        <v>0</v>
      </c>
    </row>
    <row r="83" spans="1:29" hidden="1" x14ac:dyDescent="0.25">
      <c r="A83" s="499" t="str">
        <f>IF(Fiche_signalétique_projet!C13&gt;=16, Fiche_signalétique_projet!C7,"LIGNES A MASQUER POUR IMPRESSION")</f>
        <v>LIGNES A MASQUER POUR IMPRESSION</v>
      </c>
      <c r="B83" s="501">
        <v>16</v>
      </c>
      <c r="C83" s="503"/>
      <c r="D83" s="506"/>
      <c r="E83" s="506"/>
      <c r="F83" s="508"/>
      <c r="G83" s="509"/>
      <c r="H83" s="511"/>
      <c r="I83" s="326"/>
      <c r="J83" s="326"/>
      <c r="K83" s="364">
        <f>IFERROR(J83/J87,0)</f>
        <v>0</v>
      </c>
      <c r="L83" s="365">
        <f t="shared" ref="L83:L96" si="2">$F$47*K83</f>
        <v>0</v>
      </c>
      <c r="M83" s="514"/>
      <c r="N83" s="326"/>
      <c r="O83" s="326"/>
      <c r="P83" s="506"/>
      <c r="Q83" s="516">
        <v>0.12</v>
      </c>
      <c r="R83" s="366">
        <f>L83*(M83+N83+O83+P83)*(1+Q83)</f>
        <v>0</v>
      </c>
      <c r="S83" s="367" t="str">
        <f>IF(I83="Peuplier ",25,IF(I83&lt;&gt;"","Supérieure à 30 ans",""))</f>
        <v/>
      </c>
      <c r="T83" s="368"/>
      <c r="U83" s="368" t="str">
        <f>IFERROR(VLOOKUP(I83,'Recapitulatif REE'!$A$2:$R$23,12,FALSE),"0")</f>
        <v>0</v>
      </c>
      <c r="V83" s="369" t="str">
        <f>IFERROR(U53*(J83/$J$47)*$F$47*(1-Fiche_signalétique_projet!$C$66),"0")</f>
        <v>0</v>
      </c>
      <c r="W83" s="369" t="str">
        <f>IFERROR(VLOOKUP(I83,'Recapitulatif REE'!$A$2:$R$23,16,FALSE),"0")</f>
        <v>0</v>
      </c>
      <c r="X83" s="369">
        <f>IFERROR(W83*L83*(1-Fiche_signalétique_projet!$C$66),"")</f>
        <v>0</v>
      </c>
      <c r="Y83" s="369" t="str">
        <f>IFERROR(VLOOKUP(I83,'Recapitulatif REE'!$A$2:$R$23,15,FALSE),"0")</f>
        <v>0</v>
      </c>
      <c r="Z83" s="369" t="str">
        <f>IFERROR(Y53*(J83/$J$47)*$L$47*(1-Fiche_signalétique_projet!$C$66),"0")</f>
        <v>0</v>
      </c>
      <c r="AA83" s="441">
        <f>IFERROR(Z83+X83+V83,"0")</f>
        <v>0</v>
      </c>
      <c r="AB83" s="366">
        <f>R83-(O83*(1+Q83))</f>
        <v>0</v>
      </c>
      <c r="AC83" s="433">
        <f>J83*L83</f>
        <v>0</v>
      </c>
    </row>
    <row r="84" spans="1:29" hidden="1" x14ac:dyDescent="0.25">
      <c r="A84" s="500"/>
      <c r="B84" s="502"/>
      <c r="C84" s="504"/>
      <c r="D84" s="507"/>
      <c r="E84" s="507"/>
      <c r="F84" s="472"/>
      <c r="G84" s="510"/>
      <c r="H84" s="512"/>
      <c r="I84" s="327"/>
      <c r="J84" s="327"/>
      <c r="K84" s="370">
        <f>IFERROR(J84/J87,0)</f>
        <v>0</v>
      </c>
      <c r="L84" s="371">
        <f t="shared" si="2"/>
        <v>0</v>
      </c>
      <c r="M84" s="515"/>
      <c r="N84" s="327"/>
      <c r="O84" s="327"/>
      <c r="P84" s="507"/>
      <c r="Q84" s="517"/>
      <c r="R84" s="372">
        <f>L84*($M$83+N84+O84+$P$83)*(1+$Q$83)</f>
        <v>0</v>
      </c>
      <c r="S84" s="373" t="str">
        <f>IF(I84="Peuplier ",25,IF(I84&lt;&gt;"","Supérieure à 30 ans",""))</f>
        <v/>
      </c>
      <c r="T84" s="374"/>
      <c r="U84" s="374" t="str">
        <f>IFERROR(VLOOKUP(I84,'Recapitulatif REE'!$A$2:$R$23,12,FALSE),"0")</f>
        <v>0</v>
      </c>
      <c r="V84" s="375" t="str">
        <f>IFERROR(U54*(J84/$J$47)*$F$47*(1-Fiche_signalétique_projet!$C$66),"0")</f>
        <v>0</v>
      </c>
      <c r="W84" s="375" t="str">
        <f>IFERROR(VLOOKUP(I84,'Recapitulatif REE'!$A$2:$R$23,16,FALSE),"0")</f>
        <v>0</v>
      </c>
      <c r="X84" s="375">
        <f>IFERROR(W84*L84*(1-Fiche_signalétique_projet!$C$66),"")</f>
        <v>0</v>
      </c>
      <c r="Y84" s="375" t="str">
        <f>IFERROR(VLOOKUP(I84,'Recapitulatif REE'!$A$2:$R$23,15,FALSE),"0")</f>
        <v>0</v>
      </c>
      <c r="Z84" s="375" t="str">
        <f>IFERROR(Y54*(J84/$J$47)*$L$47*(1-Fiche_signalétique_projet!$C$66),"0")</f>
        <v>0</v>
      </c>
      <c r="AA84" s="442">
        <f>IFERROR(Z84+X84+V84,"0")</f>
        <v>0</v>
      </c>
      <c r="AB84" s="372">
        <f>R84-(O84*(1+Q83))</f>
        <v>0</v>
      </c>
      <c r="AC84" s="434">
        <f>J84*L84</f>
        <v>0</v>
      </c>
    </row>
    <row r="85" spans="1:29" hidden="1" x14ac:dyDescent="0.25">
      <c r="A85" s="500"/>
      <c r="B85" s="502"/>
      <c r="C85" s="504"/>
      <c r="D85" s="507"/>
      <c r="E85" s="507"/>
      <c r="F85" s="472"/>
      <c r="G85" s="510"/>
      <c r="H85" s="512"/>
      <c r="I85" s="327"/>
      <c r="J85" s="327"/>
      <c r="K85" s="370">
        <f>IFERROR(J85/J87,0)</f>
        <v>0</v>
      </c>
      <c r="L85" s="371">
        <f t="shared" si="2"/>
        <v>0</v>
      </c>
      <c r="M85" s="515"/>
      <c r="N85" s="327"/>
      <c r="O85" s="327"/>
      <c r="P85" s="507"/>
      <c r="Q85" s="517"/>
      <c r="R85" s="372">
        <f>L85*($M$83+N85+O85+$P$83)*(1+$Q$83)</f>
        <v>0</v>
      </c>
      <c r="S85" s="373" t="str">
        <f>IF(I85="Peuplier ",25,IF(I85&lt;&gt;"","Supérieure à 30 ans",""))</f>
        <v/>
      </c>
      <c r="T85" s="374"/>
      <c r="U85" s="374" t="str">
        <f>IFERROR(VLOOKUP(I85,'Recapitulatif REE'!$A$2:$R$23,12,FALSE),"0")</f>
        <v>0</v>
      </c>
      <c r="V85" s="375" t="str">
        <f>IFERROR(U55*(J85/$J$47)*$F$47*(1-Fiche_signalétique_projet!$C$66),"0")</f>
        <v>0</v>
      </c>
      <c r="W85" s="375" t="str">
        <f>IFERROR(VLOOKUP(I85,'Recapitulatif REE'!$A$2:$R$23,16,FALSE),"0")</f>
        <v>0</v>
      </c>
      <c r="X85" s="375">
        <f>IFERROR(W85*L85*(1-Fiche_signalétique_projet!$C$66),"")</f>
        <v>0</v>
      </c>
      <c r="Y85" s="375" t="str">
        <f>IFERROR(VLOOKUP(I85,'Recapitulatif REE'!$A$2:$R$23,15,FALSE),"0")</f>
        <v>0</v>
      </c>
      <c r="Z85" s="375" t="str">
        <f>IFERROR(Y55*(J85/$J$47)*$L$47*(1-Fiche_signalétique_projet!$C$66),"0")</f>
        <v>0</v>
      </c>
      <c r="AA85" s="442">
        <f>IFERROR(Z85+X85+V85,"0")</f>
        <v>0</v>
      </c>
      <c r="AB85" s="372">
        <f>R85-(O85*(1+Q83))</f>
        <v>0</v>
      </c>
      <c r="AC85" s="434">
        <f>J85*L85</f>
        <v>0</v>
      </c>
    </row>
    <row r="86" spans="1:29" hidden="1" x14ac:dyDescent="0.25">
      <c r="A86" s="500"/>
      <c r="B86" s="502"/>
      <c r="C86" s="505"/>
      <c r="D86" s="507"/>
      <c r="E86" s="507"/>
      <c r="F86" s="472"/>
      <c r="G86" s="510"/>
      <c r="H86" s="513"/>
      <c r="I86" s="327"/>
      <c r="J86" s="327"/>
      <c r="K86" s="370">
        <f>IFERROR(J86/J87,0)</f>
        <v>0</v>
      </c>
      <c r="L86" s="371">
        <f t="shared" si="2"/>
        <v>0</v>
      </c>
      <c r="M86" s="515"/>
      <c r="N86" s="327"/>
      <c r="O86" s="327"/>
      <c r="P86" s="507"/>
      <c r="Q86" s="517"/>
      <c r="R86" s="372">
        <f>L86*($M$83+N86+O86+$P$83)*(1+$Q$83)</f>
        <v>0</v>
      </c>
      <c r="S86" s="373" t="str">
        <f>IF(I86="Peuplier ",25,IF(I86&lt;&gt;"","Supérieure à 30 ans",""))</f>
        <v/>
      </c>
      <c r="T86" s="374"/>
      <c r="U86" s="374" t="str">
        <f>IFERROR(VLOOKUP(I86,'Recapitulatif REE'!$A$2:$R$23,12,FALSE),"0")</f>
        <v>0</v>
      </c>
      <c r="V86" s="375" t="str">
        <f>IFERROR(U56*(J86/$J$47)*$F$47*(1-Fiche_signalétique_projet!$C$66),"0")</f>
        <v>0</v>
      </c>
      <c r="W86" s="375" t="str">
        <f>IFERROR(VLOOKUP(I86,'Recapitulatif REE'!$A$2:$R$23,16,FALSE),"0")</f>
        <v>0</v>
      </c>
      <c r="X86" s="375">
        <f>IFERROR(W86*L86*(1-Fiche_signalétique_projet!$C$66),"")</f>
        <v>0</v>
      </c>
      <c r="Y86" s="375" t="str">
        <f>IFERROR(VLOOKUP(I86,'Recapitulatif REE'!$A$2:$R$23,15,FALSE),"0")</f>
        <v>0</v>
      </c>
      <c r="Z86" s="375" t="str">
        <f>IFERROR(Y56*(J86/$J$47)*$L$47*(1-Fiche_signalétique_projet!$C$66),"0")</f>
        <v>0</v>
      </c>
      <c r="AA86" s="442">
        <f>IFERROR(Z86+X86+V86,"0")</f>
        <v>0</v>
      </c>
      <c r="AB86" s="372">
        <f>R86-(O86*(1+Q83))</f>
        <v>0</v>
      </c>
      <c r="AC86" s="434">
        <f>J86*L86</f>
        <v>0</v>
      </c>
    </row>
    <row r="87" spans="1:29" ht="9.75" hidden="1" customHeight="1" thickBot="1" x14ac:dyDescent="0.3">
      <c r="A87" s="473" t="s">
        <v>132</v>
      </c>
      <c r="B87" s="474"/>
      <c r="C87" s="474"/>
      <c r="D87" s="474"/>
      <c r="E87" s="474"/>
      <c r="F87" s="387">
        <f>SUM(F83:F86)</f>
        <v>0</v>
      </c>
      <c r="G87" s="377"/>
      <c r="H87" s="378"/>
      <c r="I87" s="378">
        <f>COUNTA(I83:I86)</f>
        <v>0</v>
      </c>
      <c r="J87" s="378">
        <f>SUM(J83:J86)</f>
        <v>0</v>
      </c>
      <c r="K87" s="379">
        <f>SUM(K83:K86)</f>
        <v>0</v>
      </c>
      <c r="L87" s="380">
        <f>SUM(L83:L86)</f>
        <v>0</v>
      </c>
      <c r="M87" s="475" t="s">
        <v>132</v>
      </c>
      <c r="N87" s="476"/>
      <c r="O87" s="476"/>
      <c r="P87" s="476"/>
      <c r="Q87" s="476"/>
      <c r="R87" s="381">
        <f>SUM(R83:R86)</f>
        <v>0</v>
      </c>
      <c r="S87" s="382" t="s">
        <v>132</v>
      </c>
      <c r="T87" s="383"/>
      <c r="U87" s="383"/>
      <c r="V87" s="383"/>
      <c r="W87" s="383"/>
      <c r="X87" s="383"/>
      <c r="Y87" s="383"/>
      <c r="Z87" s="384"/>
      <c r="AA87" s="443">
        <f>SUM(AA83:AA86)</f>
        <v>0</v>
      </c>
      <c r="AB87" s="381">
        <f>R87-(O87*(1+Q83))</f>
        <v>0</v>
      </c>
      <c r="AC87" s="435">
        <f>SUM(AC83:AC86)</f>
        <v>0</v>
      </c>
    </row>
    <row r="88" spans="1:29" hidden="1" x14ac:dyDescent="0.25">
      <c r="A88" s="518" t="str">
        <f>IF(Fiche_signalétique_projet!C13&gt;=17, Fiche_signalétique_projet!C7,"LIGNES A MASQUER POUR IMPRESSION")</f>
        <v>LIGNES A MASQUER POUR IMPRESSION</v>
      </c>
      <c r="B88" s="520">
        <v>17</v>
      </c>
      <c r="C88" s="522"/>
      <c r="D88" s="477"/>
      <c r="E88" s="477"/>
      <c r="F88" s="524"/>
      <c r="G88" s="525"/>
      <c r="H88" s="482"/>
      <c r="I88" s="322"/>
      <c r="J88" s="322"/>
      <c r="K88" s="343">
        <f>IFERROR(J88/J92,0)</f>
        <v>0</v>
      </c>
      <c r="L88" s="385">
        <f t="shared" si="1"/>
        <v>0</v>
      </c>
      <c r="M88" s="485"/>
      <c r="N88" s="322"/>
      <c r="O88" s="322"/>
      <c r="P88" s="477"/>
      <c r="Q88" s="479">
        <v>0.12</v>
      </c>
      <c r="R88" s="345">
        <f>L88*(M88+N88+O88+P88)*(1+Q88)</f>
        <v>0</v>
      </c>
      <c r="S88" s="346" t="str">
        <f>IF(I88="Peuplier ",25,IF(I88&lt;&gt;"","Supérieure à 30 ans",""))</f>
        <v/>
      </c>
      <c r="T88" s="347"/>
      <c r="U88" s="347" t="str">
        <f>IFERROR(VLOOKUP(I88,'Recapitulatif REE'!$A$2:$R$23,12,FALSE),"0")</f>
        <v>0</v>
      </c>
      <c r="V88" s="348" t="str">
        <f>IFERROR(U63*(J88/$J$42)*$F$42*(1-Fiche_signalétique_projet!$C$66),"0")</f>
        <v>0</v>
      </c>
      <c r="W88" s="348" t="str">
        <f>IFERROR(VLOOKUP(I88,'Recapitulatif REE'!$A$2:$R$23,16,FALSE),"0")</f>
        <v>0</v>
      </c>
      <c r="X88" s="348">
        <f>IFERROR(W88*L88*(1-Fiche_signalétique_projet!$C$66),"")</f>
        <v>0</v>
      </c>
      <c r="Y88" s="348" t="str">
        <f>IFERROR(VLOOKUP(I88,'Recapitulatif REE'!$A$2:$R$23,15,FALSE),"0")</f>
        <v>0</v>
      </c>
      <c r="Z88" s="348" t="str">
        <f>IFERROR(Y88*(J88/$J$42)*$L$42*(1-Fiche_signalétique_projet!$C$66),"0")</f>
        <v>0</v>
      </c>
      <c r="AA88" s="444">
        <f>IFERROR(Z88+X88+V88,"0")</f>
        <v>0</v>
      </c>
      <c r="AB88" s="345">
        <f>R88-(O88*(1+Q88))</f>
        <v>0</v>
      </c>
      <c r="AC88" s="431">
        <f>J88*L88</f>
        <v>0</v>
      </c>
    </row>
    <row r="89" spans="1:29" hidden="1" x14ac:dyDescent="0.25">
      <c r="A89" s="519"/>
      <c r="B89" s="521"/>
      <c r="C89" s="523"/>
      <c r="D89" s="478"/>
      <c r="E89" s="478"/>
      <c r="F89" s="481"/>
      <c r="G89" s="526"/>
      <c r="H89" s="483"/>
      <c r="I89" s="324"/>
      <c r="J89" s="324"/>
      <c r="K89" s="349">
        <f>IFERROR(J89/J92,0)</f>
        <v>0</v>
      </c>
      <c r="L89" s="344">
        <f t="shared" si="1"/>
        <v>0</v>
      </c>
      <c r="M89" s="486"/>
      <c r="N89" s="324"/>
      <c r="O89" s="324"/>
      <c r="P89" s="478"/>
      <c r="Q89" s="480"/>
      <c r="R89" s="350">
        <f>L89*($M$88+N89+O89+$P$88)*(1+$Q$88)</f>
        <v>0</v>
      </c>
      <c r="S89" s="351" t="str">
        <f>IF(I89="Peuplier ",25,IF(I89&lt;&gt;"","Supérieure à 30 ans",""))</f>
        <v/>
      </c>
      <c r="T89" s="352"/>
      <c r="U89" s="352" t="str">
        <f>IFERROR(VLOOKUP(I89,'Recapitulatif REE'!$A$2:$R$23,12,FALSE),"0")</f>
        <v>0</v>
      </c>
      <c r="V89" s="353" t="str">
        <f>IFERROR(U64*(J89/$J$42)*$F$42*(1-Fiche_signalétique_projet!$C$66),"0")</f>
        <v>0</v>
      </c>
      <c r="W89" s="353" t="str">
        <f>IFERROR(VLOOKUP(I89,'Recapitulatif REE'!$A$2:$R$23,16,FALSE),"0")</f>
        <v>0</v>
      </c>
      <c r="X89" s="353">
        <f>IFERROR(W89*L89*(1-Fiche_signalétique_projet!$C$66),"")</f>
        <v>0</v>
      </c>
      <c r="Y89" s="353" t="str">
        <f>IFERROR(VLOOKUP(I89,'Recapitulatif REE'!$A$2:$R$23,15,FALSE),"0")</f>
        <v>0</v>
      </c>
      <c r="Z89" s="353" t="str">
        <f>IFERROR(Y89*(J89/$J$42)*$L$42*(1-Fiche_signalétique_projet!$C$66),"0")</f>
        <v>0</v>
      </c>
      <c r="AA89" s="445">
        <f>IFERROR(Z89+X89+V89,"0")</f>
        <v>0</v>
      </c>
      <c r="AB89" s="350">
        <f>R89-(O89*(1+Q88))</f>
        <v>0</v>
      </c>
      <c r="AC89" s="431">
        <f>J89*L89</f>
        <v>0</v>
      </c>
    </row>
    <row r="90" spans="1:29" hidden="1" x14ac:dyDescent="0.25">
      <c r="A90" s="519"/>
      <c r="B90" s="521"/>
      <c r="C90" s="523"/>
      <c r="D90" s="478"/>
      <c r="E90" s="478"/>
      <c r="F90" s="481"/>
      <c r="G90" s="526"/>
      <c r="H90" s="483"/>
      <c r="I90" s="324"/>
      <c r="J90" s="324"/>
      <c r="K90" s="349">
        <f>IFERROR(J90/J92,0)</f>
        <v>0</v>
      </c>
      <c r="L90" s="344">
        <f t="shared" si="1"/>
        <v>0</v>
      </c>
      <c r="M90" s="486"/>
      <c r="N90" s="324"/>
      <c r="O90" s="324"/>
      <c r="P90" s="478"/>
      <c r="Q90" s="480"/>
      <c r="R90" s="350">
        <f>L90*($M$88+N90+O90+$P$88)*(1+$Q$88)</f>
        <v>0</v>
      </c>
      <c r="S90" s="351" t="str">
        <f>IF(I90="Peuplier ",25,IF(I90&lt;&gt;"","Supérieure à 30 ans",""))</f>
        <v/>
      </c>
      <c r="T90" s="352"/>
      <c r="U90" s="352" t="str">
        <f>IFERROR(VLOOKUP(I90,'Recapitulatif REE'!$A$2:$R$23,12,FALSE),"0")</f>
        <v>0</v>
      </c>
      <c r="V90" s="353" t="str">
        <f>IFERROR(U65*(J90/$J$42)*$F$42*(1-Fiche_signalétique_projet!$C$66),"0")</f>
        <v>0</v>
      </c>
      <c r="W90" s="353" t="str">
        <f>IFERROR(VLOOKUP(I90,'Recapitulatif REE'!$A$2:$R$23,16,FALSE),"0")</f>
        <v>0</v>
      </c>
      <c r="X90" s="353">
        <f>IFERROR(W90*L90*(1-Fiche_signalétique_projet!$C$66),"")</f>
        <v>0</v>
      </c>
      <c r="Y90" s="353" t="str">
        <f>IFERROR(VLOOKUP(I90,'Recapitulatif REE'!$A$2:$R$23,15,FALSE),"0")</f>
        <v>0</v>
      </c>
      <c r="Z90" s="353" t="str">
        <f>IFERROR(Y90*(J90/$J$42)*$L$42*(1-Fiche_signalétique_projet!$C$66),"0")</f>
        <v>0</v>
      </c>
      <c r="AA90" s="445">
        <f>IFERROR(Z90+X90+V90,"0")</f>
        <v>0</v>
      </c>
      <c r="AB90" s="350">
        <f>R90-(O90*(1+Q88))</f>
        <v>0</v>
      </c>
      <c r="AC90" s="431">
        <f>J90*L90</f>
        <v>0</v>
      </c>
    </row>
    <row r="91" spans="1:29" hidden="1" x14ac:dyDescent="0.25">
      <c r="A91" s="519"/>
      <c r="B91" s="521"/>
      <c r="C91" s="477"/>
      <c r="D91" s="478"/>
      <c r="E91" s="478"/>
      <c r="F91" s="481"/>
      <c r="G91" s="526"/>
      <c r="H91" s="484"/>
      <c r="I91" s="324"/>
      <c r="J91" s="324"/>
      <c r="K91" s="349">
        <f>IFERROR(J91/J92,0)</f>
        <v>0</v>
      </c>
      <c r="L91" s="344">
        <f t="shared" si="1"/>
        <v>0</v>
      </c>
      <c r="M91" s="486"/>
      <c r="N91" s="324"/>
      <c r="O91" s="324"/>
      <c r="P91" s="478"/>
      <c r="Q91" s="480"/>
      <c r="R91" s="350">
        <f>L91*($M$88+N91+O91+$P$88)*(1+$Q$88)</f>
        <v>0</v>
      </c>
      <c r="S91" s="351" t="str">
        <f>IF(I91="Peuplier ",25,IF(I91&lt;&gt;"","Supérieure à 30 ans",""))</f>
        <v/>
      </c>
      <c r="T91" s="352"/>
      <c r="U91" s="352" t="str">
        <f>IFERROR(VLOOKUP(I91,'Recapitulatif REE'!$A$2:$R$23,12,FALSE),"0")</f>
        <v>0</v>
      </c>
      <c r="V91" s="353" t="str">
        <f>IFERROR(U66*(J91/$J$42)*$F$42*(1-Fiche_signalétique_projet!$C$66),"0")</f>
        <v>0</v>
      </c>
      <c r="W91" s="353" t="str">
        <f>IFERROR(VLOOKUP(I91,'Recapitulatif REE'!$A$2:$R$23,16,FALSE),"0")</f>
        <v>0</v>
      </c>
      <c r="X91" s="353">
        <f>IFERROR(W91*L91*(1-Fiche_signalétique_projet!$C$66),"")</f>
        <v>0</v>
      </c>
      <c r="Y91" s="353" t="str">
        <f>IFERROR(VLOOKUP(I91,'Recapitulatif REE'!$A$2:$R$23,15,FALSE),"0")</f>
        <v>0</v>
      </c>
      <c r="Z91" s="353" t="str">
        <f>IFERROR(Y91*(J91/$J$42)*$L$42*(1-Fiche_signalétique_projet!$C$66),"0")</f>
        <v>0</v>
      </c>
      <c r="AA91" s="445">
        <f>IFERROR(Z91+X91+V91,"0")</f>
        <v>0</v>
      </c>
      <c r="AB91" s="350">
        <f>R91-(O91*(1+Q88))</f>
        <v>0</v>
      </c>
      <c r="AC91" s="431">
        <f>J91*L91</f>
        <v>0</v>
      </c>
    </row>
    <row r="92" spans="1:29" ht="14.25" hidden="1" customHeight="1" thickBot="1" x14ac:dyDescent="0.3">
      <c r="A92" s="495" t="s">
        <v>132</v>
      </c>
      <c r="B92" s="496"/>
      <c r="C92" s="496"/>
      <c r="D92" s="496"/>
      <c r="E92" s="497"/>
      <c r="F92" s="386">
        <f>SUM(F88:F91)</f>
        <v>0</v>
      </c>
      <c r="G92" s="356"/>
      <c r="H92" s="357"/>
      <c r="I92" s="357">
        <f>COUNTA(I88:I91)</f>
        <v>0</v>
      </c>
      <c r="J92" s="357">
        <f>SUM(J88:J91)</f>
        <v>0</v>
      </c>
      <c r="K92" s="358">
        <f>SUM(K88:K91)</f>
        <v>0</v>
      </c>
      <c r="L92" s="359">
        <f>SUM(L88:L91)</f>
        <v>0</v>
      </c>
      <c r="M92" s="497" t="s">
        <v>132</v>
      </c>
      <c r="N92" s="498"/>
      <c r="O92" s="498"/>
      <c r="P92" s="498"/>
      <c r="Q92" s="498"/>
      <c r="R92" s="360">
        <f>SUM(R88:R91)</f>
        <v>0</v>
      </c>
      <c r="S92" s="361" t="s">
        <v>132</v>
      </c>
      <c r="T92" s="362"/>
      <c r="U92" s="362"/>
      <c r="V92" s="362"/>
      <c r="W92" s="362"/>
      <c r="X92" s="362"/>
      <c r="Y92" s="362"/>
      <c r="Z92" s="363"/>
      <c r="AA92" s="446">
        <f>SUM(AA88:AA91)</f>
        <v>0</v>
      </c>
      <c r="AB92" s="360">
        <f>R92-(O92*(1+Q88))</f>
        <v>0</v>
      </c>
      <c r="AC92" s="432">
        <f>SUM(AC88:AC91)</f>
        <v>0</v>
      </c>
    </row>
    <row r="93" spans="1:29" hidden="1" x14ac:dyDescent="0.25">
      <c r="A93" s="499" t="str">
        <f>IF(Fiche_signalétique_projet!C13&gt;=18, Fiche_signalétique_projet!C7,"LIGNES A MASQUER POUR IMPRESSION")</f>
        <v>LIGNES A MASQUER POUR IMPRESSION</v>
      </c>
      <c r="B93" s="501">
        <v>18</v>
      </c>
      <c r="C93" s="503"/>
      <c r="D93" s="506"/>
      <c r="E93" s="506"/>
      <c r="F93" s="508"/>
      <c r="G93" s="509"/>
      <c r="H93" s="511"/>
      <c r="I93" s="326"/>
      <c r="J93" s="326"/>
      <c r="K93" s="364">
        <f>IFERROR(J93/J97,0)</f>
        <v>0</v>
      </c>
      <c r="L93" s="365">
        <f t="shared" si="2"/>
        <v>0</v>
      </c>
      <c r="M93" s="514"/>
      <c r="N93" s="326"/>
      <c r="O93" s="326"/>
      <c r="P93" s="506"/>
      <c r="Q93" s="516">
        <v>0.12</v>
      </c>
      <c r="R93" s="366">
        <f>L93*(M93+N93+O93+P93)*(1+Q93)</f>
        <v>0</v>
      </c>
      <c r="S93" s="367" t="str">
        <f>IF(I93="Peuplier ",25,IF(I93&lt;&gt;"","Supérieure à 30 ans",""))</f>
        <v/>
      </c>
      <c r="T93" s="368"/>
      <c r="U93" s="368" t="str">
        <f>IFERROR(VLOOKUP(I93,'Recapitulatif REE'!$A$2:$R$23,12,FALSE),"0")</f>
        <v>0</v>
      </c>
      <c r="V93" s="369" t="str">
        <f>IFERROR(U63*(J93/$J$47)*$F$47*(1-Fiche_signalétique_projet!$C$66),"0")</f>
        <v>0</v>
      </c>
      <c r="W93" s="369" t="str">
        <f>IFERROR(VLOOKUP(I93,'Recapitulatif REE'!$A$2:$R$23,16,FALSE),"0")</f>
        <v>0</v>
      </c>
      <c r="X93" s="369">
        <f>IFERROR(W93*L93*(1-Fiche_signalétique_projet!$C$66),"")</f>
        <v>0</v>
      </c>
      <c r="Y93" s="369" t="str">
        <f>IFERROR(VLOOKUP(I93,'Recapitulatif REE'!$A$2:$R$23,15,FALSE),"0")</f>
        <v>0</v>
      </c>
      <c r="Z93" s="369" t="str">
        <f>IFERROR(Y63*(J93/$J$47)*$L$47*(1-Fiche_signalétique_projet!$C$66),"0")</f>
        <v>0</v>
      </c>
      <c r="AA93" s="441">
        <f>IFERROR(Z93+X93+V93,"0")</f>
        <v>0</v>
      </c>
      <c r="AB93" s="366">
        <f>R93-(O93*(1+Q93))</f>
        <v>0</v>
      </c>
      <c r="AC93" s="433">
        <f>J93*L93</f>
        <v>0</v>
      </c>
    </row>
    <row r="94" spans="1:29" hidden="1" x14ac:dyDescent="0.25">
      <c r="A94" s="500"/>
      <c r="B94" s="502"/>
      <c r="C94" s="504"/>
      <c r="D94" s="507"/>
      <c r="E94" s="507"/>
      <c r="F94" s="472"/>
      <c r="G94" s="510"/>
      <c r="H94" s="512"/>
      <c r="I94" s="327"/>
      <c r="J94" s="327"/>
      <c r="K94" s="370">
        <f>IFERROR(J94/J97,0)</f>
        <v>0</v>
      </c>
      <c r="L94" s="371">
        <f t="shared" si="2"/>
        <v>0</v>
      </c>
      <c r="M94" s="515"/>
      <c r="N94" s="327"/>
      <c r="O94" s="327"/>
      <c r="P94" s="507"/>
      <c r="Q94" s="517"/>
      <c r="R94" s="372">
        <f>L94*($M$93+N94+O94+$P$93)*(1+$Q$93)</f>
        <v>0</v>
      </c>
      <c r="S94" s="373" t="str">
        <f>IF(I94="Peuplier ",25,IF(I94&lt;&gt;"","Supérieure à 30 ans",""))</f>
        <v/>
      </c>
      <c r="T94" s="374"/>
      <c r="U94" s="374" t="str">
        <f>IFERROR(VLOOKUP(I94,'Recapitulatif REE'!$A$2:$R$23,12,FALSE),"0")</f>
        <v>0</v>
      </c>
      <c r="V94" s="375" t="str">
        <f>IFERROR(U64*(J94/$J$47)*$F$47*(1-Fiche_signalétique_projet!$C$66),"0")</f>
        <v>0</v>
      </c>
      <c r="W94" s="375" t="str">
        <f>IFERROR(VLOOKUP(I94,'Recapitulatif REE'!$A$2:$R$23,16,FALSE),"0")</f>
        <v>0</v>
      </c>
      <c r="X94" s="375">
        <f>IFERROR(W94*L94*(1-Fiche_signalétique_projet!$C$66),"")</f>
        <v>0</v>
      </c>
      <c r="Y94" s="375" t="str">
        <f>IFERROR(VLOOKUP(I94,'Recapitulatif REE'!$A$2:$R$23,15,FALSE),"0")</f>
        <v>0</v>
      </c>
      <c r="Z94" s="375" t="str">
        <f>IFERROR(Y64*(J94/$J$47)*$L$47*(1-Fiche_signalétique_projet!$C$66),"0")</f>
        <v>0</v>
      </c>
      <c r="AA94" s="442">
        <f>IFERROR(Z94+X94+V94,"0")</f>
        <v>0</v>
      </c>
      <c r="AB94" s="372">
        <f>R94-(O94*(1+Q93))</f>
        <v>0</v>
      </c>
      <c r="AC94" s="434">
        <f>J94*L94</f>
        <v>0</v>
      </c>
    </row>
    <row r="95" spans="1:29" ht="21.75" hidden="1" customHeight="1" x14ac:dyDescent="0.25">
      <c r="A95" s="500"/>
      <c r="B95" s="502"/>
      <c r="C95" s="504"/>
      <c r="D95" s="507"/>
      <c r="E95" s="507"/>
      <c r="F95" s="472"/>
      <c r="G95" s="510"/>
      <c r="H95" s="512"/>
      <c r="I95" s="327"/>
      <c r="J95" s="327"/>
      <c r="K95" s="370">
        <f>IFERROR(J95/J97,0)</f>
        <v>0</v>
      </c>
      <c r="L95" s="371">
        <f t="shared" si="2"/>
        <v>0</v>
      </c>
      <c r="M95" s="515"/>
      <c r="N95" s="327"/>
      <c r="O95" s="327"/>
      <c r="P95" s="507"/>
      <c r="Q95" s="517"/>
      <c r="R95" s="372">
        <f>L95*($M$93+N95+O95+$P$93)*(1+$Q$93)</f>
        <v>0</v>
      </c>
      <c r="S95" s="373" t="str">
        <f>IF(I95="Peuplier ",25,IF(I95&lt;&gt;"","Supérieure à 30 ans",""))</f>
        <v/>
      </c>
      <c r="T95" s="374"/>
      <c r="U95" s="374" t="str">
        <f>IFERROR(VLOOKUP(I95,'Recapitulatif REE'!$A$2:$R$23,12,FALSE),"0")</f>
        <v>0</v>
      </c>
      <c r="V95" s="375" t="str">
        <f>IFERROR(U65*(J95/$J$47)*$F$47*(1-Fiche_signalétique_projet!$C$66),"0")</f>
        <v>0</v>
      </c>
      <c r="W95" s="375" t="str">
        <f>IFERROR(VLOOKUP(I95,'Recapitulatif REE'!$A$2:$R$23,16,FALSE),"0")</f>
        <v>0</v>
      </c>
      <c r="X95" s="375">
        <f>IFERROR(W95*L95*(1-Fiche_signalétique_projet!$C$66),"")</f>
        <v>0</v>
      </c>
      <c r="Y95" s="375" t="str">
        <f>IFERROR(VLOOKUP(I95,'Recapitulatif REE'!$A$2:$R$23,15,FALSE),"0")</f>
        <v>0</v>
      </c>
      <c r="Z95" s="375" t="str">
        <f>IFERROR(Y65*(J95/$J$47)*$L$47*(1-Fiche_signalétique_projet!$C$66),"0")</f>
        <v>0</v>
      </c>
      <c r="AA95" s="442">
        <f>IFERROR(Z95+X95+V95,"0")</f>
        <v>0</v>
      </c>
      <c r="AB95" s="372">
        <f>R95-(O95*(1+Q93))</f>
        <v>0</v>
      </c>
      <c r="AC95" s="434">
        <f>J95*L95</f>
        <v>0</v>
      </c>
    </row>
    <row r="96" spans="1:29" hidden="1" x14ac:dyDescent="0.25">
      <c r="A96" s="500"/>
      <c r="B96" s="502"/>
      <c r="C96" s="505"/>
      <c r="D96" s="507"/>
      <c r="E96" s="507"/>
      <c r="F96" s="472"/>
      <c r="G96" s="510"/>
      <c r="H96" s="513"/>
      <c r="I96" s="327"/>
      <c r="J96" s="327"/>
      <c r="K96" s="370">
        <f>IFERROR(J96/J97,0)</f>
        <v>0</v>
      </c>
      <c r="L96" s="371">
        <f t="shared" si="2"/>
        <v>0</v>
      </c>
      <c r="M96" s="515"/>
      <c r="N96" s="327"/>
      <c r="O96" s="327"/>
      <c r="P96" s="507"/>
      <c r="Q96" s="517"/>
      <c r="R96" s="372">
        <f>L96*($M$93+N96+O96+$P$93)*(1+$Q$93)</f>
        <v>0</v>
      </c>
      <c r="S96" s="373" t="str">
        <f>IF(I96="Peuplier ",25,IF(I96&lt;&gt;"","Supérieure à 30 ans",""))</f>
        <v/>
      </c>
      <c r="T96" s="374"/>
      <c r="U96" s="374" t="str">
        <f>IFERROR(VLOOKUP(I96,'Recapitulatif REE'!$A$2:$R$23,12,FALSE),"0")</f>
        <v>0</v>
      </c>
      <c r="V96" s="375" t="str">
        <f>IFERROR(U66*(J96/$J$47)*$F$47*(1-Fiche_signalétique_projet!$C$66),"0")</f>
        <v>0</v>
      </c>
      <c r="W96" s="375" t="str">
        <f>IFERROR(VLOOKUP(I96,'Recapitulatif REE'!$A$2:$R$23,16,FALSE),"0")</f>
        <v>0</v>
      </c>
      <c r="X96" s="375">
        <f>IFERROR(W96*L96*(1-Fiche_signalétique_projet!$C$66),"")</f>
        <v>0</v>
      </c>
      <c r="Y96" s="375" t="str">
        <f>IFERROR(VLOOKUP(I96,'Recapitulatif REE'!$A$2:$R$23,15,FALSE),"0")</f>
        <v>0</v>
      </c>
      <c r="Z96" s="375" t="str">
        <f>IFERROR(Y66*(J96/$J$47)*$L$47*(1-Fiche_signalétique_projet!$C$66),"0")</f>
        <v>0</v>
      </c>
      <c r="AA96" s="442">
        <f>IFERROR(Z96+X96+V96,"0")</f>
        <v>0</v>
      </c>
      <c r="AB96" s="372">
        <f>R96-(O96*(1+Q93))</f>
        <v>0</v>
      </c>
      <c r="AC96" s="434">
        <f>J96*L96</f>
        <v>0</v>
      </c>
    </row>
    <row r="97" spans="1:29" ht="11.25" hidden="1" customHeight="1" thickBot="1" x14ac:dyDescent="0.3">
      <c r="A97" s="473" t="s">
        <v>132</v>
      </c>
      <c r="B97" s="474"/>
      <c r="C97" s="474"/>
      <c r="D97" s="474"/>
      <c r="E97" s="474"/>
      <c r="F97" s="387">
        <f>SUM(F93:F96)</f>
        <v>0</v>
      </c>
      <c r="G97" s="377"/>
      <c r="H97" s="378"/>
      <c r="I97" s="378">
        <f>COUNTA(I93:I96)</f>
        <v>0</v>
      </c>
      <c r="J97" s="378">
        <f>SUM(J93:J96)</f>
        <v>0</v>
      </c>
      <c r="K97" s="379">
        <f>SUM(K93:K96)</f>
        <v>0</v>
      </c>
      <c r="L97" s="380">
        <f>SUM(L93:L96)</f>
        <v>0</v>
      </c>
      <c r="M97" s="475" t="s">
        <v>132</v>
      </c>
      <c r="N97" s="476"/>
      <c r="O97" s="476"/>
      <c r="P97" s="476"/>
      <c r="Q97" s="476"/>
      <c r="R97" s="381">
        <f>SUM(R93:R96)</f>
        <v>0</v>
      </c>
      <c r="S97" s="382" t="s">
        <v>132</v>
      </c>
      <c r="T97" s="383"/>
      <c r="U97" s="383"/>
      <c r="V97" s="383"/>
      <c r="W97" s="383"/>
      <c r="X97" s="383"/>
      <c r="Y97" s="383"/>
      <c r="Z97" s="384"/>
      <c r="AA97" s="443">
        <f>SUM(AA93:AA96)</f>
        <v>0</v>
      </c>
      <c r="AB97" s="381">
        <f>R97-(O97*(1+Q93))</f>
        <v>0</v>
      </c>
      <c r="AC97" s="435">
        <f>SUM(AC93:AC96)</f>
        <v>0</v>
      </c>
    </row>
    <row r="98" spans="1:29" ht="19.5" thickBot="1" x14ac:dyDescent="0.3">
      <c r="A98" s="580" t="s">
        <v>145</v>
      </c>
      <c r="B98" s="581"/>
      <c r="C98" s="581"/>
      <c r="D98" s="581"/>
      <c r="E98" s="581"/>
      <c r="F98" s="581"/>
      <c r="G98" s="581"/>
      <c r="H98" s="388"/>
      <c r="I98" s="389"/>
      <c r="J98" s="389"/>
      <c r="K98" s="390"/>
      <c r="L98" s="391">
        <f>L37+L32+L27+L22+L17+L12+L42+L47+L52+L57+L62+L67+L72+L77+L82+L87+L92+L97</f>
        <v>3.84</v>
      </c>
      <c r="M98" s="582" t="s">
        <v>460</v>
      </c>
      <c r="N98" s="583"/>
      <c r="O98" s="583"/>
      <c r="P98" s="583"/>
      <c r="Q98" s="584"/>
      <c r="R98" s="392">
        <f>R12+R17+R22+R27+R32+R37+R42+R47+R52+R57+R62+R67+R72+R77+R82+R87+R92+R97</f>
        <v>20517.687969581752</v>
      </c>
      <c r="S98" s="332" t="e">
        <f t="shared" ref="S98:AB98" si="3">S12+S17+S22+S27+S32+S37+S42+S47+S52+S57+S62+S67+S72+S77+S82+S87+S92+S97</f>
        <v>#VALUE!</v>
      </c>
      <c r="T98" s="332">
        <f t="shared" si="3"/>
        <v>0</v>
      </c>
      <c r="U98" s="333">
        <f t="shared" si="3"/>
        <v>133.63266168802028</v>
      </c>
      <c r="V98" s="334">
        <f t="shared" si="3"/>
        <v>421.44591220726824</v>
      </c>
      <c r="W98" s="333">
        <f t="shared" si="3"/>
        <v>0</v>
      </c>
      <c r="X98" s="334">
        <f t="shared" si="3"/>
        <v>0</v>
      </c>
      <c r="Y98" s="333">
        <f t="shared" si="3"/>
        <v>2</v>
      </c>
      <c r="Z98" s="333">
        <f t="shared" si="3"/>
        <v>6.3075285171102662</v>
      </c>
      <c r="AA98" s="334">
        <f t="shared" si="3"/>
        <v>427.75344072437849</v>
      </c>
      <c r="AB98" s="392">
        <f t="shared" si="3"/>
        <v>18333.687969581752</v>
      </c>
      <c r="AC98" s="391">
        <f>AC37+AC32+AC27+AC22+AC17+AC12+AC42+AC47+AC52+AC57+AC62+AC67+AC72+AC77+AC82+AC87+AC92+AC97</f>
        <v>3375.0168821292777</v>
      </c>
    </row>
    <row r="101" spans="1:29" ht="15.75" thickBot="1" x14ac:dyDescent="0.3"/>
    <row r="102" spans="1:29" ht="21.75" customHeight="1" thickBot="1" x14ac:dyDescent="0.4">
      <c r="A102" s="539" t="s">
        <v>234</v>
      </c>
      <c r="B102" s="540"/>
      <c r="C102" s="540"/>
      <c r="D102" s="540"/>
      <c r="E102" s="541"/>
      <c r="F102" s="451" t="s">
        <v>462</v>
      </c>
      <c r="G102" s="452"/>
      <c r="H102" s="452"/>
      <c r="I102" s="452"/>
      <c r="J102" s="452"/>
      <c r="K102" s="452"/>
      <c r="L102" s="452"/>
      <c r="M102" s="452"/>
      <c r="N102" s="453"/>
      <c r="AC102" s="452"/>
    </row>
    <row r="103" spans="1:29" ht="90.75" thickBot="1" x14ac:dyDescent="0.3">
      <c r="A103" s="542" t="s">
        <v>254</v>
      </c>
      <c r="B103" s="543"/>
      <c r="C103" s="543"/>
      <c r="D103" s="393" t="s">
        <v>133</v>
      </c>
      <c r="E103" s="394" t="s">
        <v>235</v>
      </c>
      <c r="F103" s="333" t="s">
        <v>465</v>
      </c>
      <c r="G103" s="395" t="s">
        <v>463</v>
      </c>
      <c r="H103" s="396" t="s">
        <v>449</v>
      </c>
      <c r="I103" s="397" t="s">
        <v>450</v>
      </c>
      <c r="J103" s="396" t="s">
        <v>451</v>
      </c>
      <c r="K103" s="397" t="s">
        <v>452</v>
      </c>
      <c r="L103" s="396" t="s">
        <v>453</v>
      </c>
      <c r="M103" s="396" t="s">
        <v>454</v>
      </c>
      <c r="N103" s="398" t="s">
        <v>455</v>
      </c>
      <c r="AC103" s="396"/>
    </row>
    <row r="104" spans="1:29" ht="15.75" thickBot="1" x14ac:dyDescent="0.3">
      <c r="A104" s="399" t="s">
        <v>297</v>
      </c>
      <c r="B104" s="400"/>
      <c r="C104" s="400"/>
      <c r="D104" s="401">
        <f>SUMIF($I$8:$I$97,A104,$L$8:$L$97)</f>
        <v>0</v>
      </c>
      <c r="E104" s="402">
        <f t="shared" ref="E104:E123" si="4">D104/$D$144</f>
        <v>0</v>
      </c>
      <c r="F104" s="403"/>
      <c r="G104" s="404" t="str">
        <f t="shared" ref="G104:G112" si="5">IF(AND(A104="Peuplier ",D104&gt;0),25,IF(AND(A104&lt;&gt;"",D104&gt;0),"Supérieure à 30 ans",""))</f>
        <v/>
      </c>
      <c r="H104" s="405">
        <f t="shared" ref="H104:H112" si="6">SUMIF($I$8:$I$97,A104,$U$8:$U$97)</f>
        <v>0</v>
      </c>
      <c r="I104" s="405">
        <f t="shared" ref="I104:I112" si="7">SUMIF($I$8:$I$97,A104,$V$8:$V$97)</f>
        <v>0</v>
      </c>
      <c r="J104" s="405">
        <f t="shared" ref="J104:J112" si="8">SUMIF($I$8:$I$97,A104,$W$8:$W$97)</f>
        <v>0</v>
      </c>
      <c r="K104" s="405">
        <f t="shared" ref="K104:K143" si="9">SUMIF($I$8:$I$97,A104,$X$8:$X$97)</f>
        <v>0</v>
      </c>
      <c r="L104" s="405">
        <f t="shared" ref="L104:L112" si="10">SUMIF($I$8:$I$97,A104,$Y$8:$Y$97)</f>
        <v>0</v>
      </c>
      <c r="M104" s="405">
        <f t="shared" ref="M104:M112" si="11">SUMIF($I$8:$I$97,A104,$Z$8:$Z$97)</f>
        <v>0</v>
      </c>
      <c r="N104" s="406">
        <f t="shared" ref="N104:N112" si="12">SUMIF($I$8:$I$97,A104,$AA$8:$AA$97)</f>
        <v>0</v>
      </c>
      <c r="AC104" s="405"/>
    </row>
    <row r="105" spans="1:29" ht="15.75" thickBot="1" x14ac:dyDescent="0.3">
      <c r="A105" s="399" t="s">
        <v>298</v>
      </c>
      <c r="B105" s="400"/>
      <c r="C105" s="400"/>
      <c r="D105" s="448">
        <f>SUMIF($I$8:$I$97,A105,$L$8:$L$97)</f>
        <v>3.5041825095057035</v>
      </c>
      <c r="E105" s="402">
        <f t="shared" si="4"/>
        <v>0.9125475285171103</v>
      </c>
      <c r="F105" s="403"/>
      <c r="G105" s="450">
        <v>150</v>
      </c>
      <c r="H105" s="405">
        <f t="shared" si="6"/>
        <v>133.63266168802028</v>
      </c>
      <c r="I105" s="405">
        <f t="shared" si="7"/>
        <v>421.44591220726824</v>
      </c>
      <c r="J105" s="405">
        <f t="shared" si="8"/>
        <v>0</v>
      </c>
      <c r="K105" s="405">
        <f t="shared" si="9"/>
        <v>0</v>
      </c>
      <c r="L105" s="405">
        <f t="shared" si="10"/>
        <v>2</v>
      </c>
      <c r="M105" s="405">
        <f t="shared" si="11"/>
        <v>6.3075285171102662</v>
      </c>
      <c r="N105" s="406">
        <f t="shared" si="12"/>
        <v>427.75344072437849</v>
      </c>
      <c r="AC105" s="408"/>
    </row>
    <row r="106" spans="1:29" ht="15.75" hidden="1" thickBot="1" x14ac:dyDescent="0.3">
      <c r="A106" s="399" t="s">
        <v>429</v>
      </c>
      <c r="B106" s="400"/>
      <c r="C106" s="400"/>
      <c r="D106" s="448">
        <f t="shared" ref="D106:D143" si="13">SUMIF($I$8:$I$97,A106,$L$8:$L$97)</f>
        <v>0</v>
      </c>
      <c r="E106" s="402">
        <f t="shared" si="4"/>
        <v>0</v>
      </c>
      <c r="F106" s="403"/>
      <c r="G106" s="404" t="str">
        <f t="shared" si="5"/>
        <v/>
      </c>
      <c r="H106" s="405">
        <f t="shared" si="6"/>
        <v>0</v>
      </c>
      <c r="I106" s="405">
        <f t="shared" si="7"/>
        <v>0</v>
      </c>
      <c r="J106" s="405">
        <f t="shared" si="8"/>
        <v>0</v>
      </c>
      <c r="K106" s="405">
        <f t="shared" si="9"/>
        <v>0</v>
      </c>
      <c r="L106" s="405">
        <f t="shared" si="10"/>
        <v>0</v>
      </c>
      <c r="M106" s="405">
        <f t="shared" si="11"/>
        <v>0</v>
      </c>
      <c r="N106" s="406">
        <f t="shared" si="12"/>
        <v>0</v>
      </c>
      <c r="AC106" s="408"/>
    </row>
    <row r="107" spans="1:29" ht="15.75" hidden="1" thickBot="1" x14ac:dyDescent="0.3">
      <c r="A107" s="399" t="s">
        <v>61</v>
      </c>
      <c r="B107" s="400"/>
      <c r="C107" s="400"/>
      <c r="D107" s="448">
        <f t="shared" si="13"/>
        <v>0</v>
      </c>
      <c r="E107" s="402">
        <f t="shared" si="4"/>
        <v>0</v>
      </c>
      <c r="F107" s="403"/>
      <c r="G107" s="404" t="str">
        <f t="shared" si="5"/>
        <v/>
      </c>
      <c r="H107" s="405">
        <f t="shared" si="6"/>
        <v>0</v>
      </c>
      <c r="I107" s="405">
        <f t="shared" si="7"/>
        <v>0</v>
      </c>
      <c r="J107" s="405">
        <f t="shared" si="8"/>
        <v>0</v>
      </c>
      <c r="K107" s="405">
        <f t="shared" si="9"/>
        <v>0</v>
      </c>
      <c r="L107" s="405">
        <f t="shared" si="10"/>
        <v>0</v>
      </c>
      <c r="M107" s="405">
        <f t="shared" si="11"/>
        <v>0</v>
      </c>
      <c r="N107" s="406">
        <f t="shared" si="12"/>
        <v>0</v>
      </c>
      <c r="AC107" s="408"/>
    </row>
    <row r="108" spans="1:29" ht="15.75" hidden="1" thickBot="1" x14ac:dyDescent="0.3">
      <c r="A108" s="399" t="s">
        <v>33</v>
      </c>
      <c r="B108" s="400"/>
      <c r="C108" s="400"/>
      <c r="D108" s="448">
        <f t="shared" si="13"/>
        <v>0</v>
      </c>
      <c r="E108" s="402">
        <f t="shared" si="4"/>
        <v>0</v>
      </c>
      <c r="F108" s="403"/>
      <c r="G108" s="404" t="str">
        <f t="shared" si="5"/>
        <v/>
      </c>
      <c r="H108" s="405">
        <f t="shared" si="6"/>
        <v>0</v>
      </c>
      <c r="I108" s="405">
        <f t="shared" si="7"/>
        <v>0</v>
      </c>
      <c r="J108" s="405">
        <f t="shared" si="8"/>
        <v>0</v>
      </c>
      <c r="K108" s="405">
        <f t="shared" si="9"/>
        <v>0</v>
      </c>
      <c r="L108" s="405">
        <f t="shared" si="10"/>
        <v>0</v>
      </c>
      <c r="M108" s="405">
        <f t="shared" si="11"/>
        <v>0</v>
      </c>
      <c r="N108" s="406">
        <f t="shared" si="12"/>
        <v>0</v>
      </c>
      <c r="AC108" s="408"/>
    </row>
    <row r="109" spans="1:29" ht="15.75" hidden="1" thickBot="1" x14ac:dyDescent="0.3">
      <c r="A109" s="399" t="s">
        <v>48</v>
      </c>
      <c r="B109" s="400"/>
      <c r="C109" s="400"/>
      <c r="D109" s="448">
        <f t="shared" si="13"/>
        <v>0</v>
      </c>
      <c r="E109" s="402">
        <f t="shared" si="4"/>
        <v>0</v>
      </c>
      <c r="F109" s="403"/>
      <c r="G109" s="404" t="str">
        <f t="shared" si="5"/>
        <v/>
      </c>
      <c r="H109" s="405">
        <f t="shared" si="6"/>
        <v>0</v>
      </c>
      <c r="I109" s="405">
        <f t="shared" si="7"/>
        <v>0</v>
      </c>
      <c r="J109" s="405">
        <f t="shared" si="8"/>
        <v>0</v>
      </c>
      <c r="K109" s="405">
        <f t="shared" si="9"/>
        <v>0</v>
      </c>
      <c r="L109" s="405">
        <f t="shared" si="10"/>
        <v>0</v>
      </c>
      <c r="M109" s="405">
        <f t="shared" si="11"/>
        <v>0</v>
      </c>
      <c r="N109" s="406">
        <f t="shared" si="12"/>
        <v>0</v>
      </c>
      <c r="AC109" s="408"/>
    </row>
    <row r="110" spans="1:29" ht="15.75" hidden="1" thickBot="1" x14ac:dyDescent="0.3">
      <c r="A110" s="399" t="s">
        <v>83</v>
      </c>
      <c r="B110" s="400"/>
      <c r="C110" s="400"/>
      <c r="D110" s="448">
        <f t="shared" si="13"/>
        <v>0</v>
      </c>
      <c r="E110" s="402">
        <f t="shared" si="4"/>
        <v>0</v>
      </c>
      <c r="F110" s="403"/>
      <c r="G110" s="404" t="str">
        <f t="shared" si="5"/>
        <v/>
      </c>
      <c r="H110" s="405">
        <f t="shared" si="6"/>
        <v>0</v>
      </c>
      <c r="I110" s="405">
        <f t="shared" si="7"/>
        <v>0</v>
      </c>
      <c r="J110" s="405">
        <f t="shared" si="8"/>
        <v>0</v>
      </c>
      <c r="K110" s="405">
        <f t="shared" si="9"/>
        <v>0</v>
      </c>
      <c r="L110" s="405">
        <f t="shared" si="10"/>
        <v>0</v>
      </c>
      <c r="M110" s="405">
        <f t="shared" si="11"/>
        <v>0</v>
      </c>
      <c r="N110" s="406">
        <f t="shared" si="12"/>
        <v>0</v>
      </c>
      <c r="AC110" s="408"/>
    </row>
    <row r="111" spans="1:29" ht="15.75" hidden="1" thickBot="1" x14ac:dyDescent="0.3">
      <c r="A111" s="399" t="s">
        <v>86</v>
      </c>
      <c r="B111" s="400"/>
      <c r="C111" s="400"/>
      <c r="D111" s="448">
        <f t="shared" si="13"/>
        <v>0</v>
      </c>
      <c r="E111" s="402">
        <f t="shared" si="4"/>
        <v>0</v>
      </c>
      <c r="F111" s="403"/>
      <c r="G111" s="404" t="str">
        <f t="shared" si="5"/>
        <v/>
      </c>
      <c r="H111" s="405">
        <f t="shared" si="6"/>
        <v>0</v>
      </c>
      <c r="I111" s="405">
        <f t="shared" si="7"/>
        <v>0</v>
      </c>
      <c r="J111" s="405">
        <f t="shared" si="8"/>
        <v>0</v>
      </c>
      <c r="K111" s="405">
        <f t="shared" si="9"/>
        <v>0</v>
      </c>
      <c r="L111" s="405">
        <f t="shared" si="10"/>
        <v>0</v>
      </c>
      <c r="M111" s="405">
        <f t="shared" si="11"/>
        <v>0</v>
      </c>
      <c r="N111" s="406">
        <f t="shared" si="12"/>
        <v>0</v>
      </c>
      <c r="AC111" s="408"/>
    </row>
    <row r="112" spans="1:29" ht="15.75" hidden="1" thickBot="1" x14ac:dyDescent="0.3">
      <c r="A112" s="399" t="s">
        <v>98</v>
      </c>
      <c r="B112" s="400"/>
      <c r="C112" s="400"/>
      <c r="D112" s="448">
        <f t="shared" si="13"/>
        <v>0</v>
      </c>
      <c r="E112" s="402">
        <f t="shared" si="4"/>
        <v>0</v>
      </c>
      <c r="F112" s="403"/>
      <c r="G112" s="404" t="str">
        <f t="shared" si="5"/>
        <v/>
      </c>
      <c r="H112" s="405">
        <f t="shared" si="6"/>
        <v>0</v>
      </c>
      <c r="I112" s="405">
        <f t="shared" si="7"/>
        <v>0</v>
      </c>
      <c r="J112" s="405">
        <f t="shared" si="8"/>
        <v>0</v>
      </c>
      <c r="K112" s="405">
        <f t="shared" si="9"/>
        <v>0</v>
      </c>
      <c r="L112" s="405">
        <f t="shared" si="10"/>
        <v>0</v>
      </c>
      <c r="M112" s="405">
        <f t="shared" si="11"/>
        <v>0</v>
      </c>
      <c r="N112" s="406">
        <f t="shared" si="12"/>
        <v>0</v>
      </c>
      <c r="AC112" s="408"/>
    </row>
    <row r="113" spans="1:29" ht="15.75" hidden="1" thickBot="1" x14ac:dyDescent="0.3">
      <c r="A113" s="399" t="s">
        <v>315</v>
      </c>
      <c r="B113" s="400"/>
      <c r="C113" s="400"/>
      <c r="D113" s="448">
        <f t="shared" si="13"/>
        <v>0</v>
      </c>
      <c r="E113" s="402">
        <f t="shared" si="4"/>
        <v>0</v>
      </c>
      <c r="F113" s="403"/>
      <c r="G113" s="407" t="str">
        <f t="shared" ref="G113:G131" si="14">IF(AND(A114="Peuplier ",D113&gt;0),25,IF(AND(A114&lt;&gt;"",D113&gt;0),"Supérieure à 30 ans",""))</f>
        <v/>
      </c>
      <c r="H113" s="408">
        <f t="shared" ref="H113:H132" si="15">SUMIF($I$8:$I$97,A114,$U$8:$U$97)</f>
        <v>0</v>
      </c>
      <c r="I113" s="408">
        <f t="shared" ref="I113:I132" si="16">SUMIF($I$8:$I$97,A114,$V$8:$V$97)</f>
        <v>0</v>
      </c>
      <c r="J113" s="408">
        <f t="shared" ref="J113:J132" si="17">SUMIF($I$8:$I$97,A114,$V$8:$V$97)</f>
        <v>0</v>
      </c>
      <c r="K113" s="405">
        <f t="shared" si="9"/>
        <v>0</v>
      </c>
      <c r="L113" s="408">
        <f t="shared" ref="L113:L132" si="18">SUMIF($I$8:$I$97,A114,$X$7:$X$96)</f>
        <v>0</v>
      </c>
      <c r="M113" s="408">
        <f t="shared" ref="M113:M132" si="19">SUMIF($I$8:$I$97,A114,$Y$8:$Y$97)</f>
        <v>0</v>
      </c>
      <c r="N113" s="409">
        <f t="shared" ref="N113:N132" si="20">SUMIF($I$8:$I$97,A114,$Z$8:$Z$97)</f>
        <v>0</v>
      </c>
      <c r="AC113" s="408"/>
    </row>
    <row r="114" spans="1:29" ht="15.75" hidden="1" thickBot="1" x14ac:dyDescent="0.3">
      <c r="A114" s="399" t="s">
        <v>467</v>
      </c>
      <c r="B114" s="400"/>
      <c r="C114" s="400"/>
      <c r="D114" s="448">
        <f t="shared" si="13"/>
        <v>0</v>
      </c>
      <c r="E114" s="402">
        <f t="shared" si="4"/>
        <v>0</v>
      </c>
      <c r="F114" s="403"/>
      <c r="G114" s="407" t="str">
        <f t="shared" si="14"/>
        <v/>
      </c>
      <c r="H114" s="408">
        <f t="shared" si="15"/>
        <v>0</v>
      </c>
      <c r="I114" s="408">
        <f t="shared" si="16"/>
        <v>0</v>
      </c>
      <c r="J114" s="408">
        <f t="shared" si="17"/>
        <v>0</v>
      </c>
      <c r="K114" s="405">
        <f t="shared" si="9"/>
        <v>0</v>
      </c>
      <c r="L114" s="408">
        <f t="shared" si="18"/>
        <v>0</v>
      </c>
      <c r="M114" s="408">
        <f t="shared" si="19"/>
        <v>0</v>
      </c>
      <c r="N114" s="409">
        <f t="shared" si="20"/>
        <v>0</v>
      </c>
      <c r="AC114" s="408"/>
    </row>
    <row r="115" spans="1:29" ht="15.75" thickBot="1" x14ac:dyDescent="0.3">
      <c r="A115" s="399" t="s">
        <v>29</v>
      </c>
      <c r="B115" s="400"/>
      <c r="C115" s="400"/>
      <c r="D115" s="448">
        <f t="shared" si="13"/>
        <v>9.1254752851711016E-2</v>
      </c>
      <c r="E115" s="402">
        <f t="shared" si="4"/>
        <v>2.3764258555133078E-2</v>
      </c>
      <c r="F115" s="403"/>
      <c r="G115" s="407" t="str">
        <f t="shared" si="14"/>
        <v>Supérieure à 30 ans</v>
      </c>
      <c r="H115" s="408">
        <f t="shared" si="15"/>
        <v>0</v>
      </c>
      <c r="I115" s="408">
        <f t="shared" si="16"/>
        <v>0</v>
      </c>
      <c r="J115" s="408">
        <f t="shared" si="17"/>
        <v>0</v>
      </c>
      <c r="K115" s="405">
        <f t="shared" si="9"/>
        <v>0</v>
      </c>
      <c r="L115" s="408">
        <f t="shared" si="18"/>
        <v>0</v>
      </c>
      <c r="M115" s="408">
        <f t="shared" si="19"/>
        <v>0</v>
      </c>
      <c r="N115" s="409">
        <f t="shared" si="20"/>
        <v>0</v>
      </c>
      <c r="AC115" s="408"/>
    </row>
    <row r="116" spans="1:29" ht="15.75" hidden="1" thickBot="1" x14ac:dyDescent="0.3">
      <c r="A116" s="399" t="s">
        <v>27</v>
      </c>
      <c r="B116" s="400"/>
      <c r="C116" s="400"/>
      <c r="D116" s="448">
        <f t="shared" si="13"/>
        <v>0</v>
      </c>
      <c r="E116" s="402">
        <f t="shared" si="4"/>
        <v>0</v>
      </c>
      <c r="F116" s="403"/>
      <c r="G116" s="407" t="str">
        <f t="shared" si="14"/>
        <v/>
      </c>
      <c r="H116" s="408">
        <f t="shared" si="15"/>
        <v>0</v>
      </c>
      <c r="I116" s="408">
        <f t="shared" si="16"/>
        <v>0</v>
      </c>
      <c r="J116" s="408">
        <f t="shared" si="17"/>
        <v>0</v>
      </c>
      <c r="K116" s="405">
        <f t="shared" si="9"/>
        <v>0</v>
      </c>
      <c r="L116" s="408">
        <f t="shared" si="18"/>
        <v>0</v>
      </c>
      <c r="M116" s="408">
        <f t="shared" si="19"/>
        <v>0</v>
      </c>
      <c r="N116" s="409">
        <f t="shared" si="20"/>
        <v>0</v>
      </c>
      <c r="AC116" s="408"/>
    </row>
    <row r="117" spans="1:29" ht="15.75" thickBot="1" x14ac:dyDescent="0.3">
      <c r="A117" s="399" t="s">
        <v>28</v>
      </c>
      <c r="B117" s="400"/>
      <c r="C117" s="400"/>
      <c r="D117" s="448">
        <f t="shared" si="13"/>
        <v>0.15330798479087451</v>
      </c>
      <c r="E117" s="402">
        <f t="shared" si="4"/>
        <v>3.9923954372623575E-2</v>
      </c>
      <c r="F117" s="403"/>
      <c r="G117" s="407" t="str">
        <f t="shared" si="14"/>
        <v>Supérieure à 30 ans</v>
      </c>
      <c r="H117" s="408">
        <f t="shared" si="15"/>
        <v>0</v>
      </c>
      <c r="I117" s="408">
        <f t="shared" si="16"/>
        <v>0</v>
      </c>
      <c r="J117" s="408">
        <f t="shared" si="17"/>
        <v>0</v>
      </c>
      <c r="K117" s="405">
        <f t="shared" si="9"/>
        <v>0</v>
      </c>
      <c r="L117" s="408">
        <f t="shared" si="18"/>
        <v>0</v>
      </c>
      <c r="M117" s="408">
        <f t="shared" si="19"/>
        <v>0</v>
      </c>
      <c r="N117" s="409">
        <f t="shared" si="20"/>
        <v>0</v>
      </c>
      <c r="AC117" s="408"/>
    </row>
    <row r="118" spans="1:29" ht="15.75" thickBot="1" x14ac:dyDescent="0.3">
      <c r="A118" s="399" t="s">
        <v>468</v>
      </c>
      <c r="B118" s="400"/>
      <c r="C118" s="400"/>
      <c r="D118" s="448">
        <f t="shared" si="13"/>
        <v>9.1254752851711016E-2</v>
      </c>
      <c r="E118" s="402">
        <f t="shared" si="4"/>
        <v>2.3764258555133078E-2</v>
      </c>
      <c r="F118" s="403"/>
      <c r="G118" s="407" t="str">
        <f t="shared" si="14"/>
        <v>Supérieure à 30 ans</v>
      </c>
      <c r="H118" s="408">
        <f t="shared" si="15"/>
        <v>0</v>
      </c>
      <c r="I118" s="408">
        <f t="shared" si="16"/>
        <v>0</v>
      </c>
      <c r="J118" s="408">
        <f t="shared" si="17"/>
        <v>0</v>
      </c>
      <c r="K118" s="405">
        <f t="shared" si="9"/>
        <v>0</v>
      </c>
      <c r="L118" s="408">
        <f t="shared" si="18"/>
        <v>0</v>
      </c>
      <c r="M118" s="408">
        <f t="shared" si="19"/>
        <v>0</v>
      </c>
      <c r="N118" s="409">
        <f t="shared" si="20"/>
        <v>0</v>
      </c>
      <c r="AC118" s="408"/>
    </row>
    <row r="119" spans="1:29" ht="15.75" hidden="1" thickBot="1" x14ac:dyDescent="0.3">
      <c r="A119" s="399" t="s">
        <v>31</v>
      </c>
      <c r="B119" s="400"/>
      <c r="C119" s="400"/>
      <c r="D119" s="401">
        <f t="shared" si="13"/>
        <v>0</v>
      </c>
      <c r="E119" s="402">
        <f t="shared" si="4"/>
        <v>0</v>
      </c>
      <c r="F119" s="403"/>
      <c r="G119" s="407" t="str">
        <f t="shared" si="14"/>
        <v/>
      </c>
      <c r="H119" s="408">
        <f t="shared" si="15"/>
        <v>0</v>
      </c>
      <c r="I119" s="408">
        <f t="shared" si="16"/>
        <v>0</v>
      </c>
      <c r="J119" s="408">
        <f t="shared" si="17"/>
        <v>0</v>
      </c>
      <c r="K119" s="405">
        <f t="shared" si="9"/>
        <v>0</v>
      </c>
      <c r="L119" s="408">
        <f t="shared" si="18"/>
        <v>0</v>
      </c>
      <c r="M119" s="408">
        <f t="shared" si="19"/>
        <v>0</v>
      </c>
      <c r="N119" s="409">
        <f t="shared" si="20"/>
        <v>0</v>
      </c>
      <c r="AC119" s="408"/>
    </row>
    <row r="120" spans="1:29" ht="15.75" hidden="1" thickBot="1" x14ac:dyDescent="0.3">
      <c r="A120" s="399" t="s">
        <v>51</v>
      </c>
      <c r="B120" s="400"/>
      <c r="C120" s="400"/>
      <c r="D120" s="401">
        <f t="shared" si="13"/>
        <v>0</v>
      </c>
      <c r="E120" s="402">
        <f t="shared" si="4"/>
        <v>0</v>
      </c>
      <c r="F120" s="403"/>
      <c r="G120" s="407" t="str">
        <f t="shared" si="14"/>
        <v/>
      </c>
      <c r="H120" s="408">
        <f t="shared" si="15"/>
        <v>0</v>
      </c>
      <c r="I120" s="408">
        <f t="shared" si="16"/>
        <v>0</v>
      </c>
      <c r="J120" s="408">
        <f t="shared" si="17"/>
        <v>0</v>
      </c>
      <c r="K120" s="405">
        <f t="shared" si="9"/>
        <v>0</v>
      </c>
      <c r="L120" s="408">
        <f t="shared" si="18"/>
        <v>0</v>
      </c>
      <c r="M120" s="408">
        <f t="shared" si="19"/>
        <v>0</v>
      </c>
      <c r="N120" s="409">
        <f t="shared" si="20"/>
        <v>0</v>
      </c>
      <c r="AC120" s="408"/>
    </row>
    <row r="121" spans="1:29" ht="15.75" hidden="1" thickBot="1" x14ac:dyDescent="0.3">
      <c r="A121" s="399" t="s">
        <v>53</v>
      </c>
      <c r="B121" s="400"/>
      <c r="C121" s="400"/>
      <c r="D121" s="401">
        <f t="shared" si="13"/>
        <v>0</v>
      </c>
      <c r="E121" s="402">
        <f t="shared" si="4"/>
        <v>0</v>
      </c>
      <c r="F121" s="403"/>
      <c r="G121" s="407" t="str">
        <f t="shared" si="14"/>
        <v/>
      </c>
      <c r="H121" s="408">
        <f t="shared" si="15"/>
        <v>0</v>
      </c>
      <c r="I121" s="408">
        <f t="shared" si="16"/>
        <v>0</v>
      </c>
      <c r="J121" s="408">
        <f t="shared" si="17"/>
        <v>0</v>
      </c>
      <c r="K121" s="405">
        <f t="shared" si="9"/>
        <v>0</v>
      </c>
      <c r="L121" s="408">
        <f t="shared" si="18"/>
        <v>0</v>
      </c>
      <c r="M121" s="408">
        <f t="shared" si="19"/>
        <v>0</v>
      </c>
      <c r="N121" s="409">
        <f t="shared" si="20"/>
        <v>0</v>
      </c>
      <c r="AC121" s="408"/>
    </row>
    <row r="122" spans="1:29" ht="15.75" hidden="1" thickBot="1" x14ac:dyDescent="0.3">
      <c r="A122" s="399" t="s">
        <v>54</v>
      </c>
      <c r="B122" s="400"/>
      <c r="C122" s="400"/>
      <c r="D122" s="401">
        <f t="shared" si="13"/>
        <v>0</v>
      </c>
      <c r="E122" s="402">
        <f t="shared" si="4"/>
        <v>0</v>
      </c>
      <c r="F122" s="403"/>
      <c r="G122" s="407" t="str">
        <f t="shared" si="14"/>
        <v/>
      </c>
      <c r="H122" s="408">
        <f t="shared" si="15"/>
        <v>0</v>
      </c>
      <c r="I122" s="408">
        <f t="shared" si="16"/>
        <v>0</v>
      </c>
      <c r="J122" s="408">
        <f t="shared" si="17"/>
        <v>0</v>
      </c>
      <c r="K122" s="405">
        <f t="shared" si="9"/>
        <v>0</v>
      </c>
      <c r="L122" s="408">
        <f t="shared" si="18"/>
        <v>0</v>
      </c>
      <c r="M122" s="408">
        <f t="shared" si="19"/>
        <v>0</v>
      </c>
      <c r="N122" s="409">
        <f t="shared" si="20"/>
        <v>0</v>
      </c>
      <c r="AC122" s="408"/>
    </row>
    <row r="123" spans="1:29" ht="15.75" hidden="1" thickBot="1" x14ac:dyDescent="0.3">
      <c r="A123" s="399" t="s">
        <v>105</v>
      </c>
      <c r="B123" s="400"/>
      <c r="C123" s="400"/>
      <c r="D123" s="401">
        <f t="shared" si="13"/>
        <v>0</v>
      </c>
      <c r="E123" s="402">
        <f t="shared" si="4"/>
        <v>0</v>
      </c>
      <c r="F123" s="403"/>
      <c r="G123" s="407" t="str">
        <f t="shared" si="14"/>
        <v/>
      </c>
      <c r="H123" s="408">
        <f t="shared" si="15"/>
        <v>0</v>
      </c>
      <c r="I123" s="408">
        <f t="shared" si="16"/>
        <v>0</v>
      </c>
      <c r="J123" s="408">
        <f t="shared" si="17"/>
        <v>0</v>
      </c>
      <c r="K123" s="405">
        <f t="shared" si="9"/>
        <v>0</v>
      </c>
      <c r="L123" s="408">
        <f t="shared" si="18"/>
        <v>0</v>
      </c>
      <c r="M123" s="408">
        <f t="shared" si="19"/>
        <v>0</v>
      </c>
      <c r="N123" s="409">
        <f t="shared" si="20"/>
        <v>0</v>
      </c>
      <c r="AC123" s="408"/>
    </row>
    <row r="124" spans="1:29" ht="15.75" hidden="1" thickBot="1" x14ac:dyDescent="0.3">
      <c r="A124" s="399" t="s">
        <v>55</v>
      </c>
      <c r="B124" s="400"/>
      <c r="C124" s="400"/>
      <c r="D124" s="401">
        <f t="shared" si="13"/>
        <v>0</v>
      </c>
      <c r="E124" s="402">
        <f>D124/$D$144</f>
        <v>0</v>
      </c>
      <c r="F124" s="403"/>
      <c r="G124" s="407" t="str">
        <f t="shared" si="14"/>
        <v/>
      </c>
      <c r="H124" s="408">
        <f t="shared" si="15"/>
        <v>0</v>
      </c>
      <c r="I124" s="408">
        <f t="shared" si="16"/>
        <v>0</v>
      </c>
      <c r="J124" s="408">
        <f t="shared" si="17"/>
        <v>0</v>
      </c>
      <c r="K124" s="405">
        <f t="shared" si="9"/>
        <v>0</v>
      </c>
      <c r="L124" s="408">
        <f t="shared" si="18"/>
        <v>0</v>
      </c>
      <c r="M124" s="408">
        <f t="shared" si="19"/>
        <v>0</v>
      </c>
      <c r="N124" s="409">
        <f t="shared" si="20"/>
        <v>0</v>
      </c>
      <c r="AC124" s="408"/>
    </row>
    <row r="125" spans="1:29" ht="15.75" hidden="1" thickBot="1" x14ac:dyDescent="0.3">
      <c r="A125" s="399" t="s">
        <v>105</v>
      </c>
      <c r="B125" s="400"/>
      <c r="C125" s="400"/>
      <c r="D125" s="401">
        <f t="shared" si="13"/>
        <v>0</v>
      </c>
      <c r="E125" s="402">
        <f>D125/$D$144</f>
        <v>0</v>
      </c>
      <c r="F125" s="403"/>
      <c r="G125" s="407" t="str">
        <f t="shared" si="14"/>
        <v/>
      </c>
      <c r="H125" s="408">
        <f t="shared" si="15"/>
        <v>0</v>
      </c>
      <c r="I125" s="408">
        <f t="shared" si="16"/>
        <v>0</v>
      </c>
      <c r="J125" s="408">
        <f t="shared" si="17"/>
        <v>0</v>
      </c>
      <c r="K125" s="405">
        <f t="shared" si="9"/>
        <v>0</v>
      </c>
      <c r="L125" s="408">
        <f t="shared" si="18"/>
        <v>0</v>
      </c>
      <c r="M125" s="408">
        <f t="shared" si="19"/>
        <v>0</v>
      </c>
      <c r="N125" s="409">
        <f t="shared" si="20"/>
        <v>0</v>
      </c>
      <c r="AC125" s="408"/>
    </row>
    <row r="126" spans="1:29" ht="15.75" hidden="1" thickBot="1" x14ac:dyDescent="0.3">
      <c r="A126" s="399" t="s">
        <v>55</v>
      </c>
      <c r="B126" s="400"/>
      <c r="C126" s="400"/>
      <c r="D126" s="401">
        <f t="shared" si="13"/>
        <v>0</v>
      </c>
      <c r="E126" s="402">
        <f t="shared" ref="E126:E142" si="21">D126/$D$144</f>
        <v>0</v>
      </c>
      <c r="F126" s="403"/>
      <c r="G126" s="407" t="str">
        <f t="shared" si="14"/>
        <v/>
      </c>
      <c r="H126" s="408">
        <f t="shared" si="15"/>
        <v>0</v>
      </c>
      <c r="I126" s="408">
        <f t="shared" si="16"/>
        <v>0</v>
      </c>
      <c r="J126" s="408">
        <f t="shared" si="17"/>
        <v>0</v>
      </c>
      <c r="K126" s="405">
        <f t="shared" si="9"/>
        <v>0</v>
      </c>
      <c r="L126" s="408">
        <f t="shared" si="18"/>
        <v>0</v>
      </c>
      <c r="M126" s="408">
        <f t="shared" si="19"/>
        <v>0</v>
      </c>
      <c r="N126" s="409">
        <f t="shared" si="20"/>
        <v>0</v>
      </c>
      <c r="AC126" s="408"/>
    </row>
    <row r="127" spans="1:29" ht="15.75" hidden="1" thickBot="1" x14ac:dyDescent="0.3">
      <c r="A127" s="399" t="s">
        <v>56</v>
      </c>
      <c r="B127" s="400"/>
      <c r="C127" s="400"/>
      <c r="D127" s="401">
        <f t="shared" si="13"/>
        <v>0</v>
      </c>
      <c r="E127" s="402">
        <f t="shared" si="21"/>
        <v>0</v>
      </c>
      <c r="F127" s="403"/>
      <c r="G127" s="407" t="str">
        <f t="shared" si="14"/>
        <v/>
      </c>
      <c r="H127" s="408">
        <f t="shared" si="15"/>
        <v>0</v>
      </c>
      <c r="I127" s="408">
        <f t="shared" si="16"/>
        <v>0</v>
      </c>
      <c r="J127" s="408">
        <f t="shared" si="17"/>
        <v>0</v>
      </c>
      <c r="K127" s="405">
        <f t="shared" si="9"/>
        <v>0</v>
      </c>
      <c r="L127" s="408">
        <f t="shared" si="18"/>
        <v>0</v>
      </c>
      <c r="M127" s="408">
        <f t="shared" si="19"/>
        <v>0</v>
      </c>
      <c r="N127" s="409">
        <f t="shared" si="20"/>
        <v>0</v>
      </c>
      <c r="AC127" s="408"/>
    </row>
    <row r="128" spans="1:29" ht="15.75" hidden="1" thickBot="1" x14ac:dyDescent="0.3">
      <c r="A128" s="399" t="s">
        <v>59</v>
      </c>
      <c r="B128" s="400"/>
      <c r="C128" s="400"/>
      <c r="D128" s="401">
        <f t="shared" si="13"/>
        <v>0</v>
      </c>
      <c r="E128" s="402">
        <f t="shared" si="21"/>
        <v>0</v>
      </c>
      <c r="F128" s="403"/>
      <c r="G128" s="407" t="str">
        <f t="shared" si="14"/>
        <v/>
      </c>
      <c r="H128" s="408">
        <f t="shared" si="15"/>
        <v>0</v>
      </c>
      <c r="I128" s="408">
        <f t="shared" si="16"/>
        <v>0</v>
      </c>
      <c r="J128" s="408">
        <f t="shared" si="17"/>
        <v>0</v>
      </c>
      <c r="K128" s="405">
        <f t="shared" si="9"/>
        <v>0</v>
      </c>
      <c r="L128" s="408">
        <f t="shared" si="18"/>
        <v>0</v>
      </c>
      <c r="M128" s="408">
        <f t="shared" si="19"/>
        <v>0</v>
      </c>
      <c r="N128" s="409">
        <f t="shared" si="20"/>
        <v>0</v>
      </c>
      <c r="AC128" s="408"/>
    </row>
    <row r="129" spans="1:29" ht="15.75" hidden="1" thickBot="1" x14ac:dyDescent="0.3">
      <c r="A129" s="399" t="s">
        <v>63</v>
      </c>
      <c r="B129" s="400"/>
      <c r="C129" s="400"/>
      <c r="D129" s="401">
        <f t="shared" si="13"/>
        <v>0</v>
      </c>
      <c r="E129" s="402">
        <f t="shared" si="21"/>
        <v>0</v>
      </c>
      <c r="F129" s="403"/>
      <c r="G129" s="407" t="str">
        <f t="shared" si="14"/>
        <v/>
      </c>
      <c r="H129" s="408">
        <f t="shared" si="15"/>
        <v>0</v>
      </c>
      <c r="I129" s="408">
        <f t="shared" si="16"/>
        <v>0</v>
      </c>
      <c r="J129" s="408">
        <f t="shared" si="17"/>
        <v>0</v>
      </c>
      <c r="K129" s="405">
        <f t="shared" si="9"/>
        <v>0</v>
      </c>
      <c r="L129" s="408">
        <f t="shared" si="18"/>
        <v>0</v>
      </c>
      <c r="M129" s="408">
        <f t="shared" si="19"/>
        <v>0</v>
      </c>
      <c r="N129" s="409">
        <f t="shared" si="20"/>
        <v>0</v>
      </c>
      <c r="AC129" s="408"/>
    </row>
    <row r="130" spans="1:29" ht="15.75" hidden="1" thickBot="1" x14ac:dyDescent="0.3">
      <c r="A130" s="399" t="s">
        <v>83</v>
      </c>
      <c r="B130" s="400"/>
      <c r="C130" s="400"/>
      <c r="D130" s="401">
        <f t="shared" si="13"/>
        <v>0</v>
      </c>
      <c r="E130" s="402">
        <f t="shared" si="21"/>
        <v>0</v>
      </c>
      <c r="F130" s="403"/>
      <c r="G130" s="407" t="str">
        <f t="shared" si="14"/>
        <v/>
      </c>
      <c r="H130" s="408">
        <f t="shared" si="15"/>
        <v>0</v>
      </c>
      <c r="I130" s="408">
        <f t="shared" si="16"/>
        <v>0</v>
      </c>
      <c r="J130" s="408">
        <f t="shared" si="17"/>
        <v>0</v>
      </c>
      <c r="K130" s="405">
        <f t="shared" si="9"/>
        <v>0</v>
      </c>
      <c r="L130" s="408">
        <f t="shared" si="18"/>
        <v>0</v>
      </c>
      <c r="M130" s="408">
        <f t="shared" si="19"/>
        <v>0</v>
      </c>
      <c r="N130" s="409">
        <f t="shared" si="20"/>
        <v>0</v>
      </c>
      <c r="AC130" s="408"/>
    </row>
    <row r="131" spans="1:29" ht="15.75" hidden="1" thickBot="1" x14ac:dyDescent="0.3">
      <c r="A131" s="399" t="s">
        <v>87</v>
      </c>
      <c r="B131" s="400"/>
      <c r="C131" s="400"/>
      <c r="D131" s="401">
        <f t="shared" si="13"/>
        <v>0</v>
      </c>
      <c r="E131" s="402">
        <f t="shared" si="21"/>
        <v>0</v>
      </c>
      <c r="F131" s="403"/>
      <c r="G131" s="407" t="str">
        <f t="shared" si="14"/>
        <v/>
      </c>
      <c r="H131" s="408">
        <f t="shared" si="15"/>
        <v>0</v>
      </c>
      <c r="I131" s="408">
        <f t="shared" si="16"/>
        <v>0</v>
      </c>
      <c r="J131" s="408">
        <f t="shared" si="17"/>
        <v>0</v>
      </c>
      <c r="K131" s="405">
        <f t="shared" si="9"/>
        <v>0</v>
      </c>
      <c r="L131" s="408">
        <f t="shared" si="18"/>
        <v>0</v>
      </c>
      <c r="M131" s="408">
        <f t="shared" si="19"/>
        <v>0</v>
      </c>
      <c r="N131" s="409">
        <f t="shared" si="20"/>
        <v>0</v>
      </c>
      <c r="AC131" s="408"/>
    </row>
    <row r="132" spans="1:29" ht="15.75" hidden="1" thickBot="1" x14ac:dyDescent="0.3">
      <c r="A132" s="399" t="s">
        <v>94</v>
      </c>
      <c r="B132" s="400"/>
      <c r="C132" s="400"/>
      <c r="D132" s="401">
        <f t="shared" si="13"/>
        <v>0</v>
      </c>
      <c r="E132" s="402">
        <f t="shared" si="21"/>
        <v>0</v>
      </c>
      <c r="F132" s="403"/>
      <c r="G132" s="407" t="str">
        <f t="shared" ref="G132:G142" si="22">IF(AND(A133="Peuplier ",D132&gt;0),25,IF(AND(A133&lt;&gt;"",D132&gt;0),"Supérieure à 30 ans",""))</f>
        <v/>
      </c>
      <c r="H132" s="408">
        <f t="shared" si="15"/>
        <v>0</v>
      </c>
      <c r="I132" s="408">
        <f t="shared" si="16"/>
        <v>0</v>
      </c>
      <c r="J132" s="408">
        <f t="shared" si="17"/>
        <v>0</v>
      </c>
      <c r="K132" s="405">
        <f t="shared" si="9"/>
        <v>0</v>
      </c>
      <c r="L132" s="408">
        <f t="shared" si="18"/>
        <v>0</v>
      </c>
      <c r="M132" s="408">
        <f t="shared" si="19"/>
        <v>0</v>
      </c>
      <c r="N132" s="409">
        <f t="shared" si="20"/>
        <v>0</v>
      </c>
      <c r="AC132" s="408"/>
    </row>
    <row r="133" spans="1:29" ht="15.75" hidden="1" thickBot="1" x14ac:dyDescent="0.3">
      <c r="A133" s="399" t="s">
        <v>95</v>
      </c>
      <c r="B133" s="400"/>
      <c r="C133" s="400"/>
      <c r="D133" s="401">
        <f t="shared" si="13"/>
        <v>0</v>
      </c>
      <c r="E133" s="402">
        <f t="shared" si="21"/>
        <v>0</v>
      </c>
      <c r="F133" s="403"/>
      <c r="G133" s="407" t="str">
        <f t="shared" si="22"/>
        <v/>
      </c>
      <c r="H133" s="408">
        <f>SUMIF($I$8:$I$97,#REF!,$U$8:$U$97)</f>
        <v>0</v>
      </c>
      <c r="I133" s="408">
        <f>SUMIF($I$8:$I$97,#REF!,$V$8:$V$97)</f>
        <v>0</v>
      </c>
      <c r="J133" s="408">
        <f>SUMIF($I$8:$I$97,#REF!,$V$8:$V$97)</f>
        <v>0</v>
      </c>
      <c r="K133" s="405">
        <f t="shared" si="9"/>
        <v>0</v>
      </c>
      <c r="L133" s="408">
        <f>SUMIF($I$8:$I$97,#REF!,$X$7:$X$96)</f>
        <v>0</v>
      </c>
      <c r="M133" s="408">
        <f>SUMIF($I$8:$I$97,#REF!,$Y$8:$Y$97)</f>
        <v>0</v>
      </c>
      <c r="N133" s="409">
        <f>SUMIF($I$8:$I$97,#REF!,$Z$8:$Z$97)</f>
        <v>0</v>
      </c>
      <c r="AC133" s="408"/>
    </row>
    <row r="134" spans="1:29" ht="15.75" hidden="1" thickBot="1" x14ac:dyDescent="0.3">
      <c r="A134" s="399" t="s">
        <v>99</v>
      </c>
      <c r="B134" s="400"/>
      <c r="C134" s="400"/>
      <c r="D134" s="401">
        <f t="shared" si="13"/>
        <v>0</v>
      </c>
      <c r="E134" s="402">
        <f t="shared" si="21"/>
        <v>0</v>
      </c>
      <c r="F134" s="403"/>
      <c r="G134" s="407" t="str">
        <f t="shared" si="22"/>
        <v/>
      </c>
      <c r="H134" s="408">
        <f t="shared" ref="H134:H143" si="23">SUMIF($I$8:$I$97,A134,$U$8:$U$97)</f>
        <v>0</v>
      </c>
      <c r="I134" s="408">
        <f t="shared" ref="I134:I143" si="24">SUMIF($I$8:$I$97,A134,$V$8:$V$97)</f>
        <v>0</v>
      </c>
      <c r="J134" s="408">
        <f t="shared" ref="J134:J143" si="25">SUMIF($I$8:$I$97,A134,$V$8:$V$97)</f>
        <v>0</v>
      </c>
      <c r="K134" s="405">
        <f t="shared" si="9"/>
        <v>0</v>
      </c>
      <c r="L134" s="408">
        <f t="shared" ref="L134:L143" si="26">SUMIF($I$8:$I$97,A134,$X$7:$X$96)</f>
        <v>0</v>
      </c>
      <c r="M134" s="408">
        <f t="shared" ref="M134:M143" si="27">SUMIF($I$8:$I$97,A134,$Y$8:$Y$97)</f>
        <v>0</v>
      </c>
      <c r="N134" s="409">
        <f t="shared" ref="N134:N143" si="28">SUMIF($I$8:$I$97,A134,$Z$8:$Z$97)</f>
        <v>0</v>
      </c>
      <c r="AC134" s="408"/>
    </row>
    <row r="135" spans="1:29" ht="15.75" hidden="1" thickBot="1" x14ac:dyDescent="0.3">
      <c r="A135" s="399" t="s">
        <v>108</v>
      </c>
      <c r="B135" s="400"/>
      <c r="C135" s="400"/>
      <c r="D135" s="401">
        <f t="shared" si="13"/>
        <v>0</v>
      </c>
      <c r="E135" s="402">
        <f t="shared" si="21"/>
        <v>0</v>
      </c>
      <c r="F135" s="403"/>
      <c r="G135" s="407" t="str">
        <f t="shared" si="22"/>
        <v/>
      </c>
      <c r="H135" s="408">
        <f t="shared" si="23"/>
        <v>0</v>
      </c>
      <c r="I135" s="408">
        <f t="shared" si="24"/>
        <v>0</v>
      </c>
      <c r="J135" s="408">
        <f t="shared" si="25"/>
        <v>0</v>
      </c>
      <c r="K135" s="405">
        <f t="shared" si="9"/>
        <v>0</v>
      </c>
      <c r="L135" s="408">
        <f t="shared" si="26"/>
        <v>0</v>
      </c>
      <c r="M135" s="408">
        <f t="shared" si="27"/>
        <v>0</v>
      </c>
      <c r="N135" s="409">
        <f t="shared" si="28"/>
        <v>0</v>
      </c>
      <c r="AC135" s="408"/>
    </row>
    <row r="136" spans="1:29" ht="15.75" hidden="1" thickBot="1" x14ac:dyDescent="0.3">
      <c r="A136" s="399"/>
      <c r="B136" s="400"/>
      <c r="C136" s="400"/>
      <c r="D136" s="401">
        <f t="shared" si="13"/>
        <v>0</v>
      </c>
      <c r="E136" s="402">
        <f t="shared" si="21"/>
        <v>0</v>
      </c>
      <c r="F136" s="403"/>
      <c r="G136" s="407" t="str">
        <f>IF(AND(A137="Peuplier ",D136&gt;0),25,IF(AND(A137&lt;&gt;"",D136&gt;0),"Supérieure à 30 ans",""))</f>
        <v/>
      </c>
      <c r="H136" s="408">
        <f t="shared" si="23"/>
        <v>0</v>
      </c>
      <c r="I136" s="408">
        <f t="shared" si="24"/>
        <v>0</v>
      </c>
      <c r="J136" s="408">
        <f t="shared" si="25"/>
        <v>0</v>
      </c>
      <c r="K136" s="405">
        <f t="shared" si="9"/>
        <v>0</v>
      </c>
      <c r="L136" s="408">
        <f t="shared" si="26"/>
        <v>0</v>
      </c>
      <c r="M136" s="408">
        <f t="shared" si="27"/>
        <v>0</v>
      </c>
      <c r="N136" s="409">
        <f t="shared" si="28"/>
        <v>0</v>
      </c>
      <c r="AC136" s="408"/>
    </row>
    <row r="137" spans="1:29" ht="15.75" hidden="1" thickBot="1" x14ac:dyDescent="0.3">
      <c r="A137" s="399"/>
      <c r="B137" s="400"/>
      <c r="C137" s="400"/>
      <c r="D137" s="401">
        <f t="shared" si="13"/>
        <v>0</v>
      </c>
      <c r="E137" s="402">
        <f t="shared" si="21"/>
        <v>0</v>
      </c>
      <c r="F137" s="403"/>
      <c r="G137" s="407" t="str">
        <f>IF(AND(A138="Peuplier ",D137&gt;0),25,IF(AND(A138&lt;&gt;"",D137&gt;0),"Supérieure à 30 ans",""))</f>
        <v/>
      </c>
      <c r="H137" s="408">
        <f t="shared" si="23"/>
        <v>0</v>
      </c>
      <c r="I137" s="408">
        <f t="shared" si="24"/>
        <v>0</v>
      </c>
      <c r="J137" s="408">
        <f t="shared" si="25"/>
        <v>0</v>
      </c>
      <c r="K137" s="405">
        <f t="shared" si="9"/>
        <v>0</v>
      </c>
      <c r="L137" s="408">
        <f t="shared" si="26"/>
        <v>0</v>
      </c>
      <c r="M137" s="408">
        <f t="shared" si="27"/>
        <v>0</v>
      </c>
      <c r="N137" s="409">
        <f t="shared" si="28"/>
        <v>0</v>
      </c>
      <c r="AC137" s="408"/>
    </row>
    <row r="138" spans="1:29" ht="15.75" hidden="1" thickBot="1" x14ac:dyDescent="0.3">
      <c r="A138" s="399"/>
      <c r="B138" s="400"/>
      <c r="C138" s="400"/>
      <c r="D138" s="401">
        <f t="shared" si="13"/>
        <v>0</v>
      </c>
      <c r="E138" s="402">
        <f t="shared" si="21"/>
        <v>0</v>
      </c>
      <c r="F138" s="403"/>
      <c r="G138" s="407" t="str">
        <f>IF(AND(A139="Peuplier ",D138&gt;0),25,IF(AND(A139&lt;&gt;"",D138&gt;0),"Supérieure à 30 ans",""))</f>
        <v/>
      </c>
      <c r="H138" s="408">
        <f t="shared" si="23"/>
        <v>0</v>
      </c>
      <c r="I138" s="408">
        <f t="shared" si="24"/>
        <v>0</v>
      </c>
      <c r="J138" s="408">
        <f t="shared" si="25"/>
        <v>0</v>
      </c>
      <c r="K138" s="405">
        <f t="shared" si="9"/>
        <v>0</v>
      </c>
      <c r="L138" s="408">
        <f t="shared" si="26"/>
        <v>0</v>
      </c>
      <c r="M138" s="408">
        <f t="shared" si="27"/>
        <v>0</v>
      </c>
      <c r="N138" s="409">
        <f t="shared" si="28"/>
        <v>0</v>
      </c>
      <c r="AC138" s="408"/>
    </row>
    <row r="139" spans="1:29" ht="15.75" hidden="1" thickBot="1" x14ac:dyDescent="0.3">
      <c r="A139" s="399"/>
      <c r="B139" s="400"/>
      <c r="C139" s="400"/>
      <c r="D139" s="401">
        <f t="shared" si="13"/>
        <v>0</v>
      </c>
      <c r="E139" s="402">
        <f t="shared" si="21"/>
        <v>0</v>
      </c>
      <c r="F139" s="403"/>
      <c r="G139" s="407" t="str">
        <f>IF(AND(A140="Peuplier ",D139&gt;0),25,IF(AND(A140&lt;&gt;"",D139&gt;0),"Supérieure à 30 ans",""))</f>
        <v/>
      </c>
      <c r="H139" s="408">
        <f t="shared" si="23"/>
        <v>0</v>
      </c>
      <c r="I139" s="408">
        <f t="shared" si="24"/>
        <v>0</v>
      </c>
      <c r="J139" s="408">
        <f t="shared" si="25"/>
        <v>0</v>
      </c>
      <c r="K139" s="405">
        <f t="shared" si="9"/>
        <v>0</v>
      </c>
      <c r="L139" s="408">
        <f t="shared" si="26"/>
        <v>0</v>
      </c>
      <c r="M139" s="408">
        <f t="shared" si="27"/>
        <v>0</v>
      </c>
      <c r="N139" s="409">
        <f t="shared" si="28"/>
        <v>0</v>
      </c>
      <c r="AC139" s="408"/>
    </row>
    <row r="140" spans="1:29" ht="15.75" hidden="1" thickBot="1" x14ac:dyDescent="0.3">
      <c r="A140" s="399"/>
      <c r="B140" s="400"/>
      <c r="C140" s="400"/>
      <c r="D140" s="401">
        <f t="shared" si="13"/>
        <v>0</v>
      </c>
      <c r="E140" s="402">
        <f t="shared" si="21"/>
        <v>0</v>
      </c>
      <c r="F140" s="403"/>
      <c r="G140" s="407" t="str">
        <f>IF(AND(A141="Peuplier ",D140&gt;0),25,IF(AND(A141&lt;&gt;"",D140&gt;0),"Supérieure à 30 ans",""))</f>
        <v/>
      </c>
      <c r="H140" s="408">
        <f t="shared" si="23"/>
        <v>0</v>
      </c>
      <c r="I140" s="408">
        <f t="shared" si="24"/>
        <v>0</v>
      </c>
      <c r="J140" s="408">
        <f t="shared" si="25"/>
        <v>0</v>
      </c>
      <c r="K140" s="405">
        <f t="shared" si="9"/>
        <v>0</v>
      </c>
      <c r="L140" s="408">
        <f t="shared" si="26"/>
        <v>0</v>
      </c>
      <c r="M140" s="408">
        <f t="shared" si="27"/>
        <v>0</v>
      </c>
      <c r="N140" s="409">
        <f t="shared" si="28"/>
        <v>0</v>
      </c>
      <c r="AC140" s="408"/>
    </row>
    <row r="141" spans="1:29" ht="15.75" hidden="1" thickBot="1" x14ac:dyDescent="0.3">
      <c r="A141" s="399"/>
      <c r="B141" s="400"/>
      <c r="C141" s="400"/>
      <c r="D141" s="401">
        <f t="shared" si="13"/>
        <v>0</v>
      </c>
      <c r="E141" s="402">
        <f t="shared" si="21"/>
        <v>0</v>
      </c>
      <c r="F141" s="403"/>
      <c r="G141" s="407" t="str">
        <f t="shared" si="22"/>
        <v/>
      </c>
      <c r="H141" s="408">
        <f t="shared" si="23"/>
        <v>0</v>
      </c>
      <c r="I141" s="408">
        <f t="shared" si="24"/>
        <v>0</v>
      </c>
      <c r="J141" s="408">
        <f t="shared" si="25"/>
        <v>0</v>
      </c>
      <c r="K141" s="405">
        <f t="shared" si="9"/>
        <v>0</v>
      </c>
      <c r="L141" s="408">
        <f t="shared" si="26"/>
        <v>0</v>
      </c>
      <c r="M141" s="408">
        <f t="shared" si="27"/>
        <v>0</v>
      </c>
      <c r="N141" s="409">
        <f t="shared" si="28"/>
        <v>0</v>
      </c>
      <c r="AC141" s="408"/>
    </row>
    <row r="142" spans="1:29" ht="15.75" hidden="1" thickBot="1" x14ac:dyDescent="0.3">
      <c r="A142" s="399"/>
      <c r="B142" s="400"/>
      <c r="C142" s="400"/>
      <c r="D142" s="401">
        <f t="shared" si="13"/>
        <v>0</v>
      </c>
      <c r="E142" s="402">
        <f t="shared" si="21"/>
        <v>0</v>
      </c>
      <c r="F142" s="403"/>
      <c r="G142" s="407" t="str">
        <f t="shared" si="22"/>
        <v/>
      </c>
      <c r="H142" s="408">
        <f t="shared" si="23"/>
        <v>0</v>
      </c>
      <c r="I142" s="408">
        <f t="shared" si="24"/>
        <v>0</v>
      </c>
      <c r="J142" s="408">
        <f t="shared" si="25"/>
        <v>0</v>
      </c>
      <c r="K142" s="405">
        <f t="shared" si="9"/>
        <v>0</v>
      </c>
      <c r="L142" s="408">
        <f t="shared" si="26"/>
        <v>0</v>
      </c>
      <c r="M142" s="408">
        <f t="shared" si="27"/>
        <v>0</v>
      </c>
      <c r="N142" s="409">
        <f t="shared" si="28"/>
        <v>0</v>
      </c>
      <c r="AC142" s="408"/>
    </row>
    <row r="143" spans="1:29" ht="15.75" hidden="1" thickBot="1" x14ac:dyDescent="0.3">
      <c r="A143" s="410" t="s">
        <v>286</v>
      </c>
      <c r="B143" s="411"/>
      <c r="C143" s="411"/>
      <c r="D143" s="401">
        <f t="shared" si="13"/>
        <v>0</v>
      </c>
      <c r="E143" s="412">
        <f>D143/$D$144</f>
        <v>0</v>
      </c>
      <c r="F143" s="403"/>
      <c r="G143" s="407" t="str">
        <f>IF(AND(A144="Peuplier ",D143&gt;0),25,IF(AND(A144&lt;&gt;"",D143&gt;0),"Supérieure à 30 ans",""))</f>
        <v/>
      </c>
      <c r="H143" s="413">
        <f t="shared" si="23"/>
        <v>0</v>
      </c>
      <c r="I143" s="413">
        <f t="shared" si="24"/>
        <v>0</v>
      </c>
      <c r="J143" s="413">
        <f t="shared" si="25"/>
        <v>0</v>
      </c>
      <c r="K143" s="405">
        <f t="shared" si="9"/>
        <v>0</v>
      </c>
      <c r="L143" s="413">
        <f t="shared" si="26"/>
        <v>0</v>
      </c>
      <c r="M143" s="413">
        <f t="shared" si="27"/>
        <v>0</v>
      </c>
      <c r="N143" s="414">
        <f t="shared" si="28"/>
        <v>0</v>
      </c>
      <c r="AC143" s="413"/>
    </row>
    <row r="144" spans="1:29" ht="16.5" thickBot="1" x14ac:dyDescent="0.3">
      <c r="A144" s="537" t="s">
        <v>284</v>
      </c>
      <c r="B144" s="538"/>
      <c r="C144" s="538"/>
      <c r="D144" s="415">
        <f>SUM(D104:D143)</f>
        <v>3.84</v>
      </c>
      <c r="E144" s="416">
        <f>D144/D146</f>
        <v>1</v>
      </c>
      <c r="F144" s="587" t="s">
        <v>464</v>
      </c>
      <c r="G144" s="588"/>
      <c r="H144" s="417">
        <f t="shared" ref="H144:M144" si="29">SUM(H104:H143)</f>
        <v>133.63266168802028</v>
      </c>
      <c r="I144" s="417">
        <f>SUM(I104:I143)</f>
        <v>421.44591220726824</v>
      </c>
      <c r="J144" s="417">
        <f t="shared" si="29"/>
        <v>0</v>
      </c>
      <c r="K144" s="417">
        <f t="shared" si="29"/>
        <v>0</v>
      </c>
      <c r="L144" s="417">
        <f>SUM(L104:L143)</f>
        <v>2</v>
      </c>
      <c r="M144" s="417">
        <f t="shared" si="29"/>
        <v>6.3075285171102662</v>
      </c>
      <c r="N144" s="417">
        <f>SUM(N104:N143)</f>
        <v>427.75344072437849</v>
      </c>
      <c r="AC144" s="417"/>
    </row>
    <row r="145" spans="1:9" ht="16.5" thickBot="1" x14ac:dyDescent="0.3">
      <c r="A145" s="537" t="s">
        <v>287</v>
      </c>
      <c r="B145" s="538"/>
      <c r="C145" s="538"/>
      <c r="D145" s="415">
        <f>D143</f>
        <v>0</v>
      </c>
      <c r="E145" s="418">
        <f>D145/D146</f>
        <v>0</v>
      </c>
    </row>
    <row r="146" spans="1:9" ht="16.5" thickBot="1" x14ac:dyDescent="0.3">
      <c r="A146" s="537" t="s">
        <v>285</v>
      </c>
      <c r="B146" s="538"/>
      <c r="C146" s="538"/>
      <c r="D146" s="415">
        <f>D144+D145</f>
        <v>3.84</v>
      </c>
      <c r="E146" s="418">
        <f>SUM(E104:E143)</f>
        <v>1</v>
      </c>
    </row>
    <row r="149" spans="1:9" x14ac:dyDescent="0.25">
      <c r="G149" s="256" t="s">
        <v>494</v>
      </c>
      <c r="H149" s="256" t="s">
        <v>495</v>
      </c>
      <c r="I149" s="256" t="s">
        <v>496</v>
      </c>
    </row>
    <row r="150" spans="1:9" x14ac:dyDescent="0.25">
      <c r="G150" s="256" t="s">
        <v>497</v>
      </c>
      <c r="H150" s="256">
        <v>4500</v>
      </c>
      <c r="I150" s="256">
        <v>4604</v>
      </c>
    </row>
    <row r="151" spans="1:9" x14ac:dyDescent="0.25">
      <c r="G151" s="256" t="s">
        <v>498</v>
      </c>
      <c r="H151" s="256">
        <v>4060</v>
      </c>
      <c r="I151" s="256">
        <v>4162</v>
      </c>
    </row>
    <row r="152" spans="1:9" x14ac:dyDescent="0.25">
      <c r="G152" s="256" t="s">
        <v>499</v>
      </c>
      <c r="H152" s="256">
        <v>2520</v>
      </c>
      <c r="I152" s="256">
        <v>2578</v>
      </c>
    </row>
    <row r="153" spans="1:9" x14ac:dyDescent="0.25">
      <c r="G153" s="256" t="s">
        <v>500</v>
      </c>
      <c r="H153" s="256">
        <v>80</v>
      </c>
      <c r="I153" s="256">
        <v>100</v>
      </c>
    </row>
    <row r="154" spans="1:9" x14ac:dyDescent="0.25">
      <c r="G154" s="256" t="s">
        <v>501</v>
      </c>
      <c r="H154" s="256">
        <v>65</v>
      </c>
      <c r="I154" s="256">
        <v>155</v>
      </c>
    </row>
    <row r="155" spans="1:9" x14ac:dyDescent="0.25">
      <c r="G155" s="256" t="s">
        <v>502</v>
      </c>
      <c r="H155" s="256">
        <v>61</v>
      </c>
      <c r="I155" s="256">
        <v>40</v>
      </c>
    </row>
    <row r="156" spans="1:9" x14ac:dyDescent="0.25">
      <c r="G156" s="256" t="s">
        <v>503</v>
      </c>
      <c r="H156" s="256">
        <v>120</v>
      </c>
      <c r="I156" s="256">
        <v>526</v>
      </c>
    </row>
    <row r="157" spans="1:9" x14ac:dyDescent="0.25">
      <c r="G157" s="256" t="s">
        <v>504</v>
      </c>
      <c r="H157" s="256">
        <v>120</v>
      </c>
    </row>
    <row r="158" spans="1:9" x14ac:dyDescent="0.25">
      <c r="G158" s="256" t="s">
        <v>505</v>
      </c>
      <c r="H158" s="256">
        <v>4068</v>
      </c>
      <c r="I158" s="256">
        <v>4162</v>
      </c>
    </row>
    <row r="159" spans="1:9" x14ac:dyDescent="0.25">
      <c r="G159" s="256" t="s">
        <v>506</v>
      </c>
      <c r="H159" s="256">
        <v>3420</v>
      </c>
      <c r="I159" s="256">
        <v>3499</v>
      </c>
    </row>
    <row r="160" spans="1:9" x14ac:dyDescent="0.25">
      <c r="G160" s="256" t="s">
        <v>507</v>
      </c>
      <c r="I160" s="256">
        <v>352</v>
      </c>
    </row>
    <row r="161" spans="7:9" x14ac:dyDescent="0.25">
      <c r="G161" s="256" t="s">
        <v>508</v>
      </c>
      <c r="H161" s="256">
        <f>SUM(H150:H160)</f>
        <v>19014</v>
      </c>
      <c r="I161" s="256">
        <f>SUM(I150:I160)</f>
        <v>20178</v>
      </c>
    </row>
    <row r="162" spans="7:9" x14ac:dyDescent="0.25">
      <c r="G162" s="256" t="s">
        <v>509</v>
      </c>
      <c r="H162" s="449">
        <f>H161/L98</f>
        <v>4951.5625</v>
      </c>
      <c r="I162" s="449">
        <f>I161/L98</f>
        <v>5254.6875</v>
      </c>
    </row>
    <row r="163" spans="7:9" x14ac:dyDescent="0.25">
      <c r="G163" s="256" t="s">
        <v>510</v>
      </c>
      <c r="H163" s="449">
        <f>H162*1.12</f>
        <v>5545.7500000000009</v>
      </c>
      <c r="I163" s="449">
        <f>I162*1.12</f>
        <v>5885.2500000000009</v>
      </c>
    </row>
  </sheetData>
  <sheetProtection formatRows="0"/>
  <mergeCells count="318">
    <mergeCell ref="F144:G144"/>
    <mergeCell ref="A47:E47"/>
    <mergeCell ref="H3:H6"/>
    <mergeCell ref="M47:Q47"/>
    <mergeCell ref="A12:E12"/>
    <mergeCell ref="A17:E17"/>
    <mergeCell ref="A22:E22"/>
    <mergeCell ref="A27:E27"/>
    <mergeCell ref="A32:E32"/>
    <mergeCell ref="A37:E37"/>
    <mergeCell ref="A42:E42"/>
    <mergeCell ref="M43:M46"/>
    <mergeCell ref="P43:P46"/>
    <mergeCell ref="Q43:Q46"/>
    <mergeCell ref="D45:D46"/>
    <mergeCell ref="E45:E46"/>
    <mergeCell ref="F45:F46"/>
    <mergeCell ref="A43:A46"/>
    <mergeCell ref="B43:B46"/>
    <mergeCell ref="D43:D44"/>
    <mergeCell ref="E43:E44"/>
    <mergeCell ref="F43:F44"/>
    <mergeCell ref="G43:G46"/>
    <mergeCell ref="P38:P41"/>
    <mergeCell ref="Q38:Q41"/>
    <mergeCell ref="D40:D41"/>
    <mergeCell ref="E40:E41"/>
    <mergeCell ref="F40:F41"/>
    <mergeCell ref="M42:Q42"/>
    <mergeCell ref="A98:G98"/>
    <mergeCell ref="M98:Q98"/>
    <mergeCell ref="A7:E7"/>
    <mergeCell ref="A38:A41"/>
    <mergeCell ref="B38:B41"/>
    <mergeCell ref="D38:D39"/>
    <mergeCell ref="E38:E39"/>
    <mergeCell ref="F38:F39"/>
    <mergeCell ref="G38:G41"/>
    <mergeCell ref="M38:M41"/>
    <mergeCell ref="Q33:Q36"/>
    <mergeCell ref="D35:D36"/>
    <mergeCell ref="E35:E36"/>
    <mergeCell ref="F35:F36"/>
    <mergeCell ref="M37:Q37"/>
    <mergeCell ref="M32:Q32"/>
    <mergeCell ref="A33:A36"/>
    <mergeCell ref="B33:B36"/>
    <mergeCell ref="D33:D34"/>
    <mergeCell ref="E33:E34"/>
    <mergeCell ref="G28:G31"/>
    <mergeCell ref="Q23:Q26"/>
    <mergeCell ref="D25:D26"/>
    <mergeCell ref="E25:E26"/>
    <mergeCell ref="F25:F26"/>
    <mergeCell ref="M27:Q27"/>
    <mergeCell ref="H28:H31"/>
    <mergeCell ref="G33:G36"/>
    <mergeCell ref="M33:M36"/>
    <mergeCell ref="P33:P36"/>
    <mergeCell ref="M28:M31"/>
    <mergeCell ref="P28:P31"/>
    <mergeCell ref="Q28:Q31"/>
    <mergeCell ref="D30:D31"/>
    <mergeCell ref="E30:E31"/>
    <mergeCell ref="F30:F31"/>
    <mergeCell ref="A23:A26"/>
    <mergeCell ref="B23:B26"/>
    <mergeCell ref="D23:D24"/>
    <mergeCell ref="E23:E24"/>
    <mergeCell ref="F23:F24"/>
    <mergeCell ref="G23:G26"/>
    <mergeCell ref="M23:M26"/>
    <mergeCell ref="P23:P26"/>
    <mergeCell ref="H23:H26"/>
    <mergeCell ref="A1:F1"/>
    <mergeCell ref="A3:A6"/>
    <mergeCell ref="G1:L1"/>
    <mergeCell ref="M3:M6"/>
    <mergeCell ref="P3:P6"/>
    <mergeCell ref="Q3:Q6"/>
    <mergeCell ref="M1:R1"/>
    <mergeCell ref="G3:G6"/>
    <mergeCell ref="A8:A11"/>
    <mergeCell ref="B8:B11"/>
    <mergeCell ref="D8:D9"/>
    <mergeCell ref="E8:E9"/>
    <mergeCell ref="F8:F9"/>
    <mergeCell ref="G8:G11"/>
    <mergeCell ref="H8:H11"/>
    <mergeCell ref="M7:Q7"/>
    <mergeCell ref="E3:E4"/>
    <mergeCell ref="D3:D4"/>
    <mergeCell ref="D5:D6"/>
    <mergeCell ref="E5:E6"/>
    <mergeCell ref="F3:F4"/>
    <mergeCell ref="F5:F6"/>
    <mergeCell ref="M8:M11"/>
    <mergeCell ref="P8:P11"/>
    <mergeCell ref="B3:B6"/>
    <mergeCell ref="Q13:Q16"/>
    <mergeCell ref="D15:D16"/>
    <mergeCell ref="E15:E16"/>
    <mergeCell ref="F15:F16"/>
    <mergeCell ref="M12:Q12"/>
    <mergeCell ref="B13:B16"/>
    <mergeCell ref="D13:D14"/>
    <mergeCell ref="E13:E14"/>
    <mergeCell ref="F13:F14"/>
    <mergeCell ref="G13:G16"/>
    <mergeCell ref="M13:M16"/>
    <mergeCell ref="P13:P16"/>
    <mergeCell ref="H13:H16"/>
    <mergeCell ref="A145:C145"/>
    <mergeCell ref="A146:C146"/>
    <mergeCell ref="H38:H41"/>
    <mergeCell ref="H43:H46"/>
    <mergeCell ref="H33:H36"/>
    <mergeCell ref="A144:C144"/>
    <mergeCell ref="A102:E102"/>
    <mergeCell ref="A103:C103"/>
    <mergeCell ref="A13:A16"/>
    <mergeCell ref="A18:A21"/>
    <mergeCell ref="E18:E19"/>
    <mergeCell ref="F18:F19"/>
    <mergeCell ref="G18:G21"/>
    <mergeCell ref="H18:H21"/>
    <mergeCell ref="A28:A31"/>
    <mergeCell ref="D20:D21"/>
    <mergeCell ref="E20:E21"/>
    <mergeCell ref="F20:F21"/>
    <mergeCell ref="F33:F34"/>
    <mergeCell ref="B18:B21"/>
    <mergeCell ref="D18:D19"/>
    <mergeCell ref="B28:B31"/>
    <mergeCell ref="D28:D29"/>
    <mergeCell ref="E28:E29"/>
    <mergeCell ref="P48:P51"/>
    <mergeCell ref="Q48:Q51"/>
    <mergeCell ref="D50:D51"/>
    <mergeCell ref="E50:E51"/>
    <mergeCell ref="F50:F51"/>
    <mergeCell ref="C3:C6"/>
    <mergeCell ref="C43:C46"/>
    <mergeCell ref="C38:C41"/>
    <mergeCell ref="C33:C36"/>
    <mergeCell ref="C28:C31"/>
    <mergeCell ref="C23:C26"/>
    <mergeCell ref="C18:C21"/>
    <mergeCell ref="C13:C16"/>
    <mergeCell ref="C8:C11"/>
    <mergeCell ref="Q8:Q11"/>
    <mergeCell ref="D10:D11"/>
    <mergeCell ref="E10:E11"/>
    <mergeCell ref="F10:F11"/>
    <mergeCell ref="M17:Q17"/>
    <mergeCell ref="M18:M21"/>
    <mergeCell ref="P18:P21"/>
    <mergeCell ref="Q18:Q21"/>
    <mergeCell ref="M22:Q22"/>
    <mergeCell ref="F28:F29"/>
    <mergeCell ref="A48:A51"/>
    <mergeCell ref="B48:B51"/>
    <mergeCell ref="C48:C51"/>
    <mergeCell ref="D48:D49"/>
    <mergeCell ref="E48:E49"/>
    <mergeCell ref="F48:F49"/>
    <mergeCell ref="G48:G51"/>
    <mergeCell ref="H48:H51"/>
    <mergeCell ref="M48:M51"/>
    <mergeCell ref="A52:E52"/>
    <mergeCell ref="M52:Q52"/>
    <mergeCell ref="A53:A56"/>
    <mergeCell ref="B53:B56"/>
    <mergeCell ref="C53:C56"/>
    <mergeCell ref="D53:D54"/>
    <mergeCell ref="E53:E54"/>
    <mergeCell ref="F53:F54"/>
    <mergeCell ref="G53:G56"/>
    <mergeCell ref="H53:H56"/>
    <mergeCell ref="M53:M56"/>
    <mergeCell ref="P53:P56"/>
    <mergeCell ref="Q53:Q56"/>
    <mergeCell ref="D55:D56"/>
    <mergeCell ref="E55:E56"/>
    <mergeCell ref="F55:F56"/>
    <mergeCell ref="A57:E57"/>
    <mergeCell ref="M57:Q57"/>
    <mergeCell ref="A58:A61"/>
    <mergeCell ref="B58:B61"/>
    <mergeCell ref="C58:C61"/>
    <mergeCell ref="D58:D59"/>
    <mergeCell ref="E58:E59"/>
    <mergeCell ref="F58:F59"/>
    <mergeCell ref="G58:G61"/>
    <mergeCell ref="H58:H61"/>
    <mergeCell ref="M58:M61"/>
    <mergeCell ref="P58:P61"/>
    <mergeCell ref="Q58:Q61"/>
    <mergeCell ref="D60:D61"/>
    <mergeCell ref="E60:E61"/>
    <mergeCell ref="F60:F61"/>
    <mergeCell ref="A62:E62"/>
    <mergeCell ref="M62:Q62"/>
    <mergeCell ref="A63:A66"/>
    <mergeCell ref="B63:B66"/>
    <mergeCell ref="C63:C66"/>
    <mergeCell ref="D63:D64"/>
    <mergeCell ref="E63:E64"/>
    <mergeCell ref="F63:F64"/>
    <mergeCell ref="G63:G66"/>
    <mergeCell ref="H63:H66"/>
    <mergeCell ref="M63:M66"/>
    <mergeCell ref="P63:P66"/>
    <mergeCell ref="Q63:Q66"/>
    <mergeCell ref="D65:D66"/>
    <mergeCell ref="E65:E66"/>
    <mergeCell ref="F65:F66"/>
    <mergeCell ref="A67:E67"/>
    <mergeCell ref="M67:Q67"/>
    <mergeCell ref="A68:A71"/>
    <mergeCell ref="B68:B71"/>
    <mergeCell ref="C68:C71"/>
    <mergeCell ref="D68:D69"/>
    <mergeCell ref="E68:E69"/>
    <mergeCell ref="F68:F69"/>
    <mergeCell ref="G68:G71"/>
    <mergeCell ref="H68:H71"/>
    <mergeCell ref="M68:M71"/>
    <mergeCell ref="P68:P71"/>
    <mergeCell ref="Q68:Q71"/>
    <mergeCell ref="D70:D71"/>
    <mergeCell ref="E70:E71"/>
    <mergeCell ref="F70:F71"/>
    <mergeCell ref="A72:E72"/>
    <mergeCell ref="M72:Q72"/>
    <mergeCell ref="A73:A76"/>
    <mergeCell ref="B73:B76"/>
    <mergeCell ref="C73:C76"/>
    <mergeCell ref="D73:D74"/>
    <mergeCell ref="E73:E74"/>
    <mergeCell ref="F73:F74"/>
    <mergeCell ref="G73:G76"/>
    <mergeCell ref="H73:H76"/>
    <mergeCell ref="M73:M76"/>
    <mergeCell ref="P73:P76"/>
    <mergeCell ref="Q73:Q76"/>
    <mergeCell ref="D75:D76"/>
    <mergeCell ref="E75:E76"/>
    <mergeCell ref="F75:F76"/>
    <mergeCell ref="P83:P86"/>
    <mergeCell ref="Q83:Q86"/>
    <mergeCell ref="D85:D86"/>
    <mergeCell ref="E85:E86"/>
    <mergeCell ref="F85:F86"/>
    <mergeCell ref="A77:E77"/>
    <mergeCell ref="M77:Q77"/>
    <mergeCell ref="A78:A81"/>
    <mergeCell ref="B78:B81"/>
    <mergeCell ref="C78:C81"/>
    <mergeCell ref="D78:D79"/>
    <mergeCell ref="E78:E79"/>
    <mergeCell ref="F78:F79"/>
    <mergeCell ref="G78:G81"/>
    <mergeCell ref="H78:H81"/>
    <mergeCell ref="M78:M81"/>
    <mergeCell ref="P78:P81"/>
    <mergeCell ref="Q78:Q81"/>
    <mergeCell ref="D80:D81"/>
    <mergeCell ref="E80:E81"/>
    <mergeCell ref="F80:F81"/>
    <mergeCell ref="A97:E97"/>
    <mergeCell ref="M97:Q97"/>
    <mergeCell ref="H88:H91"/>
    <mergeCell ref="M88:M91"/>
    <mergeCell ref="S1:AA1"/>
    <mergeCell ref="S3:AA7"/>
    <mergeCell ref="A92:E92"/>
    <mergeCell ref="M92:Q92"/>
    <mergeCell ref="A93:A96"/>
    <mergeCell ref="B93:B96"/>
    <mergeCell ref="C93:C96"/>
    <mergeCell ref="D93:D94"/>
    <mergeCell ref="E93:E94"/>
    <mergeCell ref="F93:F94"/>
    <mergeCell ref="G93:G96"/>
    <mergeCell ref="H93:H96"/>
    <mergeCell ref="M93:M96"/>
    <mergeCell ref="P93:P96"/>
    <mergeCell ref="Q93:Q96"/>
    <mergeCell ref="D95:D96"/>
    <mergeCell ref="E95:E96"/>
    <mergeCell ref="A88:A91"/>
    <mergeCell ref="B88:B91"/>
    <mergeCell ref="C88:C91"/>
    <mergeCell ref="AB1:AC1"/>
    <mergeCell ref="F95:F96"/>
    <mergeCell ref="A87:E87"/>
    <mergeCell ref="M87:Q87"/>
    <mergeCell ref="P88:P91"/>
    <mergeCell ref="Q88:Q91"/>
    <mergeCell ref="D90:D91"/>
    <mergeCell ref="E90:E91"/>
    <mergeCell ref="F90:F91"/>
    <mergeCell ref="D88:D89"/>
    <mergeCell ref="E88:E89"/>
    <mergeCell ref="F88:F89"/>
    <mergeCell ref="G88:G91"/>
    <mergeCell ref="A82:E82"/>
    <mergeCell ref="M82:Q82"/>
    <mergeCell ref="A83:A86"/>
    <mergeCell ref="B83:B86"/>
    <mergeCell ref="C83:C86"/>
    <mergeCell ref="D83:D84"/>
    <mergeCell ref="E83:E84"/>
    <mergeCell ref="F83:F84"/>
    <mergeCell ref="G83:G86"/>
    <mergeCell ref="H83:H86"/>
    <mergeCell ref="M83:M86"/>
  </mergeCells>
  <phoneticPr fontId="7" type="noConversion"/>
  <dataValidations count="2">
    <dataValidation type="list" allowBlank="1" showInputMessage="1" showErrorMessage="1" sqref="H3:H6 H93:H96 H13:H16 H18:H21 H28:H31 H38:H41 H23:H26 H33:H36 H43:H46 H48:H51 H58:H61 H53:H56 H63:H66 H68:H71 H73:H76 H78:H81 H88:H91 H83:H86 H8:H11" xr:uid="{8A6B5C99-EFD8-483B-8ADA-EA4B25F0ABEF}">
      <formula1>sol</formula1>
    </dataValidation>
    <dataValidation type="list" allowBlank="1" showInputMessage="1" showErrorMessage="1" sqref="Q126:Q135 A104:A142" xr:uid="{45BF30D5-F3DA-4CB9-974F-AFB201B79174}">
      <formula1>essences_projets</formula1>
    </dataValidation>
  </dataValidations>
  <pageMargins left="0.25" right="0.25" top="0.75" bottom="0.75" header="0.3" footer="0.3"/>
  <pageSetup paperSize="9" scale="6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FFDB9A92-FB37-4FB3-8003-7B8B35D2A9D5}">
          <x14:formula1>
            <xm:f>'listes déroulantes'!$I$2:$I$6</xm:f>
          </x14:formula1>
          <xm:sqref>G3:G6 G33:G36 G23:G26 G38:G41 G28:G31 G18:G21 G13:G16 G93:G96 G43:G46 G48:G51 G58:G61 G53:G56 G63:G66 G68:G71 G73:G76 G78:G81 G88:G91 G83:G86</xm:sqref>
        </x14:dataValidation>
        <x14:dataValidation type="list" allowBlank="1" showInputMessage="1" showErrorMessage="1" xr:uid="{E5893E0F-27D3-4B29-9150-2E9B10295976}">
          <x14:formula1>
            <xm:f>'listes déroulantes'!$D$2:$D$61</xm:f>
          </x14:formula1>
          <xm:sqref>I93:I96 I30:I31 I88:I91 I83:I86 I78:I81 I73:I76 I68:I71 I63:I66 I58:I61 I53:I56 I48:I51 I43:I46 I38:I41 I33:I36 I13:I16 I23:I26 I18:I21 I28</xm:sqref>
        </x14:dataValidation>
        <x14:dataValidation type="list" allowBlank="1" showInputMessage="1" showErrorMessage="1" xr:uid="{5E0B8A23-10BC-436F-88F5-E0F7C139AFDF}">
          <x14:formula1>
            <xm:f>'listes déroulantes'!$D$2:$D$32</xm:f>
          </x14:formula1>
          <xm:sqref>I29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CEB41-3BF3-4DA6-9C59-D700608A6144}">
  <sheetPr>
    <tabColor rgb="FFFFC000"/>
  </sheetPr>
  <dimension ref="A1:Z243"/>
  <sheetViews>
    <sheetView topLeftCell="E1" workbookViewId="0">
      <selection activeCell="W1" sqref="W1:W16"/>
    </sheetView>
  </sheetViews>
  <sheetFormatPr baseColWidth="10" defaultRowHeight="15" x14ac:dyDescent="0.25"/>
  <cols>
    <col min="1" max="1" width="6.85546875" bestFit="1" customWidth="1"/>
    <col min="2" max="2" width="9.5703125" bestFit="1" customWidth="1"/>
    <col min="3" max="3" width="10.28515625" customWidth="1"/>
    <col min="4" max="4" width="10.5703125" bestFit="1" customWidth="1"/>
    <col min="5" max="5" width="9.42578125" bestFit="1" customWidth="1"/>
    <col min="6" max="6" width="6.85546875" bestFit="1" customWidth="1"/>
    <col min="7" max="7" width="9.5703125" bestFit="1" customWidth="1"/>
    <col min="8" max="9" width="9.42578125" bestFit="1" customWidth="1"/>
    <col min="10" max="10" width="12.140625" customWidth="1"/>
    <col min="11" max="11" width="6.85546875" bestFit="1" customWidth="1"/>
    <col min="12" max="12" width="9" bestFit="1" customWidth="1"/>
    <col min="13" max="13" width="9.42578125" bestFit="1" customWidth="1"/>
    <col min="14" max="14" width="11.85546875" bestFit="1" customWidth="1"/>
    <col min="15" max="15" width="9.140625" bestFit="1" customWidth="1"/>
    <col min="16" max="16" width="9.42578125" bestFit="1" customWidth="1"/>
    <col min="17" max="17" width="9.7109375" bestFit="1" customWidth="1"/>
    <col min="18" max="18" width="11" bestFit="1" customWidth="1"/>
    <col min="19" max="19" width="13.7109375" customWidth="1"/>
    <col min="22" max="22" width="32.7109375" bestFit="1" customWidth="1"/>
    <col min="23" max="23" width="10.5703125" bestFit="1" customWidth="1"/>
    <col min="24" max="24" width="26.140625" bestFit="1" customWidth="1"/>
    <col min="25" max="25" width="12.28515625" bestFit="1" customWidth="1"/>
    <col min="26" max="26" width="37.140625" customWidth="1"/>
  </cols>
  <sheetData>
    <row r="1" spans="1:26" ht="60" x14ac:dyDescent="0.25">
      <c r="A1" s="172" t="s">
        <v>225</v>
      </c>
      <c r="B1" s="172" t="s">
        <v>323</v>
      </c>
      <c r="C1" s="173" t="s">
        <v>324</v>
      </c>
      <c r="D1" s="173" t="s">
        <v>325</v>
      </c>
      <c r="E1" s="173" t="s">
        <v>326</v>
      </c>
      <c r="F1" s="174" t="s">
        <v>225</v>
      </c>
      <c r="G1" s="175" t="s">
        <v>327</v>
      </c>
      <c r="H1" s="176" t="s">
        <v>324</v>
      </c>
      <c r="I1" s="176" t="s">
        <v>325</v>
      </c>
      <c r="J1" s="176" t="s">
        <v>415</v>
      </c>
      <c r="K1" s="177" t="s">
        <v>225</v>
      </c>
      <c r="L1" s="178" t="s">
        <v>329</v>
      </c>
      <c r="M1" s="179" t="s">
        <v>330</v>
      </c>
      <c r="N1" s="179" t="s">
        <v>331</v>
      </c>
      <c r="O1" s="178" t="s">
        <v>332</v>
      </c>
      <c r="P1" s="178" t="s">
        <v>333</v>
      </c>
      <c r="Q1" s="178" t="s">
        <v>334</v>
      </c>
      <c r="R1" s="178" t="s">
        <v>335</v>
      </c>
      <c r="S1" s="178" t="s">
        <v>336</v>
      </c>
      <c r="V1" s="176" t="s">
        <v>416</v>
      </c>
      <c r="W1" s="175">
        <v>0.56000000000000005</v>
      </c>
      <c r="X1" s="173" t="s">
        <v>338</v>
      </c>
      <c r="Y1" s="180">
        <v>0.56999999999999995</v>
      </c>
      <c r="Z1" s="593" t="s">
        <v>417</v>
      </c>
    </row>
    <row r="2" spans="1:26" x14ac:dyDescent="0.25">
      <c r="A2" s="181">
        <v>0</v>
      </c>
      <c r="B2" s="181">
        <v>0</v>
      </c>
      <c r="C2" s="181">
        <f>B2*$Y$1*1.56</f>
        <v>0</v>
      </c>
      <c r="D2" s="181">
        <v>0</v>
      </c>
      <c r="E2" s="182">
        <f>(C2+D2)*0.475*44/12</f>
        <v>0</v>
      </c>
      <c r="F2" s="183">
        <v>0</v>
      </c>
      <c r="G2" s="184">
        <v>0</v>
      </c>
      <c r="H2" s="185">
        <f>G2*$W$1</f>
        <v>0</v>
      </c>
      <c r="I2" s="184">
        <v>0</v>
      </c>
      <c r="J2" s="184">
        <v>0</v>
      </c>
      <c r="K2" s="186">
        <v>0</v>
      </c>
      <c r="L2" s="187"/>
      <c r="M2" s="187"/>
      <c r="N2" s="187"/>
      <c r="O2" s="187"/>
      <c r="P2" s="187">
        <v>0</v>
      </c>
      <c r="Q2" s="187">
        <v>0</v>
      </c>
      <c r="R2" s="187">
        <v>0</v>
      </c>
      <c r="S2" s="187">
        <f>SUM(P2:R2)</f>
        <v>0</v>
      </c>
      <c r="U2" s="188" t="s">
        <v>418</v>
      </c>
      <c r="V2" s="188" t="s">
        <v>341</v>
      </c>
      <c r="W2" s="189">
        <f>AVERAGE(J2:J77)</f>
        <v>207.30907767768286</v>
      </c>
      <c r="X2" s="188"/>
      <c r="Y2" s="188"/>
      <c r="Z2" s="593"/>
    </row>
    <row r="3" spans="1:26" x14ac:dyDescent="0.25">
      <c r="A3" s="181">
        <v>1</v>
      </c>
      <c r="B3" s="181">
        <f>B2+1</f>
        <v>1</v>
      </c>
      <c r="C3" s="182">
        <f t="shared" ref="C3:C66" si="0">B3*$Y$1*1.56</f>
        <v>0.88919999999999999</v>
      </c>
      <c r="D3" s="182">
        <f>EXP(-1.0587+0.8836*LN(C3)+0.284)</f>
        <v>0.41542055579923082</v>
      </c>
      <c r="E3" s="182">
        <f t="shared" ref="E3:E66" si="1">(C3+D3)*0.475*44/12</f>
        <v>2.2722141346836602</v>
      </c>
      <c r="F3" s="183">
        <f>F2+1</f>
        <v>1</v>
      </c>
      <c r="G3" s="185">
        <f>G2+1</f>
        <v>1</v>
      </c>
      <c r="H3" s="185">
        <f t="shared" ref="H3:H66" si="2">G3*$W$1</f>
        <v>0.56000000000000005</v>
      </c>
      <c r="I3" s="185">
        <f t="shared" ref="I3:I66" si="3">EXP(-1.0587+0.8836*LN(H3)+0.284)</f>
        <v>0.27609020901615672</v>
      </c>
      <c r="J3" s="185">
        <f t="shared" ref="J3:J66" si="4">(H3+I3)*0.475*44/12</f>
        <v>1.4561904473698064</v>
      </c>
      <c r="K3" s="186">
        <f>K2+1</f>
        <v>1</v>
      </c>
      <c r="L3" s="187"/>
      <c r="M3" s="187"/>
      <c r="N3" s="187"/>
      <c r="O3" s="187"/>
      <c r="P3" s="190">
        <f>EXP(-LN(2)/35)*P2+(1-EXP(-LN(2)/35))/(LN(2)/35)*M3*L3*$W$1*0.475*44/12</f>
        <v>0</v>
      </c>
      <c r="Q3" s="190">
        <f>EXP(-LN(2)/25)*Q2+(1-EXP(-LN(2)/25))/(LN(2)/25)*N3*L3*$W$1*0.475*44/12</f>
        <v>0</v>
      </c>
      <c r="R3" s="190">
        <f>EXP(-LN(2)/2)*R2+(1-EXP(-LN(2)/2))/(LN(2)/2)*O3*L3*$W$1*0.475*44/12</f>
        <v>0</v>
      </c>
      <c r="S3" s="190">
        <f>SUM(P3:R3)</f>
        <v>0</v>
      </c>
      <c r="U3" s="188" t="s">
        <v>342</v>
      </c>
      <c r="V3" s="188" t="s">
        <v>341</v>
      </c>
      <c r="W3" s="189">
        <f>AVERAGE(E2:E72)</f>
        <v>70.588180818660447</v>
      </c>
      <c r="X3" s="188"/>
      <c r="Y3" s="188"/>
      <c r="Z3" s="593"/>
    </row>
    <row r="4" spans="1:26" x14ac:dyDescent="0.25">
      <c r="A4" s="181">
        <v>2</v>
      </c>
      <c r="B4" s="181">
        <f t="shared" ref="B4:B67" si="5">B3+1</f>
        <v>2</v>
      </c>
      <c r="C4" s="182">
        <f t="shared" si="0"/>
        <v>1.7784</v>
      </c>
      <c r="D4" s="182">
        <f t="shared" ref="D4:D67" si="6">EXP(-1.0587+0.8836*LN(C4)+0.284)</f>
        <v>0.76643986660078545</v>
      </c>
      <c r="E4" s="182">
        <f t="shared" si="1"/>
        <v>4.4322627676630342</v>
      </c>
      <c r="F4" s="183">
        <f t="shared" ref="F4:G19" si="7">F3+1</f>
        <v>2</v>
      </c>
      <c r="G4" s="185">
        <f t="shared" si="7"/>
        <v>2</v>
      </c>
      <c r="H4" s="185">
        <f t="shared" si="2"/>
        <v>1.1200000000000001</v>
      </c>
      <c r="I4" s="185">
        <f t="shared" si="3"/>
        <v>0.50937908587844116</v>
      </c>
      <c r="J4" s="185">
        <f t="shared" si="4"/>
        <v>2.837835241238285</v>
      </c>
      <c r="K4" s="186">
        <f t="shared" ref="K4:K67" si="8">K3+1</f>
        <v>2</v>
      </c>
      <c r="L4" s="187"/>
      <c r="M4" s="187"/>
      <c r="N4" s="187"/>
      <c r="O4" s="187"/>
      <c r="P4" s="190">
        <f t="shared" ref="P4:P49" si="9">EXP(-LN(2)/35)*P3+(1-EXP(-LN(2)/35))/(LN(2)/35)*M4*L4*$W$1*0.475*44/12</f>
        <v>0</v>
      </c>
      <c r="Q4" s="190">
        <f t="shared" ref="Q4:Q49" si="10">EXP(-LN(2)/25)*Q3+(1-EXP(-LN(2)/25))/(LN(2)/25)*N4*L4*$W$1*0.475*44/12</f>
        <v>0</v>
      </c>
      <c r="R4" s="190">
        <f t="shared" ref="R4:R49" si="11">EXP(-LN(2)/2)*R3+(1-EXP(-LN(2)/2))/(LN(2)/2)*O4*L4*$W$1*0.475*44/12</f>
        <v>0</v>
      </c>
      <c r="S4" s="190">
        <f>SUM(P4:R4)</f>
        <v>0</v>
      </c>
      <c r="U4" s="188"/>
      <c r="V4" s="18" t="s">
        <v>343</v>
      </c>
      <c r="W4" s="189">
        <f>W2-W3</f>
        <v>136.72089685902242</v>
      </c>
      <c r="X4" s="188"/>
      <c r="Y4" s="188"/>
      <c r="Z4" s="593"/>
    </row>
    <row r="5" spans="1:26" x14ac:dyDescent="0.25">
      <c r="A5" s="181">
        <v>3</v>
      </c>
      <c r="B5" s="181">
        <f t="shared" si="5"/>
        <v>3</v>
      </c>
      <c r="C5" s="182">
        <f t="shared" si="0"/>
        <v>2.6676000000000002</v>
      </c>
      <c r="D5" s="182">
        <f t="shared" si="6"/>
        <v>1.0966608080083624</v>
      </c>
      <c r="E5" s="182">
        <f t="shared" si="1"/>
        <v>6.5560875739478979</v>
      </c>
      <c r="F5" s="183">
        <f t="shared" si="7"/>
        <v>3</v>
      </c>
      <c r="G5" s="185">
        <f t="shared" si="7"/>
        <v>3</v>
      </c>
      <c r="H5" s="185">
        <f t="shared" si="2"/>
        <v>1.6800000000000002</v>
      </c>
      <c r="I5" s="185">
        <f t="shared" si="3"/>
        <v>0.72884528094749779</v>
      </c>
      <c r="J5" s="185">
        <f t="shared" si="4"/>
        <v>4.1954055309835594</v>
      </c>
      <c r="K5" s="186">
        <f t="shared" si="8"/>
        <v>3</v>
      </c>
      <c r="L5" s="187"/>
      <c r="M5" s="187"/>
      <c r="N5" s="187"/>
      <c r="O5" s="187"/>
      <c r="P5" s="190">
        <f t="shared" si="9"/>
        <v>0</v>
      </c>
      <c r="Q5" s="190">
        <f t="shared" si="10"/>
        <v>0</v>
      </c>
      <c r="R5" s="190">
        <f t="shared" si="11"/>
        <v>0</v>
      </c>
      <c r="S5" s="190">
        <f t="shared" ref="S5:S49" si="12">SUM(P5:R5)</f>
        <v>0</v>
      </c>
      <c r="U5" s="188"/>
      <c r="V5" s="188" t="s">
        <v>344</v>
      </c>
      <c r="W5" s="189">
        <f>J33-E32</f>
        <v>219.58140251309931</v>
      </c>
      <c r="X5" s="188"/>
      <c r="Y5" s="188"/>
      <c r="Z5" s="593"/>
    </row>
    <row r="6" spans="1:26" x14ac:dyDescent="0.25">
      <c r="A6" s="181">
        <v>4</v>
      </c>
      <c r="B6" s="181">
        <f t="shared" si="5"/>
        <v>4</v>
      </c>
      <c r="C6" s="182">
        <f t="shared" si="0"/>
        <v>3.5568</v>
      </c>
      <c r="D6" s="182">
        <f t="shared" si="6"/>
        <v>1.4140611505968179</v>
      </c>
      <c r="E6" s="182">
        <f t="shared" si="1"/>
        <v>8.6575831706227913</v>
      </c>
      <c r="F6" s="183">
        <f t="shared" si="7"/>
        <v>4</v>
      </c>
      <c r="G6" s="191">
        <v>4</v>
      </c>
      <c r="H6" s="185">
        <f t="shared" si="2"/>
        <v>2.2400000000000002</v>
      </c>
      <c r="I6" s="185">
        <f t="shared" si="3"/>
        <v>0.93979085334088186</v>
      </c>
      <c r="J6" s="185">
        <f t="shared" si="4"/>
        <v>5.5381357362353691</v>
      </c>
      <c r="K6" s="186">
        <f t="shared" si="8"/>
        <v>4</v>
      </c>
      <c r="L6" s="187"/>
      <c r="M6" s="187"/>
      <c r="N6" s="187"/>
      <c r="O6" s="187"/>
      <c r="P6" s="190">
        <f t="shared" si="9"/>
        <v>0</v>
      </c>
      <c r="Q6" s="190">
        <f t="shared" si="10"/>
        <v>0</v>
      </c>
      <c r="R6" s="190">
        <f t="shared" si="11"/>
        <v>0</v>
      </c>
      <c r="S6" s="190">
        <f t="shared" si="12"/>
        <v>0</v>
      </c>
      <c r="U6" s="188"/>
      <c r="V6" s="188" t="s">
        <v>345</v>
      </c>
      <c r="W6" s="189">
        <f>W4</f>
        <v>136.72089685902242</v>
      </c>
      <c r="X6" s="188"/>
      <c r="Y6" s="188"/>
      <c r="Z6" s="593"/>
    </row>
    <row r="7" spans="1:26" x14ac:dyDescent="0.25">
      <c r="A7" s="181">
        <v>5</v>
      </c>
      <c r="B7" s="181">
        <f t="shared" si="5"/>
        <v>5</v>
      </c>
      <c r="C7" s="182">
        <f t="shared" si="0"/>
        <v>4.4459999999999997</v>
      </c>
      <c r="D7" s="182">
        <f t="shared" si="6"/>
        <v>1.7222566815192897</v>
      </c>
      <c r="E7" s="182">
        <f t="shared" si="1"/>
        <v>10.743047053646096</v>
      </c>
      <c r="F7" s="183">
        <f t="shared" si="7"/>
        <v>5</v>
      </c>
      <c r="G7" s="191">
        <f t="shared" ref="G7:G16" si="13">G6+G6-G5+1</f>
        <v>6</v>
      </c>
      <c r="H7" s="185">
        <f t="shared" si="2"/>
        <v>3.3600000000000003</v>
      </c>
      <c r="I7" s="185">
        <f t="shared" si="3"/>
        <v>1.3447001408663724</v>
      </c>
      <c r="J7" s="185">
        <f t="shared" si="4"/>
        <v>8.1940194120089327</v>
      </c>
      <c r="K7" s="186">
        <f t="shared" si="8"/>
        <v>5</v>
      </c>
      <c r="L7" s="187"/>
      <c r="M7" s="187"/>
      <c r="N7" s="187"/>
      <c r="O7" s="187"/>
      <c r="P7" s="190">
        <f t="shared" si="9"/>
        <v>0</v>
      </c>
      <c r="Q7" s="190">
        <f t="shared" si="10"/>
        <v>0</v>
      </c>
      <c r="R7" s="190">
        <f t="shared" si="11"/>
        <v>0</v>
      </c>
      <c r="S7" s="190">
        <f t="shared" si="12"/>
        <v>0</v>
      </c>
      <c r="U7" s="188"/>
      <c r="V7" s="188" t="s">
        <v>346</v>
      </c>
      <c r="W7" s="192">
        <v>0</v>
      </c>
      <c r="Z7" s="593"/>
    </row>
    <row r="8" spans="1:26" x14ac:dyDescent="0.25">
      <c r="A8" s="181">
        <v>6</v>
      </c>
      <c r="B8" s="181">
        <f t="shared" si="5"/>
        <v>6</v>
      </c>
      <c r="C8" s="182">
        <f t="shared" si="0"/>
        <v>5.3352000000000004</v>
      </c>
      <c r="D8" s="182">
        <f t="shared" si="6"/>
        <v>2.0233099967312582</v>
      </c>
      <c r="E8" s="182">
        <f t="shared" si="1"/>
        <v>12.816071577640278</v>
      </c>
      <c r="F8" s="183">
        <f t="shared" si="7"/>
        <v>6</v>
      </c>
      <c r="G8" s="191">
        <f t="shared" si="13"/>
        <v>9</v>
      </c>
      <c r="H8" s="185">
        <f t="shared" si="2"/>
        <v>5.0400000000000009</v>
      </c>
      <c r="I8" s="185">
        <f t="shared" si="3"/>
        <v>1.9240647665573343</v>
      </c>
      <c r="J8" s="185">
        <f t="shared" si="4"/>
        <v>12.129079468420692</v>
      </c>
      <c r="K8" s="186">
        <f t="shared" si="8"/>
        <v>6</v>
      </c>
      <c r="L8" s="187"/>
      <c r="M8" s="187"/>
      <c r="N8" s="187"/>
      <c r="O8" s="187"/>
      <c r="P8" s="190">
        <f t="shared" si="9"/>
        <v>0</v>
      </c>
      <c r="Q8" s="190">
        <f t="shared" si="10"/>
        <v>0</v>
      </c>
      <c r="R8" s="190">
        <f t="shared" si="11"/>
        <v>0</v>
      </c>
      <c r="S8" s="190">
        <f t="shared" si="12"/>
        <v>0</v>
      </c>
      <c r="U8" s="188"/>
      <c r="V8" s="188" t="s">
        <v>347</v>
      </c>
      <c r="W8" s="192">
        <v>0</v>
      </c>
      <c r="Z8" s="593"/>
    </row>
    <row r="9" spans="1:26" x14ac:dyDescent="0.25">
      <c r="A9" s="181">
        <v>7</v>
      </c>
      <c r="B9" s="181">
        <f t="shared" si="5"/>
        <v>7</v>
      </c>
      <c r="C9" s="182">
        <f t="shared" si="0"/>
        <v>6.2244000000000002</v>
      </c>
      <c r="D9" s="182">
        <f t="shared" si="6"/>
        <v>2.318550772093785</v>
      </c>
      <c r="E9" s="182">
        <f t="shared" si="1"/>
        <v>14.87897259473001</v>
      </c>
      <c r="F9" s="183">
        <f t="shared" si="7"/>
        <v>7</v>
      </c>
      <c r="G9" s="191">
        <f t="shared" si="13"/>
        <v>13</v>
      </c>
      <c r="H9" s="185">
        <f t="shared" si="2"/>
        <v>7.2800000000000011</v>
      </c>
      <c r="I9" s="185">
        <f t="shared" si="3"/>
        <v>2.6627558753813361</v>
      </c>
      <c r="J9" s="185">
        <f t="shared" si="4"/>
        <v>17.316966482955831</v>
      </c>
      <c r="K9" s="186">
        <f t="shared" si="8"/>
        <v>7</v>
      </c>
      <c r="L9" s="187"/>
      <c r="M9" s="187"/>
      <c r="N9" s="187"/>
      <c r="O9" s="187"/>
      <c r="P9" s="190">
        <f t="shared" si="9"/>
        <v>0</v>
      </c>
      <c r="Q9" s="190">
        <f t="shared" si="10"/>
        <v>0</v>
      </c>
      <c r="R9" s="190">
        <f t="shared" si="11"/>
        <v>0</v>
      </c>
      <c r="S9" s="190">
        <f t="shared" si="12"/>
        <v>0</v>
      </c>
      <c r="U9" s="188"/>
      <c r="V9" s="188" t="s">
        <v>348</v>
      </c>
      <c r="W9" s="192">
        <v>0</v>
      </c>
      <c r="X9" s="188"/>
      <c r="Y9" s="188"/>
      <c r="Z9" s="593"/>
    </row>
    <row r="10" spans="1:26" x14ac:dyDescent="0.25">
      <c r="A10" s="181">
        <v>8</v>
      </c>
      <c r="B10" s="181">
        <f t="shared" si="5"/>
        <v>8</v>
      </c>
      <c r="C10" s="182">
        <f t="shared" si="0"/>
        <v>7.1135999999999999</v>
      </c>
      <c r="D10" s="182">
        <f t="shared" si="6"/>
        <v>2.6089051793396725</v>
      </c>
      <c r="E10" s="182">
        <f t="shared" si="1"/>
        <v>16.933363187349929</v>
      </c>
      <c r="F10" s="183">
        <f t="shared" si="7"/>
        <v>8</v>
      </c>
      <c r="G10" s="191">
        <f t="shared" si="13"/>
        <v>18</v>
      </c>
      <c r="H10" s="185">
        <f t="shared" si="2"/>
        <v>10.080000000000002</v>
      </c>
      <c r="I10" s="185">
        <f t="shared" si="3"/>
        <v>3.549848274056461</v>
      </c>
      <c r="J10" s="185">
        <f t="shared" si="4"/>
        <v>23.738652410648342</v>
      </c>
      <c r="K10" s="186">
        <f t="shared" si="8"/>
        <v>8</v>
      </c>
      <c r="L10" s="187"/>
      <c r="M10" s="187"/>
      <c r="N10" s="187"/>
      <c r="O10" s="187"/>
      <c r="P10" s="190">
        <f t="shared" si="9"/>
        <v>0</v>
      </c>
      <c r="Q10" s="190">
        <f t="shared" si="10"/>
        <v>0</v>
      </c>
      <c r="R10" s="190">
        <f t="shared" si="11"/>
        <v>0</v>
      </c>
      <c r="S10" s="190">
        <f t="shared" si="12"/>
        <v>0</v>
      </c>
      <c r="U10" s="188"/>
      <c r="V10" s="193" t="s">
        <v>349</v>
      </c>
      <c r="W10" s="194">
        <f>SUM(W6:W9)</f>
        <v>136.72089685902242</v>
      </c>
      <c r="X10" s="188"/>
      <c r="Y10" s="188"/>
      <c r="Z10" s="593"/>
    </row>
    <row r="11" spans="1:26" x14ac:dyDescent="0.25">
      <c r="A11" s="181">
        <v>9</v>
      </c>
      <c r="B11" s="181">
        <f t="shared" si="5"/>
        <v>9</v>
      </c>
      <c r="C11" s="182">
        <f t="shared" si="0"/>
        <v>8.0028000000000006</v>
      </c>
      <c r="D11" s="182">
        <f t="shared" si="6"/>
        <v>2.8950539664743791</v>
      </c>
      <c r="E11" s="182">
        <f t="shared" si="1"/>
        <v>18.980428991609543</v>
      </c>
      <c r="F11" s="183">
        <f t="shared" si="7"/>
        <v>9</v>
      </c>
      <c r="G11" s="191">
        <f t="shared" si="13"/>
        <v>24</v>
      </c>
      <c r="H11" s="185">
        <f t="shared" si="2"/>
        <v>13.440000000000001</v>
      </c>
      <c r="I11" s="185">
        <f t="shared" si="3"/>
        <v>4.5772608068055716</v>
      </c>
      <c r="J11" s="185">
        <f t="shared" si="4"/>
        <v>31.380062571853042</v>
      </c>
      <c r="K11" s="186">
        <f t="shared" si="8"/>
        <v>9</v>
      </c>
      <c r="L11" s="187"/>
      <c r="M11" s="187"/>
      <c r="N11" s="187"/>
      <c r="O11" s="187"/>
      <c r="P11" s="190">
        <f t="shared" si="9"/>
        <v>0</v>
      </c>
      <c r="Q11" s="190">
        <f t="shared" si="10"/>
        <v>0</v>
      </c>
      <c r="R11" s="190">
        <f t="shared" si="11"/>
        <v>0</v>
      </c>
      <c r="S11" s="190">
        <f t="shared" si="12"/>
        <v>0</v>
      </c>
      <c r="U11" s="188"/>
      <c r="V11" s="188" t="s">
        <v>350</v>
      </c>
      <c r="W11" s="189">
        <f>SUM(L3:L32)/1.56</f>
        <v>97.435897435897431</v>
      </c>
      <c r="X11" s="188"/>
      <c r="Y11" s="188"/>
      <c r="Z11" s="593"/>
    </row>
    <row r="12" spans="1:26" x14ac:dyDescent="0.25">
      <c r="A12" s="181">
        <v>10</v>
      </c>
      <c r="B12" s="181">
        <f t="shared" si="5"/>
        <v>10</v>
      </c>
      <c r="C12" s="182">
        <f t="shared" si="0"/>
        <v>8.8919999999999995</v>
      </c>
      <c r="D12" s="182">
        <f t="shared" si="6"/>
        <v>3.177517729464268</v>
      </c>
      <c r="E12" s="182">
        <f t="shared" si="1"/>
        <v>21.021076712150265</v>
      </c>
      <c r="F12" s="183">
        <f t="shared" si="7"/>
        <v>10</v>
      </c>
      <c r="G12" s="191">
        <f t="shared" si="13"/>
        <v>31</v>
      </c>
      <c r="H12" s="185">
        <f t="shared" si="2"/>
        <v>17.360000000000003</v>
      </c>
      <c r="I12" s="185">
        <f t="shared" si="3"/>
        <v>5.73876179254815</v>
      </c>
      <c r="J12" s="185">
        <f t="shared" si="4"/>
        <v>40.230343455354699</v>
      </c>
      <c r="K12" s="186">
        <f t="shared" si="8"/>
        <v>10</v>
      </c>
      <c r="L12" s="187"/>
      <c r="M12" s="187"/>
      <c r="N12" s="187"/>
      <c r="O12" s="187"/>
      <c r="P12" s="190">
        <f t="shared" si="9"/>
        <v>0</v>
      </c>
      <c r="Q12" s="190">
        <f t="shared" si="10"/>
        <v>0</v>
      </c>
      <c r="R12" s="190">
        <f t="shared" si="11"/>
        <v>0</v>
      </c>
      <c r="S12" s="190">
        <f t="shared" si="12"/>
        <v>0</v>
      </c>
      <c r="U12" s="188"/>
      <c r="V12" s="188" t="s">
        <v>351</v>
      </c>
      <c r="W12" s="188">
        <v>0.25</v>
      </c>
      <c r="X12" s="188"/>
      <c r="Y12" s="188"/>
      <c r="Z12" s="593"/>
    </row>
    <row r="13" spans="1:26" x14ac:dyDescent="0.25">
      <c r="A13" s="181">
        <v>11</v>
      </c>
      <c r="B13" s="181">
        <f t="shared" si="5"/>
        <v>11</v>
      </c>
      <c r="C13" s="182">
        <f t="shared" si="0"/>
        <v>9.7812000000000001</v>
      </c>
      <c r="D13" s="182">
        <f t="shared" si="6"/>
        <v>3.4567069199829903</v>
      </c>
      <c r="E13" s="182">
        <f t="shared" si="1"/>
        <v>23.056021218970372</v>
      </c>
      <c r="F13" s="183">
        <f t="shared" si="7"/>
        <v>11</v>
      </c>
      <c r="G13" s="191">
        <f t="shared" si="13"/>
        <v>39</v>
      </c>
      <c r="H13" s="185">
        <f t="shared" si="2"/>
        <v>21.840000000000003</v>
      </c>
      <c r="I13" s="185">
        <f t="shared" si="3"/>
        <v>7.0293584875852639</v>
      </c>
      <c r="J13" s="185">
        <f>(H13+I13)*0.475*44/12</f>
        <v>50.28079936587767</v>
      </c>
      <c r="K13" s="186">
        <f t="shared" si="8"/>
        <v>11</v>
      </c>
      <c r="L13" s="187"/>
      <c r="M13" s="187"/>
      <c r="N13" s="187"/>
      <c r="O13" s="187"/>
      <c r="P13" s="190">
        <f t="shared" si="9"/>
        <v>0</v>
      </c>
      <c r="Q13" s="190">
        <f t="shared" si="10"/>
        <v>0</v>
      </c>
      <c r="R13" s="190">
        <f t="shared" si="11"/>
        <v>0</v>
      </c>
      <c r="S13" s="190">
        <f t="shared" si="12"/>
        <v>0</v>
      </c>
      <c r="U13" s="188"/>
      <c r="V13" s="193" t="s">
        <v>352</v>
      </c>
      <c r="W13" s="195">
        <f>W11*W12</f>
        <v>24.358974358974358</v>
      </c>
      <c r="X13" s="188"/>
      <c r="Y13" s="188"/>
      <c r="Z13" s="593"/>
    </row>
    <row r="14" spans="1:26" x14ac:dyDescent="0.25">
      <c r="A14" s="181">
        <v>12</v>
      </c>
      <c r="B14" s="181">
        <f t="shared" si="5"/>
        <v>12</v>
      </c>
      <c r="C14" s="182">
        <f t="shared" si="0"/>
        <v>10.670400000000001</v>
      </c>
      <c r="D14" s="182">
        <f t="shared" si="6"/>
        <v>3.7329530817348471</v>
      </c>
      <c r="E14" s="182">
        <f t="shared" si="1"/>
        <v>25.085839950688193</v>
      </c>
      <c r="F14" s="183">
        <f t="shared" si="7"/>
        <v>12</v>
      </c>
      <c r="G14" s="191">
        <f t="shared" si="13"/>
        <v>48</v>
      </c>
      <c r="H14" s="185">
        <f t="shared" si="2"/>
        <v>26.880000000000003</v>
      </c>
      <c r="I14" s="185">
        <f t="shared" si="3"/>
        <v>8.4449243379775041</v>
      </c>
      <c r="J14" s="185">
        <f t="shared" si="4"/>
        <v>61.524243221977486</v>
      </c>
      <c r="K14" s="186">
        <f t="shared" si="8"/>
        <v>12</v>
      </c>
      <c r="L14" s="187"/>
      <c r="M14" s="187"/>
      <c r="N14" s="187"/>
      <c r="O14" s="187"/>
      <c r="P14" s="190">
        <f t="shared" si="9"/>
        <v>0</v>
      </c>
      <c r="Q14" s="190">
        <f t="shared" si="10"/>
        <v>0</v>
      </c>
      <c r="R14" s="190">
        <f t="shared" si="11"/>
        <v>0</v>
      </c>
      <c r="S14" s="190">
        <f t="shared" si="12"/>
        <v>0</v>
      </c>
      <c r="U14" s="188"/>
      <c r="V14" s="193" t="s">
        <v>353</v>
      </c>
      <c r="W14" s="194">
        <f>AVERAGE(S2:S32)</f>
        <v>0</v>
      </c>
      <c r="X14" s="188"/>
      <c r="Y14" s="188"/>
      <c r="Z14" s="593"/>
    </row>
    <row r="15" spans="1:26" x14ac:dyDescent="0.25">
      <c r="A15" s="181">
        <v>13</v>
      </c>
      <c r="B15" s="181">
        <f t="shared" si="5"/>
        <v>13</v>
      </c>
      <c r="C15" s="182">
        <f t="shared" si="0"/>
        <v>11.5596</v>
      </c>
      <c r="D15" s="182">
        <f t="shared" si="6"/>
        <v>4.0065293501366055</v>
      </c>
      <c r="E15" s="182">
        <f t="shared" si="1"/>
        <v>27.111008618154589</v>
      </c>
      <c r="F15" s="183">
        <f t="shared" si="7"/>
        <v>13</v>
      </c>
      <c r="G15" s="191">
        <f t="shared" si="13"/>
        <v>58</v>
      </c>
      <c r="H15" s="185">
        <f t="shared" si="2"/>
        <v>32.480000000000004</v>
      </c>
      <c r="I15" s="185">
        <f t="shared" si="3"/>
        <v>9.9819635724134752</v>
      </c>
      <c r="J15" s="185">
        <f t="shared" si="4"/>
        <v>73.954586555286809</v>
      </c>
      <c r="K15" s="186">
        <f t="shared" si="8"/>
        <v>13</v>
      </c>
      <c r="L15" s="187"/>
      <c r="M15" s="187"/>
      <c r="N15" s="187"/>
      <c r="O15" s="187"/>
      <c r="P15" s="190">
        <f t="shared" si="9"/>
        <v>0</v>
      </c>
      <c r="Q15" s="190">
        <f t="shared" si="10"/>
        <v>0</v>
      </c>
      <c r="R15" s="190">
        <f t="shared" si="11"/>
        <v>0</v>
      </c>
      <c r="S15" s="190">
        <f t="shared" si="12"/>
        <v>0</v>
      </c>
      <c r="U15" s="188"/>
      <c r="X15" s="188"/>
      <c r="Y15" s="188"/>
      <c r="Z15" s="593"/>
    </row>
    <row r="16" spans="1:26" x14ac:dyDescent="0.25">
      <c r="A16" s="181">
        <v>14</v>
      </c>
      <c r="B16" s="181">
        <f t="shared" si="5"/>
        <v>14</v>
      </c>
      <c r="C16" s="182">
        <f t="shared" si="0"/>
        <v>12.4488</v>
      </c>
      <c r="D16" s="182">
        <f t="shared" si="6"/>
        <v>4.2776644527179633</v>
      </c>
      <c r="E16" s="182">
        <f t="shared" si="1"/>
        <v>29.131925588483782</v>
      </c>
      <c r="F16" s="183">
        <f t="shared" si="7"/>
        <v>14</v>
      </c>
      <c r="G16" s="191">
        <f t="shared" si="13"/>
        <v>69</v>
      </c>
      <c r="H16" s="185">
        <f t="shared" si="2"/>
        <v>38.64</v>
      </c>
      <c r="I16" s="185">
        <f t="shared" si="3"/>
        <v>11.637456271634218</v>
      </c>
      <c r="J16" s="185">
        <f t="shared" si="4"/>
        <v>87.566569673096254</v>
      </c>
      <c r="K16" s="186">
        <f t="shared" si="8"/>
        <v>14</v>
      </c>
      <c r="L16" s="187"/>
      <c r="M16" s="196"/>
      <c r="N16" s="196"/>
      <c r="O16" s="196"/>
      <c r="P16" s="190">
        <f t="shared" si="9"/>
        <v>0</v>
      </c>
      <c r="Q16" s="190">
        <f t="shared" si="10"/>
        <v>0</v>
      </c>
      <c r="R16" s="190">
        <f t="shared" si="11"/>
        <v>0</v>
      </c>
      <c r="S16" s="190">
        <f t="shared" si="12"/>
        <v>0</v>
      </c>
      <c r="U16" s="188"/>
      <c r="V16" s="197" t="s">
        <v>354</v>
      </c>
      <c r="W16" s="194">
        <f>W10+W13+W14</f>
        <v>161.07987121799678</v>
      </c>
      <c r="X16" s="188"/>
      <c r="Y16" s="188"/>
      <c r="Z16" s="593"/>
    </row>
    <row r="17" spans="1:25" x14ac:dyDescent="0.25">
      <c r="A17" s="181">
        <v>15</v>
      </c>
      <c r="B17" s="181">
        <f t="shared" si="5"/>
        <v>15</v>
      </c>
      <c r="C17" s="182">
        <f t="shared" si="0"/>
        <v>13.337999999999999</v>
      </c>
      <c r="D17" s="182">
        <f t="shared" si="6"/>
        <v>4.5465525901071517</v>
      </c>
      <c r="E17" s="182">
        <f t="shared" si="1"/>
        <v>31.148929094436621</v>
      </c>
      <c r="F17" s="183">
        <f t="shared" si="7"/>
        <v>15</v>
      </c>
      <c r="G17" s="191">
        <v>87</v>
      </c>
      <c r="H17" s="185">
        <f t="shared" si="2"/>
        <v>48.720000000000006</v>
      </c>
      <c r="I17" s="185">
        <f t="shared" si="3"/>
        <v>14.282696808795901</v>
      </c>
      <c r="J17" s="185">
        <f t="shared" si="4"/>
        <v>109.72969694198621</v>
      </c>
      <c r="K17" s="186">
        <f t="shared" si="8"/>
        <v>15</v>
      </c>
      <c r="L17" s="187"/>
      <c r="M17" s="187"/>
      <c r="N17" s="187"/>
      <c r="O17" s="187"/>
      <c r="P17" s="190">
        <f t="shared" si="9"/>
        <v>0</v>
      </c>
      <c r="Q17" s="190">
        <f t="shared" si="10"/>
        <v>0</v>
      </c>
      <c r="R17" s="190">
        <f t="shared" si="11"/>
        <v>0</v>
      </c>
      <c r="S17" s="190">
        <f t="shared" si="12"/>
        <v>0</v>
      </c>
    </row>
    <row r="18" spans="1:25" x14ac:dyDescent="0.25">
      <c r="A18" s="181">
        <v>16</v>
      </c>
      <c r="B18" s="181">
        <f t="shared" si="5"/>
        <v>16</v>
      </c>
      <c r="C18" s="182">
        <f t="shared" si="0"/>
        <v>14.2272</v>
      </c>
      <c r="D18" s="182">
        <f t="shared" si="6"/>
        <v>4.81336060460516</v>
      </c>
      <c r="E18" s="182">
        <f t="shared" si="1"/>
        <v>33.162309719687322</v>
      </c>
      <c r="F18" s="183">
        <f t="shared" si="7"/>
        <v>16</v>
      </c>
      <c r="G18" s="191">
        <f>$G$17+(F18-$F$17)*($G$22-$G$17)/($F$22-$F$17)</f>
        <v>101.2</v>
      </c>
      <c r="H18" s="185">
        <f t="shared" si="2"/>
        <v>56.672000000000004</v>
      </c>
      <c r="I18" s="185">
        <f t="shared" si="3"/>
        <v>16.324072178465297</v>
      </c>
      <c r="J18" s="185">
        <f t="shared" si="4"/>
        <v>127.13482571082706</v>
      </c>
      <c r="K18" s="186">
        <f t="shared" si="8"/>
        <v>16</v>
      </c>
      <c r="L18" s="187"/>
      <c r="M18" s="187"/>
      <c r="N18" s="196"/>
      <c r="O18" s="196"/>
      <c r="P18" s="190">
        <f t="shared" si="9"/>
        <v>0</v>
      </c>
      <c r="Q18" s="190">
        <f t="shared" si="10"/>
        <v>0</v>
      </c>
      <c r="R18" s="190">
        <f t="shared" si="11"/>
        <v>0</v>
      </c>
      <c r="S18" s="190">
        <f t="shared" si="12"/>
        <v>0</v>
      </c>
      <c r="X18" s="188"/>
      <c r="Y18" s="188"/>
    </row>
    <row r="19" spans="1:25" x14ac:dyDescent="0.25">
      <c r="A19" s="181">
        <v>17</v>
      </c>
      <c r="B19" s="181">
        <f t="shared" si="5"/>
        <v>17</v>
      </c>
      <c r="C19" s="182">
        <f t="shared" si="0"/>
        <v>15.116400000000001</v>
      </c>
      <c r="D19" s="182">
        <f t="shared" si="6"/>
        <v>5.0782333044806913</v>
      </c>
      <c r="E19" s="182">
        <f t="shared" si="1"/>
        <v>35.172319671970541</v>
      </c>
      <c r="F19" s="183">
        <f t="shared" si="7"/>
        <v>17</v>
      </c>
      <c r="G19" s="191">
        <f>$G$17+(F19-$F$17)*($G$22-$G$17)/($F$22-$F$17)</f>
        <v>115.4</v>
      </c>
      <c r="H19" s="185">
        <f t="shared" si="2"/>
        <v>64.624000000000009</v>
      </c>
      <c r="I19" s="185">
        <f t="shared" si="3"/>
        <v>18.33226211661211</v>
      </c>
      <c r="J19" s="185">
        <f t="shared" si="4"/>
        <v>144.48215651976611</v>
      </c>
      <c r="K19" s="186">
        <f t="shared" si="8"/>
        <v>17</v>
      </c>
      <c r="L19" s="187"/>
      <c r="M19" s="187"/>
      <c r="N19" s="187"/>
      <c r="O19" s="187"/>
      <c r="P19" s="190">
        <f t="shared" si="9"/>
        <v>0</v>
      </c>
      <c r="Q19" s="190">
        <f t="shared" si="10"/>
        <v>0</v>
      </c>
      <c r="R19" s="190">
        <f t="shared" si="11"/>
        <v>0</v>
      </c>
      <c r="S19" s="190">
        <f t="shared" si="12"/>
        <v>0</v>
      </c>
      <c r="X19" s="188"/>
      <c r="Y19" s="188"/>
    </row>
    <row r="20" spans="1:25" x14ac:dyDescent="0.25">
      <c r="A20" s="181">
        <v>18</v>
      </c>
      <c r="B20" s="181">
        <f t="shared" si="5"/>
        <v>18</v>
      </c>
      <c r="C20" s="182">
        <f t="shared" si="0"/>
        <v>16.005600000000001</v>
      </c>
      <c r="D20" s="182">
        <f t="shared" si="6"/>
        <v>5.3412974993444156</v>
      </c>
      <c r="E20" s="182">
        <f t="shared" si="1"/>
        <v>37.179179811358189</v>
      </c>
      <c r="F20" s="183">
        <f>F19+1</f>
        <v>18</v>
      </c>
      <c r="G20" s="191">
        <f>$G$17+(F20-$F$17)*($G$22-$G$17)/($F$22-$F$17)</f>
        <v>129.6</v>
      </c>
      <c r="H20" s="185">
        <f t="shared" si="2"/>
        <v>72.576000000000008</v>
      </c>
      <c r="I20" s="185">
        <f t="shared" si="3"/>
        <v>20.311817458140109</v>
      </c>
      <c r="J20" s="185">
        <f t="shared" si="4"/>
        <v>161.77961540626072</v>
      </c>
      <c r="K20" s="186">
        <f t="shared" si="8"/>
        <v>18</v>
      </c>
      <c r="L20" s="187"/>
      <c r="M20" s="196"/>
      <c r="N20" s="196"/>
      <c r="O20" s="196"/>
      <c r="P20" s="190">
        <f t="shared" si="9"/>
        <v>0</v>
      </c>
      <c r="Q20" s="190">
        <f t="shared" si="10"/>
        <v>0</v>
      </c>
      <c r="R20" s="190">
        <f t="shared" si="11"/>
        <v>0</v>
      </c>
      <c r="S20" s="190">
        <f t="shared" si="12"/>
        <v>0</v>
      </c>
      <c r="V20" s="198"/>
      <c r="W20" s="199"/>
    </row>
    <row r="21" spans="1:25" x14ac:dyDescent="0.25">
      <c r="A21" s="181">
        <v>19</v>
      </c>
      <c r="B21" s="181">
        <f t="shared" si="5"/>
        <v>19</v>
      </c>
      <c r="C21" s="182">
        <f t="shared" si="0"/>
        <v>16.894799999999996</v>
      </c>
      <c r="D21" s="182">
        <f t="shared" si="6"/>
        <v>5.6026651130643454</v>
      </c>
      <c r="E21" s="182">
        <f t="shared" si="1"/>
        <v>39.183085071920395</v>
      </c>
      <c r="F21" s="183">
        <f>F20+1</f>
        <v>19</v>
      </c>
      <c r="G21" s="191">
        <f>$G$17+(F21-$F$17)*($G$22-$G$17)/($F$22-$F$17)</f>
        <v>143.80000000000001</v>
      </c>
      <c r="H21" s="185">
        <f t="shared" si="2"/>
        <v>80.52800000000002</v>
      </c>
      <c r="I21" s="185">
        <f t="shared" si="3"/>
        <v>22.266233405537594</v>
      </c>
      <c r="J21" s="185">
        <f t="shared" si="4"/>
        <v>179.03328984797801</v>
      </c>
      <c r="K21" s="186">
        <f t="shared" si="8"/>
        <v>19</v>
      </c>
      <c r="L21" s="200"/>
      <c r="M21" s="201"/>
      <c r="N21" s="201"/>
      <c r="O21" s="201"/>
      <c r="P21" s="190">
        <f t="shared" si="9"/>
        <v>0</v>
      </c>
      <c r="Q21" s="190">
        <f t="shared" si="10"/>
        <v>0</v>
      </c>
      <c r="R21" s="190">
        <f t="shared" si="11"/>
        <v>0</v>
      </c>
      <c r="S21" s="190">
        <f t="shared" si="12"/>
        <v>0</v>
      </c>
      <c r="W21" s="188"/>
    </row>
    <row r="22" spans="1:25" x14ac:dyDescent="0.25">
      <c r="A22" s="181">
        <v>20</v>
      </c>
      <c r="B22" s="181">
        <f t="shared" si="5"/>
        <v>20</v>
      </c>
      <c r="C22" s="182">
        <f t="shared" si="0"/>
        <v>17.783999999999999</v>
      </c>
      <c r="D22" s="182">
        <f t="shared" si="6"/>
        <v>5.862435622634961</v>
      </c>
      <c r="E22" s="182">
        <f t="shared" si="1"/>
        <v>41.184208709422556</v>
      </c>
      <c r="F22" s="183">
        <f>F21+1</f>
        <v>20</v>
      </c>
      <c r="G22" s="185">
        <f>137+21</f>
        <v>158</v>
      </c>
      <c r="H22" s="185">
        <f t="shared" si="2"/>
        <v>88.48</v>
      </c>
      <c r="I22" s="185">
        <f t="shared" si="3"/>
        <v>24.198274979354846</v>
      </c>
      <c r="J22" s="185">
        <f t="shared" si="4"/>
        <v>196.24799558904303</v>
      </c>
      <c r="K22" s="186">
        <f t="shared" si="8"/>
        <v>20</v>
      </c>
      <c r="L22" s="190">
        <f>G22-G23</f>
        <v>64</v>
      </c>
      <c r="M22" s="196">
        <v>0</v>
      </c>
      <c r="N22" s="202">
        <v>0</v>
      </c>
      <c r="O22" s="202">
        <v>0</v>
      </c>
      <c r="P22" s="190">
        <f t="shared" si="9"/>
        <v>0</v>
      </c>
      <c r="Q22" s="190">
        <f t="shared" si="10"/>
        <v>0</v>
      </c>
      <c r="R22" s="190">
        <f t="shared" si="11"/>
        <v>0</v>
      </c>
      <c r="S22" s="190">
        <f t="shared" si="12"/>
        <v>0</v>
      </c>
      <c r="W22" s="188"/>
    </row>
    <row r="23" spans="1:25" x14ac:dyDescent="0.25">
      <c r="A23" s="181">
        <v>21</v>
      </c>
      <c r="B23" s="181">
        <f t="shared" si="5"/>
        <v>21</v>
      </c>
      <c r="C23" s="182">
        <f t="shared" si="0"/>
        <v>18.673199999999998</v>
      </c>
      <c r="D23" s="182">
        <f t="shared" si="6"/>
        <v>6.120697995410775</v>
      </c>
      <c r="E23" s="182">
        <f t="shared" si="1"/>
        <v>43.182705675340429</v>
      </c>
      <c r="F23" s="183">
        <v>20</v>
      </c>
      <c r="G23" s="185">
        <v>94</v>
      </c>
      <c r="H23" s="185">
        <f t="shared" si="2"/>
        <v>52.640000000000008</v>
      </c>
      <c r="I23" s="185">
        <f t="shared" si="3"/>
        <v>15.293496110554965</v>
      </c>
      <c r="J23" s="185">
        <f t="shared" si="4"/>
        <v>118.31750572588324</v>
      </c>
      <c r="K23" s="186">
        <f t="shared" si="8"/>
        <v>21</v>
      </c>
      <c r="L23" s="203"/>
      <c r="M23" s="196"/>
      <c r="N23" s="196"/>
      <c r="O23" s="196"/>
      <c r="P23" s="190">
        <f t="shared" si="9"/>
        <v>0</v>
      </c>
      <c r="Q23" s="190">
        <f t="shared" si="10"/>
        <v>0</v>
      </c>
      <c r="R23" s="190">
        <f t="shared" si="11"/>
        <v>0</v>
      </c>
      <c r="S23" s="190">
        <f t="shared" si="12"/>
        <v>0</v>
      </c>
      <c r="W23" s="188"/>
    </row>
    <row r="24" spans="1:25" x14ac:dyDescent="0.25">
      <c r="A24" s="181">
        <v>22</v>
      </c>
      <c r="B24" s="181">
        <f t="shared" si="5"/>
        <v>22</v>
      </c>
      <c r="C24" s="182">
        <f t="shared" si="0"/>
        <v>19.5624</v>
      </c>
      <c r="D24" s="182">
        <f t="shared" si="6"/>
        <v>6.3775322468881095</v>
      </c>
      <c r="E24" s="182">
        <f t="shared" si="1"/>
        <v>45.178715329996784</v>
      </c>
      <c r="F24" s="183">
        <f t="shared" ref="F24:F33" si="14">F23+1</f>
        <v>21</v>
      </c>
      <c r="G24" s="185">
        <f>$G$23+(F24-$F$23)*($G$28-$G$23)/($F$28-$F$23)</f>
        <v>107.8</v>
      </c>
      <c r="H24" s="185">
        <f t="shared" si="2"/>
        <v>60.368000000000002</v>
      </c>
      <c r="I24" s="185">
        <f t="shared" si="3"/>
        <v>17.261277821800029</v>
      </c>
      <c r="J24" s="185">
        <f t="shared" si="4"/>
        <v>135.20432553963505</v>
      </c>
      <c r="K24" s="186">
        <f t="shared" si="8"/>
        <v>22</v>
      </c>
      <c r="L24" s="187"/>
      <c r="M24" s="187"/>
      <c r="N24" s="196"/>
      <c r="O24" s="196"/>
      <c r="P24" s="190">
        <f t="shared" si="9"/>
        <v>0</v>
      </c>
      <c r="Q24" s="190">
        <f t="shared" si="10"/>
        <v>0</v>
      </c>
      <c r="R24" s="190">
        <f t="shared" si="11"/>
        <v>0</v>
      </c>
      <c r="S24" s="190">
        <f t="shared" si="12"/>
        <v>0</v>
      </c>
      <c r="W24" s="188"/>
    </row>
    <row r="25" spans="1:25" x14ac:dyDescent="0.25">
      <c r="A25" s="181">
        <v>23</v>
      </c>
      <c r="B25" s="181">
        <f t="shared" si="5"/>
        <v>23</v>
      </c>
      <c r="C25" s="182">
        <f t="shared" si="0"/>
        <v>20.451599999999999</v>
      </c>
      <c r="D25" s="182">
        <f t="shared" si="6"/>
        <v>6.6330107072474558</v>
      </c>
      <c r="E25" s="182">
        <f t="shared" si="1"/>
        <v>47.172363648455985</v>
      </c>
      <c r="F25" s="183">
        <f t="shared" si="14"/>
        <v>22</v>
      </c>
      <c r="G25" s="185">
        <f>$G$23+(F25-$F$23)*($G$28-$G$23)/($F$28-$F$23)</f>
        <v>121.6</v>
      </c>
      <c r="H25" s="185">
        <f t="shared" si="2"/>
        <v>68.096000000000004</v>
      </c>
      <c r="I25" s="185">
        <f t="shared" si="3"/>
        <v>19.199871069347427</v>
      </c>
      <c r="J25" s="185">
        <f t="shared" si="4"/>
        <v>152.04030877911342</v>
      </c>
      <c r="K25" s="186">
        <f t="shared" si="8"/>
        <v>23</v>
      </c>
      <c r="L25" s="187"/>
      <c r="M25" s="196"/>
      <c r="N25" s="196"/>
      <c r="O25" s="202"/>
      <c r="P25" s="190">
        <f t="shared" si="9"/>
        <v>0</v>
      </c>
      <c r="Q25" s="190">
        <f t="shared" si="10"/>
        <v>0</v>
      </c>
      <c r="R25" s="190">
        <f t="shared" si="11"/>
        <v>0</v>
      </c>
      <c r="S25" s="190">
        <f t="shared" si="12"/>
        <v>0</v>
      </c>
      <c r="W25" s="188"/>
    </row>
    <row r="26" spans="1:25" x14ac:dyDescent="0.25">
      <c r="A26" s="181">
        <v>24</v>
      </c>
      <c r="B26" s="181">
        <f t="shared" si="5"/>
        <v>24</v>
      </c>
      <c r="C26" s="182">
        <f t="shared" si="0"/>
        <v>21.340800000000002</v>
      </c>
      <c r="D26" s="182">
        <f t="shared" si="6"/>
        <v>6.8871990614123195</v>
      </c>
      <c r="E26" s="182">
        <f t="shared" si="1"/>
        <v>49.163765031959791</v>
      </c>
      <c r="F26" s="183">
        <f t="shared" si="14"/>
        <v>23</v>
      </c>
      <c r="G26" s="185">
        <f>$G$23+(F26-$F$23)*($G$28-$G$23)/($F$28-$F$23)</f>
        <v>135.4</v>
      </c>
      <c r="H26" s="185">
        <f t="shared" si="2"/>
        <v>75.824000000000012</v>
      </c>
      <c r="I26" s="185">
        <f t="shared" si="3"/>
        <v>21.11296643895113</v>
      </c>
      <c r="J26" s="185">
        <f t="shared" si="4"/>
        <v>168.83188321450658</v>
      </c>
      <c r="K26" s="186">
        <f t="shared" si="8"/>
        <v>24</v>
      </c>
      <c r="L26" s="204"/>
      <c r="M26" s="205"/>
      <c r="N26" s="196"/>
      <c r="O26" s="196"/>
      <c r="P26" s="190">
        <f t="shared" si="9"/>
        <v>0</v>
      </c>
      <c r="Q26" s="190">
        <f t="shared" si="10"/>
        <v>0</v>
      </c>
      <c r="R26" s="190">
        <f t="shared" si="11"/>
        <v>0</v>
      </c>
      <c r="S26" s="190">
        <f t="shared" si="12"/>
        <v>0</v>
      </c>
      <c r="W26" s="188"/>
    </row>
    <row r="27" spans="1:25" x14ac:dyDescent="0.25">
      <c r="A27" s="181">
        <v>25</v>
      </c>
      <c r="B27" s="181">
        <f t="shared" si="5"/>
        <v>25</v>
      </c>
      <c r="C27" s="182">
        <f t="shared" si="0"/>
        <v>22.229999999999997</v>
      </c>
      <c r="D27" s="182">
        <f t="shared" si="6"/>
        <v>7.140157210880437</v>
      </c>
      <c r="E27" s="182">
        <f t="shared" si="1"/>
        <v>51.153023808950088</v>
      </c>
      <c r="F27" s="183">
        <f t="shared" si="14"/>
        <v>24</v>
      </c>
      <c r="G27" s="185">
        <f>$G$23+(F27-$F$23)*($G$28-$G$23)/($F$28-$F$23)</f>
        <v>149.19999999999999</v>
      </c>
      <c r="H27" s="185">
        <f t="shared" si="2"/>
        <v>83.552000000000007</v>
      </c>
      <c r="I27" s="185">
        <f t="shared" si="3"/>
        <v>23.003458599323775</v>
      </c>
      <c r="J27" s="185">
        <f t="shared" si="4"/>
        <v>185.58409039382227</v>
      </c>
      <c r="K27" s="186">
        <f t="shared" si="8"/>
        <v>25</v>
      </c>
      <c r="L27" s="206"/>
      <c r="M27" s="207"/>
      <c r="N27" s="207"/>
      <c r="O27" s="207"/>
      <c r="P27" s="190">
        <f t="shared" si="9"/>
        <v>0</v>
      </c>
      <c r="Q27" s="190">
        <f t="shared" si="10"/>
        <v>0</v>
      </c>
      <c r="R27" s="190">
        <f t="shared" si="11"/>
        <v>0</v>
      </c>
      <c r="S27" s="190">
        <f t="shared" si="12"/>
        <v>0</v>
      </c>
      <c r="W27" s="188"/>
    </row>
    <row r="28" spans="1:25" x14ac:dyDescent="0.25">
      <c r="A28" s="181">
        <v>26</v>
      </c>
      <c r="B28" s="181">
        <f t="shared" si="5"/>
        <v>26</v>
      </c>
      <c r="C28" s="182">
        <f t="shared" si="0"/>
        <v>23.119199999999999</v>
      </c>
      <c r="D28" s="182">
        <f t="shared" si="6"/>
        <v>7.3919399937804329</v>
      </c>
      <c r="E28" s="182">
        <f t="shared" si="1"/>
        <v>53.140235489167587</v>
      </c>
      <c r="F28" s="183">
        <f t="shared" si="14"/>
        <v>25</v>
      </c>
      <c r="G28" s="185">
        <v>163</v>
      </c>
      <c r="H28" s="185">
        <f t="shared" si="2"/>
        <v>91.280000000000015</v>
      </c>
      <c r="I28" s="185">
        <f t="shared" si="3"/>
        <v>24.873675988307212</v>
      </c>
      <c r="J28" s="185">
        <f t="shared" si="4"/>
        <v>202.30098567963509</v>
      </c>
      <c r="K28" s="186">
        <f t="shared" si="8"/>
        <v>26</v>
      </c>
      <c r="L28" s="204"/>
      <c r="M28" s="204"/>
      <c r="N28" s="196"/>
      <c r="O28" s="196"/>
      <c r="P28" s="190">
        <f t="shared" si="9"/>
        <v>0</v>
      </c>
      <c r="Q28" s="190">
        <f t="shared" si="10"/>
        <v>0</v>
      </c>
      <c r="R28" s="190">
        <f t="shared" si="11"/>
        <v>0</v>
      </c>
      <c r="S28" s="190">
        <f t="shared" si="12"/>
        <v>0</v>
      </c>
      <c r="W28" s="188"/>
    </row>
    <row r="29" spans="1:25" x14ac:dyDescent="0.25">
      <c r="A29" s="181">
        <v>27</v>
      </c>
      <c r="B29" s="181">
        <f t="shared" si="5"/>
        <v>27</v>
      </c>
      <c r="C29" s="182">
        <f t="shared" si="0"/>
        <v>24.008399999999998</v>
      </c>
      <c r="D29" s="182">
        <f t="shared" si="6"/>
        <v>7.6425977910346958</v>
      </c>
      <c r="E29" s="182">
        <f t="shared" si="1"/>
        <v>55.125487819385427</v>
      </c>
      <c r="F29" s="183">
        <f t="shared" si="14"/>
        <v>26</v>
      </c>
      <c r="G29" s="185">
        <f>$G$28+(F29-$F$28)*($G$33-$G$28)/($F$33-$F$28)</f>
        <v>176</v>
      </c>
      <c r="H29" s="185">
        <f t="shared" si="2"/>
        <v>98.56</v>
      </c>
      <c r="I29" s="185">
        <f t="shared" si="3"/>
        <v>26.618648341080334</v>
      </c>
      <c r="J29" s="185">
        <f t="shared" si="4"/>
        <v>218.01947919404824</v>
      </c>
      <c r="K29" s="186">
        <f t="shared" si="8"/>
        <v>27</v>
      </c>
      <c r="L29" s="204"/>
      <c r="M29" s="205"/>
      <c r="N29" s="196"/>
      <c r="O29" s="196"/>
      <c r="P29" s="190">
        <f t="shared" si="9"/>
        <v>0</v>
      </c>
      <c r="Q29" s="190">
        <f t="shared" si="10"/>
        <v>0</v>
      </c>
      <c r="R29" s="190">
        <f t="shared" si="11"/>
        <v>0</v>
      </c>
      <c r="S29" s="190">
        <f t="shared" si="12"/>
        <v>0</v>
      </c>
      <c r="W29" s="188"/>
    </row>
    <row r="30" spans="1:25" x14ac:dyDescent="0.25">
      <c r="A30" s="181">
        <v>28</v>
      </c>
      <c r="B30" s="181">
        <f t="shared" si="5"/>
        <v>28</v>
      </c>
      <c r="C30" s="182">
        <f t="shared" si="0"/>
        <v>24.897600000000001</v>
      </c>
      <c r="D30" s="182">
        <f t="shared" si="6"/>
        <v>7.8921770401958238</v>
      </c>
      <c r="E30" s="182">
        <f t="shared" si="1"/>
        <v>57.10886167834105</v>
      </c>
      <c r="F30" s="183">
        <f t="shared" si="14"/>
        <v>27</v>
      </c>
      <c r="G30" s="185">
        <f>$G$28+(F30-$F$28)*($G$33-$G$28)/($F$33-$F$28)</f>
        <v>189</v>
      </c>
      <c r="H30" s="185">
        <f t="shared" si="2"/>
        <v>105.84</v>
      </c>
      <c r="I30" s="185">
        <f t="shared" si="3"/>
        <v>28.34866786274176</v>
      </c>
      <c r="J30" s="185">
        <f t="shared" si="4"/>
        <v>233.71192986094192</v>
      </c>
      <c r="K30" s="186">
        <f t="shared" si="8"/>
        <v>28</v>
      </c>
      <c r="L30" s="208"/>
      <c r="M30" s="205"/>
      <c r="N30" s="196"/>
      <c r="O30" s="196"/>
      <c r="P30" s="190">
        <f t="shared" si="9"/>
        <v>0</v>
      </c>
      <c r="Q30" s="190">
        <f t="shared" si="10"/>
        <v>0</v>
      </c>
      <c r="R30" s="190">
        <f t="shared" si="11"/>
        <v>0</v>
      </c>
      <c r="S30" s="190">
        <f t="shared" si="12"/>
        <v>0</v>
      </c>
      <c r="W30" s="188"/>
    </row>
    <row r="31" spans="1:25" x14ac:dyDescent="0.25">
      <c r="A31" s="181">
        <v>29</v>
      </c>
      <c r="B31" s="181">
        <f t="shared" si="5"/>
        <v>29</v>
      </c>
      <c r="C31" s="182">
        <f t="shared" si="0"/>
        <v>25.786799999999996</v>
      </c>
      <c r="D31" s="182">
        <f t="shared" si="6"/>
        <v>8.1407206738151334</v>
      </c>
      <c r="E31" s="182">
        <f t="shared" si="1"/>
        <v>59.090431840228007</v>
      </c>
      <c r="F31" s="183">
        <f t="shared" si="14"/>
        <v>28</v>
      </c>
      <c r="G31" s="185">
        <f>$G$28+(F31-$F$28)*($G$33-$G$28)/($F$33-$F$28)</f>
        <v>202</v>
      </c>
      <c r="H31" s="185">
        <f t="shared" si="2"/>
        <v>113.12</v>
      </c>
      <c r="I31" s="185">
        <f t="shared" si="3"/>
        <v>30.064880056723688</v>
      </c>
      <c r="J31" s="185">
        <f t="shared" si="4"/>
        <v>249.38033276546039</v>
      </c>
      <c r="K31" s="186">
        <f t="shared" si="8"/>
        <v>29</v>
      </c>
      <c r="L31" s="204"/>
      <c r="M31" s="205"/>
      <c r="N31" s="196"/>
      <c r="O31" s="196"/>
      <c r="P31" s="190">
        <f t="shared" si="9"/>
        <v>0</v>
      </c>
      <c r="Q31" s="190">
        <f t="shared" si="10"/>
        <v>0</v>
      </c>
      <c r="R31" s="190">
        <f t="shared" si="11"/>
        <v>0</v>
      </c>
      <c r="S31" s="190">
        <f t="shared" si="12"/>
        <v>0</v>
      </c>
      <c r="W31" s="188"/>
    </row>
    <row r="32" spans="1:25" x14ac:dyDescent="0.25">
      <c r="A32" s="181">
        <v>30</v>
      </c>
      <c r="B32" s="181">
        <f t="shared" si="5"/>
        <v>30</v>
      </c>
      <c r="C32" s="182">
        <f t="shared" si="0"/>
        <v>26.675999999999998</v>
      </c>
      <c r="D32" s="182">
        <f t="shared" si="6"/>
        <v>8.388268495647786</v>
      </c>
      <c r="E32" s="182">
        <f t="shared" si="1"/>
        <v>61.07026762991989</v>
      </c>
      <c r="F32" s="183">
        <f t="shared" si="14"/>
        <v>29</v>
      </c>
      <c r="G32" s="185">
        <f>$G$28+(F32-$F$28)*($G$33-$G$28)/($F$33-$F$28)</f>
        <v>215</v>
      </c>
      <c r="H32" s="185">
        <f t="shared" si="2"/>
        <v>120.4</v>
      </c>
      <c r="I32" s="185">
        <f t="shared" si="3"/>
        <v>31.768274648862857</v>
      </c>
      <c r="J32" s="185">
        <f t="shared" si="4"/>
        <v>265.02641168010274</v>
      </c>
      <c r="K32" s="186">
        <f t="shared" si="8"/>
        <v>30</v>
      </c>
      <c r="L32" s="229">
        <f>G33-G34</f>
        <v>88</v>
      </c>
      <c r="M32" s="205">
        <v>0</v>
      </c>
      <c r="N32" s="196">
        <v>0</v>
      </c>
      <c r="O32" s="196">
        <v>0</v>
      </c>
      <c r="P32" s="190">
        <f t="shared" si="9"/>
        <v>0</v>
      </c>
      <c r="Q32" s="190">
        <f t="shared" si="10"/>
        <v>0</v>
      </c>
      <c r="R32" s="190">
        <f t="shared" si="11"/>
        <v>0</v>
      </c>
      <c r="S32" s="190">
        <f t="shared" si="12"/>
        <v>0</v>
      </c>
      <c r="W32" s="188"/>
    </row>
    <row r="33" spans="1:25" x14ac:dyDescent="0.25">
      <c r="A33" s="181">
        <v>31</v>
      </c>
      <c r="B33" s="181">
        <f t="shared" si="5"/>
        <v>31</v>
      </c>
      <c r="C33" s="182">
        <f t="shared" si="0"/>
        <v>27.565199999999997</v>
      </c>
      <c r="D33" s="182">
        <f t="shared" si="6"/>
        <v>8.6348575052881742</v>
      </c>
      <c r="E33" s="182">
        <f t="shared" si="1"/>
        <v>63.048433488376901</v>
      </c>
      <c r="F33" s="183">
        <f t="shared" si="14"/>
        <v>30</v>
      </c>
      <c r="G33" s="185">
        <f>184+44</f>
        <v>228</v>
      </c>
      <c r="H33" s="185">
        <f t="shared" si="2"/>
        <v>127.68</v>
      </c>
      <c r="I33" s="185">
        <f t="shared" si="3"/>
        <v>33.459714914652182</v>
      </c>
      <c r="J33" s="185">
        <f t="shared" si="4"/>
        <v>280.6516701430192</v>
      </c>
      <c r="K33" s="186">
        <f t="shared" si="8"/>
        <v>31</v>
      </c>
      <c r="L33" s="204"/>
      <c r="M33" s="205"/>
      <c r="N33" s="196"/>
      <c r="O33" s="196"/>
      <c r="P33" s="190">
        <f t="shared" si="9"/>
        <v>0</v>
      </c>
      <c r="Q33" s="190">
        <f t="shared" si="10"/>
        <v>0</v>
      </c>
      <c r="R33" s="190">
        <f t="shared" si="11"/>
        <v>0</v>
      </c>
      <c r="S33" s="190">
        <f t="shared" si="12"/>
        <v>0</v>
      </c>
      <c r="W33" s="188"/>
    </row>
    <row r="34" spans="1:25" x14ac:dyDescent="0.25">
      <c r="A34" s="181">
        <v>32</v>
      </c>
      <c r="B34" s="181">
        <f t="shared" si="5"/>
        <v>32</v>
      </c>
      <c r="C34" s="182">
        <f t="shared" si="0"/>
        <v>28.4544</v>
      </c>
      <c r="D34" s="182">
        <f t="shared" si="6"/>
        <v>8.8805221797401614</v>
      </c>
      <c r="E34" s="182">
        <f t="shared" si="1"/>
        <v>65.024989463047447</v>
      </c>
      <c r="F34" s="183">
        <v>30</v>
      </c>
      <c r="G34" s="185">
        <v>140</v>
      </c>
      <c r="H34" s="185">
        <f t="shared" si="2"/>
        <v>78.400000000000006</v>
      </c>
      <c r="I34" s="185">
        <f t="shared" si="3"/>
        <v>21.745517018799472</v>
      </c>
      <c r="J34" s="185">
        <f t="shared" si="4"/>
        <v>174.42010880774242</v>
      </c>
      <c r="K34" s="186">
        <f t="shared" si="8"/>
        <v>32</v>
      </c>
      <c r="L34" s="201"/>
      <c r="M34" s="207"/>
      <c r="N34" s="207"/>
      <c r="O34" s="207"/>
      <c r="P34" s="190">
        <f t="shared" si="9"/>
        <v>0</v>
      </c>
      <c r="Q34" s="190">
        <f t="shared" si="10"/>
        <v>0</v>
      </c>
      <c r="R34" s="190">
        <f t="shared" si="11"/>
        <v>0</v>
      </c>
      <c r="S34" s="190">
        <f t="shared" si="12"/>
        <v>0</v>
      </c>
      <c r="W34" s="188"/>
    </row>
    <row r="35" spans="1:25" x14ac:dyDescent="0.25">
      <c r="A35" s="181">
        <v>33</v>
      </c>
      <c r="B35" s="181">
        <f t="shared" si="5"/>
        <v>33</v>
      </c>
      <c r="C35" s="182">
        <f t="shared" si="0"/>
        <v>29.343599999999999</v>
      </c>
      <c r="D35" s="182">
        <f t="shared" si="6"/>
        <v>9.1252947188023139</v>
      </c>
      <c r="E35" s="182">
        <f t="shared" si="1"/>
        <v>66.999991635247355</v>
      </c>
      <c r="F35" s="183">
        <f t="shared" ref="F35:F44" si="15">F34+1</f>
        <v>31</v>
      </c>
      <c r="G35" s="185">
        <f>$G$34+(F35-$F$34)*($G$39-$G$34)/($F$39-$F$34)</f>
        <v>152.19999999999999</v>
      </c>
      <c r="H35" s="185">
        <f t="shared" si="2"/>
        <v>85.231999999999999</v>
      </c>
      <c r="I35" s="185">
        <f t="shared" si="3"/>
        <v>23.411680703359245</v>
      </c>
      <c r="J35" s="185">
        <f t="shared" si="4"/>
        <v>189.22107722501735</v>
      </c>
      <c r="K35" s="186">
        <f t="shared" si="8"/>
        <v>33</v>
      </c>
      <c r="L35" s="204"/>
      <c r="M35" s="205"/>
      <c r="N35" s="196"/>
      <c r="O35" s="196"/>
      <c r="P35" s="190">
        <f t="shared" si="9"/>
        <v>0</v>
      </c>
      <c r="Q35" s="190">
        <f t="shared" si="10"/>
        <v>0</v>
      </c>
      <c r="R35" s="190">
        <f t="shared" si="11"/>
        <v>0</v>
      </c>
      <c r="S35" s="190">
        <f t="shared" si="12"/>
        <v>0</v>
      </c>
      <c r="W35" s="188"/>
      <c r="X35" s="188"/>
      <c r="Y35" s="188"/>
    </row>
    <row r="36" spans="1:25" x14ac:dyDescent="0.25">
      <c r="A36" s="181">
        <v>34</v>
      </c>
      <c r="B36" s="181">
        <f t="shared" si="5"/>
        <v>34</v>
      </c>
      <c r="C36" s="182">
        <f t="shared" si="0"/>
        <v>30.232800000000001</v>
      </c>
      <c r="D36" s="182">
        <f t="shared" si="6"/>
        <v>9.3692052598737945</v>
      </c>
      <c r="E36" s="182">
        <f t="shared" si="1"/>
        <v>68.97349249428018</v>
      </c>
      <c r="F36" s="183">
        <f t="shared" si="15"/>
        <v>32</v>
      </c>
      <c r="G36" s="185">
        <f>$G$34+(F36-$F$34)*($G$39-$G$34)/($F$39-$F$34)</f>
        <v>164.4</v>
      </c>
      <c r="H36" s="185">
        <f t="shared" si="2"/>
        <v>92.064000000000007</v>
      </c>
      <c r="I36" s="185">
        <f t="shared" si="3"/>
        <v>25.062353288879756</v>
      </c>
      <c r="J36" s="185">
        <f t="shared" si="4"/>
        <v>203.99506531146554</v>
      </c>
      <c r="K36" s="186">
        <f t="shared" si="8"/>
        <v>34</v>
      </c>
      <c r="L36" s="204"/>
      <c r="M36" s="204"/>
      <c r="N36" s="187"/>
      <c r="O36" s="187"/>
      <c r="P36" s="190">
        <f t="shared" si="9"/>
        <v>0</v>
      </c>
      <c r="Q36" s="190">
        <f t="shared" si="10"/>
        <v>0</v>
      </c>
      <c r="R36" s="190">
        <f t="shared" si="11"/>
        <v>0</v>
      </c>
      <c r="S36" s="190">
        <f t="shared" si="12"/>
        <v>0</v>
      </c>
      <c r="W36" s="188"/>
      <c r="X36" s="188"/>
      <c r="Y36" s="188"/>
    </row>
    <row r="37" spans="1:25" x14ac:dyDescent="0.25">
      <c r="A37" s="181">
        <v>35</v>
      </c>
      <c r="B37" s="181">
        <f t="shared" si="5"/>
        <v>35</v>
      </c>
      <c r="C37" s="182">
        <f t="shared" si="0"/>
        <v>31.122</v>
      </c>
      <c r="D37" s="182">
        <f t="shared" si="6"/>
        <v>9.6122820667788016</v>
      </c>
      <c r="E37" s="182">
        <f t="shared" si="1"/>
        <v>70.945541266306407</v>
      </c>
      <c r="F37" s="183">
        <f t="shared" si="15"/>
        <v>33</v>
      </c>
      <c r="G37" s="185">
        <f>$G$34+(F37-$F$34)*($G$39-$G$34)/($F$39-$F$34)</f>
        <v>176.6</v>
      </c>
      <c r="H37" s="185">
        <f t="shared" si="2"/>
        <v>98.896000000000001</v>
      </c>
      <c r="I37" s="185">
        <f t="shared" si="3"/>
        <v>26.698815080698978</v>
      </c>
      <c r="J37" s="185">
        <f t="shared" si="4"/>
        <v>218.74430293221735</v>
      </c>
      <c r="K37" s="186">
        <f t="shared" si="8"/>
        <v>35</v>
      </c>
      <c r="L37" s="208"/>
      <c r="M37" s="204"/>
      <c r="N37" s="187"/>
      <c r="O37" s="187"/>
      <c r="P37" s="190">
        <f t="shared" si="9"/>
        <v>0</v>
      </c>
      <c r="Q37" s="190">
        <f t="shared" si="10"/>
        <v>0</v>
      </c>
      <c r="R37" s="190">
        <f t="shared" si="11"/>
        <v>0</v>
      </c>
      <c r="S37" s="190">
        <f t="shared" si="12"/>
        <v>0</v>
      </c>
      <c r="W37" s="188"/>
      <c r="X37" s="188"/>
      <c r="Y37" s="188"/>
    </row>
    <row r="38" spans="1:25" x14ac:dyDescent="0.25">
      <c r="A38" s="181">
        <v>36</v>
      </c>
      <c r="B38" s="181">
        <f t="shared" si="5"/>
        <v>36</v>
      </c>
      <c r="C38" s="182">
        <f t="shared" si="0"/>
        <v>32.011200000000002</v>
      </c>
      <c r="D38" s="182">
        <f t="shared" si="6"/>
        <v>9.8545516964045792</v>
      </c>
      <c r="E38" s="182">
        <f t="shared" si="1"/>
        <v>72.916184204571309</v>
      </c>
      <c r="F38" s="183">
        <f t="shared" si="15"/>
        <v>34</v>
      </c>
      <c r="G38" s="185">
        <f>$G$34+(F38-$F$34)*($G$39-$G$34)/($F$39-$F$34)</f>
        <v>188.8</v>
      </c>
      <c r="H38" s="185">
        <f t="shared" si="2"/>
        <v>105.72800000000002</v>
      </c>
      <c r="I38" s="185">
        <f t="shared" si="3"/>
        <v>28.322159475202664</v>
      </c>
      <c r="J38" s="185">
        <f t="shared" si="4"/>
        <v>233.47069441931134</v>
      </c>
      <c r="K38" s="186">
        <f t="shared" si="8"/>
        <v>36</v>
      </c>
      <c r="L38" s="204"/>
      <c r="M38" s="205"/>
      <c r="N38" s="196"/>
      <c r="O38" s="196"/>
      <c r="P38" s="190">
        <f t="shared" si="9"/>
        <v>0</v>
      </c>
      <c r="Q38" s="190">
        <f t="shared" si="10"/>
        <v>0</v>
      </c>
      <c r="R38" s="190">
        <f t="shared" si="11"/>
        <v>0</v>
      </c>
      <c r="S38" s="190">
        <f t="shared" si="12"/>
        <v>0</v>
      </c>
      <c r="W38" s="188"/>
      <c r="X38" s="188"/>
      <c r="Y38" s="188"/>
    </row>
    <row r="39" spans="1:25" x14ac:dyDescent="0.25">
      <c r="A39" s="181">
        <v>37</v>
      </c>
      <c r="B39" s="181">
        <f t="shared" si="5"/>
        <v>37</v>
      </c>
      <c r="C39" s="182">
        <f t="shared" si="0"/>
        <v>32.900399999999998</v>
      </c>
      <c r="D39" s="182">
        <f t="shared" si="6"/>
        <v>10.096039146303504</v>
      </c>
      <c r="E39" s="182">
        <f t="shared" si="1"/>
        <v>74.885464846478598</v>
      </c>
      <c r="F39" s="183">
        <f t="shared" si="15"/>
        <v>35</v>
      </c>
      <c r="G39" s="185">
        <v>201</v>
      </c>
      <c r="H39" s="185">
        <f t="shared" si="2"/>
        <v>112.56000000000002</v>
      </c>
      <c r="I39" s="185">
        <f t="shared" si="3"/>
        <v>29.933330570949426</v>
      </c>
      <c r="J39" s="185">
        <f t="shared" si="4"/>
        <v>248.17588407773692</v>
      </c>
      <c r="K39" s="186">
        <f t="shared" si="8"/>
        <v>37</v>
      </c>
      <c r="L39" s="204"/>
      <c r="M39" s="204"/>
      <c r="N39" s="187"/>
      <c r="O39" s="187"/>
      <c r="P39" s="190">
        <f t="shared" si="9"/>
        <v>0</v>
      </c>
      <c r="Q39" s="190">
        <f t="shared" si="10"/>
        <v>0</v>
      </c>
      <c r="R39" s="190">
        <f t="shared" si="11"/>
        <v>0</v>
      </c>
      <c r="S39" s="190">
        <f t="shared" si="12"/>
        <v>0</v>
      </c>
      <c r="W39" s="188"/>
      <c r="X39" s="188"/>
      <c r="Y39" s="188"/>
    </row>
    <row r="40" spans="1:25" x14ac:dyDescent="0.25">
      <c r="A40" s="181">
        <v>38</v>
      </c>
      <c r="B40" s="181">
        <f t="shared" si="5"/>
        <v>38</v>
      </c>
      <c r="C40" s="182">
        <f t="shared" si="0"/>
        <v>33.789599999999993</v>
      </c>
      <c r="D40" s="182">
        <f t="shared" si="6"/>
        <v>10.336767985889495</v>
      </c>
      <c r="E40" s="182">
        <f t="shared" si="1"/>
        <v>76.853424242090853</v>
      </c>
      <c r="F40" s="183">
        <f t="shared" si="15"/>
        <v>36</v>
      </c>
      <c r="G40" s="185">
        <f>$G$39+(F40-$F$39)*($G$44-$G$39)/($F$44-$F$39)</f>
        <v>211.8</v>
      </c>
      <c r="H40" s="185">
        <f t="shared" si="2"/>
        <v>118.60800000000002</v>
      </c>
      <c r="I40" s="185">
        <f t="shared" si="3"/>
        <v>31.350118016112177</v>
      </c>
      <c r="J40" s="185">
        <f t="shared" si="4"/>
        <v>261.17705554472872</v>
      </c>
      <c r="K40" s="186">
        <f t="shared" si="8"/>
        <v>38</v>
      </c>
      <c r="L40" s="204"/>
      <c r="M40" s="204"/>
      <c r="N40" s="187"/>
      <c r="O40" s="187"/>
      <c r="P40" s="190">
        <f t="shared" si="9"/>
        <v>0</v>
      </c>
      <c r="Q40" s="190">
        <f t="shared" si="10"/>
        <v>0</v>
      </c>
      <c r="R40" s="190">
        <f t="shared" si="11"/>
        <v>0</v>
      </c>
      <c r="S40" s="190">
        <f t="shared" si="12"/>
        <v>0</v>
      </c>
      <c r="W40" s="188"/>
      <c r="X40" s="188"/>
      <c r="Y40" s="188"/>
    </row>
    <row r="41" spans="1:25" x14ac:dyDescent="0.25">
      <c r="A41" s="181">
        <v>39</v>
      </c>
      <c r="B41" s="181">
        <f t="shared" si="5"/>
        <v>39</v>
      </c>
      <c r="C41" s="182">
        <f t="shared" si="0"/>
        <v>34.678799999999995</v>
      </c>
      <c r="D41" s="182">
        <f t="shared" si="6"/>
        <v>10.576760473435781</v>
      </c>
      <c r="E41" s="182">
        <f t="shared" si="1"/>
        <v>78.820101157900638</v>
      </c>
      <c r="F41" s="183">
        <f t="shared" si="15"/>
        <v>37</v>
      </c>
      <c r="G41" s="185">
        <f>$G$39+(F41-$F$39)*($G$44-$G$39)/($F$44-$F$39)</f>
        <v>222.6</v>
      </c>
      <c r="H41" s="185">
        <f t="shared" si="2"/>
        <v>124.65600000000001</v>
      </c>
      <c r="I41" s="185">
        <f t="shared" si="3"/>
        <v>32.758517314968422</v>
      </c>
      <c r="J41" s="185">
        <f t="shared" si="4"/>
        <v>274.16361765690334</v>
      </c>
      <c r="K41" s="186">
        <f t="shared" si="8"/>
        <v>39</v>
      </c>
      <c r="L41" s="201"/>
      <c r="M41" s="207"/>
      <c r="N41" s="207"/>
      <c r="O41" s="207"/>
      <c r="P41" s="190">
        <f t="shared" si="9"/>
        <v>0</v>
      </c>
      <c r="Q41" s="190">
        <f t="shared" si="10"/>
        <v>0</v>
      </c>
      <c r="R41" s="190">
        <f t="shared" si="11"/>
        <v>0</v>
      </c>
      <c r="S41" s="190">
        <f t="shared" si="12"/>
        <v>0</v>
      </c>
      <c r="W41" s="188"/>
      <c r="X41" s="188"/>
      <c r="Y41" s="188"/>
    </row>
    <row r="42" spans="1:25" x14ac:dyDescent="0.25">
      <c r="A42" s="181">
        <v>40</v>
      </c>
      <c r="B42" s="181">
        <f t="shared" si="5"/>
        <v>40</v>
      </c>
      <c r="C42" s="182">
        <f t="shared" si="0"/>
        <v>35.567999999999998</v>
      </c>
      <c r="D42" s="182">
        <f t="shared" si="6"/>
        <v>10.816037660735208</v>
      </c>
      <c r="E42" s="182">
        <f t="shared" si="1"/>
        <v>80.785532259113808</v>
      </c>
      <c r="F42" s="183">
        <f t="shared" si="15"/>
        <v>38</v>
      </c>
      <c r="G42" s="185">
        <f>$G$39+(F42-$F$39)*($G$44-$G$39)/($F$44-$F$39)</f>
        <v>233.4</v>
      </c>
      <c r="H42" s="185">
        <f t="shared" si="2"/>
        <v>130.70400000000001</v>
      </c>
      <c r="I42" s="185">
        <f t="shared" si="3"/>
        <v>34.158981894673722</v>
      </c>
      <c r="J42" s="185">
        <f t="shared" si="4"/>
        <v>287.13636013322338</v>
      </c>
      <c r="K42" s="186">
        <f t="shared" si="8"/>
        <v>40</v>
      </c>
      <c r="L42" s="204"/>
      <c r="M42" s="204"/>
      <c r="N42" s="187"/>
      <c r="O42" s="187"/>
      <c r="P42" s="190">
        <f t="shared" si="9"/>
        <v>0</v>
      </c>
      <c r="Q42" s="190">
        <f t="shared" si="10"/>
        <v>0</v>
      </c>
      <c r="R42" s="190">
        <f t="shared" si="11"/>
        <v>0</v>
      </c>
      <c r="S42" s="190">
        <f t="shared" si="12"/>
        <v>0</v>
      </c>
      <c r="W42" s="188"/>
      <c r="X42" s="188"/>
      <c r="Y42" s="188"/>
    </row>
    <row r="43" spans="1:25" x14ac:dyDescent="0.25">
      <c r="A43" s="181">
        <v>41</v>
      </c>
      <c r="B43" s="181">
        <f t="shared" si="5"/>
        <v>41</v>
      </c>
      <c r="C43" s="182">
        <f t="shared" si="0"/>
        <v>36.4572</v>
      </c>
      <c r="D43" s="182">
        <f t="shared" si="6"/>
        <v>11.054619486999963</v>
      </c>
      <c r="E43" s="182">
        <f t="shared" si="1"/>
        <v>82.749752273191604</v>
      </c>
      <c r="F43" s="183">
        <f t="shared" si="15"/>
        <v>39</v>
      </c>
      <c r="G43" s="185">
        <f>$G$39+(F43-$F$39)*($G$44-$G$39)/($F$44-$F$39)</f>
        <v>244.2</v>
      </c>
      <c r="H43" s="185">
        <f t="shared" si="2"/>
        <v>136.75200000000001</v>
      </c>
      <c r="I43" s="185">
        <f t="shared" si="3"/>
        <v>35.551920848349972</v>
      </c>
      <c r="J43" s="185">
        <f t="shared" si="4"/>
        <v>300.09599547754289</v>
      </c>
      <c r="K43" s="186">
        <f t="shared" si="8"/>
        <v>41</v>
      </c>
      <c r="L43" s="204"/>
      <c r="M43" s="204"/>
      <c r="N43" s="187"/>
      <c r="O43" s="187"/>
      <c r="P43" s="190">
        <f t="shared" si="9"/>
        <v>0</v>
      </c>
      <c r="Q43" s="190">
        <f t="shared" si="10"/>
        <v>0</v>
      </c>
      <c r="R43" s="190">
        <f t="shared" si="11"/>
        <v>0</v>
      </c>
      <c r="S43" s="190">
        <f t="shared" si="12"/>
        <v>0</v>
      </c>
      <c r="W43" s="188"/>
      <c r="X43" s="188"/>
      <c r="Y43" s="188"/>
    </row>
    <row r="44" spans="1:25" x14ac:dyDescent="0.25">
      <c r="A44" s="181">
        <v>42</v>
      </c>
      <c r="B44" s="181">
        <f t="shared" si="5"/>
        <v>42</v>
      </c>
      <c r="C44" s="182">
        <f t="shared" si="0"/>
        <v>37.346399999999996</v>
      </c>
      <c r="D44" s="182">
        <f t="shared" si="6"/>
        <v>11.292524863342392</v>
      </c>
      <c r="E44" s="182">
        <f t="shared" si="1"/>
        <v>84.712794136987995</v>
      </c>
      <c r="F44" s="183">
        <f t="shared" si="15"/>
        <v>40</v>
      </c>
      <c r="G44" s="209">
        <f>213+42</f>
        <v>255</v>
      </c>
      <c r="H44" s="185">
        <f t="shared" si="2"/>
        <v>142.80000000000001</v>
      </c>
      <c r="I44" s="185">
        <f t="shared" si="3"/>
        <v>36.937705038052215</v>
      </c>
      <c r="J44" s="185">
        <f t="shared" si="4"/>
        <v>313.04316960794102</v>
      </c>
      <c r="K44" s="186">
        <f t="shared" si="8"/>
        <v>42</v>
      </c>
      <c r="L44" s="208"/>
      <c r="M44" s="205"/>
      <c r="N44" s="196"/>
      <c r="O44" s="196"/>
      <c r="P44" s="190">
        <f t="shared" si="9"/>
        <v>0</v>
      </c>
      <c r="Q44" s="190">
        <f t="shared" si="10"/>
        <v>0</v>
      </c>
      <c r="R44" s="190">
        <f t="shared" si="11"/>
        <v>0</v>
      </c>
      <c r="S44" s="190">
        <f t="shared" si="12"/>
        <v>0</v>
      </c>
      <c r="W44" s="188"/>
      <c r="X44" s="188"/>
      <c r="Y44" s="188"/>
    </row>
    <row r="45" spans="1:25" x14ac:dyDescent="0.25">
      <c r="A45" s="181">
        <v>43</v>
      </c>
      <c r="B45" s="181">
        <f t="shared" si="5"/>
        <v>43</v>
      </c>
      <c r="C45" s="182">
        <f t="shared" si="0"/>
        <v>38.235599999999998</v>
      </c>
      <c r="D45" s="182">
        <f t="shared" si="6"/>
        <v>11.529771748983352</v>
      </c>
      <c r="E45" s="182">
        <f t="shared" si="1"/>
        <v>86.674689129479319</v>
      </c>
      <c r="F45" s="183">
        <v>40</v>
      </c>
      <c r="G45" s="209">
        <v>174</v>
      </c>
      <c r="H45" s="185">
        <f t="shared" si="2"/>
        <v>97.440000000000012</v>
      </c>
      <c r="I45" s="185">
        <f t="shared" si="3"/>
        <v>26.351195394682179</v>
      </c>
      <c r="J45" s="185">
        <f t="shared" si="4"/>
        <v>215.60299864573813</v>
      </c>
      <c r="K45" s="186">
        <f t="shared" si="8"/>
        <v>43</v>
      </c>
      <c r="L45" s="204"/>
      <c r="M45" s="204"/>
      <c r="N45" s="187"/>
      <c r="O45" s="187"/>
      <c r="P45" s="190">
        <f t="shared" si="9"/>
        <v>0</v>
      </c>
      <c r="Q45" s="190">
        <f t="shared" si="10"/>
        <v>0</v>
      </c>
      <c r="R45" s="190">
        <f t="shared" si="11"/>
        <v>0</v>
      </c>
      <c r="S45" s="190">
        <f t="shared" si="12"/>
        <v>0</v>
      </c>
      <c r="W45" s="188"/>
      <c r="X45" s="188"/>
      <c r="Y45" s="188"/>
    </row>
    <row r="46" spans="1:25" x14ac:dyDescent="0.25">
      <c r="A46" s="181">
        <v>44</v>
      </c>
      <c r="B46" s="181">
        <f t="shared" si="5"/>
        <v>44</v>
      </c>
      <c r="C46" s="182">
        <f t="shared" si="0"/>
        <v>39.1248</v>
      </c>
      <c r="D46" s="182">
        <f t="shared" si="6"/>
        <v>11.766377220171686</v>
      </c>
      <c r="E46" s="182">
        <f t="shared" si="1"/>
        <v>88.635466991799021</v>
      </c>
      <c r="F46" s="183">
        <f t="shared" ref="F46:F55" si="16">F45+1</f>
        <v>41</v>
      </c>
      <c r="G46" s="209">
        <f>$G$45+(F46-$F$45)*($G$50-$G$45)/($F$50-$F$45)</f>
        <v>183.8</v>
      </c>
      <c r="H46" s="185">
        <f t="shared" si="2"/>
        <v>102.92800000000001</v>
      </c>
      <c r="I46" s="185">
        <f t="shared" si="3"/>
        <v>27.658377225574537</v>
      </c>
      <c r="J46" s="185">
        <f t="shared" si="4"/>
        <v>227.43794033454233</v>
      </c>
      <c r="K46" s="186">
        <f t="shared" si="8"/>
        <v>44</v>
      </c>
      <c r="L46" s="204"/>
      <c r="M46" s="204"/>
      <c r="N46" s="187"/>
      <c r="O46" s="187"/>
      <c r="P46" s="190">
        <f t="shared" si="9"/>
        <v>0</v>
      </c>
      <c r="Q46" s="190">
        <f t="shared" si="10"/>
        <v>0</v>
      </c>
      <c r="R46" s="190">
        <f t="shared" si="11"/>
        <v>0</v>
      </c>
      <c r="S46" s="190">
        <f t="shared" si="12"/>
        <v>0</v>
      </c>
      <c r="W46" s="188"/>
      <c r="X46" s="188"/>
      <c r="Y46" s="188"/>
    </row>
    <row r="47" spans="1:25" x14ac:dyDescent="0.25">
      <c r="A47" s="181">
        <v>45</v>
      </c>
      <c r="B47" s="181">
        <f t="shared" si="5"/>
        <v>45</v>
      </c>
      <c r="C47" s="182">
        <f t="shared" si="0"/>
        <v>40.013999999999996</v>
      </c>
      <c r="D47" s="182">
        <f t="shared" si="6"/>
        <v>12.002357532661732</v>
      </c>
      <c r="E47" s="182">
        <f t="shared" si="1"/>
        <v>90.595156036052515</v>
      </c>
      <c r="F47" s="183">
        <f t="shared" si="16"/>
        <v>42</v>
      </c>
      <c r="G47" s="209">
        <f>$G$45+(F47-$F$45)*($G$50-$G$45)/($F$50-$F$45)</f>
        <v>193.6</v>
      </c>
      <c r="H47" s="185">
        <f t="shared" si="2"/>
        <v>108.41600000000001</v>
      </c>
      <c r="I47" s="185">
        <f t="shared" si="3"/>
        <v>28.95746735509783</v>
      </c>
      <c r="J47" s="185">
        <f t="shared" si="4"/>
        <v>239.25878897679539</v>
      </c>
      <c r="K47" s="186">
        <f t="shared" si="8"/>
        <v>45</v>
      </c>
      <c r="L47" s="201"/>
      <c r="M47" s="201"/>
      <c r="N47" s="201"/>
      <c r="O47" s="201"/>
      <c r="P47" s="190">
        <f t="shared" si="9"/>
        <v>0</v>
      </c>
      <c r="Q47" s="190">
        <f t="shared" si="10"/>
        <v>0</v>
      </c>
      <c r="R47" s="190">
        <f t="shared" si="11"/>
        <v>0</v>
      </c>
      <c r="S47" s="190">
        <f t="shared" si="12"/>
        <v>0</v>
      </c>
      <c r="W47" s="188"/>
      <c r="X47" s="188"/>
      <c r="Y47" s="188"/>
    </row>
    <row r="48" spans="1:25" x14ac:dyDescent="0.25">
      <c r="A48" s="181">
        <v>46</v>
      </c>
      <c r="B48" s="181">
        <f t="shared" si="5"/>
        <v>46</v>
      </c>
      <c r="C48" s="182">
        <f t="shared" si="0"/>
        <v>40.903199999999998</v>
      </c>
      <c r="D48" s="182">
        <f t="shared" si="6"/>
        <v>12.2377281784806</v>
      </c>
      <c r="E48" s="182">
        <f t="shared" si="1"/>
        <v>92.553783244187045</v>
      </c>
      <c r="F48" s="183">
        <f t="shared" si="16"/>
        <v>43</v>
      </c>
      <c r="G48" s="209">
        <f>$G$45+(F48-$F$45)*($G$50-$G$45)/($F$50-$F$45)</f>
        <v>203.4</v>
      </c>
      <c r="H48" s="185">
        <f t="shared" si="2"/>
        <v>113.90400000000001</v>
      </c>
      <c r="I48" s="185">
        <f t="shared" si="3"/>
        <v>30.248922116095741</v>
      </c>
      <c r="J48" s="185">
        <f t="shared" si="4"/>
        <v>251.06633935220006</v>
      </c>
      <c r="K48" s="186">
        <f t="shared" si="8"/>
        <v>46</v>
      </c>
      <c r="L48" s="204"/>
      <c r="M48" s="205"/>
      <c r="N48" s="196"/>
      <c r="O48" s="196"/>
      <c r="P48" s="190">
        <f t="shared" si="9"/>
        <v>0</v>
      </c>
      <c r="Q48" s="190">
        <f t="shared" si="10"/>
        <v>0</v>
      </c>
      <c r="R48" s="190">
        <f t="shared" si="11"/>
        <v>0</v>
      </c>
      <c r="S48" s="190">
        <f t="shared" si="12"/>
        <v>0</v>
      </c>
      <c r="W48" s="188"/>
      <c r="X48" s="188"/>
      <c r="Y48" s="188"/>
    </row>
    <row r="49" spans="1:25" x14ac:dyDescent="0.25">
      <c r="A49" s="181">
        <v>47</v>
      </c>
      <c r="B49" s="181">
        <f t="shared" si="5"/>
        <v>47</v>
      </c>
      <c r="C49" s="182">
        <f t="shared" si="0"/>
        <v>41.792400000000001</v>
      </c>
      <c r="D49" s="182">
        <f t="shared" si="6"/>
        <v>12.472503937619972</v>
      </c>
      <c r="E49" s="182">
        <f t="shared" si="1"/>
        <v>94.511374358021442</v>
      </c>
      <c r="F49" s="183">
        <f t="shared" si="16"/>
        <v>44</v>
      </c>
      <c r="G49" s="209">
        <f>$G$45+(F49-$F$45)*($G$50-$G$45)/($F$50-$F$45)</f>
        <v>213.2</v>
      </c>
      <c r="H49" s="185">
        <f t="shared" si="2"/>
        <v>119.39200000000001</v>
      </c>
      <c r="I49" s="185">
        <f t="shared" si="3"/>
        <v>31.533151383804046</v>
      </c>
      <c r="J49" s="185">
        <f t="shared" si="4"/>
        <v>262.86130532679209</v>
      </c>
      <c r="K49" s="186">
        <f t="shared" si="8"/>
        <v>47</v>
      </c>
      <c r="L49" s="204"/>
      <c r="M49" s="204"/>
      <c r="N49" s="187"/>
      <c r="O49" s="187"/>
      <c r="P49" s="190">
        <f t="shared" si="9"/>
        <v>0</v>
      </c>
      <c r="Q49" s="190">
        <f t="shared" si="10"/>
        <v>0</v>
      </c>
      <c r="R49" s="190">
        <f t="shared" si="11"/>
        <v>0</v>
      </c>
      <c r="S49" s="190">
        <f t="shared" si="12"/>
        <v>0</v>
      </c>
      <c r="W49" s="188"/>
      <c r="X49" s="188"/>
      <c r="Y49" s="188"/>
    </row>
    <row r="50" spans="1:25" x14ac:dyDescent="0.25">
      <c r="A50" s="181">
        <v>48</v>
      </c>
      <c r="B50" s="181">
        <f t="shared" si="5"/>
        <v>48</v>
      </c>
      <c r="C50" s="182">
        <f t="shared" si="0"/>
        <v>42.681600000000003</v>
      </c>
      <c r="D50" s="182">
        <f t="shared" si="6"/>
        <v>12.70669892520443</v>
      </c>
      <c r="E50" s="182">
        <f t="shared" si="1"/>
        <v>96.467953961397711</v>
      </c>
      <c r="F50" s="183">
        <f t="shared" si="16"/>
        <v>45</v>
      </c>
      <c r="G50" s="209">
        <v>223</v>
      </c>
      <c r="H50" s="185">
        <f t="shared" si="2"/>
        <v>124.88000000000001</v>
      </c>
      <c r="I50" s="185">
        <f t="shared" si="3"/>
        <v>32.810525222866438</v>
      </c>
      <c r="J50" s="185">
        <f t="shared" si="4"/>
        <v>274.64433142982574</v>
      </c>
      <c r="K50" s="186">
        <f t="shared" si="8"/>
        <v>48</v>
      </c>
      <c r="L50" s="208"/>
      <c r="M50" s="205"/>
      <c r="N50" s="196"/>
      <c r="O50" s="196"/>
      <c r="P50" s="190"/>
      <c r="Q50" s="190"/>
      <c r="R50" s="190"/>
      <c r="S50" s="190"/>
      <c r="W50" s="188"/>
      <c r="X50" s="188"/>
      <c r="Y50" s="188"/>
    </row>
    <row r="51" spans="1:25" x14ac:dyDescent="0.25">
      <c r="A51" s="181">
        <v>49</v>
      </c>
      <c r="B51" s="181">
        <f t="shared" si="5"/>
        <v>49</v>
      </c>
      <c r="C51" s="182">
        <f t="shared" si="0"/>
        <v>43.570799999999998</v>
      </c>
      <c r="D51" s="182">
        <f t="shared" si="6"/>
        <v>12.940326634618202</v>
      </c>
      <c r="E51" s="182">
        <f t="shared" si="1"/>
        <v>98.423545555293359</v>
      </c>
      <c r="F51" s="183">
        <f t="shared" si="16"/>
        <v>46</v>
      </c>
      <c r="G51" s="210">
        <f>$G$50+(F51-$F$50)*($G$55-$G$50)/($F$55-$F$50)</f>
        <v>231.8</v>
      </c>
      <c r="H51" s="185">
        <f t="shared" si="2"/>
        <v>129.80800000000002</v>
      </c>
      <c r="I51" s="185">
        <f t="shared" si="3"/>
        <v>33.951989953983613</v>
      </c>
      <c r="J51" s="185">
        <f t="shared" si="4"/>
        <v>285.21531583652148</v>
      </c>
      <c r="K51" s="186">
        <f t="shared" si="8"/>
        <v>49</v>
      </c>
      <c r="L51" s="208"/>
      <c r="M51" s="204"/>
      <c r="N51" s="187"/>
      <c r="O51" s="187"/>
      <c r="P51" s="190"/>
      <c r="Q51" s="190"/>
      <c r="R51" s="190"/>
      <c r="S51" s="190"/>
      <c r="W51" s="188"/>
      <c r="X51" s="188"/>
      <c r="Y51" s="188"/>
    </row>
    <row r="52" spans="1:25" x14ac:dyDescent="0.25">
      <c r="A52" s="181">
        <v>50</v>
      </c>
      <c r="B52" s="181">
        <f t="shared" si="5"/>
        <v>50</v>
      </c>
      <c r="C52" s="182">
        <f t="shared" si="0"/>
        <v>44.459999999999994</v>
      </c>
      <c r="D52" s="182">
        <f t="shared" si="6"/>
        <v>13.173399977011854</v>
      </c>
      <c r="E52" s="182">
        <f t="shared" si="1"/>
        <v>100.37817162662895</v>
      </c>
      <c r="F52" s="183">
        <f t="shared" si="16"/>
        <v>47</v>
      </c>
      <c r="G52" s="210">
        <f>$G$50+(F52-$F$50)*($G$55-$G$50)/($F$55-$F$50)</f>
        <v>240.6</v>
      </c>
      <c r="H52" s="185">
        <f t="shared" si="2"/>
        <v>134.73600000000002</v>
      </c>
      <c r="I52" s="185">
        <f t="shared" si="3"/>
        <v>35.088420424388168</v>
      </c>
      <c r="J52" s="185">
        <f t="shared" si="4"/>
        <v>295.77753223914277</v>
      </c>
      <c r="K52" s="186">
        <f t="shared" si="8"/>
        <v>50</v>
      </c>
      <c r="L52" s="204"/>
      <c r="M52" s="204"/>
      <c r="N52" s="187"/>
      <c r="O52" s="187"/>
      <c r="P52" s="190"/>
      <c r="Q52" s="190"/>
      <c r="R52" s="190"/>
      <c r="S52" s="190"/>
      <c r="W52" s="188"/>
      <c r="X52" s="188"/>
      <c r="Y52" s="188"/>
    </row>
    <row r="53" spans="1:25" x14ac:dyDescent="0.25">
      <c r="A53" s="181">
        <v>51</v>
      </c>
      <c r="B53" s="181">
        <f t="shared" si="5"/>
        <v>51</v>
      </c>
      <c r="C53" s="182">
        <f t="shared" si="0"/>
        <v>45.349199999999996</v>
      </c>
      <c r="D53" s="182">
        <f t="shared" si="6"/>
        <v>13.405931317559235</v>
      </c>
      <c r="E53" s="182">
        <f t="shared" si="1"/>
        <v>102.33185371141566</v>
      </c>
      <c r="F53" s="183">
        <f t="shared" si="16"/>
        <v>48</v>
      </c>
      <c r="G53" s="210">
        <f>$G$50+(F53-$F$50)*($G$55-$G$50)/($F$55-$F$50)</f>
        <v>249.4</v>
      </c>
      <c r="H53" s="185">
        <f t="shared" si="2"/>
        <v>139.66400000000002</v>
      </c>
      <c r="I53" s="185">
        <f t="shared" si="3"/>
        <v>36.22002185208828</v>
      </c>
      <c r="J53" s="185">
        <f t="shared" si="4"/>
        <v>306.33133805905373</v>
      </c>
      <c r="K53" s="186">
        <f t="shared" si="8"/>
        <v>51</v>
      </c>
      <c r="L53" s="204"/>
      <c r="M53" s="204"/>
      <c r="N53" s="187"/>
      <c r="O53" s="187"/>
      <c r="P53" s="190"/>
      <c r="Q53" s="190"/>
      <c r="R53" s="190"/>
      <c r="S53" s="190"/>
      <c r="W53" s="188"/>
      <c r="X53" s="188"/>
      <c r="Y53" s="188"/>
    </row>
    <row r="54" spans="1:25" x14ac:dyDescent="0.25">
      <c r="A54" s="181">
        <v>52</v>
      </c>
      <c r="B54" s="181">
        <f t="shared" si="5"/>
        <v>52</v>
      </c>
      <c r="C54" s="182">
        <f t="shared" si="0"/>
        <v>46.238399999999999</v>
      </c>
      <c r="D54" s="182">
        <f t="shared" si="6"/>
        <v>13.637932508790355</v>
      </c>
      <c r="E54" s="182">
        <f t="shared" si="1"/>
        <v>104.28461245280987</v>
      </c>
      <c r="F54" s="183">
        <f t="shared" si="16"/>
        <v>49</v>
      </c>
      <c r="G54" s="210">
        <f>$G$50+(F54-$F$50)*($G$55-$G$50)/($F$55-$F$50)</f>
        <v>258.2</v>
      </c>
      <c r="H54" s="185">
        <f t="shared" si="2"/>
        <v>144.59200000000001</v>
      </c>
      <c r="I54" s="185">
        <f t="shared" si="3"/>
        <v>37.346984151880989</v>
      </c>
      <c r="J54" s="185">
        <f t="shared" si="4"/>
        <v>316.87706406452611</v>
      </c>
      <c r="K54" s="186">
        <f t="shared" si="8"/>
        <v>52</v>
      </c>
      <c r="L54" s="201"/>
      <c r="M54" s="201"/>
      <c r="N54" s="201"/>
      <c r="O54" s="201"/>
      <c r="P54" s="190"/>
      <c r="Q54" s="190"/>
      <c r="R54" s="190"/>
      <c r="S54" s="190"/>
      <c r="W54" s="188"/>
      <c r="X54" s="188"/>
      <c r="Y54" s="188"/>
    </row>
    <row r="55" spans="1:25" x14ac:dyDescent="0.25">
      <c r="A55" s="181">
        <v>53</v>
      </c>
      <c r="B55" s="181">
        <f t="shared" si="5"/>
        <v>53</v>
      </c>
      <c r="C55" s="182">
        <f t="shared" si="0"/>
        <v>47.127599999999994</v>
      </c>
      <c r="D55" s="182">
        <f t="shared" si="6"/>
        <v>13.869414921287742</v>
      </c>
      <c r="E55" s="182">
        <f t="shared" si="1"/>
        <v>106.23646765457613</v>
      </c>
      <c r="F55" s="183">
        <f t="shared" si="16"/>
        <v>50</v>
      </c>
      <c r="G55" s="210">
        <f>231+36</f>
        <v>267</v>
      </c>
      <c r="H55" s="185">
        <f t="shared" si="2"/>
        <v>149.52000000000001</v>
      </c>
      <c r="I55" s="185">
        <f t="shared" si="3"/>
        <v>38.469483558825885</v>
      </c>
      <c r="J55" s="185">
        <f t="shared" si="4"/>
        <v>327.41501719828841</v>
      </c>
      <c r="K55" s="186">
        <f t="shared" si="8"/>
        <v>53</v>
      </c>
      <c r="L55" s="204"/>
      <c r="M55" s="205"/>
      <c r="N55" s="196"/>
      <c r="O55" s="196"/>
      <c r="P55" s="190"/>
      <c r="Q55" s="190"/>
      <c r="R55" s="190"/>
      <c r="S55" s="190"/>
      <c r="W55" s="188"/>
      <c r="X55" s="188"/>
      <c r="Y55" s="188"/>
    </row>
    <row r="56" spans="1:25" x14ac:dyDescent="0.25">
      <c r="A56" s="181">
        <v>54</v>
      </c>
      <c r="B56" s="181">
        <f t="shared" si="5"/>
        <v>54</v>
      </c>
      <c r="C56" s="182">
        <f t="shared" si="0"/>
        <v>48.016799999999996</v>
      </c>
      <c r="D56" s="182">
        <f t="shared" si="6"/>
        <v>14.10038947200055</v>
      </c>
      <c r="E56" s="182">
        <f t="shared" si="1"/>
        <v>108.18743833040095</v>
      </c>
      <c r="F56" s="183">
        <v>50</v>
      </c>
      <c r="G56" s="210">
        <v>199</v>
      </c>
      <c r="H56" s="185">
        <f t="shared" si="2"/>
        <v>111.44000000000001</v>
      </c>
      <c r="I56" s="185">
        <f t="shared" si="3"/>
        <v>29.670002564032004</v>
      </c>
      <c r="J56" s="185">
        <f t="shared" si="4"/>
        <v>245.76658779902243</v>
      </c>
      <c r="K56" s="186">
        <f t="shared" si="8"/>
        <v>54</v>
      </c>
      <c r="L56" s="187"/>
      <c r="M56" s="196"/>
      <c r="N56" s="196"/>
      <c r="O56" s="196"/>
      <c r="P56" s="190"/>
      <c r="Q56" s="190"/>
      <c r="R56" s="190"/>
      <c r="S56" s="190"/>
      <c r="W56" s="188"/>
      <c r="X56" s="188"/>
      <c r="Y56" s="188"/>
    </row>
    <row r="57" spans="1:25" x14ac:dyDescent="0.25">
      <c r="A57" s="181">
        <v>55</v>
      </c>
      <c r="B57" s="181">
        <f t="shared" si="5"/>
        <v>55</v>
      </c>
      <c r="C57" s="182">
        <f t="shared" si="0"/>
        <v>48.905999999999999</v>
      </c>
      <c r="D57" s="182">
        <f t="shared" si="6"/>
        <v>14.330866650402026</v>
      </c>
      <c r="E57" s="182">
        <f t="shared" si="1"/>
        <v>110.13754274945018</v>
      </c>
      <c r="F57" s="183">
        <f t="shared" ref="F57:F66" si="17">F56+1</f>
        <v>51</v>
      </c>
      <c r="G57" s="210">
        <f>$G$56+(F57-$F$56)*($G$61-$G$56)/($F$61-$F$56)</f>
        <v>206.6</v>
      </c>
      <c r="H57" s="185">
        <f t="shared" si="2"/>
        <v>115.69600000000001</v>
      </c>
      <c r="I57" s="185">
        <f t="shared" si="3"/>
        <v>30.669038012373807</v>
      </c>
      <c r="J57" s="185">
        <f t="shared" si="4"/>
        <v>254.91910787155106</v>
      </c>
      <c r="K57" s="186">
        <f t="shared" si="8"/>
        <v>55</v>
      </c>
      <c r="L57" s="187"/>
      <c r="M57" s="187"/>
      <c r="N57" s="187"/>
      <c r="O57" s="187"/>
      <c r="P57" s="190"/>
      <c r="Q57" s="190"/>
      <c r="R57" s="190"/>
      <c r="S57" s="190"/>
      <c r="W57" s="188"/>
      <c r="X57" s="188"/>
      <c r="Y57" s="188"/>
    </row>
    <row r="58" spans="1:25" x14ac:dyDescent="0.25">
      <c r="A58" s="181">
        <v>56</v>
      </c>
      <c r="B58" s="181">
        <f t="shared" si="5"/>
        <v>56</v>
      </c>
      <c r="C58" s="182">
        <f t="shared" si="0"/>
        <v>49.795200000000001</v>
      </c>
      <c r="D58" s="182">
        <f t="shared" si="6"/>
        <v>14.560856542690781</v>
      </c>
      <c r="E58" s="182">
        <f t="shared" si="1"/>
        <v>112.08679847851977</v>
      </c>
      <c r="F58" s="183">
        <f t="shared" si="17"/>
        <v>52</v>
      </c>
      <c r="G58" s="210">
        <f>$G$56+(F58-$F$56)*($G$61-$G$56)/($F$61-$F$56)</f>
        <v>214.2</v>
      </c>
      <c r="H58" s="185">
        <f t="shared" si="2"/>
        <v>119.952</v>
      </c>
      <c r="I58" s="185">
        <f t="shared" si="3"/>
        <v>31.663803821709188</v>
      </c>
      <c r="J58" s="185">
        <f t="shared" si="4"/>
        <v>264.06419165614346</v>
      </c>
      <c r="K58" s="186">
        <f t="shared" si="8"/>
        <v>56</v>
      </c>
      <c r="L58" s="203"/>
      <c r="M58" s="187"/>
      <c r="N58" s="187"/>
      <c r="O58" s="187"/>
      <c r="P58" s="190"/>
      <c r="Q58" s="190"/>
      <c r="R58" s="190"/>
      <c r="S58" s="190"/>
      <c r="T58" s="188"/>
      <c r="U58" s="188"/>
      <c r="V58" s="188"/>
      <c r="W58" s="188"/>
      <c r="X58" s="188"/>
      <c r="Y58" s="188"/>
    </row>
    <row r="59" spans="1:25" x14ac:dyDescent="0.25">
      <c r="A59" s="181">
        <v>57</v>
      </c>
      <c r="B59" s="181">
        <f t="shared" si="5"/>
        <v>57</v>
      </c>
      <c r="C59" s="182">
        <f t="shared" si="0"/>
        <v>50.684399999999997</v>
      </c>
      <c r="D59" s="182">
        <f t="shared" si="6"/>
        <v>14.790368854214469</v>
      </c>
      <c r="E59" s="182">
        <f t="shared" si="1"/>
        <v>114.03522242109018</v>
      </c>
      <c r="F59" s="183">
        <f t="shared" si="17"/>
        <v>53</v>
      </c>
      <c r="G59" s="210">
        <f>$G$56+(F59-$F$56)*($G$61-$G$56)/($F$61-$F$56)</f>
        <v>221.8</v>
      </c>
      <c r="H59" s="185">
        <f t="shared" si="2"/>
        <v>124.20800000000001</v>
      </c>
      <c r="I59" s="185">
        <f t="shared" si="3"/>
        <v>32.65446883926203</v>
      </c>
      <c r="J59" s="185">
        <f t="shared" si="4"/>
        <v>273.2021332283814</v>
      </c>
      <c r="K59" s="186">
        <f t="shared" si="8"/>
        <v>57</v>
      </c>
      <c r="L59" s="187"/>
      <c r="M59" s="187"/>
      <c r="N59" s="187"/>
      <c r="O59" s="187"/>
      <c r="P59" s="190"/>
      <c r="Q59" s="190"/>
      <c r="R59" s="190"/>
      <c r="S59" s="190"/>
      <c r="T59" s="188"/>
      <c r="U59" s="188"/>
      <c r="V59" s="188"/>
      <c r="W59" s="188"/>
      <c r="X59" s="188"/>
      <c r="Y59" s="188"/>
    </row>
    <row r="60" spans="1:25" x14ac:dyDescent="0.25">
      <c r="A60" s="181">
        <v>58</v>
      </c>
      <c r="B60" s="181">
        <f t="shared" si="5"/>
        <v>58</v>
      </c>
      <c r="C60" s="182">
        <f t="shared" si="0"/>
        <v>51.573599999999992</v>
      </c>
      <c r="D60" s="182">
        <f t="shared" si="6"/>
        <v>15.019412930275323</v>
      </c>
      <c r="E60" s="182">
        <f t="shared" si="1"/>
        <v>115.98283085356282</v>
      </c>
      <c r="F60" s="183">
        <f t="shared" si="17"/>
        <v>54</v>
      </c>
      <c r="G60" s="210">
        <f>$G$56+(F60-$F$56)*($G$61-$G$56)/($F$61-$F$56)</f>
        <v>229.4</v>
      </c>
      <c r="H60" s="185">
        <f t="shared" si="2"/>
        <v>128.46400000000003</v>
      </c>
      <c r="I60" s="185">
        <f t="shared" si="3"/>
        <v>33.641189684783953</v>
      </c>
      <c r="J60" s="185">
        <f t="shared" si="4"/>
        <v>282.33320536766536</v>
      </c>
      <c r="K60" s="186">
        <f t="shared" si="8"/>
        <v>58</v>
      </c>
      <c r="L60" s="187"/>
      <c r="M60" s="187"/>
      <c r="N60" s="187"/>
      <c r="O60" s="187"/>
      <c r="P60" s="190"/>
      <c r="Q60" s="190"/>
      <c r="R60" s="190"/>
      <c r="S60" s="190"/>
      <c r="T60" s="188"/>
      <c r="U60" s="188"/>
      <c r="V60" s="188"/>
      <c r="W60" s="188"/>
      <c r="X60" s="188"/>
      <c r="Y60" s="188"/>
    </row>
    <row r="61" spans="1:25" x14ac:dyDescent="0.25">
      <c r="A61" s="181">
        <v>59</v>
      </c>
      <c r="B61" s="181">
        <f t="shared" si="5"/>
        <v>59</v>
      </c>
      <c r="C61" s="182">
        <f t="shared" si="0"/>
        <v>52.462799999999994</v>
      </c>
      <c r="D61" s="182">
        <f t="shared" si="6"/>
        <v>15.247997775460169</v>
      </c>
      <c r="E61" s="182">
        <f t="shared" si="1"/>
        <v>117.92963945892645</v>
      </c>
      <c r="F61" s="183">
        <f t="shared" si="17"/>
        <v>55</v>
      </c>
      <c r="G61" s="210">
        <v>237</v>
      </c>
      <c r="H61" s="185">
        <f t="shared" si="2"/>
        <v>132.72</v>
      </c>
      <c r="I61" s="185">
        <f t="shared" si="3"/>
        <v>34.624112011504067</v>
      </c>
      <c r="J61" s="185">
        <f t="shared" si="4"/>
        <v>291.45766175336962</v>
      </c>
      <c r="K61" s="186">
        <f t="shared" si="8"/>
        <v>59</v>
      </c>
      <c r="L61" s="201"/>
      <c r="M61" s="201"/>
      <c r="N61" s="201"/>
      <c r="O61" s="201"/>
      <c r="P61" s="190"/>
      <c r="Q61" s="190"/>
      <c r="R61" s="190"/>
      <c r="S61" s="190"/>
      <c r="T61" s="188"/>
      <c r="U61" s="188"/>
      <c r="V61" s="188"/>
      <c r="W61" s="188"/>
      <c r="X61" s="188"/>
      <c r="Y61" s="188"/>
    </row>
    <row r="62" spans="1:25" x14ac:dyDescent="0.25">
      <c r="A62" s="181">
        <v>60</v>
      </c>
      <c r="B62" s="181">
        <f t="shared" si="5"/>
        <v>60</v>
      </c>
      <c r="C62" s="182">
        <f t="shared" si="0"/>
        <v>53.351999999999997</v>
      </c>
      <c r="D62" s="182">
        <f t="shared" si="6"/>
        <v>15.476132071622843</v>
      </c>
      <c r="E62" s="182">
        <f t="shared" si="1"/>
        <v>119.87566335807644</v>
      </c>
      <c r="F62" s="183">
        <f t="shared" si="17"/>
        <v>56</v>
      </c>
      <c r="G62" s="210">
        <f>$G$61+(F62-$F$61)*($G$66-$G$61)/($F$66-$F$61)</f>
        <v>243.8</v>
      </c>
      <c r="H62" s="185">
        <f t="shared" si="2"/>
        <v>136.52800000000002</v>
      </c>
      <c r="I62" s="185">
        <f t="shared" si="3"/>
        <v>35.500460285192347</v>
      </c>
      <c r="J62" s="185">
        <f t="shared" si="4"/>
        <v>299.61623499670998</v>
      </c>
      <c r="K62" s="186">
        <f t="shared" si="8"/>
        <v>60</v>
      </c>
      <c r="L62" s="201"/>
      <c r="M62" s="207"/>
      <c r="N62" s="207"/>
      <c r="O62" s="207"/>
      <c r="P62" s="190"/>
      <c r="Q62" s="190"/>
      <c r="R62" s="190"/>
      <c r="S62" s="190"/>
      <c r="T62" s="188"/>
      <c r="U62" s="188"/>
      <c r="V62" s="188"/>
    </row>
    <row r="63" spans="1:25" x14ac:dyDescent="0.25">
      <c r="A63" s="181">
        <v>61</v>
      </c>
      <c r="B63" s="181">
        <f t="shared" si="5"/>
        <v>61</v>
      </c>
      <c r="C63" s="182">
        <f t="shared" si="0"/>
        <v>54.241199999999999</v>
      </c>
      <c r="D63" s="182">
        <f t="shared" si="6"/>
        <v>15.703824194633755</v>
      </c>
      <c r="E63" s="182">
        <f t="shared" si="1"/>
        <v>121.82091713898713</v>
      </c>
      <c r="F63" s="183">
        <f t="shared" si="17"/>
        <v>57</v>
      </c>
      <c r="G63" s="210">
        <f>$G$61+(F63-$F$61)*($G$66-$G$61)/($F$66-$F$61)</f>
        <v>250.6</v>
      </c>
      <c r="H63" s="185">
        <f t="shared" si="2"/>
        <v>140.33600000000001</v>
      </c>
      <c r="I63" s="185">
        <f t="shared" si="3"/>
        <v>36.373967634759062</v>
      </c>
      <c r="J63" s="185">
        <f t="shared" si="4"/>
        <v>307.76986029720541</v>
      </c>
      <c r="K63" s="186">
        <f t="shared" si="8"/>
        <v>61</v>
      </c>
      <c r="L63" s="201"/>
      <c r="M63" s="201"/>
      <c r="N63" s="201"/>
      <c r="O63" s="201"/>
      <c r="P63" s="190"/>
      <c r="Q63" s="190"/>
      <c r="R63" s="190"/>
      <c r="S63" s="190"/>
      <c r="T63" s="188"/>
      <c r="U63" s="188"/>
      <c r="V63" s="188"/>
    </row>
    <row r="64" spans="1:25" x14ac:dyDescent="0.25">
      <c r="A64" s="181">
        <v>62</v>
      </c>
      <c r="B64" s="181">
        <f t="shared" si="5"/>
        <v>62</v>
      </c>
      <c r="C64" s="182">
        <f t="shared" si="0"/>
        <v>55.130399999999995</v>
      </c>
      <c r="D64" s="182">
        <f t="shared" si="6"/>
        <v>15.931082230000035</v>
      </c>
      <c r="E64" s="182">
        <f t="shared" si="1"/>
        <v>123.7654148839167</v>
      </c>
      <c r="F64" s="183">
        <f t="shared" si="17"/>
        <v>58</v>
      </c>
      <c r="G64" s="210">
        <f>$G$61+(F64-$F$61)*($G$66-$G$61)/($F$66-$F$61)</f>
        <v>257.39999999999998</v>
      </c>
      <c r="H64" s="185">
        <f t="shared" si="2"/>
        <v>144.14400000000001</v>
      </c>
      <c r="I64" s="185">
        <f t="shared" si="3"/>
        <v>37.244720006976252</v>
      </c>
      <c r="J64" s="185">
        <f t="shared" si="4"/>
        <v>315.91868734548365</v>
      </c>
      <c r="K64" s="186">
        <f t="shared" si="8"/>
        <v>62</v>
      </c>
      <c r="L64" s="201"/>
      <c r="M64" s="201"/>
      <c r="N64" s="201"/>
      <c r="O64" s="201"/>
      <c r="P64" s="190"/>
      <c r="Q64" s="190"/>
      <c r="R64" s="190"/>
      <c r="S64" s="190"/>
    </row>
    <row r="65" spans="1:19" x14ac:dyDescent="0.25">
      <c r="A65" s="181">
        <v>63</v>
      </c>
      <c r="B65" s="181">
        <f t="shared" si="5"/>
        <v>63</v>
      </c>
      <c r="C65" s="182">
        <f t="shared" si="0"/>
        <v>56.019599999999997</v>
      </c>
      <c r="D65" s="182">
        <f t="shared" si="6"/>
        <v>16.15791398744928</v>
      </c>
      <c r="E65" s="182">
        <f t="shared" si="1"/>
        <v>125.70917019480748</v>
      </c>
      <c r="F65" s="183">
        <f t="shared" si="17"/>
        <v>59</v>
      </c>
      <c r="G65" s="210">
        <f>$G$61+(F65-$F$61)*($G$66-$G$61)/($F$66-$F$61)</f>
        <v>264.2</v>
      </c>
      <c r="H65" s="185">
        <f t="shared" si="2"/>
        <v>147.952</v>
      </c>
      <c r="I65" s="185">
        <f t="shared" si="3"/>
        <v>38.112798548931586</v>
      </c>
      <c r="J65" s="185">
        <f t="shared" si="4"/>
        <v>324.0628574727225</v>
      </c>
      <c r="K65" s="186">
        <f t="shared" si="8"/>
        <v>63</v>
      </c>
      <c r="L65" s="201"/>
      <c r="M65" s="201"/>
      <c r="N65" s="201"/>
      <c r="O65" s="201"/>
      <c r="P65" s="190"/>
      <c r="Q65" s="190"/>
      <c r="R65" s="190"/>
      <c r="S65" s="190"/>
    </row>
    <row r="66" spans="1:19" x14ac:dyDescent="0.25">
      <c r="A66" s="181">
        <v>64</v>
      </c>
      <c r="B66" s="181">
        <f t="shared" si="5"/>
        <v>64</v>
      </c>
      <c r="C66" s="182">
        <f t="shared" si="0"/>
        <v>56.908799999999999</v>
      </c>
      <c r="D66" s="182">
        <f t="shared" si="6"/>
        <v>16.384327014561205</v>
      </c>
      <c r="E66" s="182">
        <f t="shared" si="1"/>
        <v>127.65219621702742</v>
      </c>
      <c r="F66" s="183">
        <f t="shared" si="17"/>
        <v>60</v>
      </c>
      <c r="G66" s="210">
        <f>242+29</f>
        <v>271</v>
      </c>
      <c r="H66" s="185">
        <f t="shared" si="2"/>
        <v>151.76000000000002</v>
      </c>
      <c r="I66" s="185">
        <f t="shared" si="3"/>
        <v>38.978279992607398</v>
      </c>
      <c r="J66" s="185">
        <f t="shared" si="4"/>
        <v>332.20250432045793</v>
      </c>
      <c r="K66" s="186">
        <f t="shared" si="8"/>
        <v>64</v>
      </c>
      <c r="L66" s="206"/>
      <c r="M66" s="201"/>
      <c r="N66" s="201"/>
      <c r="O66" s="201"/>
      <c r="P66" s="190"/>
      <c r="Q66" s="190"/>
      <c r="R66" s="190"/>
      <c r="S66" s="190"/>
    </row>
    <row r="67" spans="1:19" x14ac:dyDescent="0.25">
      <c r="A67" s="181">
        <v>65</v>
      </c>
      <c r="B67" s="181">
        <f t="shared" si="5"/>
        <v>65</v>
      </c>
      <c r="C67" s="182">
        <f t="shared" ref="C67:C72" si="18">B67*$Y$1*1.56</f>
        <v>57.797999999999995</v>
      </c>
      <c r="D67" s="182">
        <f t="shared" si="6"/>
        <v>16.610328609522991</v>
      </c>
      <c r="E67" s="182">
        <f t="shared" ref="E67:E72" si="19">(C67+D67)*0.475*44/12</f>
        <v>129.59450566158586</v>
      </c>
      <c r="F67" s="183">
        <v>60</v>
      </c>
      <c r="G67" s="210">
        <v>216</v>
      </c>
      <c r="H67" s="185">
        <f t="shared" ref="H67:H78" si="20">G67*$W$1</f>
        <v>120.96000000000001</v>
      </c>
      <c r="I67" s="185">
        <f t="shared" ref="I67:I77" si="21">EXP(-1.0587+0.8836*LN(H67)+0.284)</f>
        <v>31.898799588373006</v>
      </c>
      <c r="J67" s="185">
        <f t="shared" ref="J67:J78" si="22">(H67+I67)*0.475*44/12</f>
        <v>266.22907594974964</v>
      </c>
      <c r="K67" s="186">
        <f t="shared" si="8"/>
        <v>65</v>
      </c>
      <c r="L67" s="201"/>
      <c r="M67" s="201"/>
      <c r="N67" s="201"/>
      <c r="O67" s="201"/>
      <c r="P67" s="190"/>
      <c r="Q67" s="190"/>
      <c r="R67" s="190"/>
      <c r="S67" s="190"/>
    </row>
    <row r="68" spans="1:19" x14ac:dyDescent="0.25">
      <c r="A68" s="181">
        <v>66</v>
      </c>
      <c r="B68" s="181">
        <f>B67+1</f>
        <v>66</v>
      </c>
      <c r="C68" s="182">
        <f t="shared" si="18"/>
        <v>58.687199999999997</v>
      </c>
      <c r="D68" s="182">
        <f>EXP(-1.0587+0.8836*LN(C68)+0.284)</f>
        <v>16.835925833077539</v>
      </c>
      <c r="E68" s="182">
        <f t="shared" si="19"/>
        <v>131.53611082594338</v>
      </c>
      <c r="F68" s="183">
        <f t="shared" ref="F68:F77" si="23">F67+1</f>
        <v>61</v>
      </c>
      <c r="G68" s="210">
        <f>$G$67+(F68-$F$67)*($G$72-$G$67)/($F$72-$F$67)</f>
        <v>222</v>
      </c>
      <c r="H68" s="185">
        <f t="shared" si="20"/>
        <v>124.32000000000001</v>
      </c>
      <c r="I68" s="185">
        <f t="shared" si="21"/>
        <v>32.68048504751404</v>
      </c>
      <c r="J68" s="185">
        <f t="shared" si="22"/>
        <v>273.4425114577536</v>
      </c>
      <c r="K68" s="186">
        <f t="shared" ref="K68:K78" si="24">K67+1</f>
        <v>66</v>
      </c>
      <c r="L68" s="201"/>
      <c r="M68" s="201"/>
      <c r="N68" s="201"/>
      <c r="O68" s="201"/>
      <c r="P68" s="190"/>
      <c r="Q68" s="190"/>
      <c r="R68" s="190"/>
      <c r="S68" s="190"/>
    </row>
    <row r="69" spans="1:19" x14ac:dyDescent="0.25">
      <c r="A69" s="181">
        <v>67</v>
      </c>
      <c r="B69" s="181">
        <f>B68+1</f>
        <v>67</v>
      </c>
      <c r="C69" s="182">
        <f t="shared" si="18"/>
        <v>59.5764</v>
      </c>
      <c r="D69" s="182">
        <f>EXP(-1.0587+0.8836*LN(C69)+0.284)</f>
        <v>17.06112551972695</v>
      </c>
      <c r="E69" s="182">
        <f t="shared" si="19"/>
        <v>133.47702361352444</v>
      </c>
      <c r="F69" s="183">
        <f t="shared" si="23"/>
        <v>62</v>
      </c>
      <c r="G69" s="210">
        <f>$G$67+(F69-$F$67)*($G$72-$G$67)/($F$72-$F$67)</f>
        <v>228</v>
      </c>
      <c r="H69" s="185">
        <f t="shared" si="20"/>
        <v>127.68</v>
      </c>
      <c r="I69" s="185">
        <f t="shared" si="21"/>
        <v>33.459714914652182</v>
      </c>
      <c r="J69" s="185">
        <f>(H69+I69)*0.475*44/12</f>
        <v>280.6516701430192</v>
      </c>
      <c r="K69" s="186">
        <f t="shared" si="24"/>
        <v>67</v>
      </c>
      <c r="L69" s="201"/>
      <c r="M69" s="201"/>
      <c r="N69" s="201"/>
      <c r="O69" s="201"/>
      <c r="P69" s="190"/>
      <c r="Q69" s="190"/>
      <c r="R69" s="190"/>
      <c r="S69" s="190"/>
    </row>
    <row r="70" spans="1:19" x14ac:dyDescent="0.25">
      <c r="A70" s="181">
        <v>68</v>
      </c>
      <c r="B70" s="181">
        <f>B69+1</f>
        <v>68</v>
      </c>
      <c r="C70" s="182">
        <f t="shared" si="18"/>
        <v>60.465600000000002</v>
      </c>
      <c r="D70" s="182">
        <f>EXP(-1.0587+0.8836*LN(C70)+0.284)</f>
        <v>17.28593428824821</v>
      </c>
      <c r="E70" s="182">
        <f t="shared" si="19"/>
        <v>135.41725555203229</v>
      </c>
      <c r="F70" s="183">
        <f t="shared" si="23"/>
        <v>63</v>
      </c>
      <c r="G70" s="210">
        <f>$G$67+(F70-$F$67)*($G$72-$G$67)/($F$72-$F$67)</f>
        <v>234</v>
      </c>
      <c r="H70" s="185">
        <f t="shared" si="20"/>
        <v>131.04000000000002</v>
      </c>
      <c r="I70" s="185">
        <f t="shared" si="21"/>
        <v>34.236561238949918</v>
      </c>
      <c r="J70" s="185">
        <f t="shared" si="22"/>
        <v>287.85667749117118</v>
      </c>
      <c r="K70" s="186">
        <f t="shared" si="24"/>
        <v>68</v>
      </c>
      <c r="L70" s="201"/>
      <c r="M70" s="201"/>
      <c r="N70" s="201"/>
      <c r="O70" s="201"/>
      <c r="P70" s="190"/>
      <c r="Q70" s="190"/>
      <c r="R70" s="190"/>
      <c r="S70" s="190"/>
    </row>
    <row r="71" spans="1:19" x14ac:dyDescent="0.25">
      <c r="A71" s="181">
        <v>69</v>
      </c>
      <c r="B71" s="181">
        <f>B70+1</f>
        <v>69</v>
      </c>
      <c r="C71" s="182">
        <f t="shared" si="18"/>
        <v>61.354799999999997</v>
      </c>
      <c r="D71" s="182">
        <f>EXP(-1.0587+0.8836*LN(C71)+0.284)</f>
        <v>17.510358551572615</v>
      </c>
      <c r="E71" s="182">
        <f t="shared" si="19"/>
        <v>137.35681781065566</v>
      </c>
      <c r="F71" s="183">
        <f t="shared" si="23"/>
        <v>64</v>
      </c>
      <c r="G71" s="210">
        <f>$G$67+(F71-$F$67)*($G$72-$G$67)/($F$72-$F$67)</f>
        <v>240</v>
      </c>
      <c r="H71" s="185">
        <f t="shared" si="20"/>
        <v>134.4</v>
      </c>
      <c r="I71" s="185">
        <f t="shared" si="21"/>
        <v>35.011092164239862</v>
      </c>
      <c r="J71" s="185">
        <f t="shared" si="22"/>
        <v>295.05765218605109</v>
      </c>
      <c r="K71" s="186">
        <f t="shared" si="24"/>
        <v>69</v>
      </c>
      <c r="L71" s="201"/>
      <c r="M71" s="201"/>
      <c r="N71" s="201"/>
      <c r="O71" s="201"/>
      <c r="P71" s="190"/>
      <c r="Q71" s="190"/>
      <c r="R71" s="190"/>
      <c r="S71" s="190"/>
    </row>
    <row r="72" spans="1:19" x14ac:dyDescent="0.25">
      <c r="A72" s="181">
        <v>70</v>
      </c>
      <c r="B72" s="181">
        <f>B71+1</f>
        <v>70</v>
      </c>
      <c r="C72" s="182">
        <f t="shared" si="18"/>
        <v>62.244</v>
      </c>
      <c r="D72" s="182">
        <f>EXP(-1.0587+0.8836*LN(C72)+0.284)</f>
        <v>17.734404526076432</v>
      </c>
      <c r="E72" s="182">
        <f t="shared" si="19"/>
        <v>139.29572121624977</v>
      </c>
      <c r="F72" s="183">
        <f t="shared" si="23"/>
        <v>65</v>
      </c>
      <c r="G72" s="209">
        <v>246</v>
      </c>
      <c r="H72" s="185">
        <f t="shared" si="20"/>
        <v>137.76000000000002</v>
      </c>
      <c r="I72" s="185">
        <f t="shared" si="21"/>
        <v>35.783372232974457</v>
      </c>
      <c r="J72" s="185">
        <f t="shared" si="22"/>
        <v>302.25470663909721</v>
      </c>
      <c r="K72" s="186">
        <f t="shared" si="24"/>
        <v>70</v>
      </c>
      <c r="L72" s="206"/>
      <c r="M72" s="201"/>
      <c r="N72" s="201"/>
      <c r="O72" s="201"/>
      <c r="P72" s="190"/>
      <c r="Q72" s="190"/>
      <c r="R72" s="190"/>
      <c r="S72" s="190"/>
    </row>
    <row r="73" spans="1:19" x14ac:dyDescent="0.25">
      <c r="A73" s="188"/>
      <c r="B73" s="188"/>
      <c r="C73" s="189"/>
      <c r="D73" s="189"/>
      <c r="E73" s="189"/>
      <c r="F73" s="183">
        <f t="shared" si="23"/>
        <v>66</v>
      </c>
      <c r="G73" s="209">
        <f>$G$72+(F73-$F$72)*($G$77-$G$72)/($F$77-$F$72)</f>
        <v>251.2</v>
      </c>
      <c r="H73" s="185">
        <f t="shared" si="20"/>
        <v>140.672</v>
      </c>
      <c r="I73" s="185">
        <f t="shared" si="21"/>
        <v>36.450908328810399</v>
      </c>
      <c r="J73" s="185">
        <f t="shared" si="22"/>
        <v>308.48906533934479</v>
      </c>
      <c r="K73" s="186">
        <f t="shared" si="24"/>
        <v>71</v>
      </c>
      <c r="L73" s="201"/>
      <c r="M73" s="18"/>
      <c r="N73" s="18"/>
      <c r="O73" s="18"/>
      <c r="P73" s="18"/>
      <c r="Q73" s="18"/>
      <c r="R73" s="18"/>
      <c r="S73" s="18"/>
    </row>
    <row r="74" spans="1:19" x14ac:dyDescent="0.25">
      <c r="A74" s="188"/>
      <c r="B74" s="188"/>
      <c r="C74" s="189"/>
      <c r="D74" s="189"/>
      <c r="E74" s="189"/>
      <c r="F74" s="183">
        <f t="shared" si="23"/>
        <v>67</v>
      </c>
      <c r="G74" s="209">
        <f>$G$72+(F74-$F$72)*($G$77-$G$72)/($F$77-$F$72)</f>
        <v>256.39999999999998</v>
      </c>
      <c r="H74" s="185">
        <f t="shared" si="20"/>
        <v>143.584</v>
      </c>
      <c r="I74" s="185">
        <f t="shared" si="21"/>
        <v>37.116837775277986</v>
      </c>
      <c r="J74" s="185">
        <f t="shared" si="22"/>
        <v>314.7206257919425</v>
      </c>
      <c r="K74" s="186">
        <f t="shared" si="24"/>
        <v>72</v>
      </c>
      <c r="L74" s="211"/>
      <c r="M74" s="18"/>
      <c r="N74" s="18"/>
      <c r="O74" s="18"/>
      <c r="P74" s="18"/>
      <c r="Q74" s="18"/>
      <c r="R74" s="18"/>
      <c r="S74" s="18"/>
    </row>
    <row r="75" spans="1:19" x14ac:dyDescent="0.25">
      <c r="A75" s="188"/>
      <c r="B75" s="188"/>
      <c r="C75" s="189"/>
      <c r="D75" s="189"/>
      <c r="E75" s="189"/>
      <c r="F75" s="183">
        <f t="shared" si="23"/>
        <v>68</v>
      </c>
      <c r="G75" s="209">
        <f>$G$72+(F75-$F$72)*($G$77-$G$72)/($F$77-$F$72)</f>
        <v>261.60000000000002</v>
      </c>
      <c r="H75" s="185">
        <f t="shared" si="20"/>
        <v>146.49600000000004</v>
      </c>
      <c r="I75" s="185">
        <f t="shared" si="21"/>
        <v>37.781196911449818</v>
      </c>
      <c r="J75" s="185">
        <f t="shared" si="22"/>
        <v>320.94945128744183</v>
      </c>
      <c r="K75" s="186">
        <f t="shared" si="24"/>
        <v>73</v>
      </c>
      <c r="L75" s="201"/>
      <c r="M75" s="18"/>
      <c r="N75" s="18"/>
      <c r="O75" s="18"/>
      <c r="P75" s="18"/>
      <c r="Q75" s="18"/>
      <c r="R75" s="18"/>
      <c r="S75" s="18"/>
    </row>
    <row r="76" spans="1:19" x14ac:dyDescent="0.25">
      <c r="A76" s="188"/>
      <c r="B76" s="188"/>
      <c r="C76" s="189"/>
      <c r="D76" s="189"/>
      <c r="E76" s="189"/>
      <c r="F76" s="183">
        <f t="shared" si="23"/>
        <v>69</v>
      </c>
      <c r="G76" s="209">
        <f>$G$72+(F76-$F$72)*($G$77-$G$72)/($F$77-$F$72)</f>
        <v>266.8</v>
      </c>
      <c r="H76" s="185">
        <f t="shared" si="20"/>
        <v>149.40800000000002</v>
      </c>
      <c r="I76" s="185">
        <f t="shared" si="21"/>
        <v>38.444020549111777</v>
      </c>
      <c r="J76" s="185">
        <f t="shared" si="22"/>
        <v>327.17560245636969</v>
      </c>
      <c r="K76" s="186">
        <f t="shared" si="24"/>
        <v>74</v>
      </c>
      <c r="L76" s="201"/>
      <c r="M76" s="18"/>
      <c r="N76" s="18"/>
      <c r="O76" s="18"/>
      <c r="P76" s="18"/>
      <c r="Q76" s="18"/>
      <c r="R76" s="18"/>
      <c r="S76" s="18"/>
    </row>
    <row r="77" spans="1:19" x14ac:dyDescent="0.25">
      <c r="A77" s="188"/>
      <c r="B77" s="188"/>
      <c r="C77" s="189"/>
      <c r="D77" s="189"/>
      <c r="E77" s="189"/>
      <c r="F77" s="183">
        <f t="shared" si="23"/>
        <v>70</v>
      </c>
      <c r="G77" s="209">
        <f>249+23</f>
        <v>272</v>
      </c>
      <c r="H77" s="185">
        <f t="shared" si="20"/>
        <v>152.32000000000002</v>
      </c>
      <c r="I77" s="185">
        <f t="shared" si="21"/>
        <v>39.105342065447388</v>
      </c>
      <c r="J77" s="185">
        <f t="shared" si="22"/>
        <v>333.39913743065421</v>
      </c>
      <c r="K77" s="186">
        <f t="shared" si="24"/>
        <v>75</v>
      </c>
      <c r="L77" s="201"/>
      <c r="M77" s="18"/>
      <c r="N77" s="18"/>
      <c r="O77" s="18"/>
      <c r="P77" s="18"/>
      <c r="Q77" s="18"/>
      <c r="R77" s="18"/>
      <c r="S77" s="18"/>
    </row>
    <row r="78" spans="1:19" x14ac:dyDescent="0.25">
      <c r="A78" s="188"/>
      <c r="B78" s="188"/>
      <c r="C78" s="189"/>
      <c r="D78" s="189"/>
      <c r="E78" s="189"/>
      <c r="F78" s="183">
        <v>70</v>
      </c>
      <c r="G78" s="209">
        <v>0</v>
      </c>
      <c r="H78" s="185">
        <f t="shared" si="20"/>
        <v>0</v>
      </c>
      <c r="I78" s="185">
        <v>0</v>
      </c>
      <c r="J78" s="185">
        <f t="shared" si="22"/>
        <v>0</v>
      </c>
      <c r="K78" s="186">
        <f t="shared" si="24"/>
        <v>76</v>
      </c>
      <c r="L78" s="201"/>
      <c r="M78" s="18"/>
      <c r="N78" s="18"/>
      <c r="O78" s="18"/>
      <c r="P78" s="18"/>
      <c r="Q78" s="18"/>
      <c r="R78" s="18"/>
      <c r="S78" s="18"/>
    </row>
    <row r="79" spans="1:19" x14ac:dyDescent="0.25">
      <c r="A79" s="18"/>
      <c r="B79" s="18"/>
      <c r="C79" s="18"/>
      <c r="D79" s="18"/>
      <c r="E79" s="18"/>
      <c r="F79" s="18"/>
    </row>
    <row r="80" spans="1:19" x14ac:dyDescent="0.25">
      <c r="A80" s="18"/>
      <c r="B80" s="18"/>
      <c r="C80" s="18"/>
      <c r="D80" s="18"/>
      <c r="E80" s="18"/>
      <c r="F80" s="18"/>
    </row>
    <row r="162" spans="1:11" x14ac:dyDescent="0.25">
      <c r="A162" s="188"/>
      <c r="B162" s="188"/>
      <c r="C162" s="188"/>
      <c r="D162" s="188"/>
      <c r="E162" s="189"/>
    </row>
    <row r="163" spans="1:11" x14ac:dyDescent="0.25">
      <c r="A163" s="188"/>
      <c r="B163" s="188"/>
      <c r="C163" s="188"/>
      <c r="D163" s="188"/>
      <c r="E163" s="189"/>
    </row>
    <row r="164" spans="1:11" x14ac:dyDescent="0.25">
      <c r="A164" s="188"/>
      <c r="B164" s="188"/>
      <c r="C164" s="188"/>
      <c r="D164" s="188"/>
      <c r="E164" s="189"/>
    </row>
    <row r="165" spans="1:11" x14ac:dyDescent="0.25">
      <c r="A165" s="188"/>
      <c r="B165" s="188"/>
      <c r="C165" s="188"/>
      <c r="D165" s="188"/>
      <c r="E165" s="189"/>
    </row>
    <row r="166" spans="1:11" x14ac:dyDescent="0.25">
      <c r="A166" s="188"/>
      <c r="B166" s="188"/>
      <c r="C166" s="188"/>
      <c r="D166" s="188"/>
      <c r="E166" s="189"/>
      <c r="F166" s="188"/>
      <c r="G166" s="18"/>
      <c r="H166" s="189"/>
      <c r="I166" s="189"/>
      <c r="J166" s="189"/>
      <c r="K166" s="188"/>
    </row>
    <row r="167" spans="1:11" x14ac:dyDescent="0.25">
      <c r="A167" s="188"/>
      <c r="B167" s="188"/>
      <c r="C167" s="188"/>
      <c r="D167" s="188"/>
      <c r="E167" s="189"/>
    </row>
    <row r="168" spans="1:11" x14ac:dyDescent="0.25">
      <c r="A168" s="188"/>
      <c r="B168" s="188"/>
      <c r="C168" s="188"/>
      <c r="D168" s="188"/>
      <c r="E168" s="189"/>
    </row>
    <row r="169" spans="1:11" x14ac:dyDescent="0.25">
      <c r="A169" s="188"/>
      <c r="B169" s="188"/>
      <c r="C169" s="188"/>
      <c r="D169" s="188"/>
      <c r="E169" s="189"/>
    </row>
    <row r="170" spans="1:11" x14ac:dyDescent="0.25">
      <c r="F170" s="188"/>
    </row>
    <row r="171" spans="1:11" x14ac:dyDescent="0.25">
      <c r="F171" s="188"/>
    </row>
    <row r="172" spans="1:11" x14ac:dyDescent="0.25">
      <c r="F172" s="188"/>
    </row>
    <row r="173" spans="1:11" x14ac:dyDescent="0.25">
      <c r="F173" s="188"/>
    </row>
    <row r="174" spans="1:11" x14ac:dyDescent="0.25">
      <c r="F174" s="188"/>
    </row>
    <row r="175" spans="1:11" x14ac:dyDescent="0.25">
      <c r="F175" s="188"/>
    </row>
    <row r="176" spans="1:11" x14ac:dyDescent="0.25">
      <c r="F176" s="188"/>
    </row>
    <row r="177" spans="6:6" x14ac:dyDescent="0.25">
      <c r="F177" s="188"/>
    </row>
    <row r="178" spans="6:6" x14ac:dyDescent="0.25">
      <c r="F178" s="188"/>
    </row>
    <row r="179" spans="6:6" x14ac:dyDescent="0.25">
      <c r="F179" s="188"/>
    </row>
    <row r="180" spans="6:6" x14ac:dyDescent="0.25">
      <c r="F180" s="188"/>
    </row>
    <row r="181" spans="6:6" x14ac:dyDescent="0.25">
      <c r="F181" s="188"/>
    </row>
    <row r="182" spans="6:6" x14ac:dyDescent="0.25">
      <c r="F182" s="188"/>
    </row>
    <row r="183" spans="6:6" x14ac:dyDescent="0.25">
      <c r="F183" s="188"/>
    </row>
    <row r="184" spans="6:6" x14ac:dyDescent="0.25">
      <c r="F184" s="188"/>
    </row>
    <row r="185" spans="6:6" x14ac:dyDescent="0.25">
      <c r="F185" s="188"/>
    </row>
    <row r="186" spans="6:6" x14ac:dyDescent="0.25">
      <c r="F186" s="188"/>
    </row>
    <row r="187" spans="6:6" x14ac:dyDescent="0.25">
      <c r="F187" s="188"/>
    </row>
    <row r="188" spans="6:6" x14ac:dyDescent="0.25">
      <c r="F188" s="188"/>
    </row>
    <row r="189" spans="6:6" x14ac:dyDescent="0.25">
      <c r="F189" s="188"/>
    </row>
    <row r="190" spans="6:6" x14ac:dyDescent="0.25">
      <c r="F190" s="188"/>
    </row>
    <row r="191" spans="6:6" x14ac:dyDescent="0.25">
      <c r="F191" s="188"/>
    </row>
    <row r="192" spans="6:6" x14ac:dyDescent="0.25">
      <c r="F192" s="188"/>
    </row>
    <row r="193" spans="6:6" x14ac:dyDescent="0.25">
      <c r="F193" s="188"/>
    </row>
    <row r="194" spans="6:6" x14ac:dyDescent="0.25">
      <c r="F194" s="188"/>
    </row>
    <row r="195" spans="6:6" x14ac:dyDescent="0.25">
      <c r="F195" s="188"/>
    </row>
    <row r="196" spans="6:6" x14ac:dyDescent="0.25">
      <c r="F196" s="188"/>
    </row>
    <row r="197" spans="6:6" x14ac:dyDescent="0.25">
      <c r="F197" s="188"/>
    </row>
    <row r="198" spans="6:6" x14ac:dyDescent="0.25">
      <c r="F198" s="188"/>
    </row>
    <row r="199" spans="6:6" x14ac:dyDescent="0.25">
      <c r="F199" s="188"/>
    </row>
    <row r="200" spans="6:6" x14ac:dyDescent="0.25">
      <c r="F200" s="188"/>
    </row>
    <row r="201" spans="6:6" x14ac:dyDescent="0.25">
      <c r="F201" s="188"/>
    </row>
    <row r="202" spans="6:6" x14ac:dyDescent="0.25">
      <c r="F202" s="188"/>
    </row>
    <row r="203" spans="6:6" x14ac:dyDescent="0.25">
      <c r="F203" s="188"/>
    </row>
    <row r="204" spans="6:6" x14ac:dyDescent="0.25">
      <c r="F204" s="188"/>
    </row>
    <row r="205" spans="6:6" x14ac:dyDescent="0.25">
      <c r="F205" s="188"/>
    </row>
    <row r="206" spans="6:6" x14ac:dyDescent="0.25">
      <c r="F206" s="188"/>
    </row>
    <row r="207" spans="6:6" x14ac:dyDescent="0.25">
      <c r="F207" s="188"/>
    </row>
    <row r="208" spans="6:6" x14ac:dyDescent="0.25">
      <c r="F208" s="188"/>
    </row>
    <row r="209" spans="6:6" x14ac:dyDescent="0.25">
      <c r="F209" s="188"/>
    </row>
    <row r="210" spans="6:6" x14ac:dyDescent="0.25">
      <c r="F210" s="188"/>
    </row>
    <row r="211" spans="6:6" x14ac:dyDescent="0.25">
      <c r="F211" s="188"/>
    </row>
    <row r="212" spans="6:6" x14ac:dyDescent="0.25">
      <c r="F212" s="188"/>
    </row>
    <row r="213" spans="6:6" x14ac:dyDescent="0.25">
      <c r="F213" s="188"/>
    </row>
    <row r="214" spans="6:6" x14ac:dyDescent="0.25">
      <c r="F214" s="188"/>
    </row>
    <row r="215" spans="6:6" x14ac:dyDescent="0.25">
      <c r="F215" s="188"/>
    </row>
    <row r="216" spans="6:6" x14ac:dyDescent="0.25">
      <c r="F216" s="188"/>
    </row>
    <row r="217" spans="6:6" x14ac:dyDescent="0.25">
      <c r="F217" s="188"/>
    </row>
    <row r="218" spans="6:6" x14ac:dyDescent="0.25">
      <c r="F218" s="188"/>
    </row>
    <row r="219" spans="6:6" x14ac:dyDescent="0.25">
      <c r="F219" s="188"/>
    </row>
    <row r="220" spans="6:6" x14ac:dyDescent="0.25">
      <c r="F220" s="188"/>
    </row>
    <row r="221" spans="6:6" x14ac:dyDescent="0.25">
      <c r="F221" s="188"/>
    </row>
    <row r="222" spans="6:6" x14ac:dyDescent="0.25">
      <c r="F222" s="188"/>
    </row>
    <row r="223" spans="6:6" x14ac:dyDescent="0.25">
      <c r="F223" s="188"/>
    </row>
    <row r="224" spans="6:6" x14ac:dyDescent="0.25">
      <c r="F224" s="188"/>
    </row>
    <row r="225" spans="6:6" x14ac:dyDescent="0.25">
      <c r="F225" s="188"/>
    </row>
    <row r="226" spans="6:6" x14ac:dyDescent="0.25">
      <c r="F226" s="188"/>
    </row>
    <row r="227" spans="6:6" x14ac:dyDescent="0.25">
      <c r="F227" s="188"/>
    </row>
    <row r="228" spans="6:6" x14ac:dyDescent="0.25">
      <c r="F228" s="188"/>
    </row>
    <row r="229" spans="6:6" x14ac:dyDescent="0.25">
      <c r="F229" s="188"/>
    </row>
    <row r="230" spans="6:6" x14ac:dyDescent="0.25">
      <c r="F230" s="188"/>
    </row>
    <row r="231" spans="6:6" x14ac:dyDescent="0.25">
      <c r="F231" s="188"/>
    </row>
    <row r="232" spans="6:6" x14ac:dyDescent="0.25">
      <c r="F232" s="188"/>
    </row>
    <row r="233" spans="6:6" x14ac:dyDescent="0.25">
      <c r="F233" s="188"/>
    </row>
    <row r="234" spans="6:6" x14ac:dyDescent="0.25">
      <c r="F234" s="188"/>
    </row>
    <row r="235" spans="6:6" x14ac:dyDescent="0.25">
      <c r="F235" s="188"/>
    </row>
    <row r="236" spans="6:6" x14ac:dyDescent="0.25">
      <c r="F236" s="188"/>
    </row>
    <row r="237" spans="6:6" x14ac:dyDescent="0.25">
      <c r="F237" s="188"/>
    </row>
    <row r="238" spans="6:6" x14ac:dyDescent="0.25">
      <c r="F238" s="188"/>
    </row>
    <row r="239" spans="6:6" x14ac:dyDescent="0.25">
      <c r="F239" s="188"/>
    </row>
    <row r="240" spans="6:6" x14ac:dyDescent="0.25">
      <c r="F240" s="188"/>
    </row>
    <row r="241" spans="6:6" x14ac:dyDescent="0.25">
      <c r="F241" s="188"/>
    </row>
    <row r="242" spans="6:6" x14ac:dyDescent="0.25">
      <c r="F242" s="188"/>
    </row>
    <row r="243" spans="6:6" x14ac:dyDescent="0.25">
      <c r="F243" s="188"/>
    </row>
  </sheetData>
  <mergeCells count="1">
    <mergeCell ref="Z1:Z1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04447-5E7E-4B2A-942A-677F0B9B1241}">
  <sheetPr>
    <tabColor rgb="FFFFC000"/>
  </sheetPr>
  <dimension ref="K2:L15"/>
  <sheetViews>
    <sheetView workbookViewId="0">
      <selection activeCell="W1" sqref="W1:W16"/>
    </sheetView>
  </sheetViews>
  <sheetFormatPr baseColWidth="10" defaultRowHeight="15" x14ac:dyDescent="0.25"/>
  <cols>
    <col min="11" max="11" width="17.7109375" bestFit="1" customWidth="1"/>
    <col min="12" max="12" width="51.85546875" bestFit="1" customWidth="1"/>
  </cols>
  <sheetData>
    <row r="2" spans="11:12" ht="18.75" x14ac:dyDescent="0.3">
      <c r="K2" s="230"/>
    </row>
    <row r="7" spans="11:12" x14ac:dyDescent="0.25">
      <c r="K7" s="218" t="s">
        <v>407</v>
      </c>
      <c r="L7" s="227" t="s">
        <v>419</v>
      </c>
    </row>
    <row r="8" spans="11:12" x14ac:dyDescent="0.25">
      <c r="K8" s="228" t="s">
        <v>390</v>
      </c>
      <c r="L8" s="22" t="s">
        <v>420</v>
      </c>
    </row>
    <row r="9" spans="11:12" x14ac:dyDescent="0.25">
      <c r="K9" s="228" t="s">
        <v>392</v>
      </c>
      <c r="L9" s="22" t="s">
        <v>421</v>
      </c>
    </row>
    <row r="10" spans="11:12" x14ac:dyDescent="0.25">
      <c r="K10" s="228" t="s">
        <v>225</v>
      </c>
      <c r="L10" s="22">
        <v>1972</v>
      </c>
    </row>
    <row r="11" spans="11:12" x14ac:dyDescent="0.25">
      <c r="K11" s="228" t="s">
        <v>394</v>
      </c>
      <c r="L11" s="22" t="s">
        <v>422</v>
      </c>
    </row>
    <row r="12" spans="11:12" x14ac:dyDescent="0.25">
      <c r="K12" s="228" t="s">
        <v>396</v>
      </c>
      <c r="L12" s="22">
        <v>6</v>
      </c>
    </row>
    <row r="13" spans="11:12" x14ac:dyDescent="0.25">
      <c r="K13" s="228" t="s">
        <v>397</v>
      </c>
      <c r="L13" s="22">
        <v>2</v>
      </c>
    </row>
    <row r="14" spans="11:12" x14ac:dyDescent="0.25">
      <c r="K14" s="228" t="s">
        <v>398</v>
      </c>
      <c r="L14" s="22" t="s">
        <v>423</v>
      </c>
    </row>
    <row r="15" spans="11:12" x14ac:dyDescent="0.25">
      <c r="K15" s="228" t="s">
        <v>400</v>
      </c>
      <c r="L15" s="22" t="s">
        <v>414</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DF0E-0EA9-4317-9D06-F6D6A3BF37BC}">
  <sheetPr>
    <tabColor rgb="FFFFC000"/>
  </sheetPr>
  <dimension ref="A1:AB150"/>
  <sheetViews>
    <sheetView topLeftCell="S1" workbookViewId="0">
      <selection activeCell="W1" sqref="W1:W16"/>
    </sheetView>
  </sheetViews>
  <sheetFormatPr baseColWidth="10" defaultColWidth="10.85546875" defaultRowHeight="15" x14ac:dyDescent="0.25"/>
  <cols>
    <col min="1" max="1" width="6.85546875" bestFit="1" customWidth="1"/>
    <col min="2" max="2" width="9.5703125" bestFit="1" customWidth="1"/>
    <col min="7" max="7" width="6.85546875" bestFit="1" customWidth="1"/>
    <col min="8" max="8" width="9.5703125" bestFit="1" customWidth="1"/>
    <col min="9" max="10" width="9.42578125" bestFit="1" customWidth="1"/>
    <col min="11" max="11" width="12.28515625" bestFit="1" customWidth="1"/>
    <col min="12" max="12" width="12.28515625" customWidth="1"/>
    <col min="13" max="13" width="6.85546875" bestFit="1" customWidth="1"/>
    <col min="14" max="14" width="9" bestFit="1" customWidth="1"/>
    <col min="15" max="15" width="9.42578125" bestFit="1" customWidth="1"/>
    <col min="16" max="16" width="11.85546875" bestFit="1" customWidth="1"/>
    <col min="17" max="17" width="9.140625" bestFit="1" customWidth="1"/>
    <col min="18" max="18" width="9.42578125" bestFit="1" customWidth="1"/>
    <col min="19" max="19" width="9.7109375" bestFit="1" customWidth="1"/>
    <col min="20" max="20" width="11" bestFit="1" customWidth="1"/>
    <col min="21" max="21" width="13.7109375" customWidth="1"/>
    <col min="22" max="22" width="23.28515625" customWidth="1"/>
    <col min="23" max="23" width="15.42578125" bestFit="1" customWidth="1"/>
    <col min="24" max="24" width="29.7109375" bestFit="1" customWidth="1"/>
    <col min="25" max="25" width="12.140625" bestFit="1" customWidth="1"/>
    <col min="26" max="26" width="39.85546875" customWidth="1"/>
    <col min="27" max="27" width="38.5703125" bestFit="1" customWidth="1"/>
    <col min="28" max="28" width="34.7109375" customWidth="1"/>
  </cols>
  <sheetData>
    <row r="1" spans="1:28" ht="60" x14ac:dyDescent="0.25">
      <c r="A1" s="172" t="s">
        <v>225</v>
      </c>
      <c r="B1" s="172" t="s">
        <v>323</v>
      </c>
      <c r="C1" s="173" t="s">
        <v>324</v>
      </c>
      <c r="D1" s="173" t="s">
        <v>325</v>
      </c>
      <c r="E1" s="173" t="s">
        <v>326</v>
      </c>
      <c r="F1" s="173" t="s">
        <v>424</v>
      </c>
      <c r="G1" s="174" t="s">
        <v>225</v>
      </c>
      <c r="H1" s="175" t="s">
        <v>327</v>
      </c>
      <c r="I1" s="176" t="s">
        <v>324</v>
      </c>
      <c r="J1" s="176" t="s">
        <v>325</v>
      </c>
      <c r="K1" s="176" t="s">
        <v>425</v>
      </c>
      <c r="L1" s="176" t="s">
        <v>424</v>
      </c>
      <c r="M1" s="177" t="s">
        <v>225</v>
      </c>
      <c r="N1" s="178" t="s">
        <v>426</v>
      </c>
      <c r="O1" s="179" t="s">
        <v>330</v>
      </c>
      <c r="P1" s="179" t="s">
        <v>331</v>
      </c>
      <c r="Q1" s="178" t="s">
        <v>332</v>
      </c>
      <c r="R1" s="178" t="s">
        <v>333</v>
      </c>
      <c r="S1" s="178" t="s">
        <v>334</v>
      </c>
      <c r="T1" s="178" t="s">
        <v>335</v>
      </c>
      <c r="U1" s="178" t="s">
        <v>336</v>
      </c>
      <c r="V1" s="173" t="s">
        <v>403</v>
      </c>
      <c r="W1" s="180">
        <v>0.56999999999999995</v>
      </c>
      <c r="X1" s="176" t="s">
        <v>427</v>
      </c>
      <c r="Y1" s="175">
        <v>0.35</v>
      </c>
      <c r="Z1" s="593" t="s">
        <v>428</v>
      </c>
      <c r="AA1" s="221"/>
      <c r="AB1" s="221"/>
    </row>
    <row r="2" spans="1:28" x14ac:dyDescent="0.25">
      <c r="A2" s="181">
        <v>0</v>
      </c>
      <c r="B2" s="222">
        <v>0</v>
      </c>
      <c r="C2" s="223">
        <f t="shared" ref="C2:C27" si="0">B2*1.56*$W$1</f>
        <v>0</v>
      </c>
      <c r="D2" s="223">
        <v>0</v>
      </c>
      <c r="E2" s="223">
        <f>(C2+D2)*0.475*44/12</f>
        <v>0</v>
      </c>
      <c r="F2" s="223">
        <f>AVERAGE($E$2:$E$27)</f>
        <v>25.944481104378426</v>
      </c>
      <c r="G2" s="183">
        <v>0</v>
      </c>
      <c r="H2" s="191">
        <v>0</v>
      </c>
      <c r="I2" s="185">
        <f t="shared" ref="I2:I28" si="1">H2*$Y$1</f>
        <v>0</v>
      </c>
      <c r="J2" s="184">
        <v>0</v>
      </c>
      <c r="K2" s="184">
        <v>0</v>
      </c>
      <c r="L2" s="185">
        <f t="shared" ref="L2:L27" si="2">AVERAGE($K$2:$K$27)</f>
        <v>99.342415930393528</v>
      </c>
      <c r="M2" s="186">
        <v>0</v>
      </c>
      <c r="N2" s="187"/>
      <c r="O2" s="187"/>
      <c r="P2" s="187"/>
      <c r="Q2" s="187"/>
      <c r="R2" s="187">
        <v>0</v>
      </c>
      <c r="S2" s="187">
        <v>0</v>
      </c>
      <c r="T2" s="187">
        <v>0</v>
      </c>
      <c r="U2" s="187">
        <f>SUM(R2:T2)</f>
        <v>0</v>
      </c>
      <c r="W2" s="188" t="s">
        <v>429</v>
      </c>
      <c r="X2" s="188" t="s">
        <v>341</v>
      </c>
      <c r="Y2" s="189">
        <f>AVERAGE(K2:K27)</f>
        <v>99.342415930393528</v>
      </c>
      <c r="Z2" s="593"/>
      <c r="AA2" s="198"/>
    </row>
    <row r="3" spans="1:28" x14ac:dyDescent="0.25">
      <c r="A3" s="181">
        <v>1</v>
      </c>
      <c r="B3" s="222">
        <f>B2+1</f>
        <v>1</v>
      </c>
      <c r="C3" s="223">
        <f t="shared" si="0"/>
        <v>0.88919999999999999</v>
      </c>
      <c r="D3" s="223">
        <f t="shared" ref="D3:D27" si="3">EXP(-1.0587+0.8836*LN(C3)+0.284)</f>
        <v>0.41542055579923082</v>
      </c>
      <c r="E3" s="223">
        <f t="shared" ref="E3:E27" si="4">(C3+D3)*0.475*44/12</f>
        <v>2.2722141346836602</v>
      </c>
      <c r="F3" s="223">
        <f t="shared" ref="F3:F27" si="5">AVERAGE($E$2:$E$27)</f>
        <v>25.944481104378426</v>
      </c>
      <c r="G3" s="183">
        <f>G2+1</f>
        <v>1</v>
      </c>
      <c r="H3" s="185">
        <v>0.5</v>
      </c>
      <c r="I3" s="185">
        <f t="shared" si="1"/>
        <v>0.17499999999999999</v>
      </c>
      <c r="J3" s="185">
        <f t="shared" ref="J3:J27" si="6">EXP(-1.0587+0.8836*LN(I3)+0.284)</f>
        <v>9.8787156467188955E-2</v>
      </c>
      <c r="K3" s="185">
        <f>(I3+J3)*0.475*44/12</f>
        <v>0.47684596418035402</v>
      </c>
      <c r="L3" s="185">
        <f t="shared" si="2"/>
        <v>99.342415930393528</v>
      </c>
      <c r="M3" s="186">
        <f>M2+1</f>
        <v>1</v>
      </c>
      <c r="N3" s="187"/>
      <c r="O3" s="187"/>
      <c r="P3" s="187"/>
      <c r="Q3" s="187"/>
      <c r="R3" s="190">
        <f t="shared" ref="R3:R32" si="7">EXP(-LN(2)/35)*R2+(1-EXP(-LN(2)/35))/(LN(2)/35)*O3*N3*$Y$1*0.475*44/12</f>
        <v>0</v>
      </c>
      <c r="S3" s="190">
        <f t="shared" ref="S3:S32" si="8">EXP(-LN(2)/25)*S2+(1-EXP(-LN(2)/25))/(LN(2)/25)*P3*N3*$Y$1*0.475*44/12</f>
        <v>0</v>
      </c>
      <c r="T3" s="190">
        <f t="shared" ref="T3:T32" si="9">EXP(-LN(2)/2)*T2+(1-EXP(-LN(2)/2))/(LN(2)/2)*Q3*N3*$Y$1*0.475*44/12</f>
        <v>0</v>
      </c>
      <c r="U3" s="190">
        <f>SUM(R3:T3)</f>
        <v>0</v>
      </c>
      <c r="W3" s="188" t="s">
        <v>342</v>
      </c>
      <c r="X3" s="188" t="s">
        <v>341</v>
      </c>
      <c r="Y3" s="189">
        <f>AVERAGE(E2:E27)</f>
        <v>25.944481104378426</v>
      </c>
      <c r="Z3" s="593"/>
      <c r="AA3" s="188"/>
    </row>
    <row r="4" spans="1:28" x14ac:dyDescent="0.25">
      <c r="A4" s="181">
        <v>2</v>
      </c>
      <c r="B4" s="222">
        <f t="shared" ref="B4:B27" si="10">B3+1</f>
        <v>2</v>
      </c>
      <c r="C4" s="223">
        <f t="shared" si="0"/>
        <v>1.7784</v>
      </c>
      <c r="D4" s="223">
        <f t="shared" si="3"/>
        <v>0.76643986660078545</v>
      </c>
      <c r="E4" s="223">
        <f t="shared" si="4"/>
        <v>4.4322627676630342</v>
      </c>
      <c r="F4" s="223">
        <f t="shared" si="5"/>
        <v>25.944481104378426</v>
      </c>
      <c r="G4" s="183">
        <f t="shared" ref="G4:G27" si="11">G3+1</f>
        <v>2</v>
      </c>
      <c r="H4" s="185">
        <v>1</v>
      </c>
      <c r="I4" s="185">
        <f t="shared" si="1"/>
        <v>0.35</v>
      </c>
      <c r="J4" s="185">
        <f t="shared" si="6"/>
        <v>0.18225967388377226</v>
      </c>
      <c r="K4" s="185">
        <f t="shared" ref="K4:K28" si="12">(I4+J4)*0.475*44/12</f>
        <v>0.92701893201423669</v>
      </c>
      <c r="L4" s="185">
        <f t="shared" si="2"/>
        <v>99.342415930393528</v>
      </c>
      <c r="M4" s="186">
        <f t="shared" ref="M4:M32" si="13">M3+1</f>
        <v>2</v>
      </c>
      <c r="N4" s="187"/>
      <c r="O4" s="187"/>
      <c r="P4" s="187"/>
      <c r="Q4" s="187"/>
      <c r="R4" s="190">
        <f t="shared" si="7"/>
        <v>0</v>
      </c>
      <c r="S4" s="190">
        <f t="shared" si="8"/>
        <v>0</v>
      </c>
      <c r="T4" s="190">
        <f t="shared" si="9"/>
        <v>0</v>
      </c>
      <c r="U4" s="190">
        <f>SUM(R4:T4)</f>
        <v>0</v>
      </c>
      <c r="W4" s="188"/>
      <c r="X4" s="18" t="s">
        <v>343</v>
      </c>
      <c r="Y4" s="189">
        <f>Y2-Y3</f>
        <v>73.397934826015103</v>
      </c>
      <c r="Z4" s="593"/>
      <c r="AA4" s="188"/>
    </row>
    <row r="5" spans="1:28" x14ac:dyDescent="0.25">
      <c r="A5" s="181">
        <v>3</v>
      </c>
      <c r="B5" s="222">
        <f t="shared" si="10"/>
        <v>3</v>
      </c>
      <c r="C5" s="223">
        <f t="shared" si="0"/>
        <v>2.6675999999999997</v>
      </c>
      <c r="D5" s="223">
        <f t="shared" si="3"/>
        <v>1.0966608080083624</v>
      </c>
      <c r="E5" s="223">
        <f t="shared" si="4"/>
        <v>6.5560875739478979</v>
      </c>
      <c r="F5" s="223">
        <f t="shared" si="5"/>
        <v>25.944481104378426</v>
      </c>
      <c r="G5" s="183">
        <f t="shared" si="11"/>
        <v>3</v>
      </c>
      <c r="H5" s="185">
        <v>1.5</v>
      </c>
      <c r="I5" s="185">
        <f t="shared" si="1"/>
        <v>0.52499999999999991</v>
      </c>
      <c r="J5" s="185">
        <f t="shared" si="6"/>
        <v>0.26078633163380061</v>
      </c>
      <c r="K5" s="185">
        <f t="shared" si="12"/>
        <v>1.368577860928869</v>
      </c>
      <c r="L5" s="185">
        <f t="shared" si="2"/>
        <v>99.342415930393528</v>
      </c>
      <c r="M5" s="186">
        <f t="shared" si="13"/>
        <v>3</v>
      </c>
      <c r="N5" s="187"/>
      <c r="O5" s="187"/>
      <c r="P5" s="187"/>
      <c r="Q5" s="187"/>
      <c r="R5" s="190">
        <f t="shared" si="7"/>
        <v>0</v>
      </c>
      <c r="S5" s="190">
        <f t="shared" si="8"/>
        <v>0</v>
      </c>
      <c r="T5" s="190">
        <f t="shared" si="9"/>
        <v>0</v>
      </c>
      <c r="U5" s="190">
        <f t="shared" ref="U5:U32" si="14">SUM(R5:T5)</f>
        <v>0</v>
      </c>
      <c r="W5" s="188"/>
      <c r="X5" s="188" t="s">
        <v>345</v>
      </c>
      <c r="Y5" s="189">
        <f>Y4</f>
        <v>73.397934826015103</v>
      </c>
      <c r="Z5" s="593"/>
      <c r="AA5" s="188"/>
    </row>
    <row r="6" spans="1:28" x14ac:dyDescent="0.25">
      <c r="A6" s="181">
        <v>4</v>
      </c>
      <c r="B6" s="222">
        <f t="shared" si="10"/>
        <v>4</v>
      </c>
      <c r="C6" s="223">
        <f t="shared" si="0"/>
        <v>3.5568</v>
      </c>
      <c r="D6" s="223">
        <f t="shared" si="3"/>
        <v>1.4140611505968179</v>
      </c>
      <c r="E6" s="223">
        <f t="shared" si="4"/>
        <v>8.6575831706227913</v>
      </c>
      <c r="F6" s="223">
        <f t="shared" si="5"/>
        <v>25.944481104378426</v>
      </c>
      <c r="G6" s="183">
        <f t="shared" si="11"/>
        <v>4</v>
      </c>
      <c r="H6" s="185">
        <v>2</v>
      </c>
      <c r="I6" s="185">
        <f t="shared" si="1"/>
        <v>0.7</v>
      </c>
      <c r="J6" s="185">
        <f t="shared" si="6"/>
        <v>0.33626424640790431</v>
      </c>
      <c r="K6" s="185">
        <f t="shared" si="12"/>
        <v>1.8048268958271001</v>
      </c>
      <c r="L6" s="185">
        <f t="shared" si="2"/>
        <v>99.342415930393528</v>
      </c>
      <c r="M6" s="186">
        <f t="shared" si="13"/>
        <v>4</v>
      </c>
      <c r="N6" s="187"/>
      <c r="O6" s="187"/>
      <c r="P6" s="187"/>
      <c r="Q6" s="187"/>
      <c r="R6" s="190">
        <f t="shared" si="7"/>
        <v>0</v>
      </c>
      <c r="S6" s="190">
        <f t="shared" si="8"/>
        <v>0</v>
      </c>
      <c r="T6" s="190">
        <f t="shared" si="9"/>
        <v>0</v>
      </c>
      <c r="U6" s="190">
        <f t="shared" si="14"/>
        <v>0</v>
      </c>
      <c r="W6" s="188"/>
      <c r="X6" s="188" t="s">
        <v>346</v>
      </c>
      <c r="Y6" s="192">
        <v>0</v>
      </c>
      <c r="Z6" s="593"/>
      <c r="AA6" s="188"/>
    </row>
    <row r="7" spans="1:28" x14ac:dyDescent="0.25">
      <c r="A7" s="181">
        <v>5</v>
      </c>
      <c r="B7" s="222">
        <f t="shared" si="10"/>
        <v>5</v>
      </c>
      <c r="C7" s="223">
        <f t="shared" si="0"/>
        <v>4.4459999999999997</v>
      </c>
      <c r="D7" s="223">
        <f t="shared" si="3"/>
        <v>1.7222566815192897</v>
      </c>
      <c r="E7" s="223">
        <f t="shared" si="4"/>
        <v>10.743047053646096</v>
      </c>
      <c r="F7" s="223">
        <f t="shared" si="5"/>
        <v>25.944481104378426</v>
      </c>
      <c r="G7" s="183">
        <f t="shared" si="11"/>
        <v>5</v>
      </c>
      <c r="H7" s="191">
        <v>3</v>
      </c>
      <c r="I7" s="185">
        <f t="shared" si="1"/>
        <v>1.0499999999999998</v>
      </c>
      <c r="J7" s="185">
        <f t="shared" si="6"/>
        <v>0.48114383951023654</v>
      </c>
      <c r="K7" s="185">
        <f t="shared" si="12"/>
        <v>2.6667421871469945</v>
      </c>
      <c r="L7" s="185">
        <f t="shared" si="2"/>
        <v>99.342415930393528</v>
      </c>
      <c r="M7" s="186">
        <f t="shared" si="13"/>
        <v>5</v>
      </c>
      <c r="N7" s="187"/>
      <c r="O7" s="187"/>
      <c r="P7" s="187"/>
      <c r="Q7" s="187"/>
      <c r="R7" s="190">
        <f t="shared" si="7"/>
        <v>0</v>
      </c>
      <c r="S7" s="190">
        <f t="shared" si="8"/>
        <v>0</v>
      </c>
      <c r="T7" s="190">
        <f t="shared" si="9"/>
        <v>0</v>
      </c>
      <c r="U7" s="190">
        <f t="shared" si="14"/>
        <v>0</v>
      </c>
      <c r="W7" s="188"/>
      <c r="X7" s="188" t="s">
        <v>347</v>
      </c>
      <c r="Y7" s="18">
        <v>0</v>
      </c>
      <c r="Z7" s="593"/>
    </row>
    <row r="8" spans="1:28" x14ac:dyDescent="0.25">
      <c r="A8" s="181">
        <v>6</v>
      </c>
      <c r="B8" s="222">
        <f t="shared" si="10"/>
        <v>6</v>
      </c>
      <c r="C8" s="223">
        <f t="shared" si="0"/>
        <v>5.3351999999999995</v>
      </c>
      <c r="D8" s="223">
        <f t="shared" si="3"/>
        <v>2.0233099967312578</v>
      </c>
      <c r="E8" s="223">
        <f t="shared" si="4"/>
        <v>12.816071577640272</v>
      </c>
      <c r="F8" s="223">
        <f t="shared" si="5"/>
        <v>25.944481104378426</v>
      </c>
      <c r="G8" s="183">
        <f t="shared" si="11"/>
        <v>6</v>
      </c>
      <c r="H8" s="191">
        <v>4</v>
      </c>
      <c r="I8" s="185">
        <f t="shared" si="1"/>
        <v>1.4</v>
      </c>
      <c r="J8" s="185">
        <f t="shared" si="6"/>
        <v>0.62039858298212092</v>
      </c>
      <c r="K8" s="185">
        <f t="shared" si="12"/>
        <v>3.5188608653605269</v>
      </c>
      <c r="L8" s="185">
        <f t="shared" si="2"/>
        <v>99.342415930393528</v>
      </c>
      <c r="M8" s="186">
        <f t="shared" si="13"/>
        <v>6</v>
      </c>
      <c r="N8" s="187"/>
      <c r="O8" s="187"/>
      <c r="P8" s="187"/>
      <c r="Q8" s="187"/>
      <c r="R8" s="190">
        <f t="shared" si="7"/>
        <v>0</v>
      </c>
      <c r="S8" s="190">
        <f t="shared" si="8"/>
        <v>0</v>
      </c>
      <c r="T8" s="190">
        <f t="shared" si="9"/>
        <v>0</v>
      </c>
      <c r="U8" s="190">
        <f t="shared" si="14"/>
        <v>0</v>
      </c>
      <c r="W8" s="188"/>
      <c r="X8" s="188" t="s">
        <v>348</v>
      </c>
      <c r="Y8" s="192">
        <v>0</v>
      </c>
      <c r="Z8" s="593"/>
    </row>
    <row r="9" spans="1:28" x14ac:dyDescent="0.25">
      <c r="A9" s="181">
        <v>7</v>
      </c>
      <c r="B9" s="222">
        <f t="shared" si="10"/>
        <v>7</v>
      </c>
      <c r="C9" s="223">
        <f t="shared" si="0"/>
        <v>6.2243999999999993</v>
      </c>
      <c r="D9" s="223">
        <f t="shared" si="3"/>
        <v>2.3185507720937846</v>
      </c>
      <c r="E9" s="223">
        <f t="shared" si="4"/>
        <v>14.878972594730007</v>
      </c>
      <c r="F9" s="223">
        <f t="shared" si="5"/>
        <v>25.944481104378426</v>
      </c>
      <c r="G9" s="183">
        <f t="shared" si="11"/>
        <v>7</v>
      </c>
      <c r="H9" s="191">
        <v>6</v>
      </c>
      <c r="I9" s="185">
        <f t="shared" si="1"/>
        <v>2.0999999999999996</v>
      </c>
      <c r="J9" s="185">
        <f t="shared" si="6"/>
        <v>0.8876975754378359</v>
      </c>
      <c r="K9" s="185">
        <f t="shared" si="12"/>
        <v>5.2035732772208965</v>
      </c>
      <c r="L9" s="185">
        <f t="shared" si="2"/>
        <v>99.342415930393528</v>
      </c>
      <c r="M9" s="186">
        <f t="shared" si="13"/>
        <v>7</v>
      </c>
      <c r="N9" s="187"/>
      <c r="O9" s="187"/>
      <c r="P9" s="187"/>
      <c r="Q9" s="187"/>
      <c r="R9" s="190">
        <f t="shared" si="7"/>
        <v>0</v>
      </c>
      <c r="S9" s="190">
        <f t="shared" si="8"/>
        <v>0</v>
      </c>
      <c r="T9" s="190">
        <f t="shared" si="9"/>
        <v>0</v>
      </c>
      <c r="U9" s="190">
        <f t="shared" si="14"/>
        <v>0</v>
      </c>
      <c r="W9" s="188"/>
      <c r="X9" s="193" t="s">
        <v>349</v>
      </c>
      <c r="Y9" s="194">
        <f>SUM(Y5:Y8)</f>
        <v>73.397934826015103</v>
      </c>
      <c r="Z9" s="593"/>
      <c r="AA9" s="188"/>
    </row>
    <row r="10" spans="1:28" x14ac:dyDescent="0.25">
      <c r="A10" s="181">
        <v>8</v>
      </c>
      <c r="B10" s="222">
        <f t="shared" si="10"/>
        <v>8</v>
      </c>
      <c r="C10" s="223">
        <f t="shared" si="0"/>
        <v>7.1135999999999999</v>
      </c>
      <c r="D10" s="223">
        <f t="shared" si="3"/>
        <v>2.6089051793396725</v>
      </c>
      <c r="E10" s="223">
        <f t="shared" si="4"/>
        <v>16.933363187349929</v>
      </c>
      <c r="F10" s="223">
        <f t="shared" si="5"/>
        <v>25.944481104378426</v>
      </c>
      <c r="G10" s="183">
        <f t="shared" si="11"/>
        <v>8</v>
      </c>
      <c r="H10" s="191">
        <v>7.8336000000000006</v>
      </c>
      <c r="I10" s="185">
        <f t="shared" si="1"/>
        <v>2.7417600000000002</v>
      </c>
      <c r="J10" s="185">
        <f t="shared" si="6"/>
        <v>1.123556391564114</v>
      </c>
      <c r="K10" s="185">
        <f t="shared" si="12"/>
        <v>6.7320927153074983</v>
      </c>
      <c r="L10" s="185">
        <f t="shared" si="2"/>
        <v>99.342415930393528</v>
      </c>
      <c r="M10" s="186">
        <f t="shared" si="13"/>
        <v>8</v>
      </c>
      <c r="N10" s="187"/>
      <c r="O10" s="187"/>
      <c r="P10" s="187"/>
      <c r="Q10" s="187"/>
      <c r="R10" s="190">
        <f t="shared" si="7"/>
        <v>0</v>
      </c>
      <c r="S10" s="190">
        <f t="shared" si="8"/>
        <v>0</v>
      </c>
      <c r="T10" s="190">
        <f t="shared" si="9"/>
        <v>0</v>
      </c>
      <c r="U10" s="190">
        <f t="shared" si="14"/>
        <v>0</v>
      </c>
      <c r="W10" s="188"/>
      <c r="X10" s="188" t="s">
        <v>350</v>
      </c>
      <c r="Y10" s="189">
        <f>SUM(N2:N32)</f>
        <v>302.89920000000001</v>
      </c>
      <c r="Z10" s="593"/>
      <c r="AA10" s="188"/>
    </row>
    <row r="11" spans="1:28" x14ac:dyDescent="0.25">
      <c r="A11" s="181">
        <v>9</v>
      </c>
      <c r="B11" s="222">
        <f t="shared" si="10"/>
        <v>9</v>
      </c>
      <c r="C11" s="223">
        <f t="shared" si="0"/>
        <v>8.0028000000000006</v>
      </c>
      <c r="D11" s="223">
        <f t="shared" si="3"/>
        <v>2.8950539664743791</v>
      </c>
      <c r="E11" s="223">
        <f t="shared" si="4"/>
        <v>18.980428991609543</v>
      </c>
      <c r="F11" s="223">
        <f t="shared" si="5"/>
        <v>25.944481104378426</v>
      </c>
      <c r="G11" s="183">
        <f t="shared" si="11"/>
        <v>9</v>
      </c>
      <c r="H11" s="191">
        <v>28.723200000000002</v>
      </c>
      <c r="I11" s="185">
        <f t="shared" si="1"/>
        <v>10.05312</v>
      </c>
      <c r="J11" s="185">
        <f t="shared" si="6"/>
        <v>3.5414825854533278</v>
      </c>
      <c r="K11" s="185">
        <f t="shared" si="12"/>
        <v>23.677266169664545</v>
      </c>
      <c r="L11" s="185">
        <f t="shared" si="2"/>
        <v>99.342415930393528</v>
      </c>
      <c r="M11" s="186">
        <f t="shared" si="13"/>
        <v>9</v>
      </c>
      <c r="N11" s="187"/>
      <c r="O11" s="187"/>
      <c r="P11" s="187"/>
      <c r="Q11" s="187"/>
      <c r="R11" s="190">
        <f t="shared" si="7"/>
        <v>0</v>
      </c>
      <c r="S11" s="190">
        <f t="shared" si="8"/>
        <v>0</v>
      </c>
      <c r="T11" s="190">
        <f t="shared" si="9"/>
        <v>0</v>
      </c>
      <c r="U11" s="190">
        <f t="shared" si="14"/>
        <v>0</v>
      </c>
      <c r="W11" s="188"/>
      <c r="X11" s="188" t="s">
        <v>351</v>
      </c>
      <c r="Y11" s="188">
        <v>1.03</v>
      </c>
      <c r="Z11" s="593"/>
      <c r="AA11" s="188"/>
    </row>
    <row r="12" spans="1:28" x14ac:dyDescent="0.25">
      <c r="A12" s="181">
        <v>10</v>
      </c>
      <c r="B12" s="222">
        <f t="shared" si="10"/>
        <v>10</v>
      </c>
      <c r="C12" s="223">
        <f t="shared" si="0"/>
        <v>8.8919999999999995</v>
      </c>
      <c r="D12" s="223">
        <f t="shared" si="3"/>
        <v>3.177517729464268</v>
      </c>
      <c r="E12" s="223">
        <f t="shared" si="4"/>
        <v>21.021076712150265</v>
      </c>
      <c r="F12" s="223">
        <f t="shared" si="5"/>
        <v>25.944481104378426</v>
      </c>
      <c r="G12" s="183">
        <f t="shared" si="11"/>
        <v>10</v>
      </c>
      <c r="H12" s="191">
        <v>52.223999999999997</v>
      </c>
      <c r="I12" s="185">
        <f t="shared" si="1"/>
        <v>18.278399999999998</v>
      </c>
      <c r="J12" s="185">
        <f t="shared" si="6"/>
        <v>6.0062117346081276</v>
      </c>
      <c r="K12" s="185">
        <f t="shared" si="12"/>
        <v>42.295698771109151</v>
      </c>
      <c r="L12" s="185">
        <f t="shared" si="2"/>
        <v>99.342415930393528</v>
      </c>
      <c r="M12" s="186">
        <f t="shared" si="13"/>
        <v>10</v>
      </c>
      <c r="N12" s="187"/>
      <c r="O12" s="187"/>
      <c r="P12" s="187"/>
      <c r="Q12" s="187"/>
      <c r="R12" s="190">
        <f t="shared" si="7"/>
        <v>0</v>
      </c>
      <c r="S12" s="190">
        <f t="shared" si="8"/>
        <v>0</v>
      </c>
      <c r="T12" s="190">
        <f t="shared" si="9"/>
        <v>0</v>
      </c>
      <c r="U12" s="190">
        <f t="shared" si="14"/>
        <v>0</v>
      </c>
      <c r="W12" s="188"/>
      <c r="X12" s="193" t="s">
        <v>352</v>
      </c>
      <c r="Y12" s="195">
        <f>Y10*Y11</f>
        <v>311.986176</v>
      </c>
      <c r="Z12" s="593"/>
      <c r="AA12" s="188"/>
    </row>
    <row r="13" spans="1:28" x14ac:dyDescent="0.25">
      <c r="A13" s="181">
        <v>11</v>
      </c>
      <c r="B13" s="222">
        <f t="shared" si="10"/>
        <v>11</v>
      </c>
      <c r="C13" s="223">
        <f t="shared" si="0"/>
        <v>9.7812000000000001</v>
      </c>
      <c r="D13" s="223">
        <f t="shared" si="3"/>
        <v>3.4567069199829903</v>
      </c>
      <c r="E13" s="223">
        <f t="shared" si="4"/>
        <v>23.056021218970372</v>
      </c>
      <c r="F13" s="223">
        <f t="shared" si="5"/>
        <v>25.944481104378426</v>
      </c>
      <c r="G13" s="183">
        <f t="shared" si="11"/>
        <v>11</v>
      </c>
      <c r="H13" s="191">
        <v>75.724800000000002</v>
      </c>
      <c r="I13" s="185">
        <f t="shared" si="1"/>
        <v>26.503679999999999</v>
      </c>
      <c r="J13" s="185">
        <f t="shared" si="6"/>
        <v>8.3403716793838125</v>
      </c>
      <c r="K13" s="185">
        <f>(I13+J13)*0.475*44/12</f>
        <v>60.686723341593456</v>
      </c>
      <c r="L13" s="185">
        <f t="shared" si="2"/>
        <v>99.342415930393528</v>
      </c>
      <c r="M13" s="186">
        <f t="shared" si="13"/>
        <v>11</v>
      </c>
      <c r="N13" s="187"/>
      <c r="O13" s="187"/>
      <c r="P13" s="187"/>
      <c r="Q13" s="187"/>
      <c r="R13" s="190">
        <f t="shared" si="7"/>
        <v>0</v>
      </c>
      <c r="S13" s="190">
        <f t="shared" si="8"/>
        <v>0</v>
      </c>
      <c r="T13" s="190">
        <f t="shared" si="9"/>
        <v>0</v>
      </c>
      <c r="U13" s="190">
        <f t="shared" si="14"/>
        <v>0</v>
      </c>
      <c r="W13" s="188"/>
      <c r="X13" s="193" t="s">
        <v>353</v>
      </c>
      <c r="Y13" s="194">
        <f>AVERAGE(U2:U32)</f>
        <v>29.662237825215133</v>
      </c>
      <c r="Z13" s="593"/>
      <c r="AA13" s="188"/>
    </row>
    <row r="14" spans="1:28" x14ac:dyDescent="0.25">
      <c r="A14" s="181">
        <v>12</v>
      </c>
      <c r="B14" s="222">
        <f t="shared" si="10"/>
        <v>12</v>
      </c>
      <c r="C14" s="223">
        <f t="shared" si="0"/>
        <v>10.670399999999999</v>
      </c>
      <c r="D14" s="223">
        <f t="shared" si="3"/>
        <v>3.7329530817348457</v>
      </c>
      <c r="E14" s="223">
        <f t="shared" si="4"/>
        <v>25.085839950688193</v>
      </c>
      <c r="F14" s="223">
        <f t="shared" si="5"/>
        <v>25.944481104378426</v>
      </c>
      <c r="G14" s="183">
        <f t="shared" si="11"/>
        <v>12</v>
      </c>
      <c r="H14" s="191">
        <v>101.83680000000001</v>
      </c>
      <c r="I14" s="185">
        <f t="shared" si="1"/>
        <v>35.642879999999998</v>
      </c>
      <c r="J14" s="185">
        <f t="shared" si="6"/>
        <v>10.836155304531353</v>
      </c>
      <c r="K14" s="185">
        <f t="shared" si="12"/>
        <v>80.950986488725434</v>
      </c>
      <c r="L14" s="185">
        <f t="shared" si="2"/>
        <v>99.342415930393528</v>
      </c>
      <c r="M14" s="186">
        <f t="shared" si="13"/>
        <v>12</v>
      </c>
      <c r="N14" s="187"/>
      <c r="O14" s="187"/>
      <c r="P14" s="187"/>
      <c r="Q14" s="187"/>
      <c r="R14" s="190">
        <f t="shared" si="7"/>
        <v>0</v>
      </c>
      <c r="S14" s="190">
        <f t="shared" si="8"/>
        <v>0</v>
      </c>
      <c r="T14" s="190">
        <f t="shared" si="9"/>
        <v>0</v>
      </c>
      <c r="U14" s="190">
        <f t="shared" si="14"/>
        <v>0</v>
      </c>
      <c r="W14" s="188"/>
      <c r="Z14" s="593"/>
      <c r="AA14" s="188"/>
    </row>
    <row r="15" spans="1:28" x14ac:dyDescent="0.25">
      <c r="A15" s="181">
        <v>13</v>
      </c>
      <c r="B15" s="222">
        <f t="shared" si="10"/>
        <v>13</v>
      </c>
      <c r="C15" s="223">
        <f t="shared" si="0"/>
        <v>11.5596</v>
      </c>
      <c r="D15" s="223">
        <f t="shared" si="3"/>
        <v>4.0065293501366055</v>
      </c>
      <c r="E15" s="223">
        <f t="shared" si="4"/>
        <v>27.111008618154589</v>
      </c>
      <c r="F15" s="223">
        <f t="shared" si="5"/>
        <v>25.944481104378426</v>
      </c>
      <c r="G15" s="183">
        <f t="shared" si="11"/>
        <v>13</v>
      </c>
      <c r="H15" s="191">
        <v>125.33760000000001</v>
      </c>
      <c r="I15" s="185">
        <f t="shared" si="1"/>
        <v>43.868160000000003</v>
      </c>
      <c r="J15" s="185">
        <f t="shared" si="6"/>
        <v>13.018330452623808</v>
      </c>
      <c r="K15" s="185">
        <f t="shared" si="12"/>
        <v>99.077304204986476</v>
      </c>
      <c r="L15" s="185">
        <f t="shared" si="2"/>
        <v>99.342415930393528</v>
      </c>
      <c r="M15" s="186">
        <f t="shared" si="13"/>
        <v>13</v>
      </c>
      <c r="N15" s="187"/>
      <c r="O15" s="187"/>
      <c r="P15" s="187"/>
      <c r="Q15" s="187"/>
      <c r="R15" s="190">
        <f t="shared" si="7"/>
        <v>0</v>
      </c>
      <c r="S15" s="190">
        <f t="shared" si="8"/>
        <v>0</v>
      </c>
      <c r="T15" s="190">
        <f t="shared" si="9"/>
        <v>0</v>
      </c>
      <c r="U15" s="190">
        <f t="shared" si="14"/>
        <v>0</v>
      </c>
      <c r="W15" s="188"/>
      <c r="X15" s="197" t="s">
        <v>406</v>
      </c>
      <c r="Y15" s="194">
        <f>Y9+Y12+Y13</f>
        <v>415.04634865123023</v>
      </c>
      <c r="Z15" s="188"/>
      <c r="AA15" s="188"/>
    </row>
    <row r="16" spans="1:28" x14ac:dyDescent="0.25">
      <c r="A16" s="181">
        <v>14</v>
      </c>
      <c r="B16" s="222">
        <f t="shared" si="10"/>
        <v>14</v>
      </c>
      <c r="C16" s="223">
        <f t="shared" si="0"/>
        <v>12.448799999999999</v>
      </c>
      <c r="D16" s="223">
        <f t="shared" si="3"/>
        <v>4.2776644527179633</v>
      </c>
      <c r="E16" s="223">
        <f t="shared" si="4"/>
        <v>29.131925588483782</v>
      </c>
      <c r="F16" s="223">
        <f t="shared" si="5"/>
        <v>25.944481104378426</v>
      </c>
      <c r="G16" s="183">
        <f t="shared" si="11"/>
        <v>14</v>
      </c>
      <c r="H16" s="191">
        <v>148.83840000000001</v>
      </c>
      <c r="I16" s="185">
        <f t="shared" si="1"/>
        <v>52.093440000000001</v>
      </c>
      <c r="J16" s="185">
        <f t="shared" si="6"/>
        <v>15.153102343397276</v>
      </c>
      <c r="K16" s="185">
        <f t="shared" si="12"/>
        <v>117.12106124808359</v>
      </c>
      <c r="L16" s="185">
        <f t="shared" si="2"/>
        <v>99.342415930393528</v>
      </c>
      <c r="M16" s="186">
        <f t="shared" si="13"/>
        <v>14</v>
      </c>
      <c r="N16" s="187"/>
      <c r="O16" s="196"/>
      <c r="P16" s="196"/>
      <c r="Q16" s="196"/>
      <c r="R16" s="190">
        <f t="shared" si="7"/>
        <v>0</v>
      </c>
      <c r="S16" s="190">
        <f t="shared" si="8"/>
        <v>0</v>
      </c>
      <c r="T16" s="190">
        <f t="shared" si="9"/>
        <v>0</v>
      </c>
      <c r="U16" s="190">
        <f t="shared" si="14"/>
        <v>0</v>
      </c>
      <c r="W16" s="188"/>
      <c r="Z16" s="188"/>
      <c r="AA16" s="188"/>
    </row>
    <row r="17" spans="1:27" x14ac:dyDescent="0.25">
      <c r="A17" s="181">
        <v>15</v>
      </c>
      <c r="B17" s="222">
        <f t="shared" si="10"/>
        <v>15</v>
      </c>
      <c r="C17" s="223">
        <f t="shared" si="0"/>
        <v>13.337999999999999</v>
      </c>
      <c r="D17" s="223">
        <f t="shared" si="3"/>
        <v>4.5465525901071517</v>
      </c>
      <c r="E17" s="223">
        <f t="shared" si="4"/>
        <v>31.148929094436621</v>
      </c>
      <c r="F17" s="223">
        <f t="shared" si="5"/>
        <v>25.944481104378426</v>
      </c>
      <c r="G17" s="183">
        <f t="shared" si="11"/>
        <v>15</v>
      </c>
      <c r="H17" s="191">
        <v>172.33919999999998</v>
      </c>
      <c r="I17" s="185">
        <f t="shared" si="1"/>
        <v>60.318719999999985</v>
      </c>
      <c r="J17" s="185">
        <f t="shared" si="6"/>
        <v>17.248826564712438</v>
      </c>
      <c r="K17" s="185">
        <f t="shared" si="12"/>
        <v>135.09681026687412</v>
      </c>
      <c r="L17" s="185">
        <f t="shared" si="2"/>
        <v>99.342415930393528</v>
      </c>
      <c r="M17" s="186">
        <f t="shared" si="13"/>
        <v>15</v>
      </c>
      <c r="N17" s="187"/>
      <c r="O17" s="187"/>
      <c r="P17" s="187"/>
      <c r="Q17" s="187"/>
      <c r="R17" s="190">
        <f t="shared" si="7"/>
        <v>0</v>
      </c>
      <c r="S17" s="190">
        <f t="shared" si="8"/>
        <v>0</v>
      </c>
      <c r="T17" s="190">
        <f t="shared" si="9"/>
        <v>0</v>
      </c>
      <c r="U17" s="190">
        <f t="shared" si="14"/>
        <v>0</v>
      </c>
    </row>
    <row r="18" spans="1:27" x14ac:dyDescent="0.25">
      <c r="A18" s="181">
        <v>16</v>
      </c>
      <c r="B18" s="222">
        <f t="shared" si="10"/>
        <v>16</v>
      </c>
      <c r="C18" s="223">
        <f t="shared" si="0"/>
        <v>14.2272</v>
      </c>
      <c r="D18" s="223">
        <f t="shared" si="3"/>
        <v>4.81336060460516</v>
      </c>
      <c r="E18" s="223">
        <f t="shared" si="4"/>
        <v>33.162309719687322</v>
      </c>
      <c r="F18" s="223">
        <f t="shared" si="5"/>
        <v>25.944481104378426</v>
      </c>
      <c r="G18" s="183">
        <f t="shared" si="11"/>
        <v>16</v>
      </c>
      <c r="H18" s="191">
        <v>193.22880000000001</v>
      </c>
      <c r="I18" s="185">
        <f t="shared" si="1"/>
        <v>67.630079999999992</v>
      </c>
      <c r="J18" s="185">
        <f t="shared" si="6"/>
        <v>19.083748371032655</v>
      </c>
      <c r="K18" s="185">
        <f t="shared" si="12"/>
        <v>151.02658441288187</v>
      </c>
      <c r="L18" s="185">
        <f t="shared" si="2"/>
        <v>99.342415930393528</v>
      </c>
      <c r="M18" s="186">
        <f t="shared" si="13"/>
        <v>16</v>
      </c>
      <c r="N18" s="187"/>
      <c r="O18" s="187"/>
      <c r="P18" s="196"/>
      <c r="Q18" s="196"/>
      <c r="R18" s="190">
        <f t="shared" si="7"/>
        <v>0</v>
      </c>
      <c r="S18" s="190">
        <f t="shared" si="8"/>
        <v>0</v>
      </c>
      <c r="T18" s="190">
        <f t="shared" si="9"/>
        <v>0</v>
      </c>
      <c r="U18" s="190">
        <f t="shared" si="14"/>
        <v>0</v>
      </c>
      <c r="Z18" s="188"/>
      <c r="AA18" s="188"/>
    </row>
    <row r="19" spans="1:27" x14ac:dyDescent="0.25">
      <c r="A19" s="181">
        <v>17</v>
      </c>
      <c r="B19" s="222">
        <f t="shared" si="10"/>
        <v>17</v>
      </c>
      <c r="C19" s="223">
        <f t="shared" si="0"/>
        <v>15.116399999999999</v>
      </c>
      <c r="D19" s="223">
        <f t="shared" si="3"/>
        <v>5.0782333044806913</v>
      </c>
      <c r="E19" s="223">
        <f t="shared" si="4"/>
        <v>35.172319671970534</v>
      </c>
      <c r="F19" s="223">
        <f t="shared" si="5"/>
        <v>25.944481104378426</v>
      </c>
      <c r="G19" s="183">
        <f t="shared" si="11"/>
        <v>17</v>
      </c>
      <c r="H19" s="191">
        <v>211.50720000000001</v>
      </c>
      <c r="I19" s="185">
        <f t="shared" si="1"/>
        <v>74.027519999999996</v>
      </c>
      <c r="J19" s="185">
        <f t="shared" si="6"/>
        <v>20.670353155130776</v>
      </c>
      <c r="K19" s="185">
        <f t="shared" si="12"/>
        <v>164.93212907851941</v>
      </c>
      <c r="L19" s="185">
        <f t="shared" si="2"/>
        <v>99.342415930393528</v>
      </c>
      <c r="M19" s="186">
        <f t="shared" si="13"/>
        <v>17</v>
      </c>
      <c r="N19" s="187"/>
      <c r="O19" s="187"/>
      <c r="P19" s="187"/>
      <c r="Q19" s="187"/>
      <c r="R19" s="190">
        <f t="shared" si="7"/>
        <v>0</v>
      </c>
      <c r="S19" s="190">
        <f t="shared" si="8"/>
        <v>0</v>
      </c>
      <c r="T19" s="190">
        <f t="shared" si="9"/>
        <v>0</v>
      </c>
      <c r="U19" s="190">
        <f t="shared" si="14"/>
        <v>0</v>
      </c>
      <c r="Z19" s="188"/>
      <c r="AA19" s="188"/>
    </row>
    <row r="20" spans="1:27" x14ac:dyDescent="0.25">
      <c r="A20" s="181">
        <v>18</v>
      </c>
      <c r="B20" s="222">
        <f t="shared" si="10"/>
        <v>18</v>
      </c>
      <c r="C20" s="223">
        <f t="shared" si="0"/>
        <v>16.005600000000001</v>
      </c>
      <c r="D20" s="223">
        <f t="shared" si="3"/>
        <v>5.3412974993444156</v>
      </c>
      <c r="E20" s="223">
        <f t="shared" si="4"/>
        <v>37.179179811358189</v>
      </c>
      <c r="F20" s="223">
        <f t="shared" si="5"/>
        <v>25.944481104378426</v>
      </c>
      <c r="G20" s="183">
        <f t="shared" si="11"/>
        <v>18</v>
      </c>
      <c r="H20" s="191">
        <v>229.78560000000002</v>
      </c>
      <c r="I20" s="185">
        <f t="shared" si="1"/>
        <v>80.424959999999999</v>
      </c>
      <c r="J20" s="185">
        <f t="shared" si="6"/>
        <v>22.241056998141804</v>
      </c>
      <c r="K20" s="185">
        <f t="shared" si="12"/>
        <v>178.80997960509694</v>
      </c>
      <c r="L20" s="185">
        <f t="shared" si="2"/>
        <v>99.342415930393528</v>
      </c>
      <c r="M20" s="186">
        <f t="shared" si="13"/>
        <v>18</v>
      </c>
      <c r="N20" s="187"/>
      <c r="O20" s="196"/>
      <c r="P20" s="196"/>
      <c r="Q20" s="196"/>
      <c r="R20" s="190">
        <f t="shared" si="7"/>
        <v>0</v>
      </c>
      <c r="S20" s="190">
        <f t="shared" si="8"/>
        <v>0</v>
      </c>
      <c r="T20" s="190">
        <f t="shared" si="9"/>
        <v>0</v>
      </c>
      <c r="U20" s="190">
        <f t="shared" si="14"/>
        <v>0</v>
      </c>
      <c r="X20" s="198"/>
      <c r="Y20" s="199"/>
    </row>
    <row r="21" spans="1:27" x14ac:dyDescent="0.25">
      <c r="A21" s="181">
        <v>19</v>
      </c>
      <c r="B21" s="222">
        <f t="shared" si="10"/>
        <v>19</v>
      </c>
      <c r="C21" s="223">
        <f t="shared" si="0"/>
        <v>16.8948</v>
      </c>
      <c r="D21" s="223">
        <f t="shared" si="3"/>
        <v>5.6026651130643454</v>
      </c>
      <c r="E21" s="223">
        <f t="shared" si="4"/>
        <v>39.183085071920395</v>
      </c>
      <c r="F21" s="223">
        <f t="shared" si="5"/>
        <v>25.944481104378426</v>
      </c>
      <c r="G21" s="183">
        <f t="shared" si="11"/>
        <v>19</v>
      </c>
      <c r="H21" s="191">
        <v>245.4528</v>
      </c>
      <c r="I21" s="185">
        <f t="shared" si="1"/>
        <v>85.908479999999997</v>
      </c>
      <c r="J21" s="185">
        <f t="shared" si="6"/>
        <v>23.575792769127819</v>
      </c>
      <c r="K21" s="185">
        <f t="shared" si="12"/>
        <v>190.68510840623094</v>
      </c>
      <c r="L21" s="185">
        <f t="shared" si="2"/>
        <v>99.342415930393528</v>
      </c>
      <c r="M21" s="186">
        <f t="shared" si="13"/>
        <v>19</v>
      </c>
      <c r="N21" s="200"/>
      <c r="O21" s="201"/>
      <c r="P21" s="201"/>
      <c r="Q21" s="201"/>
      <c r="R21" s="190">
        <f t="shared" si="7"/>
        <v>0</v>
      </c>
      <c r="S21" s="190">
        <f t="shared" si="8"/>
        <v>0</v>
      </c>
      <c r="T21" s="190">
        <f t="shared" si="9"/>
        <v>0</v>
      </c>
      <c r="U21" s="190">
        <f t="shared" si="14"/>
        <v>0</v>
      </c>
      <c r="Y21" s="188"/>
    </row>
    <row r="22" spans="1:27" x14ac:dyDescent="0.25">
      <c r="A22" s="181">
        <v>20</v>
      </c>
      <c r="B22" s="222">
        <f t="shared" si="10"/>
        <v>20</v>
      </c>
      <c r="C22" s="223">
        <f t="shared" si="0"/>
        <v>17.783999999999999</v>
      </c>
      <c r="D22" s="223">
        <f t="shared" si="3"/>
        <v>5.862435622634961</v>
      </c>
      <c r="E22" s="223">
        <f t="shared" si="4"/>
        <v>41.184208709422556</v>
      </c>
      <c r="F22" s="223">
        <f t="shared" si="5"/>
        <v>25.944481104378426</v>
      </c>
      <c r="G22" s="183">
        <f t="shared" si="11"/>
        <v>20</v>
      </c>
      <c r="H22" s="191">
        <v>258.50880000000001</v>
      </c>
      <c r="I22" s="185">
        <f t="shared" si="1"/>
        <v>90.478079999999991</v>
      </c>
      <c r="J22" s="185">
        <f t="shared" si="6"/>
        <v>24.680490801643625</v>
      </c>
      <c r="K22" s="185">
        <f t="shared" si="12"/>
        <v>200.56784414619597</v>
      </c>
      <c r="L22" s="185">
        <f t="shared" si="2"/>
        <v>99.342415930393528</v>
      </c>
      <c r="M22" s="186">
        <f t="shared" si="13"/>
        <v>20</v>
      </c>
      <c r="N22" s="187"/>
      <c r="O22" s="196"/>
      <c r="P22" s="202"/>
      <c r="Q22" s="202"/>
      <c r="R22" s="190">
        <f t="shared" si="7"/>
        <v>0</v>
      </c>
      <c r="S22" s="190">
        <f t="shared" si="8"/>
        <v>0</v>
      </c>
      <c r="T22" s="190">
        <f t="shared" si="9"/>
        <v>0</v>
      </c>
      <c r="U22" s="190">
        <f t="shared" si="14"/>
        <v>0</v>
      </c>
      <c r="Y22" s="188"/>
    </row>
    <row r="23" spans="1:27" x14ac:dyDescent="0.25">
      <c r="A23" s="181">
        <v>21</v>
      </c>
      <c r="B23" s="222">
        <f t="shared" si="10"/>
        <v>21</v>
      </c>
      <c r="C23" s="223">
        <f t="shared" si="0"/>
        <v>18.673199999999998</v>
      </c>
      <c r="D23" s="223">
        <f t="shared" si="3"/>
        <v>6.120697995410775</v>
      </c>
      <c r="E23" s="223">
        <f t="shared" si="4"/>
        <v>43.182705675340429</v>
      </c>
      <c r="F23" s="223">
        <f t="shared" si="5"/>
        <v>25.944481104378426</v>
      </c>
      <c r="G23" s="183">
        <f t="shared" si="11"/>
        <v>21</v>
      </c>
      <c r="H23" s="191">
        <v>271.56479999999999</v>
      </c>
      <c r="I23" s="185">
        <f t="shared" si="1"/>
        <v>95.047679999999986</v>
      </c>
      <c r="J23" s="185">
        <f t="shared" si="6"/>
        <v>25.778710693110984</v>
      </c>
      <c r="K23" s="185">
        <f t="shared" si="12"/>
        <v>210.4392971238349</v>
      </c>
      <c r="L23" s="185">
        <f t="shared" si="2"/>
        <v>99.342415930393528</v>
      </c>
      <c r="M23" s="186">
        <f t="shared" si="13"/>
        <v>21</v>
      </c>
      <c r="N23" s="187"/>
      <c r="O23" s="196"/>
      <c r="P23" s="196"/>
      <c r="Q23" s="196"/>
      <c r="R23" s="190">
        <f t="shared" si="7"/>
        <v>0</v>
      </c>
      <c r="S23" s="190">
        <f t="shared" si="8"/>
        <v>0</v>
      </c>
      <c r="T23" s="190">
        <f t="shared" si="9"/>
        <v>0</v>
      </c>
      <c r="U23" s="190">
        <f t="shared" si="14"/>
        <v>0</v>
      </c>
      <c r="Y23" s="188"/>
    </row>
    <row r="24" spans="1:27" x14ac:dyDescent="0.25">
      <c r="A24" s="181">
        <v>22</v>
      </c>
      <c r="B24" s="222">
        <f t="shared" si="10"/>
        <v>22</v>
      </c>
      <c r="C24" s="223">
        <f t="shared" si="0"/>
        <v>19.5624</v>
      </c>
      <c r="D24" s="223">
        <f t="shared" si="3"/>
        <v>6.3775322468881095</v>
      </c>
      <c r="E24" s="223">
        <f t="shared" si="4"/>
        <v>45.178715329996784</v>
      </c>
      <c r="F24" s="223">
        <f t="shared" si="5"/>
        <v>25.944481104378426</v>
      </c>
      <c r="G24" s="183">
        <f t="shared" si="11"/>
        <v>22</v>
      </c>
      <c r="H24" s="191">
        <v>279.39840000000004</v>
      </c>
      <c r="I24" s="185">
        <f t="shared" si="1"/>
        <v>97.789440000000013</v>
      </c>
      <c r="J24" s="185">
        <f t="shared" si="6"/>
        <v>26.434678930847817</v>
      </c>
      <c r="K24" s="185">
        <f t="shared" si="12"/>
        <v>216.35700713789331</v>
      </c>
      <c r="L24" s="185">
        <f t="shared" si="2"/>
        <v>99.342415930393528</v>
      </c>
      <c r="M24" s="186">
        <f t="shared" si="13"/>
        <v>22</v>
      </c>
      <c r="N24" s="187"/>
      <c r="O24" s="187"/>
      <c r="P24" s="187"/>
      <c r="Q24" s="187"/>
      <c r="R24" s="190">
        <f t="shared" si="7"/>
        <v>0</v>
      </c>
      <c r="S24" s="190">
        <f t="shared" si="8"/>
        <v>0</v>
      </c>
      <c r="T24" s="190">
        <f t="shared" si="9"/>
        <v>0</v>
      </c>
      <c r="U24" s="190">
        <f t="shared" si="14"/>
        <v>0</v>
      </c>
      <c r="Y24" s="188"/>
    </row>
    <row r="25" spans="1:27" x14ac:dyDescent="0.25">
      <c r="A25" s="181">
        <v>23</v>
      </c>
      <c r="B25" s="222">
        <f t="shared" si="10"/>
        <v>23</v>
      </c>
      <c r="C25" s="223">
        <f t="shared" si="0"/>
        <v>20.451599999999999</v>
      </c>
      <c r="D25" s="223">
        <f t="shared" si="3"/>
        <v>6.6330107072474558</v>
      </c>
      <c r="E25" s="223">
        <f t="shared" si="4"/>
        <v>47.172363648455985</v>
      </c>
      <c r="F25" s="223">
        <f t="shared" si="5"/>
        <v>25.944481104378426</v>
      </c>
      <c r="G25" s="183">
        <f t="shared" si="11"/>
        <v>23</v>
      </c>
      <c r="H25" s="191">
        <v>289.84320000000002</v>
      </c>
      <c r="I25" s="185">
        <f t="shared" si="1"/>
        <v>101.44512</v>
      </c>
      <c r="J25" s="185">
        <f t="shared" si="6"/>
        <v>27.305989446013374</v>
      </c>
      <c r="K25" s="185">
        <f t="shared" si="12"/>
        <v>224.24151561847327</v>
      </c>
      <c r="L25" s="185">
        <f t="shared" si="2"/>
        <v>99.342415930393528</v>
      </c>
      <c r="M25" s="186">
        <f t="shared" si="13"/>
        <v>23</v>
      </c>
      <c r="N25" s="187"/>
      <c r="O25" s="196"/>
      <c r="P25" s="196"/>
      <c r="Q25" s="202"/>
      <c r="R25" s="190">
        <f t="shared" si="7"/>
        <v>0</v>
      </c>
      <c r="S25" s="190">
        <f t="shared" si="8"/>
        <v>0</v>
      </c>
      <c r="T25" s="190">
        <f t="shared" si="9"/>
        <v>0</v>
      </c>
      <c r="U25" s="190">
        <f t="shared" si="14"/>
        <v>0</v>
      </c>
      <c r="Y25" s="188"/>
    </row>
    <row r="26" spans="1:27" x14ac:dyDescent="0.25">
      <c r="A26" s="181">
        <v>24</v>
      </c>
      <c r="B26" s="222">
        <f t="shared" si="10"/>
        <v>24</v>
      </c>
      <c r="C26" s="223">
        <f t="shared" si="0"/>
        <v>21.340799999999998</v>
      </c>
      <c r="D26" s="223">
        <f t="shared" si="3"/>
        <v>6.8871990614123195</v>
      </c>
      <c r="E26" s="223">
        <f t="shared" si="4"/>
        <v>49.163765031959791</v>
      </c>
      <c r="F26" s="223">
        <f t="shared" si="5"/>
        <v>25.944481104378426</v>
      </c>
      <c r="G26" s="183">
        <f t="shared" si="11"/>
        <v>24</v>
      </c>
      <c r="H26" s="191">
        <v>297.67680000000001</v>
      </c>
      <c r="I26" s="185">
        <f t="shared" si="1"/>
        <v>104.18688</v>
      </c>
      <c r="J26" s="185">
        <f t="shared" si="6"/>
        <v>27.957070435085509</v>
      </c>
      <c r="K26" s="185">
        <f t="shared" si="12"/>
        <v>230.15071367444057</v>
      </c>
      <c r="L26" s="185">
        <f t="shared" si="2"/>
        <v>99.342415930393528</v>
      </c>
      <c r="M26" s="186">
        <f t="shared" si="13"/>
        <v>24</v>
      </c>
      <c r="N26" s="204"/>
      <c r="O26" s="205"/>
      <c r="P26" s="196"/>
      <c r="Q26" s="196"/>
      <c r="R26" s="190">
        <f t="shared" si="7"/>
        <v>0</v>
      </c>
      <c r="S26" s="190">
        <f t="shared" si="8"/>
        <v>0</v>
      </c>
      <c r="T26" s="190">
        <f t="shared" si="9"/>
        <v>0</v>
      </c>
      <c r="U26" s="190">
        <f t="shared" si="14"/>
        <v>0</v>
      </c>
      <c r="Y26" s="188"/>
    </row>
    <row r="27" spans="1:27" x14ac:dyDescent="0.25">
      <c r="A27" s="181">
        <v>25</v>
      </c>
      <c r="B27" s="222">
        <f t="shared" si="10"/>
        <v>25</v>
      </c>
      <c r="C27" s="223">
        <f t="shared" si="0"/>
        <v>22.229999999999997</v>
      </c>
      <c r="D27" s="223">
        <f t="shared" si="3"/>
        <v>7.140157210880437</v>
      </c>
      <c r="E27" s="223">
        <f t="shared" si="4"/>
        <v>51.153023808950088</v>
      </c>
      <c r="F27" s="223">
        <f t="shared" si="5"/>
        <v>25.944481104378426</v>
      </c>
      <c r="G27" s="183">
        <f t="shared" si="11"/>
        <v>25</v>
      </c>
      <c r="H27" s="191">
        <v>302.89920000000001</v>
      </c>
      <c r="I27" s="185">
        <f t="shared" si="1"/>
        <v>106.01472</v>
      </c>
      <c r="J27" s="185">
        <f t="shared" si="6"/>
        <v>28.390014429267747</v>
      </c>
      <c r="K27" s="185">
        <f t="shared" si="12"/>
        <v>234.08824579764129</v>
      </c>
      <c r="L27" s="185">
        <f t="shared" si="2"/>
        <v>99.342415930393528</v>
      </c>
      <c r="M27" s="186">
        <f t="shared" si="13"/>
        <v>25</v>
      </c>
      <c r="N27" s="211">
        <f>H27-H28</f>
        <v>302.89920000000001</v>
      </c>
      <c r="O27" s="207">
        <f>435/556</f>
        <v>0.78237410071942448</v>
      </c>
      <c r="P27" s="207">
        <v>0</v>
      </c>
      <c r="Q27" s="207">
        <f>122/556</f>
        <v>0.21942446043165467</v>
      </c>
      <c r="R27" s="190">
        <f t="shared" si="7"/>
        <v>143.03830159566502</v>
      </c>
      <c r="S27" s="190">
        <f t="shared" si="8"/>
        <v>0</v>
      </c>
      <c r="T27" s="190">
        <f t="shared" si="9"/>
        <v>34.239711858920643</v>
      </c>
      <c r="U27" s="190">
        <f t="shared" si="14"/>
        <v>177.27801345458568</v>
      </c>
      <c r="Y27" s="188"/>
    </row>
    <row r="28" spans="1:27" x14ac:dyDescent="0.25">
      <c r="A28" s="188"/>
      <c r="B28" s="188"/>
      <c r="C28" s="189"/>
      <c r="D28" s="189"/>
      <c r="E28" s="189"/>
      <c r="F28" s="189"/>
      <c r="G28" s="183">
        <v>25</v>
      </c>
      <c r="H28" s="185">
        <v>0</v>
      </c>
      <c r="I28" s="185">
        <f t="shared" si="1"/>
        <v>0</v>
      </c>
      <c r="J28" s="185">
        <v>0</v>
      </c>
      <c r="K28" s="185">
        <f t="shared" si="12"/>
        <v>0</v>
      </c>
      <c r="L28" s="185"/>
      <c r="M28" s="186">
        <f t="shared" si="13"/>
        <v>26</v>
      </c>
      <c r="N28" s="204"/>
      <c r="O28" s="204"/>
      <c r="P28" s="187"/>
      <c r="Q28" s="187"/>
      <c r="R28" s="190">
        <f t="shared" si="7"/>
        <v>140.23340774612331</v>
      </c>
      <c r="S28" s="190">
        <f t="shared" si="8"/>
        <v>0</v>
      </c>
      <c r="T28" s="190">
        <f t="shared" si="9"/>
        <v>24.211132441316238</v>
      </c>
      <c r="U28" s="190">
        <f t="shared" si="14"/>
        <v>164.44454018743954</v>
      </c>
      <c r="Y28" s="188"/>
    </row>
    <row r="29" spans="1:27" x14ac:dyDescent="0.25">
      <c r="F29" s="189"/>
      <c r="G29" s="188"/>
      <c r="L29" s="189"/>
      <c r="M29" s="186">
        <f t="shared" si="13"/>
        <v>27</v>
      </c>
      <c r="N29" s="200"/>
      <c r="O29" s="200"/>
      <c r="P29" s="200"/>
      <c r="Q29" s="200"/>
      <c r="R29" s="190">
        <f t="shared" si="7"/>
        <v>137.48351615415478</v>
      </c>
      <c r="S29" s="190">
        <f t="shared" si="8"/>
        <v>0</v>
      </c>
      <c r="T29" s="190">
        <f t="shared" si="9"/>
        <v>17.119855929460325</v>
      </c>
      <c r="U29" s="190">
        <f t="shared" si="14"/>
        <v>154.60337208361511</v>
      </c>
    </row>
    <row r="30" spans="1:27" x14ac:dyDescent="0.25">
      <c r="F30" s="189"/>
      <c r="G30" s="188"/>
      <c r="L30" s="189"/>
      <c r="M30" s="186">
        <f t="shared" si="13"/>
        <v>28</v>
      </c>
      <c r="N30" s="200"/>
      <c r="O30" s="200"/>
      <c r="P30" s="200"/>
      <c r="Q30" s="200"/>
      <c r="R30" s="190">
        <f t="shared" si="7"/>
        <v>134.7875482590365</v>
      </c>
      <c r="S30" s="190">
        <f t="shared" si="8"/>
        <v>0</v>
      </c>
      <c r="T30" s="190">
        <f t="shared" si="9"/>
        <v>12.105566220658121</v>
      </c>
      <c r="U30" s="190">
        <f t="shared" si="14"/>
        <v>146.89311447969462</v>
      </c>
    </row>
    <row r="31" spans="1:27" x14ac:dyDescent="0.25">
      <c r="F31" s="189"/>
      <c r="G31" s="188"/>
      <c r="L31" s="189"/>
      <c r="M31" s="186">
        <f t="shared" si="13"/>
        <v>29</v>
      </c>
      <c r="N31" s="200"/>
      <c r="O31" s="200"/>
      <c r="P31" s="200"/>
      <c r="Q31" s="200"/>
      <c r="R31" s="190">
        <f t="shared" si="7"/>
        <v>132.14444664996344</v>
      </c>
      <c r="S31" s="190">
        <f t="shared" si="8"/>
        <v>0</v>
      </c>
      <c r="T31" s="190">
        <f t="shared" si="9"/>
        <v>8.5599279647301643</v>
      </c>
      <c r="U31" s="190">
        <f t="shared" si="14"/>
        <v>140.70437461469362</v>
      </c>
    </row>
    <row r="32" spans="1:27" x14ac:dyDescent="0.25">
      <c r="F32" s="189"/>
      <c r="G32" s="188"/>
      <c r="L32" s="189"/>
      <c r="M32" s="186">
        <f t="shared" si="13"/>
        <v>30</v>
      </c>
      <c r="N32" s="200"/>
      <c r="O32" s="200"/>
      <c r="P32" s="200"/>
      <c r="Q32" s="200"/>
      <c r="R32" s="190">
        <f t="shared" si="7"/>
        <v>129.55317465131151</v>
      </c>
      <c r="S32" s="190">
        <f t="shared" si="8"/>
        <v>0</v>
      </c>
      <c r="T32" s="190">
        <f t="shared" si="9"/>
        <v>6.0527831103290621</v>
      </c>
      <c r="U32" s="190">
        <f t="shared" si="14"/>
        <v>135.60595776164058</v>
      </c>
    </row>
    <row r="33" spans="7:13" x14ac:dyDescent="0.25">
      <c r="G33" s="188"/>
      <c r="M33" s="188"/>
    </row>
    <row r="34" spans="7:13" x14ac:dyDescent="0.25">
      <c r="G34" s="188"/>
    </row>
    <row r="35" spans="7:13" x14ac:dyDescent="0.25">
      <c r="G35" s="188"/>
    </row>
    <row r="36" spans="7:13" x14ac:dyDescent="0.25">
      <c r="G36" s="188"/>
    </row>
    <row r="37" spans="7:13" x14ac:dyDescent="0.25">
      <c r="G37" s="188"/>
    </row>
    <row r="38" spans="7:13" x14ac:dyDescent="0.25">
      <c r="G38" s="188"/>
    </row>
    <row r="39" spans="7:13" x14ac:dyDescent="0.25">
      <c r="G39" s="188"/>
    </row>
    <row r="40" spans="7:13" x14ac:dyDescent="0.25">
      <c r="G40" s="188"/>
    </row>
    <row r="41" spans="7:13" x14ac:dyDescent="0.25">
      <c r="G41" s="188"/>
    </row>
    <row r="42" spans="7:13" x14ac:dyDescent="0.25">
      <c r="G42" s="188"/>
    </row>
    <row r="43" spans="7:13" x14ac:dyDescent="0.25">
      <c r="G43" s="188"/>
    </row>
    <row r="44" spans="7:13" x14ac:dyDescent="0.25">
      <c r="G44" s="188"/>
    </row>
    <row r="45" spans="7:13" x14ac:dyDescent="0.25">
      <c r="G45" s="188"/>
    </row>
    <row r="46" spans="7:13" x14ac:dyDescent="0.25">
      <c r="G46" s="188"/>
    </row>
    <row r="47" spans="7:13" x14ac:dyDescent="0.25">
      <c r="G47" s="188"/>
    </row>
    <row r="48" spans="7:13" x14ac:dyDescent="0.25">
      <c r="G48" s="188"/>
    </row>
    <row r="49" spans="7:7" x14ac:dyDescent="0.25">
      <c r="G49" s="188"/>
    </row>
    <row r="50" spans="7:7" x14ac:dyDescent="0.25">
      <c r="G50" s="188"/>
    </row>
    <row r="51" spans="7:7" x14ac:dyDescent="0.25">
      <c r="G51" s="188"/>
    </row>
    <row r="52" spans="7:7" x14ac:dyDescent="0.25">
      <c r="G52" s="188"/>
    </row>
    <row r="53" spans="7:7" x14ac:dyDescent="0.25">
      <c r="G53" s="188"/>
    </row>
    <row r="54" spans="7:7" x14ac:dyDescent="0.25">
      <c r="G54" s="188"/>
    </row>
    <row r="55" spans="7:7" x14ac:dyDescent="0.25">
      <c r="G55" s="188"/>
    </row>
    <row r="56" spans="7:7" x14ac:dyDescent="0.25">
      <c r="G56" s="188"/>
    </row>
    <row r="57" spans="7:7" x14ac:dyDescent="0.25">
      <c r="G57" s="188"/>
    </row>
    <row r="58" spans="7:7" x14ac:dyDescent="0.25">
      <c r="G58" s="188"/>
    </row>
    <row r="59" spans="7:7" x14ac:dyDescent="0.25">
      <c r="G59" s="188"/>
    </row>
    <row r="60" spans="7:7" x14ac:dyDescent="0.25">
      <c r="G60" s="188"/>
    </row>
    <row r="61" spans="7:7" x14ac:dyDescent="0.25">
      <c r="G61" s="188"/>
    </row>
    <row r="62" spans="7:7" x14ac:dyDescent="0.25">
      <c r="G62" s="188"/>
    </row>
    <row r="63" spans="7:7" x14ac:dyDescent="0.25">
      <c r="G63" s="188"/>
    </row>
    <row r="64" spans="7:7" x14ac:dyDescent="0.25">
      <c r="G64" s="188"/>
    </row>
    <row r="65" spans="7:7" x14ac:dyDescent="0.25">
      <c r="G65" s="188"/>
    </row>
    <row r="66" spans="7:7" x14ac:dyDescent="0.25">
      <c r="G66" s="188"/>
    </row>
    <row r="67" spans="7:7" x14ac:dyDescent="0.25">
      <c r="G67" s="188"/>
    </row>
    <row r="68" spans="7:7" x14ac:dyDescent="0.25">
      <c r="G68" s="188"/>
    </row>
    <row r="69" spans="7:7" x14ac:dyDescent="0.25">
      <c r="G69" s="188"/>
    </row>
    <row r="70" spans="7:7" x14ac:dyDescent="0.25">
      <c r="G70" s="188"/>
    </row>
    <row r="71" spans="7:7" x14ac:dyDescent="0.25">
      <c r="G71" s="188"/>
    </row>
    <row r="72" spans="7:7" x14ac:dyDescent="0.25">
      <c r="G72" s="188"/>
    </row>
    <row r="73" spans="7:7" x14ac:dyDescent="0.25">
      <c r="G73" s="188"/>
    </row>
    <row r="74" spans="7:7" x14ac:dyDescent="0.25">
      <c r="G74" s="188"/>
    </row>
    <row r="75" spans="7:7" x14ac:dyDescent="0.25">
      <c r="G75" s="188"/>
    </row>
    <row r="76" spans="7:7" x14ac:dyDescent="0.25">
      <c r="G76" s="188"/>
    </row>
    <row r="77" spans="7:7" x14ac:dyDescent="0.25">
      <c r="G77" s="188"/>
    </row>
    <row r="78" spans="7:7" x14ac:dyDescent="0.25">
      <c r="G78" s="188"/>
    </row>
    <row r="79" spans="7:7" x14ac:dyDescent="0.25">
      <c r="G79" s="188"/>
    </row>
    <row r="80" spans="7:7" x14ac:dyDescent="0.25">
      <c r="G80" s="188"/>
    </row>
    <row r="81" spans="7:7" x14ac:dyDescent="0.25">
      <c r="G81" s="188"/>
    </row>
    <row r="82" spans="7:7" x14ac:dyDescent="0.25">
      <c r="G82" s="188"/>
    </row>
    <row r="83" spans="7:7" x14ac:dyDescent="0.25">
      <c r="G83" s="188"/>
    </row>
    <row r="84" spans="7:7" x14ac:dyDescent="0.25">
      <c r="G84" s="188"/>
    </row>
    <row r="85" spans="7:7" x14ac:dyDescent="0.25">
      <c r="G85" s="188"/>
    </row>
    <row r="86" spans="7:7" x14ac:dyDescent="0.25">
      <c r="G86" s="188"/>
    </row>
    <row r="87" spans="7:7" x14ac:dyDescent="0.25">
      <c r="G87" s="188"/>
    </row>
    <row r="88" spans="7:7" x14ac:dyDescent="0.25">
      <c r="G88" s="188"/>
    </row>
    <row r="89" spans="7:7" x14ac:dyDescent="0.25">
      <c r="G89" s="188"/>
    </row>
    <row r="90" spans="7:7" x14ac:dyDescent="0.25">
      <c r="G90" s="188"/>
    </row>
    <row r="91" spans="7:7" x14ac:dyDescent="0.25">
      <c r="G91" s="188"/>
    </row>
    <row r="92" spans="7:7" x14ac:dyDescent="0.25">
      <c r="G92" s="188"/>
    </row>
    <row r="93" spans="7:7" x14ac:dyDescent="0.25">
      <c r="G93" s="188"/>
    </row>
    <row r="94" spans="7:7" x14ac:dyDescent="0.25">
      <c r="G94" s="188"/>
    </row>
    <row r="95" spans="7:7" x14ac:dyDescent="0.25">
      <c r="G95" s="188"/>
    </row>
    <row r="96" spans="7:7" x14ac:dyDescent="0.25">
      <c r="G96" s="188"/>
    </row>
    <row r="97" spans="7:7" x14ac:dyDescent="0.25">
      <c r="G97" s="188"/>
    </row>
    <row r="98" spans="7:7" x14ac:dyDescent="0.25">
      <c r="G98" s="188"/>
    </row>
    <row r="99" spans="7:7" x14ac:dyDescent="0.25">
      <c r="G99" s="188"/>
    </row>
    <row r="100" spans="7:7" x14ac:dyDescent="0.25">
      <c r="G100" s="188"/>
    </row>
    <row r="101" spans="7:7" x14ac:dyDescent="0.25">
      <c r="G101" s="188"/>
    </row>
    <row r="102" spans="7:7" x14ac:dyDescent="0.25">
      <c r="G102" s="188"/>
    </row>
    <row r="103" spans="7:7" x14ac:dyDescent="0.25">
      <c r="G103" s="188"/>
    </row>
    <row r="104" spans="7:7" x14ac:dyDescent="0.25">
      <c r="G104" s="188"/>
    </row>
    <row r="105" spans="7:7" x14ac:dyDescent="0.25">
      <c r="G105" s="188"/>
    </row>
    <row r="106" spans="7:7" x14ac:dyDescent="0.25">
      <c r="G106" s="188"/>
    </row>
    <row r="107" spans="7:7" x14ac:dyDescent="0.25">
      <c r="G107" s="188"/>
    </row>
    <row r="108" spans="7:7" x14ac:dyDescent="0.25">
      <c r="G108" s="188"/>
    </row>
    <row r="109" spans="7:7" x14ac:dyDescent="0.25">
      <c r="G109" s="188"/>
    </row>
    <row r="110" spans="7:7" x14ac:dyDescent="0.25">
      <c r="G110" s="188"/>
    </row>
    <row r="111" spans="7:7" x14ac:dyDescent="0.25">
      <c r="G111" s="188"/>
    </row>
    <row r="112" spans="7:7" x14ac:dyDescent="0.25">
      <c r="G112" s="188"/>
    </row>
    <row r="113" spans="7:7" x14ac:dyDescent="0.25">
      <c r="G113" s="188"/>
    </row>
    <row r="114" spans="7:7" x14ac:dyDescent="0.25">
      <c r="G114" s="188"/>
    </row>
    <row r="115" spans="7:7" x14ac:dyDescent="0.25">
      <c r="G115" s="188"/>
    </row>
    <row r="116" spans="7:7" x14ac:dyDescent="0.25">
      <c r="G116" s="188"/>
    </row>
    <row r="117" spans="7:7" x14ac:dyDescent="0.25">
      <c r="G117" s="188"/>
    </row>
    <row r="118" spans="7:7" x14ac:dyDescent="0.25">
      <c r="G118" s="188"/>
    </row>
    <row r="119" spans="7:7" x14ac:dyDescent="0.25">
      <c r="G119" s="188"/>
    </row>
    <row r="120" spans="7:7" x14ac:dyDescent="0.25">
      <c r="G120" s="188"/>
    </row>
    <row r="121" spans="7:7" x14ac:dyDescent="0.25">
      <c r="G121" s="188"/>
    </row>
    <row r="122" spans="7:7" x14ac:dyDescent="0.25">
      <c r="G122" s="188"/>
    </row>
    <row r="123" spans="7:7" x14ac:dyDescent="0.25">
      <c r="G123" s="188"/>
    </row>
    <row r="124" spans="7:7" x14ac:dyDescent="0.25">
      <c r="G124" s="188"/>
    </row>
    <row r="125" spans="7:7" x14ac:dyDescent="0.25">
      <c r="G125" s="188"/>
    </row>
    <row r="126" spans="7:7" x14ac:dyDescent="0.25">
      <c r="G126" s="188"/>
    </row>
    <row r="127" spans="7:7" x14ac:dyDescent="0.25">
      <c r="G127" s="188"/>
    </row>
    <row r="128" spans="7:7" x14ac:dyDescent="0.25">
      <c r="G128" s="188"/>
    </row>
    <row r="129" spans="7:7" x14ac:dyDescent="0.25">
      <c r="G129" s="188"/>
    </row>
    <row r="130" spans="7:7" x14ac:dyDescent="0.25">
      <c r="G130" s="188"/>
    </row>
    <row r="131" spans="7:7" x14ac:dyDescent="0.25">
      <c r="G131" s="188"/>
    </row>
    <row r="132" spans="7:7" x14ac:dyDescent="0.25">
      <c r="G132" s="188"/>
    </row>
    <row r="133" spans="7:7" x14ac:dyDescent="0.25">
      <c r="G133" s="188"/>
    </row>
    <row r="134" spans="7:7" x14ac:dyDescent="0.25">
      <c r="G134" s="188"/>
    </row>
    <row r="135" spans="7:7" x14ac:dyDescent="0.25">
      <c r="G135" s="188"/>
    </row>
    <row r="136" spans="7:7" x14ac:dyDescent="0.25">
      <c r="G136" s="188"/>
    </row>
    <row r="137" spans="7:7" x14ac:dyDescent="0.25">
      <c r="G137" s="188"/>
    </row>
    <row r="138" spans="7:7" x14ac:dyDescent="0.25">
      <c r="G138" s="188"/>
    </row>
    <row r="139" spans="7:7" x14ac:dyDescent="0.25">
      <c r="G139" s="188"/>
    </row>
    <row r="140" spans="7:7" x14ac:dyDescent="0.25">
      <c r="G140" s="188"/>
    </row>
    <row r="141" spans="7:7" x14ac:dyDescent="0.25">
      <c r="G141" s="188"/>
    </row>
    <row r="142" spans="7:7" x14ac:dyDescent="0.25">
      <c r="G142" s="188"/>
    </row>
    <row r="143" spans="7:7" x14ac:dyDescent="0.25">
      <c r="G143" s="188"/>
    </row>
    <row r="144" spans="7:7" x14ac:dyDescent="0.25">
      <c r="G144" s="188"/>
    </row>
    <row r="145" spans="7:7" x14ac:dyDescent="0.25">
      <c r="G145" s="188"/>
    </row>
    <row r="146" spans="7:7" x14ac:dyDescent="0.25">
      <c r="G146" s="188"/>
    </row>
    <row r="147" spans="7:7" x14ac:dyDescent="0.25">
      <c r="G147" s="188"/>
    </row>
    <row r="148" spans="7:7" x14ac:dyDescent="0.25">
      <c r="G148" s="188"/>
    </row>
    <row r="149" spans="7:7" x14ac:dyDescent="0.25">
      <c r="G149" s="188"/>
    </row>
    <row r="150" spans="7:7" x14ac:dyDescent="0.25">
      <c r="G150" s="188"/>
    </row>
  </sheetData>
  <mergeCells count="1">
    <mergeCell ref="Z1:Z1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F4D7-A8E1-455B-BE9A-447AD4C8065B}">
  <sheetPr>
    <tabColor rgb="FFFFC000"/>
  </sheetPr>
  <dimension ref="A1:M28"/>
  <sheetViews>
    <sheetView workbookViewId="0">
      <selection activeCell="W1" sqref="W1:W16"/>
    </sheetView>
  </sheetViews>
  <sheetFormatPr baseColWidth="10" defaultColWidth="10.85546875" defaultRowHeight="15" x14ac:dyDescent="0.25"/>
  <cols>
    <col min="12" max="12" width="17.7109375" bestFit="1" customWidth="1"/>
    <col min="13" max="13" width="64.85546875" bestFit="1" customWidth="1"/>
  </cols>
  <sheetData>
    <row r="1" spans="1:13" x14ac:dyDescent="0.25">
      <c r="A1" s="188" t="s">
        <v>430</v>
      </c>
      <c r="B1" s="188"/>
      <c r="C1" s="188"/>
      <c r="D1" s="188"/>
      <c r="E1" s="188"/>
      <c r="F1" s="188"/>
      <c r="G1" s="188"/>
      <c r="H1" s="188"/>
      <c r="I1" s="188"/>
    </row>
    <row r="2" spans="1:13" ht="60" x14ac:dyDescent="0.25">
      <c r="A2" s="231" t="s">
        <v>431</v>
      </c>
      <c r="B2" s="231" t="s">
        <v>432</v>
      </c>
      <c r="C2" s="231" t="s">
        <v>433</v>
      </c>
      <c r="D2" s="231" t="s">
        <v>434</v>
      </c>
      <c r="E2" s="231" t="s">
        <v>435</v>
      </c>
      <c r="F2" s="231" t="s">
        <v>436</v>
      </c>
      <c r="G2" s="231" t="s">
        <v>437</v>
      </c>
      <c r="H2" s="231" t="s">
        <v>438</v>
      </c>
      <c r="I2" s="231" t="s">
        <v>439</v>
      </c>
    </row>
    <row r="3" spans="1:13" x14ac:dyDescent="0.25">
      <c r="A3" s="188">
        <v>22</v>
      </c>
      <c r="B3" s="189">
        <v>5.497787143782138</v>
      </c>
      <c r="C3" s="188" t="s">
        <v>440</v>
      </c>
      <c r="D3" s="188">
        <v>0</v>
      </c>
      <c r="E3" s="232">
        <v>8</v>
      </c>
      <c r="F3" s="189">
        <v>0</v>
      </c>
      <c r="G3" s="233">
        <v>0</v>
      </c>
      <c r="H3" s="233">
        <v>0</v>
      </c>
      <c r="I3" s="233">
        <v>0</v>
      </c>
    </row>
    <row r="4" spans="1:13" x14ac:dyDescent="0.25">
      <c r="A4" s="188">
        <v>22</v>
      </c>
      <c r="B4" s="189">
        <v>5.497787143782138</v>
      </c>
      <c r="C4" s="188" t="s">
        <v>440</v>
      </c>
      <c r="D4" s="188">
        <v>1</v>
      </c>
      <c r="E4" s="232">
        <v>8.8699999999999992</v>
      </c>
      <c r="F4" s="189">
        <v>0</v>
      </c>
      <c r="G4" s="233">
        <v>0</v>
      </c>
      <c r="H4" s="233">
        <v>0</v>
      </c>
      <c r="I4" s="233">
        <v>0</v>
      </c>
    </row>
    <row r="5" spans="1:13" x14ac:dyDescent="0.25">
      <c r="A5" s="188">
        <v>22</v>
      </c>
      <c r="B5" s="189">
        <v>5.497787143782138</v>
      </c>
      <c r="C5" s="188" t="s">
        <v>440</v>
      </c>
      <c r="D5" s="188">
        <v>2</v>
      </c>
      <c r="E5" s="232">
        <v>12.54</v>
      </c>
      <c r="F5" s="189">
        <v>0</v>
      </c>
      <c r="G5" s="233">
        <v>0</v>
      </c>
      <c r="H5" s="233">
        <v>0</v>
      </c>
      <c r="I5" s="233">
        <v>0</v>
      </c>
    </row>
    <row r="6" spans="1:13" x14ac:dyDescent="0.25">
      <c r="A6" s="188">
        <v>22</v>
      </c>
      <c r="B6" s="189">
        <v>5.497787143782138</v>
      </c>
      <c r="C6" s="188" t="s">
        <v>440</v>
      </c>
      <c r="D6" s="188">
        <v>3</v>
      </c>
      <c r="E6" s="232">
        <v>18.989999999999998</v>
      </c>
      <c r="F6" s="189">
        <v>0</v>
      </c>
      <c r="G6" s="233">
        <v>0</v>
      </c>
      <c r="H6" s="233">
        <v>0</v>
      </c>
      <c r="I6" s="233">
        <v>0</v>
      </c>
    </row>
    <row r="7" spans="1:13" x14ac:dyDescent="0.25">
      <c r="A7" s="188">
        <v>22</v>
      </c>
      <c r="B7" s="189">
        <v>5.497787143782138</v>
      </c>
      <c r="C7" s="188" t="s">
        <v>440</v>
      </c>
      <c r="D7" s="188">
        <v>4</v>
      </c>
      <c r="E7" s="232">
        <v>27.45</v>
      </c>
      <c r="F7" s="189">
        <v>0</v>
      </c>
      <c r="G7" s="233">
        <v>0</v>
      </c>
      <c r="H7" s="233">
        <v>0</v>
      </c>
      <c r="I7" s="233">
        <v>0</v>
      </c>
    </row>
    <row r="8" spans="1:13" x14ac:dyDescent="0.25">
      <c r="A8" s="188">
        <v>22</v>
      </c>
      <c r="B8" s="189">
        <v>5.497787143782138</v>
      </c>
      <c r="C8" s="188" t="s">
        <v>440</v>
      </c>
      <c r="D8" s="188">
        <v>5</v>
      </c>
      <c r="E8" s="232">
        <v>37.090000000000003</v>
      </c>
      <c r="F8" s="189">
        <v>0</v>
      </c>
      <c r="G8" s="233">
        <v>0</v>
      </c>
      <c r="H8" s="233">
        <v>0</v>
      </c>
      <c r="I8" s="233">
        <v>0</v>
      </c>
      <c r="L8" s="220" t="s">
        <v>441</v>
      </c>
      <c r="M8" s="22" t="s">
        <v>442</v>
      </c>
    </row>
    <row r="9" spans="1:13" x14ac:dyDescent="0.25">
      <c r="A9" s="188">
        <v>22</v>
      </c>
      <c r="B9" s="189">
        <v>5.497787143782138</v>
      </c>
      <c r="C9" s="188" t="s">
        <v>440</v>
      </c>
      <c r="D9" s="188">
        <v>6</v>
      </c>
      <c r="E9" s="232">
        <v>47.19</v>
      </c>
      <c r="F9" s="189">
        <v>0</v>
      </c>
      <c r="G9" s="233">
        <v>0</v>
      </c>
      <c r="H9" s="233">
        <v>0</v>
      </c>
      <c r="I9" s="233">
        <v>0</v>
      </c>
      <c r="L9" s="228" t="s">
        <v>390</v>
      </c>
      <c r="M9" s="22" t="s">
        <v>443</v>
      </c>
    </row>
    <row r="10" spans="1:13" x14ac:dyDescent="0.25">
      <c r="A10" s="188">
        <v>22</v>
      </c>
      <c r="B10" s="189">
        <v>5.497787143782138</v>
      </c>
      <c r="C10" s="188" t="s">
        <v>440</v>
      </c>
      <c r="D10" s="188">
        <v>7</v>
      </c>
      <c r="E10" s="232">
        <v>57.24</v>
      </c>
      <c r="F10" s="189">
        <v>0</v>
      </c>
      <c r="G10" s="233">
        <v>0</v>
      </c>
      <c r="H10" s="233">
        <v>0</v>
      </c>
      <c r="I10" s="233">
        <v>0</v>
      </c>
      <c r="L10" s="228" t="s">
        <v>392</v>
      </c>
      <c r="M10" s="22" t="s">
        <v>444</v>
      </c>
    </row>
    <row r="11" spans="1:13" x14ac:dyDescent="0.25">
      <c r="A11" s="188">
        <v>22</v>
      </c>
      <c r="B11" s="189">
        <v>5.497787143782138</v>
      </c>
      <c r="C11" s="188" t="s">
        <v>440</v>
      </c>
      <c r="D11" s="188">
        <v>8</v>
      </c>
      <c r="E11" s="232">
        <v>66.849999999999994</v>
      </c>
      <c r="F11" s="189">
        <v>0.74</v>
      </c>
      <c r="G11" s="233">
        <v>6.12</v>
      </c>
      <c r="H11" s="233">
        <v>1.7136000000000002</v>
      </c>
      <c r="I11" s="233">
        <v>7.8336000000000006</v>
      </c>
      <c r="L11" s="228" t="s">
        <v>225</v>
      </c>
      <c r="M11" s="22" t="s">
        <v>445</v>
      </c>
    </row>
    <row r="12" spans="1:13" x14ac:dyDescent="0.25">
      <c r="A12" s="188">
        <v>22</v>
      </c>
      <c r="B12" s="189">
        <v>5.497787143782138</v>
      </c>
      <c r="C12" s="188" t="s">
        <v>440</v>
      </c>
      <c r="D12" s="188">
        <v>9</v>
      </c>
      <c r="E12" s="232">
        <v>75.81</v>
      </c>
      <c r="F12" s="189">
        <v>2.37</v>
      </c>
      <c r="G12" s="233">
        <v>22.44</v>
      </c>
      <c r="H12" s="233">
        <v>6.2832000000000008</v>
      </c>
      <c r="I12" s="233">
        <v>28.723200000000002</v>
      </c>
      <c r="L12" s="228" t="s">
        <v>394</v>
      </c>
      <c r="M12" s="22" t="s">
        <v>446</v>
      </c>
    </row>
    <row r="13" spans="1:13" x14ac:dyDescent="0.25">
      <c r="A13" s="188">
        <v>22</v>
      </c>
      <c r="B13" s="189">
        <v>5.497787143782138</v>
      </c>
      <c r="C13" s="188" t="s">
        <v>440</v>
      </c>
      <c r="D13" s="188">
        <v>10</v>
      </c>
      <c r="E13" s="232">
        <v>84</v>
      </c>
      <c r="F13" s="189">
        <v>3.86</v>
      </c>
      <c r="G13" s="233">
        <v>40.799999999999997</v>
      </c>
      <c r="H13" s="233">
        <v>11.423999999999999</v>
      </c>
      <c r="I13" s="233">
        <v>52.223999999999997</v>
      </c>
      <c r="L13" s="228" t="s">
        <v>398</v>
      </c>
      <c r="M13" s="22" t="s">
        <v>447</v>
      </c>
    </row>
    <row r="14" spans="1:13" x14ac:dyDescent="0.25">
      <c r="A14" s="188">
        <v>22</v>
      </c>
      <c r="B14" s="189">
        <v>5.497787143782138</v>
      </c>
      <c r="C14" s="188" t="s">
        <v>440</v>
      </c>
      <c r="D14" s="188">
        <v>11</v>
      </c>
      <c r="E14" s="232">
        <v>91.36</v>
      </c>
      <c r="F14" s="189">
        <v>5.19</v>
      </c>
      <c r="G14" s="233">
        <v>59.16</v>
      </c>
      <c r="H14" s="233">
        <v>16.564800000000002</v>
      </c>
      <c r="I14" s="233">
        <v>75.724800000000002</v>
      </c>
      <c r="L14" s="228" t="s">
        <v>400</v>
      </c>
      <c r="M14" s="22" t="s">
        <v>414</v>
      </c>
    </row>
    <row r="15" spans="1:13" x14ac:dyDescent="0.25">
      <c r="A15" s="188">
        <v>22</v>
      </c>
      <c r="B15" s="189">
        <v>5.497787143782138</v>
      </c>
      <c r="C15" s="188" t="s">
        <v>440</v>
      </c>
      <c r="D15" s="188">
        <v>12</v>
      </c>
      <c r="E15" s="232">
        <v>97.9</v>
      </c>
      <c r="F15" s="189">
        <v>6.38</v>
      </c>
      <c r="G15" s="233">
        <v>79.56</v>
      </c>
      <c r="H15" s="233">
        <v>22.276800000000001</v>
      </c>
      <c r="I15" s="233">
        <v>101.83680000000001</v>
      </c>
    </row>
    <row r="16" spans="1:13" x14ac:dyDescent="0.25">
      <c r="A16" s="188">
        <v>22</v>
      </c>
      <c r="B16" s="189">
        <v>5.497787143782138</v>
      </c>
      <c r="C16" s="188" t="s">
        <v>440</v>
      </c>
      <c r="D16" s="188">
        <v>13</v>
      </c>
      <c r="E16" s="232">
        <v>103.66</v>
      </c>
      <c r="F16" s="189">
        <v>7.43</v>
      </c>
      <c r="G16" s="233">
        <v>97.92</v>
      </c>
      <c r="H16" s="233">
        <v>27.417600000000004</v>
      </c>
      <c r="I16" s="233">
        <v>125.33760000000001</v>
      </c>
    </row>
    <row r="17" spans="1:9" x14ac:dyDescent="0.25">
      <c r="A17" s="188">
        <v>22</v>
      </c>
      <c r="B17" s="189">
        <v>5.497787143782138</v>
      </c>
      <c r="C17" s="188" t="s">
        <v>440</v>
      </c>
      <c r="D17" s="188">
        <v>14</v>
      </c>
      <c r="E17" s="232">
        <v>108.69</v>
      </c>
      <c r="F17" s="189">
        <v>8.35</v>
      </c>
      <c r="G17" s="233">
        <v>116.28</v>
      </c>
      <c r="H17" s="233">
        <v>32.558400000000006</v>
      </c>
      <c r="I17" s="233">
        <v>148.83840000000001</v>
      </c>
    </row>
    <row r="18" spans="1:9" x14ac:dyDescent="0.25">
      <c r="A18" s="188">
        <v>22</v>
      </c>
      <c r="B18" s="189">
        <v>5.497787143782138</v>
      </c>
      <c r="C18" s="188" t="s">
        <v>440</v>
      </c>
      <c r="D18" s="188">
        <v>15</v>
      </c>
      <c r="E18" s="232">
        <v>113.05</v>
      </c>
      <c r="F18" s="189">
        <v>9.14</v>
      </c>
      <c r="G18" s="233">
        <v>134.63999999999999</v>
      </c>
      <c r="H18" s="233">
        <v>37.699199999999998</v>
      </c>
      <c r="I18" s="233">
        <v>172.33919999999998</v>
      </c>
    </row>
    <row r="19" spans="1:9" x14ac:dyDescent="0.25">
      <c r="A19" s="188">
        <v>22</v>
      </c>
      <c r="B19" s="189">
        <v>5.497787143782138</v>
      </c>
      <c r="C19" s="188" t="s">
        <v>440</v>
      </c>
      <c r="D19" s="188">
        <v>16</v>
      </c>
      <c r="E19" s="232">
        <v>116.82</v>
      </c>
      <c r="F19" s="189">
        <v>9.82</v>
      </c>
      <c r="G19" s="233">
        <v>150.96</v>
      </c>
      <c r="H19" s="233">
        <v>42.268800000000006</v>
      </c>
      <c r="I19" s="233">
        <v>193.22880000000001</v>
      </c>
    </row>
    <row r="20" spans="1:9" x14ac:dyDescent="0.25">
      <c r="A20" s="188">
        <v>22</v>
      </c>
      <c r="B20" s="189">
        <v>5.497787143782138</v>
      </c>
      <c r="C20" s="188" t="s">
        <v>440</v>
      </c>
      <c r="D20" s="188">
        <v>17</v>
      </c>
      <c r="E20" s="232">
        <v>120.07</v>
      </c>
      <c r="F20" s="189">
        <v>10.42</v>
      </c>
      <c r="G20" s="233">
        <v>165.24</v>
      </c>
      <c r="H20" s="233">
        <v>46.26720000000001</v>
      </c>
      <c r="I20" s="233">
        <v>211.50720000000001</v>
      </c>
    </row>
    <row r="21" spans="1:9" x14ac:dyDescent="0.25">
      <c r="A21" s="188">
        <v>22</v>
      </c>
      <c r="B21" s="189">
        <v>5.497787143782138</v>
      </c>
      <c r="C21" s="188" t="s">
        <v>440</v>
      </c>
      <c r="D21" s="188">
        <v>18</v>
      </c>
      <c r="E21" s="232">
        <v>122.85</v>
      </c>
      <c r="F21" s="189">
        <v>10.92</v>
      </c>
      <c r="G21" s="233">
        <v>179.52</v>
      </c>
      <c r="H21" s="233">
        <v>50.265600000000006</v>
      </c>
      <c r="I21" s="233">
        <v>229.78560000000002</v>
      </c>
    </row>
    <row r="22" spans="1:9" x14ac:dyDescent="0.25">
      <c r="A22" s="188">
        <v>22</v>
      </c>
      <c r="B22" s="189">
        <v>5.497787143782138</v>
      </c>
      <c r="C22" s="188" t="s">
        <v>440</v>
      </c>
      <c r="D22" s="188">
        <v>19</v>
      </c>
      <c r="E22" s="232">
        <v>125.22</v>
      </c>
      <c r="F22" s="189">
        <v>11.35</v>
      </c>
      <c r="G22" s="233">
        <v>191.76</v>
      </c>
      <c r="H22" s="233">
        <v>53.692800000000005</v>
      </c>
      <c r="I22" s="233">
        <v>245.4528</v>
      </c>
    </row>
    <row r="23" spans="1:9" x14ac:dyDescent="0.25">
      <c r="A23" s="188">
        <v>22</v>
      </c>
      <c r="B23" s="189">
        <v>5.497787143782138</v>
      </c>
      <c r="C23" s="188" t="s">
        <v>440</v>
      </c>
      <c r="D23" s="188">
        <v>20</v>
      </c>
      <c r="E23" s="232">
        <v>127.25</v>
      </c>
      <c r="F23" s="189">
        <v>11.72</v>
      </c>
      <c r="G23" s="233">
        <v>201.96</v>
      </c>
      <c r="H23" s="233">
        <v>56.548800000000007</v>
      </c>
      <c r="I23" s="233">
        <v>258.50880000000001</v>
      </c>
    </row>
    <row r="24" spans="1:9" x14ac:dyDescent="0.25">
      <c r="A24" s="188">
        <v>22</v>
      </c>
      <c r="B24" s="189">
        <v>5.497787143782138</v>
      </c>
      <c r="C24" s="188" t="s">
        <v>440</v>
      </c>
      <c r="D24" s="188">
        <v>21</v>
      </c>
      <c r="E24" s="232">
        <v>128.97999999999999</v>
      </c>
      <c r="F24" s="189">
        <v>12.04</v>
      </c>
      <c r="G24" s="233">
        <v>212.16</v>
      </c>
      <c r="H24" s="233">
        <v>59.404800000000002</v>
      </c>
      <c r="I24" s="233">
        <v>271.56479999999999</v>
      </c>
    </row>
    <row r="25" spans="1:9" x14ac:dyDescent="0.25">
      <c r="A25" s="188">
        <v>22</v>
      </c>
      <c r="B25" s="189">
        <v>5.497787143782138</v>
      </c>
      <c r="C25" s="188" t="s">
        <v>440</v>
      </c>
      <c r="D25" s="188">
        <v>22</v>
      </c>
      <c r="E25" s="232">
        <v>130.44</v>
      </c>
      <c r="F25" s="189">
        <v>12.3</v>
      </c>
      <c r="G25" s="233">
        <v>218.28</v>
      </c>
      <c r="H25" s="233">
        <v>61.118400000000008</v>
      </c>
      <c r="I25" s="233">
        <v>279.39840000000004</v>
      </c>
    </row>
    <row r="26" spans="1:9" x14ac:dyDescent="0.25">
      <c r="A26" s="188">
        <v>22</v>
      </c>
      <c r="B26" s="189">
        <v>5.497787143782138</v>
      </c>
      <c r="C26" s="188" t="s">
        <v>440</v>
      </c>
      <c r="D26" s="188">
        <v>23</v>
      </c>
      <c r="E26" s="232">
        <v>131.69</v>
      </c>
      <c r="F26" s="189">
        <v>12.53</v>
      </c>
      <c r="G26" s="233">
        <v>226.44</v>
      </c>
      <c r="H26" s="233">
        <v>63.403200000000005</v>
      </c>
      <c r="I26" s="233">
        <v>289.84320000000002</v>
      </c>
    </row>
    <row r="27" spans="1:9" x14ac:dyDescent="0.25">
      <c r="A27" s="188">
        <v>22</v>
      </c>
      <c r="B27" s="189">
        <v>5.497787143782138</v>
      </c>
      <c r="C27" s="188" t="s">
        <v>440</v>
      </c>
      <c r="D27" s="188">
        <v>24</v>
      </c>
      <c r="E27" s="232">
        <v>132.74</v>
      </c>
      <c r="F27" s="189">
        <v>12.72</v>
      </c>
      <c r="G27" s="233">
        <v>232.56</v>
      </c>
      <c r="H27" s="233">
        <v>65.116800000000012</v>
      </c>
      <c r="I27" s="233">
        <v>297.67680000000001</v>
      </c>
    </row>
    <row r="28" spans="1:9" x14ac:dyDescent="0.25">
      <c r="A28" s="188">
        <v>22</v>
      </c>
      <c r="B28" s="189">
        <v>5.497787143782138</v>
      </c>
      <c r="C28" s="188" t="s">
        <v>440</v>
      </c>
      <c r="D28" s="188">
        <v>25</v>
      </c>
      <c r="E28" s="232">
        <v>133.63999999999999</v>
      </c>
      <c r="F28" s="189">
        <v>12.89</v>
      </c>
      <c r="G28" s="233">
        <v>236.64</v>
      </c>
      <c r="H28" s="233">
        <v>66.259200000000007</v>
      </c>
      <c r="I28" s="233">
        <v>302.89920000000001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947EF-A069-4ADD-AB8D-51CABE6AD2CB}">
  <sheetPr>
    <tabColor rgb="FFC00000"/>
  </sheetPr>
  <dimension ref="A1:J89"/>
  <sheetViews>
    <sheetView workbookViewId="0">
      <selection activeCell="C38" sqref="C38"/>
    </sheetView>
  </sheetViews>
  <sheetFormatPr baseColWidth="10" defaultRowHeight="15" x14ac:dyDescent="0.25"/>
  <cols>
    <col min="2" max="2" width="28.28515625" bestFit="1" customWidth="1"/>
    <col min="3" max="3" width="26.5703125" bestFit="1" customWidth="1"/>
    <col min="4" max="4" width="26.5703125" customWidth="1"/>
    <col min="5" max="5" width="20.7109375" bestFit="1" customWidth="1"/>
    <col min="6" max="6" width="20.5703125" bestFit="1" customWidth="1"/>
    <col min="7" max="7" width="16.7109375" bestFit="1" customWidth="1"/>
  </cols>
  <sheetData>
    <row r="1" spans="1:10" x14ac:dyDescent="0.25">
      <c r="A1" s="10" t="s">
        <v>25</v>
      </c>
      <c r="B1" s="2" t="s">
        <v>17</v>
      </c>
      <c r="C1" s="2" t="s">
        <v>26</v>
      </c>
      <c r="D1" s="8" t="s">
        <v>236</v>
      </c>
      <c r="E1" s="8" t="s">
        <v>111</v>
      </c>
      <c r="F1" s="8" t="s">
        <v>112</v>
      </c>
      <c r="G1" s="8" t="s">
        <v>113</v>
      </c>
      <c r="H1" s="11" t="s">
        <v>119</v>
      </c>
      <c r="I1" s="11" t="s">
        <v>149</v>
      </c>
      <c r="J1" s="11" t="s">
        <v>472</v>
      </c>
    </row>
    <row r="2" spans="1:10" x14ac:dyDescent="0.25">
      <c r="A2" t="s">
        <v>23</v>
      </c>
      <c r="B2" s="3" t="s">
        <v>18</v>
      </c>
      <c r="C2" s="5" t="s">
        <v>27</v>
      </c>
      <c r="D2" s="5" t="s">
        <v>297</v>
      </c>
      <c r="E2" s="9" t="s">
        <v>170</v>
      </c>
      <c r="F2" s="9" t="s">
        <v>168</v>
      </c>
      <c r="G2" s="1" t="s">
        <v>114</v>
      </c>
      <c r="H2" s="12" t="s">
        <v>120</v>
      </c>
      <c r="I2" s="12" t="s">
        <v>151</v>
      </c>
      <c r="J2" s="12" t="s">
        <v>473</v>
      </c>
    </row>
    <row r="3" spans="1:10" x14ac:dyDescent="0.25">
      <c r="A3" t="s">
        <v>24</v>
      </c>
      <c r="B3" s="3" t="s">
        <v>19</v>
      </c>
      <c r="C3" s="5" t="s">
        <v>28</v>
      </c>
      <c r="D3" s="5" t="s">
        <v>298</v>
      </c>
      <c r="E3" s="9" t="s">
        <v>171</v>
      </c>
      <c r="F3" s="9" t="s">
        <v>169</v>
      </c>
      <c r="G3" s="1" t="s">
        <v>115</v>
      </c>
      <c r="H3" s="12" t="s">
        <v>121</v>
      </c>
      <c r="I3" s="12" t="s">
        <v>152</v>
      </c>
      <c r="J3" s="12" t="s">
        <v>474</v>
      </c>
    </row>
    <row r="4" spans="1:10" x14ac:dyDescent="0.25">
      <c r="B4" s="3" t="s">
        <v>20</v>
      </c>
      <c r="C4" s="5" t="s">
        <v>29</v>
      </c>
      <c r="D4" s="6" t="s">
        <v>429</v>
      </c>
      <c r="E4" s="9" t="s">
        <v>172</v>
      </c>
      <c r="G4" s="1" t="s">
        <v>116</v>
      </c>
      <c r="H4" s="13" t="s">
        <v>122</v>
      </c>
      <c r="I4" s="13" t="s">
        <v>150</v>
      </c>
      <c r="J4" s="13" t="s">
        <v>476</v>
      </c>
    </row>
    <row r="5" spans="1:10" x14ac:dyDescent="0.25">
      <c r="B5" s="3" t="s">
        <v>21</v>
      </c>
      <c r="C5" s="5" t="s">
        <v>33</v>
      </c>
      <c r="D5" s="252" t="s">
        <v>61</v>
      </c>
      <c r="G5" s="1" t="s">
        <v>117</v>
      </c>
      <c r="I5" s="13" t="s">
        <v>153</v>
      </c>
      <c r="J5" s="13"/>
    </row>
    <row r="6" spans="1:10" ht="15.75" thickBot="1" x14ac:dyDescent="0.3">
      <c r="B6" s="4" t="s">
        <v>22</v>
      </c>
      <c r="C6" s="5" t="s">
        <v>32</v>
      </c>
      <c r="D6" s="252" t="s">
        <v>33</v>
      </c>
      <c r="G6" s="1" t="s">
        <v>118</v>
      </c>
      <c r="I6" s="13" t="s">
        <v>154</v>
      </c>
      <c r="J6" s="13"/>
    </row>
    <row r="7" spans="1:10" x14ac:dyDescent="0.25">
      <c r="C7" s="5" t="s">
        <v>34</v>
      </c>
      <c r="D7" s="252" t="s">
        <v>48</v>
      </c>
    </row>
    <row r="8" spans="1:10" x14ac:dyDescent="0.25">
      <c r="C8" s="6" t="s">
        <v>62</v>
      </c>
      <c r="D8" s="253" t="s">
        <v>83</v>
      </c>
    </row>
    <row r="9" spans="1:10" x14ac:dyDescent="0.25">
      <c r="C9" s="5" t="s">
        <v>30</v>
      </c>
      <c r="D9" s="252" t="s">
        <v>86</v>
      </c>
    </row>
    <row r="10" spans="1:10" x14ac:dyDescent="0.25">
      <c r="C10" s="5" t="s">
        <v>31</v>
      </c>
      <c r="D10" s="252" t="s">
        <v>98</v>
      </c>
    </row>
    <row r="11" spans="1:10" x14ac:dyDescent="0.25">
      <c r="C11" s="5" t="s">
        <v>35</v>
      </c>
      <c r="D11" s="252" t="s">
        <v>315</v>
      </c>
    </row>
    <row r="12" spans="1:10" x14ac:dyDescent="0.25">
      <c r="C12" s="5" t="s">
        <v>36</v>
      </c>
      <c r="D12" s="252" t="s">
        <v>467</v>
      </c>
    </row>
    <row r="13" spans="1:10" x14ac:dyDescent="0.25">
      <c r="C13" s="5" t="s">
        <v>37</v>
      </c>
      <c r="D13" s="252" t="s">
        <v>29</v>
      </c>
    </row>
    <row r="14" spans="1:10" x14ac:dyDescent="0.25">
      <c r="C14" s="5" t="s">
        <v>38</v>
      </c>
      <c r="D14" s="252" t="s">
        <v>27</v>
      </c>
    </row>
    <row r="15" spans="1:10" x14ac:dyDescent="0.25">
      <c r="C15" s="5" t="s">
        <v>187</v>
      </c>
      <c r="D15" s="252" t="s">
        <v>28</v>
      </c>
    </row>
    <row r="16" spans="1:10" x14ac:dyDescent="0.25">
      <c r="C16" s="5" t="s">
        <v>146</v>
      </c>
      <c r="D16" s="252" t="s">
        <v>468</v>
      </c>
    </row>
    <row r="17" spans="3:4" x14ac:dyDescent="0.25">
      <c r="C17" s="5" t="s">
        <v>39</v>
      </c>
      <c r="D17" s="252" t="s">
        <v>31</v>
      </c>
    </row>
    <row r="18" spans="3:4" x14ac:dyDescent="0.25">
      <c r="C18" s="5" t="s">
        <v>40</v>
      </c>
      <c r="D18" s="252" t="s">
        <v>51</v>
      </c>
    </row>
    <row r="19" spans="3:4" x14ac:dyDescent="0.25">
      <c r="C19" s="5" t="s">
        <v>41</v>
      </c>
      <c r="D19" s="252" t="s">
        <v>53</v>
      </c>
    </row>
    <row r="20" spans="3:4" x14ac:dyDescent="0.25">
      <c r="C20" s="5" t="s">
        <v>42</v>
      </c>
      <c r="D20" s="252" t="s">
        <v>54</v>
      </c>
    </row>
    <row r="21" spans="3:4" x14ac:dyDescent="0.25">
      <c r="C21" s="5" t="s">
        <v>43</v>
      </c>
      <c r="D21" s="252" t="s">
        <v>105</v>
      </c>
    </row>
    <row r="22" spans="3:4" x14ac:dyDescent="0.25">
      <c r="C22" s="5" t="s">
        <v>44</v>
      </c>
      <c r="D22" s="252" t="s">
        <v>55</v>
      </c>
    </row>
    <row r="23" spans="3:4" x14ac:dyDescent="0.25">
      <c r="C23" s="5" t="s">
        <v>45</v>
      </c>
      <c r="D23" s="252" t="s">
        <v>56</v>
      </c>
    </row>
    <row r="24" spans="3:4" x14ac:dyDescent="0.25">
      <c r="C24" s="5" t="s">
        <v>48</v>
      </c>
      <c r="D24" s="252" t="s">
        <v>59</v>
      </c>
    </row>
    <row r="25" spans="3:4" x14ac:dyDescent="0.25">
      <c r="C25" s="5" t="s">
        <v>51</v>
      </c>
      <c r="D25" s="252" t="s">
        <v>63</v>
      </c>
    </row>
    <row r="26" spans="3:4" x14ac:dyDescent="0.25">
      <c r="C26" s="5" t="s">
        <v>49</v>
      </c>
      <c r="D26" s="252" t="s">
        <v>83</v>
      </c>
    </row>
    <row r="27" spans="3:4" x14ac:dyDescent="0.25">
      <c r="C27" s="6" t="s">
        <v>103</v>
      </c>
      <c r="D27" s="252" t="s">
        <v>87</v>
      </c>
    </row>
    <row r="28" spans="3:4" x14ac:dyDescent="0.25">
      <c r="C28" s="5" t="s">
        <v>52</v>
      </c>
      <c r="D28" s="253" t="s">
        <v>94</v>
      </c>
    </row>
    <row r="29" spans="3:4" x14ac:dyDescent="0.25">
      <c r="C29" s="5" t="s">
        <v>53</v>
      </c>
      <c r="D29" s="252" t="s">
        <v>95</v>
      </c>
    </row>
    <row r="30" spans="3:4" x14ac:dyDescent="0.25">
      <c r="C30" s="5" t="s">
        <v>54</v>
      </c>
      <c r="D30" s="252" t="s">
        <v>99</v>
      </c>
    </row>
    <row r="31" spans="3:4" x14ac:dyDescent="0.25">
      <c r="C31" s="6" t="s">
        <v>105</v>
      </c>
      <c r="D31" s="253" t="s">
        <v>108</v>
      </c>
    </row>
    <row r="32" spans="3:4" x14ac:dyDescent="0.25">
      <c r="C32" s="5" t="s">
        <v>55</v>
      </c>
      <c r="D32" s="252" t="s">
        <v>36</v>
      </c>
    </row>
    <row r="33" spans="3:4" x14ac:dyDescent="0.25">
      <c r="C33" s="5" t="s">
        <v>46</v>
      </c>
      <c r="D33" s="15"/>
    </row>
    <row r="34" spans="3:4" x14ac:dyDescent="0.25">
      <c r="C34" s="5" t="s">
        <v>56</v>
      </c>
      <c r="D34" s="15"/>
    </row>
    <row r="35" spans="3:4" x14ac:dyDescent="0.25">
      <c r="C35" s="5" t="s">
        <v>57</v>
      </c>
      <c r="D35" s="15"/>
    </row>
    <row r="36" spans="3:4" x14ac:dyDescent="0.25">
      <c r="C36" s="5" t="s">
        <v>59</v>
      </c>
      <c r="D36" s="15"/>
    </row>
    <row r="37" spans="3:4" x14ac:dyDescent="0.25">
      <c r="C37" s="6" t="s">
        <v>61</v>
      </c>
      <c r="D37" s="16"/>
    </row>
    <row r="38" spans="3:4" x14ac:dyDescent="0.25">
      <c r="C38" s="6" t="s">
        <v>65</v>
      </c>
      <c r="D38" s="16"/>
    </row>
    <row r="39" spans="3:4" x14ac:dyDescent="0.25">
      <c r="C39" s="6" t="s">
        <v>67</v>
      </c>
      <c r="D39" s="16"/>
    </row>
    <row r="40" spans="3:4" x14ac:dyDescent="0.25">
      <c r="C40" s="6" t="s">
        <v>66</v>
      </c>
      <c r="D40" s="16"/>
    </row>
    <row r="41" spans="3:4" x14ac:dyDescent="0.25">
      <c r="C41" s="6" t="s">
        <v>63</v>
      </c>
      <c r="D41" s="16"/>
    </row>
    <row r="42" spans="3:4" x14ac:dyDescent="0.25">
      <c r="C42" s="6" t="s">
        <v>60</v>
      </c>
      <c r="D42" s="16"/>
    </row>
    <row r="43" spans="3:4" x14ac:dyDescent="0.25">
      <c r="C43" s="6" t="s">
        <v>64</v>
      </c>
      <c r="D43" s="16"/>
    </row>
    <row r="44" spans="3:4" x14ac:dyDescent="0.25">
      <c r="C44" s="6" t="s">
        <v>69</v>
      </c>
      <c r="D44" s="16"/>
    </row>
    <row r="45" spans="3:4" x14ac:dyDescent="0.25">
      <c r="C45" s="6" t="s">
        <v>71</v>
      </c>
      <c r="D45" s="16"/>
    </row>
    <row r="46" spans="3:4" x14ac:dyDescent="0.25">
      <c r="C46" s="6" t="s">
        <v>68</v>
      </c>
      <c r="D46" s="16"/>
    </row>
    <row r="47" spans="3:4" x14ac:dyDescent="0.25">
      <c r="C47" s="6" t="s">
        <v>70</v>
      </c>
      <c r="D47" s="16"/>
    </row>
    <row r="48" spans="3:4" x14ac:dyDescent="0.25">
      <c r="C48" s="6" t="s">
        <v>72</v>
      </c>
      <c r="D48" s="16"/>
    </row>
    <row r="49" spans="3:4" x14ac:dyDescent="0.25">
      <c r="C49" s="6" t="s">
        <v>73</v>
      </c>
      <c r="D49" s="16"/>
    </row>
    <row r="50" spans="3:4" x14ac:dyDescent="0.25">
      <c r="C50" s="6" t="s">
        <v>188</v>
      </c>
      <c r="D50" s="16"/>
    </row>
    <row r="51" spans="3:4" x14ac:dyDescent="0.25">
      <c r="C51" s="6" t="s">
        <v>79</v>
      </c>
      <c r="D51" s="16"/>
    </row>
    <row r="52" spans="3:4" x14ac:dyDescent="0.25">
      <c r="C52" s="6" t="s">
        <v>80</v>
      </c>
      <c r="D52" s="16"/>
    </row>
    <row r="53" spans="3:4" x14ac:dyDescent="0.25">
      <c r="C53" s="6" t="s">
        <v>77</v>
      </c>
      <c r="D53" s="16"/>
    </row>
    <row r="54" spans="3:4" x14ac:dyDescent="0.25">
      <c r="C54" s="6" t="s">
        <v>76</v>
      </c>
      <c r="D54" s="16"/>
    </row>
    <row r="55" spans="3:4" x14ac:dyDescent="0.25">
      <c r="C55" s="6" t="s">
        <v>78</v>
      </c>
      <c r="D55" s="16"/>
    </row>
    <row r="56" spans="3:4" x14ac:dyDescent="0.25">
      <c r="C56" s="6" t="s">
        <v>74</v>
      </c>
      <c r="D56" s="16"/>
    </row>
    <row r="57" spans="3:4" x14ac:dyDescent="0.25">
      <c r="C57" s="6" t="s">
        <v>75</v>
      </c>
      <c r="D57" s="16"/>
    </row>
    <row r="58" spans="3:4" x14ac:dyDescent="0.25">
      <c r="C58" s="6" t="s">
        <v>82</v>
      </c>
      <c r="D58" s="16"/>
    </row>
    <row r="59" spans="3:4" x14ac:dyDescent="0.25">
      <c r="C59" s="6" t="s">
        <v>91</v>
      </c>
      <c r="D59" s="16"/>
    </row>
    <row r="60" spans="3:4" x14ac:dyDescent="0.25">
      <c r="C60" s="6" t="s">
        <v>90</v>
      </c>
      <c r="D60" s="16"/>
    </row>
    <row r="61" spans="3:4" x14ac:dyDescent="0.25">
      <c r="C61" s="6" t="s">
        <v>83</v>
      </c>
      <c r="D61" s="16"/>
    </row>
    <row r="62" spans="3:4" x14ac:dyDescent="0.25">
      <c r="C62" s="6" t="s">
        <v>84</v>
      </c>
      <c r="D62" s="16"/>
    </row>
    <row r="63" spans="3:4" x14ac:dyDescent="0.25">
      <c r="C63" s="6" t="s">
        <v>85</v>
      </c>
      <c r="D63" s="16"/>
    </row>
    <row r="64" spans="3:4" ht="16.149999999999999" customHeight="1" x14ac:dyDescent="0.25">
      <c r="C64" s="6" t="s">
        <v>86</v>
      </c>
      <c r="D64" s="16"/>
    </row>
    <row r="65" spans="3:4" ht="16.149999999999999" customHeight="1" x14ac:dyDescent="0.25">
      <c r="C65" s="6" t="s">
        <v>87</v>
      </c>
      <c r="D65" s="16"/>
    </row>
    <row r="66" spans="3:4" ht="16.149999999999999" customHeight="1" x14ac:dyDescent="0.25">
      <c r="C66" s="6" t="s">
        <v>94</v>
      </c>
      <c r="D66" s="16"/>
    </row>
    <row r="67" spans="3:4" ht="16.149999999999999" customHeight="1" x14ac:dyDescent="0.25">
      <c r="C67" s="6" t="s">
        <v>95</v>
      </c>
      <c r="D67" s="16"/>
    </row>
    <row r="68" spans="3:4" ht="16.149999999999999" customHeight="1" x14ac:dyDescent="0.25">
      <c r="C68" s="6" t="s">
        <v>96</v>
      </c>
      <c r="D68" s="16"/>
    </row>
    <row r="69" spans="3:4" ht="16.149999999999999" customHeight="1" x14ac:dyDescent="0.25">
      <c r="C69" s="6" t="s">
        <v>88</v>
      </c>
      <c r="D69" s="16"/>
    </row>
    <row r="70" spans="3:4" x14ac:dyDescent="0.25">
      <c r="C70" s="6" t="s">
        <v>89</v>
      </c>
      <c r="D70" s="16"/>
    </row>
    <row r="71" spans="3:4" x14ac:dyDescent="0.25">
      <c r="C71" s="6" t="s">
        <v>92</v>
      </c>
      <c r="D71" s="16"/>
    </row>
    <row r="72" spans="3:4" x14ac:dyDescent="0.25">
      <c r="C72" s="6" t="s">
        <v>93</v>
      </c>
      <c r="D72" s="16"/>
    </row>
    <row r="73" spans="3:4" x14ac:dyDescent="0.25">
      <c r="C73" s="5" t="s">
        <v>47</v>
      </c>
      <c r="D73" s="15"/>
    </row>
    <row r="74" spans="3:4" x14ac:dyDescent="0.25">
      <c r="C74" s="6" t="s">
        <v>97</v>
      </c>
      <c r="D74" s="16"/>
    </row>
    <row r="75" spans="3:4" x14ac:dyDescent="0.25">
      <c r="C75" s="6" t="s">
        <v>97</v>
      </c>
      <c r="D75" s="16"/>
    </row>
    <row r="76" spans="3:4" x14ac:dyDescent="0.25">
      <c r="C76" s="6" t="s">
        <v>98</v>
      </c>
      <c r="D76" s="16"/>
    </row>
    <row r="77" spans="3:4" x14ac:dyDescent="0.25">
      <c r="C77" s="6" t="s">
        <v>104</v>
      </c>
      <c r="D77" s="16"/>
    </row>
    <row r="78" spans="3:4" x14ac:dyDescent="0.25">
      <c r="C78" s="5" t="s">
        <v>58</v>
      </c>
      <c r="D78" s="15"/>
    </row>
    <row r="79" spans="3:4" x14ac:dyDescent="0.25">
      <c r="C79" s="6" t="s">
        <v>100</v>
      </c>
      <c r="D79" s="16"/>
    </row>
    <row r="80" spans="3:4" x14ac:dyDescent="0.25">
      <c r="C80" s="6" t="s">
        <v>81</v>
      </c>
      <c r="D80" s="16"/>
    </row>
    <row r="81" spans="3:4" x14ac:dyDescent="0.25">
      <c r="C81" s="5" t="s">
        <v>50</v>
      </c>
      <c r="D81" s="15"/>
    </row>
    <row r="82" spans="3:4" x14ac:dyDescent="0.25">
      <c r="C82" s="6" t="s">
        <v>99</v>
      </c>
      <c r="D82" s="16"/>
    </row>
    <row r="83" spans="3:4" x14ac:dyDescent="0.25">
      <c r="C83" s="6" t="s">
        <v>101</v>
      </c>
      <c r="D83" s="16"/>
    </row>
    <row r="84" spans="3:4" x14ac:dyDescent="0.25">
      <c r="C84" s="6" t="s">
        <v>102</v>
      </c>
      <c r="D84" s="16"/>
    </row>
    <row r="85" spans="3:4" x14ac:dyDescent="0.25">
      <c r="C85" s="6" t="s">
        <v>106</v>
      </c>
      <c r="D85" s="16"/>
    </row>
    <row r="86" spans="3:4" x14ac:dyDescent="0.25">
      <c r="C86" s="6" t="s">
        <v>107</v>
      </c>
      <c r="D86" s="16"/>
    </row>
    <row r="87" spans="3:4" x14ac:dyDescent="0.25">
      <c r="C87" s="6" t="s">
        <v>108</v>
      </c>
      <c r="D87" s="16"/>
    </row>
    <row r="88" spans="3:4" x14ac:dyDescent="0.25">
      <c r="C88" s="6" t="s">
        <v>109</v>
      </c>
      <c r="D88" s="16"/>
    </row>
    <row r="89" spans="3:4" ht="15.75" thickBot="1" x14ac:dyDescent="0.3">
      <c r="C89" s="7" t="s">
        <v>110</v>
      </c>
      <c r="D89" s="16"/>
    </row>
  </sheetData>
  <sortState xmlns:xlrd2="http://schemas.microsoft.com/office/spreadsheetml/2017/richdata2" ref="C2:C88">
    <sortCondition ref="C8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60C1-996F-478D-B34B-D0E1748CA41A}">
  <sheetPr>
    <tabColor rgb="FFC00000"/>
  </sheetPr>
  <dimension ref="B2:G127"/>
  <sheetViews>
    <sheetView zoomScale="80" zoomScaleNormal="80" workbookViewId="0">
      <selection activeCell="B3" sqref="B3:G3"/>
    </sheetView>
  </sheetViews>
  <sheetFormatPr baseColWidth="10" defaultRowHeight="15" x14ac:dyDescent="0.25"/>
  <cols>
    <col min="2" max="2" width="53.7109375" bestFit="1" customWidth="1"/>
    <col min="3" max="4" width="25.42578125" bestFit="1" customWidth="1"/>
    <col min="5" max="5" width="32.28515625" bestFit="1" customWidth="1"/>
    <col min="6" max="6" width="19" bestFit="1" customWidth="1"/>
    <col min="7" max="7" width="15.140625" bestFit="1" customWidth="1"/>
  </cols>
  <sheetData>
    <row r="2" spans="2:7" ht="15.75" thickBot="1" x14ac:dyDescent="0.3"/>
    <row r="3" spans="2:7" ht="19.5" thickBot="1" x14ac:dyDescent="0.35">
      <c r="B3" s="589" t="s">
        <v>274</v>
      </c>
      <c r="C3" s="590"/>
      <c r="D3" s="590"/>
      <c r="E3" s="590"/>
      <c r="F3" s="590"/>
      <c r="G3" s="591"/>
    </row>
    <row r="6" spans="2:7" x14ac:dyDescent="0.25">
      <c r="C6" s="70" t="s">
        <v>225</v>
      </c>
      <c r="D6" s="70" t="s">
        <v>219</v>
      </c>
      <c r="E6" s="71" t="s">
        <v>218</v>
      </c>
    </row>
    <row r="7" spans="2:7" x14ac:dyDescent="0.25">
      <c r="C7" s="22">
        <v>0</v>
      </c>
      <c r="D7" s="95">
        <f>Chêne!F10+'Chêne Rouge'!J6+Peuplier!J5+Mélèze!J6+Cèdre!J6+Douglas!J6+'Pin laricio'!J6+'Pin maritime'!J6+Sapin!J6</f>
        <v>-18985.660836501906</v>
      </c>
      <c r="E7" s="21">
        <f>D7/(1+Fiche_signalétique_projet!$D$57)^C7</f>
        <v>-18985.660836501906</v>
      </c>
    </row>
    <row r="8" spans="2:7" x14ac:dyDescent="0.25">
      <c r="C8" s="22">
        <v>1</v>
      </c>
      <c r="D8" s="95">
        <f>Chêne!F11+'Chêne Rouge'!J7+Peuplier!J6+Mélèze!J7+Cèdre!J7+Douglas!J7+'Pin laricio'!J7+'Pin maritime'!J7+Sapin!J7</f>
        <v>-981.17110266159705</v>
      </c>
      <c r="E8" s="21">
        <f>D8/(1+Fiche_signalétique_projet!$D$57)^C8</f>
        <v>-938.91971546564321</v>
      </c>
    </row>
    <row r="9" spans="2:7" x14ac:dyDescent="0.25">
      <c r="C9" s="22">
        <v>2</v>
      </c>
      <c r="D9" s="95">
        <f>Chêne!F12+'Chêne Rouge'!J8+Peuplier!J7+Mélèze!J8+Cèdre!J8+Douglas!J8+'Pin laricio'!J8+'Pin maritime'!J8+Sapin!J8</f>
        <v>-981.17110266159705</v>
      </c>
      <c r="E9" s="21">
        <f>D9/(1+Fiche_signalétique_projet!$D$57)^C9</f>
        <v>-898.48776599583084</v>
      </c>
    </row>
    <row r="10" spans="2:7" x14ac:dyDescent="0.25">
      <c r="C10" s="22">
        <v>3</v>
      </c>
      <c r="D10" s="95">
        <f>Chêne!F13+'Chêne Rouge'!J9+Peuplier!J8+Mélèze!J9+Cèdre!J9+Douglas!J9+'Pin laricio'!J9+'Pin maritime'!J9+Sapin!J9</f>
        <v>-981.17110266159705</v>
      </c>
      <c r="E10" s="21">
        <f>D10/(1+Fiche_signalétique_projet!$D$57)^C10</f>
        <v>-859.79690525916828</v>
      </c>
    </row>
    <row r="11" spans="2:7" x14ac:dyDescent="0.25">
      <c r="C11" s="22">
        <v>4</v>
      </c>
      <c r="D11" s="95">
        <f>Chêne!F14+'Chêne Rouge'!J10+Peuplier!J9+Mélèze!J10+Cèdre!J10+Douglas!J10+'Pin laricio'!J10+'Pin maritime'!J10+Sapin!J10</f>
        <v>0</v>
      </c>
      <c r="E11" s="21">
        <f>D11/(1+Fiche_signalétique_projet!$D$57)^C11</f>
        <v>0</v>
      </c>
    </row>
    <row r="12" spans="2:7" x14ac:dyDescent="0.25">
      <c r="C12" s="22">
        <v>5</v>
      </c>
      <c r="D12" s="95">
        <f>Chêne!F15+'Chêne Rouge'!J11+Peuplier!J10+Mélèze!J11+Cèdre!J11+Douglas!J11+'Pin laricio'!J11+'Pin maritime'!J11+Sapin!J11</f>
        <v>-981.17110266159705</v>
      </c>
      <c r="E12" s="21">
        <f>D12/(1+Fiche_signalétique_projet!$D$57)^C12</f>
        <v>-787.34177812702876</v>
      </c>
    </row>
    <row r="13" spans="2:7" x14ac:dyDescent="0.25">
      <c r="C13" s="22">
        <v>6</v>
      </c>
      <c r="D13" s="95">
        <f>Chêne!F16+'Chêne Rouge'!J12+Peuplier!J11+Mélèze!J12+Cèdre!J12+Douglas!J12+'Pin laricio'!J12+'Pin maritime'!J12+Sapin!J12</f>
        <v>0</v>
      </c>
      <c r="E13" s="21">
        <f>D13/(1+Fiche_signalétique_projet!$D$57)^C13</f>
        <v>0</v>
      </c>
    </row>
    <row r="14" spans="2:7" x14ac:dyDescent="0.25">
      <c r="C14" s="22">
        <v>7</v>
      </c>
      <c r="D14" s="95">
        <f>Chêne!F17+'Chêne Rouge'!J13+Peuplier!J12+Mélèze!J13+Cèdre!J13+Douglas!J13+'Pin laricio'!J13+'Pin maritime'!J13+Sapin!J13</f>
        <v>-981.17110266159705</v>
      </c>
      <c r="E14" s="21">
        <f>D14/(1+Fiche_signalétique_projet!$D$57)^C14</f>
        <v>-720.99244809141624</v>
      </c>
    </row>
    <row r="15" spans="2:7" x14ac:dyDescent="0.25">
      <c r="C15" s="22">
        <v>8</v>
      </c>
      <c r="D15" s="95">
        <f>Chêne!F18+'Chêne Rouge'!J14+Peuplier!J13+Mélèze!J14+Cèdre!J14+Douglas!J14+'Pin laricio'!J14+'Pin maritime'!J14+Sapin!J14</f>
        <v>0</v>
      </c>
      <c r="E15" s="21">
        <f>D15/(1+Fiche_signalétique_projet!$D$57)^C15</f>
        <v>0</v>
      </c>
    </row>
    <row r="16" spans="2:7" x14ac:dyDescent="0.25">
      <c r="C16" s="22">
        <v>9</v>
      </c>
      <c r="D16" s="95">
        <f>Chêne!F19+'Chêne Rouge'!J15+Peuplier!J14+Mélèze!J15+Cèdre!J15+Douglas!J15+'Pin laricio'!J15+'Pin maritime'!J15+Sapin!J15</f>
        <v>0</v>
      </c>
      <c r="E16" s="21">
        <f>D16/(1+Fiche_signalétique_projet!$D$57)^C16</f>
        <v>0</v>
      </c>
    </row>
    <row r="17" spans="3:5" x14ac:dyDescent="0.25">
      <c r="C17" s="22">
        <v>10</v>
      </c>
      <c r="D17" s="95">
        <f>Chêne!F20+'Chêne Rouge'!J16+Peuplier!J15+Mélèze!J16+Cèdre!J16+Douglas!J16+'Pin laricio'!J16+'Pin maritime'!J16+Sapin!J16</f>
        <v>0</v>
      </c>
      <c r="E17" s="21">
        <f>D17/(1+Fiche_signalétique_projet!$D$57)^C17</f>
        <v>0</v>
      </c>
    </row>
    <row r="18" spans="3:5" x14ac:dyDescent="0.25">
      <c r="C18" s="22">
        <v>11</v>
      </c>
      <c r="D18" s="95">
        <f>Chêne!F21+'Chêne Rouge'!J17+Peuplier!J16+Mélèze!J17+Cèdre!J17+Douglas!J17+'Pin laricio'!J17+'Pin maritime'!J17+Sapin!J17</f>
        <v>0</v>
      </c>
      <c r="E18" s="21">
        <f>D18/(1+Fiche_signalétique_projet!$D$57)^C18</f>
        <v>0</v>
      </c>
    </row>
    <row r="19" spans="3:5" x14ac:dyDescent="0.25">
      <c r="C19" s="22">
        <v>12</v>
      </c>
      <c r="D19" s="95">
        <f>Chêne!F22+'Chêne Rouge'!J18+Peuplier!J17+Mélèze!J18+Cèdre!J18+Douglas!J18+'Pin laricio'!J18+'Pin maritime'!J18+Sapin!J18</f>
        <v>0</v>
      </c>
      <c r="E19" s="21">
        <f>D19/(1+Fiche_signalétique_projet!$D$57)^C19</f>
        <v>0</v>
      </c>
    </row>
    <row r="20" spans="3:5" x14ac:dyDescent="0.25">
      <c r="C20" s="22">
        <v>13</v>
      </c>
      <c r="D20" s="95">
        <f>Chêne!F23+'Chêne Rouge'!J19+Peuplier!J18+Mélèze!J19+Cèdre!J19+Douglas!J19+'Pin laricio'!J19+'Pin maritime'!J19+Sapin!J19</f>
        <v>0</v>
      </c>
      <c r="E20" s="21">
        <f>D20/(1+Fiche_signalétique_projet!$D$57)^C20</f>
        <v>0</v>
      </c>
    </row>
    <row r="21" spans="3:5" x14ac:dyDescent="0.25">
      <c r="C21" s="22">
        <v>14</v>
      </c>
      <c r="D21" s="95">
        <f>Chêne!F24+'Chêne Rouge'!J20+Peuplier!J19+Mélèze!J20+Cèdre!J20+Douglas!J20+'Pin laricio'!J20+'Pin maritime'!J20+Sapin!J20</f>
        <v>0</v>
      </c>
      <c r="E21" s="21">
        <f>D21/(1+Fiche_signalétique_projet!$D$57)^C21</f>
        <v>0</v>
      </c>
    </row>
    <row r="22" spans="3:5" x14ac:dyDescent="0.25">
      <c r="C22" s="22">
        <v>15</v>
      </c>
      <c r="D22" s="95">
        <f>Chêne!F25+'Chêne Rouge'!J21+Peuplier!J20+Mélèze!J21+Cèdre!J21+Douglas!J21+'Pin laricio'!J21+'Pin maritime'!J21+Sapin!J21</f>
        <v>0</v>
      </c>
      <c r="E22" s="21">
        <f>D22/(1+Fiche_signalétique_projet!$D$57)^C22</f>
        <v>0</v>
      </c>
    </row>
    <row r="23" spans="3:5" x14ac:dyDescent="0.25">
      <c r="C23" s="22">
        <v>16</v>
      </c>
      <c r="D23" s="95">
        <f>Chêne!F26+'Chêne Rouge'!J22+Peuplier!J21+Mélèze!J22+Cèdre!J22+Douglas!J22+'Pin laricio'!J22+'Pin maritime'!J22+Sapin!J22</f>
        <v>0</v>
      </c>
      <c r="E23" s="21">
        <f>D23/(1+Fiche_signalétique_projet!$D$57)^C23</f>
        <v>0</v>
      </c>
    </row>
    <row r="24" spans="3:5" x14ac:dyDescent="0.25">
      <c r="C24" s="22">
        <v>17</v>
      </c>
      <c r="D24" s="95">
        <f>Chêne!F27+'Chêne Rouge'!J23+Peuplier!J22+Mélèze!J23+Cèdre!J23+Douglas!J23+'Pin laricio'!J23+'Pin maritime'!J23+Sapin!J23</f>
        <v>0</v>
      </c>
      <c r="E24" s="21">
        <f>D24/(1+Fiche_signalétique_projet!$D$57)^C24</f>
        <v>0</v>
      </c>
    </row>
    <row r="25" spans="3:5" x14ac:dyDescent="0.25">
      <c r="C25" s="22">
        <v>18</v>
      </c>
      <c r="D25" s="95">
        <f>Chêne!F28+'Chêne Rouge'!J24+Peuplier!J23+Mélèze!J24+Cèdre!J24+Douglas!J24+'Pin laricio'!J24+'Pin maritime'!J24+Sapin!J24</f>
        <v>0</v>
      </c>
      <c r="E25" s="21">
        <f>D25/(1+Fiche_signalétique_projet!$D$57)^C25</f>
        <v>0</v>
      </c>
    </row>
    <row r="26" spans="3:5" x14ac:dyDescent="0.25">
      <c r="C26" s="22">
        <v>19</v>
      </c>
      <c r="D26" s="95">
        <f>Chêne!F29+'Chêne Rouge'!J25+Peuplier!J24+Mélèze!J25+Cèdre!J25+Douglas!J25+'Pin laricio'!J25+'Pin maritime'!J25+Sapin!J25</f>
        <v>0</v>
      </c>
      <c r="E26" s="21">
        <f>D26/(1+Fiche_signalétique_projet!$D$57)^C26</f>
        <v>0</v>
      </c>
    </row>
    <row r="27" spans="3:5" x14ac:dyDescent="0.25">
      <c r="C27" s="22">
        <v>20</v>
      </c>
      <c r="D27" s="95">
        <f>Chêne!F30+'Chêne Rouge'!J26+Peuplier!J25+Mélèze!J26+Cèdre!J26+Douglas!J26+'Pin laricio'!J26+'Pin maritime'!J26+Sapin!J26</f>
        <v>0</v>
      </c>
      <c r="E27" s="21">
        <f>D27/(1+Fiche_signalétique_projet!$D$57)^C27</f>
        <v>0</v>
      </c>
    </row>
    <row r="28" spans="3:5" x14ac:dyDescent="0.25">
      <c r="C28" s="22">
        <v>21</v>
      </c>
      <c r="D28" s="95">
        <f>Chêne!F31+'Chêne Rouge'!J27+Peuplier!J26+Mélèze!J27+Cèdre!J27+Douglas!J27+'Pin laricio'!J27+'Pin maritime'!J27+Sapin!J27</f>
        <v>0</v>
      </c>
      <c r="E28" s="21">
        <f>D28/(1+Fiche_signalétique_projet!$D$57)^C28</f>
        <v>0</v>
      </c>
    </row>
    <row r="29" spans="3:5" x14ac:dyDescent="0.25">
      <c r="C29" s="22">
        <v>22</v>
      </c>
      <c r="D29" s="95">
        <f>Chêne!F32+'Chêne Rouge'!J28+Peuplier!J27+Mélèze!J28+Cèdre!J28+Douglas!J28+'Pin laricio'!J28+'Pin maritime'!J28+Sapin!J28</f>
        <v>0</v>
      </c>
      <c r="E29" s="21">
        <f>D29/(1+Fiche_signalétique_projet!$D$57)^C29</f>
        <v>0</v>
      </c>
    </row>
    <row r="30" spans="3:5" x14ac:dyDescent="0.25">
      <c r="C30" s="22">
        <v>23</v>
      </c>
      <c r="D30" s="95">
        <f>Chêne!F33+'Chêne Rouge'!J29+Peuplier!J28+Mélèze!J29+Cèdre!J29+Douglas!J29+'Pin laricio'!J29+'Pin maritime'!J29+Sapin!J29</f>
        <v>0</v>
      </c>
      <c r="E30" s="21">
        <f>D30/(1+Fiche_signalétique_projet!$D$57)^C30</f>
        <v>0</v>
      </c>
    </row>
    <row r="31" spans="3:5" x14ac:dyDescent="0.25">
      <c r="C31" s="22">
        <v>24</v>
      </c>
      <c r="D31" s="95">
        <f>Chêne!F34+'Chêne Rouge'!J30+Peuplier!J29+Mélèze!J30+Cèdre!J30+Douglas!J30+'Pin laricio'!J30+'Pin maritime'!J30+Sapin!J30</f>
        <v>0</v>
      </c>
      <c r="E31" s="21">
        <f>D31/(1+Fiche_signalétique_projet!$D$57)^C31</f>
        <v>0</v>
      </c>
    </row>
    <row r="32" spans="3:5" x14ac:dyDescent="0.25">
      <c r="C32" s="22">
        <v>25</v>
      </c>
      <c r="D32" s="95">
        <f>Chêne!F35+'Chêne Rouge'!J31+Peuplier!J30+Mélèze!J31+Cèdre!J31+Douglas!J31+'Pin laricio'!J31+'Pin maritime'!J31+Sapin!J31</f>
        <v>841.00380228136885</v>
      </c>
      <c r="E32" s="21">
        <f>D32/(1+Fiche_signalétique_projet!$D$57)^C32</f>
        <v>279.82769694148874</v>
      </c>
    </row>
    <row r="33" spans="3:5" x14ac:dyDescent="0.25">
      <c r="C33" s="22">
        <v>26</v>
      </c>
      <c r="D33" s="95">
        <f>Chêne!F36+'Chêne Rouge'!J32+Peuplier!J31+Mélèze!J32+Cèdre!J32+Douglas!J32+'Pin laricio'!J32+'Pin maritime'!J32+Sapin!J32</f>
        <v>0</v>
      </c>
      <c r="E33" s="21">
        <f>D33/(1+Fiche_signalétique_projet!$D$57)^C33</f>
        <v>0</v>
      </c>
    </row>
    <row r="34" spans="3:5" x14ac:dyDescent="0.25">
      <c r="C34" s="22">
        <v>27</v>
      </c>
      <c r="D34" s="95">
        <f>Chêne!F37+'Chêne Rouge'!J33+Peuplier!J32+Mélèze!J33+Cèdre!J33+Douglas!J33+'Pin laricio'!J33+'Pin maritime'!J33+Sapin!J33</f>
        <v>0</v>
      </c>
      <c r="E34" s="21">
        <f>D34/(1+Fiche_signalétique_projet!$D$57)^C34</f>
        <v>0</v>
      </c>
    </row>
    <row r="35" spans="3:5" x14ac:dyDescent="0.25">
      <c r="C35" s="22">
        <v>28</v>
      </c>
      <c r="D35" s="95">
        <f>Chêne!F38+'Chêne Rouge'!J34+Peuplier!J33+Mélèze!J34+Cèdre!J34+Douglas!J34+'Pin laricio'!J34+'Pin maritime'!J34+Sapin!J34</f>
        <v>0</v>
      </c>
      <c r="E35" s="21">
        <f>D35/(1+Fiche_signalétique_projet!$D$57)^C35</f>
        <v>0</v>
      </c>
    </row>
    <row r="36" spans="3:5" x14ac:dyDescent="0.25">
      <c r="C36" s="22">
        <v>29</v>
      </c>
      <c r="D36" s="95">
        <f>Chêne!F39+'Chêne Rouge'!J35+Peuplier!J34+Mélèze!J35+Cèdre!J35+Douglas!J35+'Pin laricio'!J35+'Pin maritime'!J35+Sapin!J35</f>
        <v>0</v>
      </c>
      <c r="E36" s="21">
        <f>D36/(1+Fiche_signalétique_projet!$D$57)^C36</f>
        <v>0</v>
      </c>
    </row>
    <row r="37" spans="3:5" x14ac:dyDescent="0.25">
      <c r="C37" s="22">
        <v>30</v>
      </c>
      <c r="D37" s="95">
        <f>Chêne!F40+'Chêne Rouge'!J36+Peuplier!J35+Mélèze!J36+Cèdre!J36+Douglas!J36+'Pin laricio'!J36+'Pin maritime'!J36+Sapin!J36</f>
        <v>0</v>
      </c>
      <c r="E37" s="21">
        <f>D37/(1+Fiche_signalétique_projet!$D$57)^C37</f>
        <v>0</v>
      </c>
    </row>
    <row r="38" spans="3:5" x14ac:dyDescent="0.25">
      <c r="C38" s="22">
        <v>31</v>
      </c>
      <c r="D38" s="95">
        <f>Chêne!F41+'Chêne Rouge'!J37+Peuplier!J36+Mélèze!J37+Cèdre!J37+Douglas!J37+'Pin laricio'!J37+'Pin maritime'!J37+Sapin!J37</f>
        <v>0</v>
      </c>
      <c r="E38" s="21">
        <f>D38/(1+Fiche_signalétique_projet!$D$57)^C38</f>
        <v>0</v>
      </c>
    </row>
    <row r="39" spans="3:5" x14ac:dyDescent="0.25">
      <c r="C39" s="22">
        <v>32</v>
      </c>
      <c r="D39" s="95">
        <f>Chêne!F42+'Chêne Rouge'!J38+Peuplier!J37+Mélèze!J38+Cèdre!J38+Douglas!J38+'Pin laricio'!J38+'Pin maritime'!J38+Sapin!J38</f>
        <v>0</v>
      </c>
      <c r="E39" s="21">
        <f>D39/(1+Fiche_signalétique_projet!$D$57)^C39</f>
        <v>0</v>
      </c>
    </row>
    <row r="40" spans="3:5" x14ac:dyDescent="0.25">
      <c r="C40" s="22">
        <v>33</v>
      </c>
      <c r="D40" s="95">
        <f>Chêne!F43+'Chêne Rouge'!J39+Peuplier!J38+Mélèze!J39+Cèdre!J39+Douglas!J39+'Pin laricio'!J39+'Pin maritime'!J39+Sapin!J39</f>
        <v>0</v>
      </c>
      <c r="E40" s="21">
        <f>D40/(1+Fiche_signalétique_projet!$D$57)^C40</f>
        <v>0</v>
      </c>
    </row>
    <row r="41" spans="3:5" x14ac:dyDescent="0.25">
      <c r="C41" s="22">
        <v>34</v>
      </c>
      <c r="D41" s="95">
        <f>Chêne!F44+'Chêne Rouge'!J40+Peuplier!J39+Mélèze!J40+Cèdre!J40+Douglas!J40+'Pin laricio'!J40+'Pin maritime'!J40+Sapin!J40</f>
        <v>0</v>
      </c>
      <c r="E41" s="21">
        <f>D41/(1+Fiche_signalétique_projet!$D$57)^C41</f>
        <v>0</v>
      </c>
    </row>
    <row r="42" spans="3:5" x14ac:dyDescent="0.25">
      <c r="C42" s="22">
        <v>35</v>
      </c>
      <c r="D42" s="95">
        <f>Chêne!F45+'Chêne Rouge'!J41+Peuplier!J40+Mélèze!J41+Cèdre!J41+Douglas!J41+'Pin laricio'!J41+'Pin maritime'!J41+Sapin!J41</f>
        <v>0</v>
      </c>
      <c r="E42" s="21">
        <f>D42/(1+Fiche_signalétique_projet!$D$57)^C42</f>
        <v>0</v>
      </c>
    </row>
    <row r="43" spans="3:5" x14ac:dyDescent="0.25">
      <c r="C43" s="22">
        <v>36</v>
      </c>
      <c r="D43" s="95">
        <f>Chêne!F46+'Chêne Rouge'!J42+Peuplier!J41+Mélèze!J42+Cèdre!J42+Douglas!J42+'Pin laricio'!J42+'Pin maritime'!J42+Sapin!J42</f>
        <v>0</v>
      </c>
      <c r="E43" s="21">
        <f>D43/(1+Fiche_signalétique_projet!$D$57)^C43</f>
        <v>0</v>
      </c>
    </row>
    <row r="44" spans="3:5" x14ac:dyDescent="0.25">
      <c r="C44" s="22">
        <v>37</v>
      </c>
      <c r="D44" s="95">
        <f>Chêne!F47+'Chêne Rouge'!J43+Peuplier!J42+Mélèze!J43+Cèdre!J43+Douglas!J43+'Pin laricio'!J43+'Pin maritime'!J43+Sapin!J43</f>
        <v>0</v>
      </c>
      <c r="E44" s="21">
        <f>D44/(1+Fiche_signalétique_projet!$D$57)^C44</f>
        <v>0</v>
      </c>
    </row>
    <row r="45" spans="3:5" x14ac:dyDescent="0.25">
      <c r="C45" s="22">
        <v>38</v>
      </c>
      <c r="D45" s="95">
        <f>Chêne!F48+'Chêne Rouge'!J44+Peuplier!J43+Mélèze!J44+Cèdre!J44+Douglas!J44+'Pin laricio'!J44+'Pin maritime'!J44+Sapin!J44</f>
        <v>1471.7566539923955</v>
      </c>
      <c r="E45" s="21">
        <f>D45/(1+Fiche_signalétique_projet!$D$57)^C45</f>
        <v>276.32295907297646</v>
      </c>
    </row>
    <row r="46" spans="3:5" x14ac:dyDescent="0.25">
      <c r="C46" s="22">
        <v>39</v>
      </c>
      <c r="D46" s="95">
        <f>Chêne!F49+'Chêne Rouge'!J45+Peuplier!J44+Mélèze!J45+Cèdre!J45+Douglas!J45+'Pin laricio'!J45+'Pin maritime'!J45+Sapin!J45</f>
        <v>0</v>
      </c>
      <c r="E46" s="21">
        <f>D46/(1+Fiche_signalétique_projet!$D$57)^C46</f>
        <v>0</v>
      </c>
    </row>
    <row r="47" spans="3:5" x14ac:dyDescent="0.25">
      <c r="C47" s="22">
        <v>40</v>
      </c>
      <c r="D47" s="95">
        <f>Chêne!F50+'Chêne Rouge'!J46+Peuplier!J45+Mélèze!J46+Cèdre!J46+Douglas!J46+'Pin laricio'!J46+'Pin maritime'!J46+Sapin!J46</f>
        <v>0</v>
      </c>
      <c r="E47" s="21">
        <f>D47/(1+Fiche_signalétique_projet!$D$57)^C47</f>
        <v>0</v>
      </c>
    </row>
    <row r="48" spans="3:5" x14ac:dyDescent="0.25">
      <c r="C48" s="22">
        <v>41</v>
      </c>
      <c r="D48" s="95">
        <f>Chêne!F51+'Chêne Rouge'!J47+Peuplier!J46+Mélèze!J47+Cèdre!J47+Douglas!J47+'Pin laricio'!J47+'Pin maritime'!J47+Sapin!J47</f>
        <v>0</v>
      </c>
      <c r="E48" s="21">
        <f>D48/(1+Fiche_signalétique_projet!$D$57)^C48</f>
        <v>0</v>
      </c>
    </row>
    <row r="49" spans="3:5" x14ac:dyDescent="0.25">
      <c r="C49" s="22">
        <v>42</v>
      </c>
      <c r="D49" s="95">
        <f>Chêne!F52+'Chêne Rouge'!J48+Peuplier!J47+Mélèze!J48+Cèdre!J48+Douglas!J48+'Pin laricio'!J48+'Pin maritime'!J48+Sapin!J48</f>
        <v>0</v>
      </c>
      <c r="E49" s="21">
        <f>D49/(1+Fiche_signalétique_projet!$D$57)^C49</f>
        <v>0</v>
      </c>
    </row>
    <row r="50" spans="3:5" x14ac:dyDescent="0.25">
      <c r="C50" s="22">
        <v>43</v>
      </c>
      <c r="D50" s="95">
        <f>Chêne!F53+'Chêne Rouge'!J49+Peuplier!J48+Mélèze!J49+Cèdre!J49+Douglas!J49+'Pin laricio'!J49+'Pin maritime'!J49+Sapin!J49</f>
        <v>0</v>
      </c>
      <c r="E50" s="21">
        <f>D50/(1+Fiche_signalétique_projet!$D$57)^C50</f>
        <v>0</v>
      </c>
    </row>
    <row r="51" spans="3:5" x14ac:dyDescent="0.25">
      <c r="C51" s="22">
        <v>44</v>
      </c>
      <c r="D51" s="95">
        <f>Chêne!F54+'Chêne Rouge'!J50+Peuplier!J49+Mélèze!J50+Cèdre!J50+Douglas!J50+'Pin laricio'!J50+'Pin maritime'!J50+Sapin!J50</f>
        <v>0</v>
      </c>
      <c r="E51" s="21">
        <f>D51/(1+Fiche_signalétique_projet!$D$57)^C51</f>
        <v>0</v>
      </c>
    </row>
    <row r="52" spans="3:5" x14ac:dyDescent="0.25">
      <c r="C52" s="22">
        <v>45</v>
      </c>
      <c r="D52" s="95">
        <f>Chêne!F55+'Chêne Rouge'!J51+Peuplier!J50+Mélèze!J51+Cèdre!J51+Douglas!J51+'Pin laricio'!J51+'Pin maritime'!J51+Sapin!J51</f>
        <v>0</v>
      </c>
      <c r="E52" s="21">
        <f>D52/(1+Fiche_signalétique_projet!$D$57)^C52</f>
        <v>0</v>
      </c>
    </row>
    <row r="53" spans="3:5" x14ac:dyDescent="0.25">
      <c r="C53" s="22">
        <v>46</v>
      </c>
      <c r="D53" s="95">
        <f>Chêne!F56+'Chêne Rouge'!J52+Peuplier!J51+Mélèze!J52+Cèdre!J52+Douglas!J52+'Pin laricio'!J52+'Pin maritime'!J52+Sapin!J52</f>
        <v>0</v>
      </c>
      <c r="E53" s="21">
        <f>D53/(1+Fiche_signalétique_projet!$D$57)^C53</f>
        <v>0</v>
      </c>
    </row>
    <row r="54" spans="3:5" x14ac:dyDescent="0.25">
      <c r="C54" s="22">
        <v>47</v>
      </c>
      <c r="D54" s="95">
        <f>Chêne!F57+'Chêne Rouge'!J53+Peuplier!J52+Mélèze!J53+Cèdre!J53+Douglas!J53+'Pin laricio'!J53+'Pin maritime'!J53+Sapin!J53</f>
        <v>0</v>
      </c>
      <c r="E54" s="21">
        <f>D54/(1+Fiche_signalétique_projet!$D$57)^C54</f>
        <v>0</v>
      </c>
    </row>
    <row r="55" spans="3:5" x14ac:dyDescent="0.25">
      <c r="C55" s="22">
        <v>48</v>
      </c>
      <c r="D55" s="95">
        <f>Chêne!F58+'Chêne Rouge'!J54+Peuplier!J53+Mélèze!J54+Cèdre!J54+Douglas!J54+'Pin laricio'!J54+'Pin maritime'!J54+Sapin!J54</f>
        <v>0</v>
      </c>
      <c r="E55" s="21">
        <f>D55/(1+Fiche_signalétique_projet!$D$57)^C55</f>
        <v>0</v>
      </c>
    </row>
    <row r="56" spans="3:5" x14ac:dyDescent="0.25">
      <c r="C56" s="22">
        <v>49</v>
      </c>
      <c r="D56" s="95">
        <f>Chêne!F59+'Chêne Rouge'!J55+Peuplier!J54+Mélèze!J55+Cèdre!J55+Douglas!J55+'Pin laricio'!J55+'Pin maritime'!J55+Sapin!J55</f>
        <v>0</v>
      </c>
      <c r="E56" s="21">
        <f>D56/(1+Fiche_signalétique_projet!$D$57)^C56</f>
        <v>0</v>
      </c>
    </row>
    <row r="57" spans="3:5" x14ac:dyDescent="0.25">
      <c r="C57" s="22">
        <v>50</v>
      </c>
      <c r="D57" s="95">
        <f>Chêne!F60+'Chêne Rouge'!J56+Peuplier!J55+Mélèze!J56+Cèdre!J56+Douglas!J56+'Pin laricio'!J56+'Pin maritime'!J56+Sapin!J56</f>
        <v>0</v>
      </c>
      <c r="E57" s="21">
        <f>D57/(1+Fiche_signalétique_projet!$D$57)^C57</f>
        <v>0</v>
      </c>
    </row>
    <row r="58" spans="3:5" x14ac:dyDescent="0.25">
      <c r="C58" s="22">
        <v>51</v>
      </c>
      <c r="D58" s="95">
        <f>Chêne!F61+'Chêne Rouge'!J57+Peuplier!J56+Mélèze!J57+Cèdre!J57+Douglas!J57+'Pin laricio'!J57+'Pin maritime'!J57+Sapin!J57</f>
        <v>2102.5095057034223</v>
      </c>
      <c r="E58" s="21">
        <f>D58/(1+Fiche_signalétique_projet!$D$57)^C58</f>
        <v>222.744585096538</v>
      </c>
    </row>
    <row r="59" spans="3:5" x14ac:dyDescent="0.25">
      <c r="C59" s="22">
        <v>52</v>
      </c>
      <c r="D59" s="95">
        <f>Chêne!F62+'Chêne Rouge'!J58+Peuplier!J57+Mélèze!J58+Cèdre!J58+Douglas!J58+'Pin laricio'!J58+'Pin maritime'!J58+Sapin!J58</f>
        <v>0</v>
      </c>
      <c r="E59" s="21">
        <f>D59/(1+Fiche_signalétique_projet!$D$57)^C59</f>
        <v>0</v>
      </c>
    </row>
    <row r="60" spans="3:5" x14ac:dyDescent="0.25">
      <c r="C60" s="22">
        <v>53</v>
      </c>
      <c r="D60" s="95">
        <f>Chêne!F63+'Chêne Rouge'!J59+Peuplier!J58+Mélèze!J59+Cèdre!J59+Douglas!J59+'Pin laricio'!J59+'Pin maritime'!J59+Sapin!J59</f>
        <v>0</v>
      </c>
      <c r="E60" s="21">
        <f>D60/(1+Fiche_signalétique_projet!$D$57)^C60</f>
        <v>0</v>
      </c>
    </row>
    <row r="61" spans="3:5" x14ac:dyDescent="0.25">
      <c r="C61" s="22">
        <v>54</v>
      </c>
      <c r="D61" s="95">
        <f>Chêne!F64+'Chêne Rouge'!J60+Peuplier!J59+Mélèze!J60+Cèdre!J60+Douglas!J60+'Pin laricio'!J60+'Pin maritime'!J60+Sapin!J60</f>
        <v>0</v>
      </c>
      <c r="E61" s="21">
        <f>D61/(1+Fiche_signalétique_projet!$D$57)^C61</f>
        <v>0</v>
      </c>
    </row>
    <row r="62" spans="3:5" x14ac:dyDescent="0.25">
      <c r="C62" s="22">
        <v>55</v>
      </c>
      <c r="D62" s="95">
        <f>Chêne!F65+'Chêne Rouge'!J61+Peuplier!J60+Mélèze!J61+Cèdre!J61+Douglas!J61+'Pin laricio'!J61+'Pin maritime'!J61+Sapin!J61</f>
        <v>0</v>
      </c>
      <c r="E62" s="21">
        <f>D62/(1+Fiche_signalétique_projet!$D$57)^C62</f>
        <v>0</v>
      </c>
    </row>
    <row r="63" spans="3:5" x14ac:dyDescent="0.25">
      <c r="C63" s="22">
        <v>56</v>
      </c>
      <c r="D63" s="95">
        <f>Chêne!F66+'Chêne Rouge'!J62+Peuplier!J61+Mélèze!J62+Cèdre!J62+Douglas!J62+'Pin laricio'!J62+'Pin maritime'!J62+Sapin!J62</f>
        <v>0</v>
      </c>
      <c r="E63" s="21">
        <f>D63/(1+Fiche_signalétique_projet!$D$57)^C63</f>
        <v>0</v>
      </c>
    </row>
    <row r="64" spans="3:5" x14ac:dyDescent="0.25">
      <c r="C64" s="22">
        <v>57</v>
      </c>
      <c r="D64" s="95">
        <f>Chêne!F67+'Chêne Rouge'!J63+Peuplier!J62+Mélèze!J63+Cèdre!J63+Douglas!J63+'Pin laricio'!J63+'Pin maritime'!J63+Sapin!J63</f>
        <v>0</v>
      </c>
      <c r="E64" s="21">
        <f>D64/(1+Fiche_signalétique_projet!$D$57)^C64</f>
        <v>0</v>
      </c>
    </row>
    <row r="65" spans="3:5" x14ac:dyDescent="0.25">
      <c r="C65" s="22">
        <v>58</v>
      </c>
      <c r="D65" s="95">
        <f>Chêne!F68+'Chêne Rouge'!J64+Peuplier!J63+Mélèze!J64+Cèdre!J64+Douglas!J64+'Pin laricio'!J64+'Pin maritime'!J64+Sapin!J64</f>
        <v>0</v>
      </c>
      <c r="E65" s="21">
        <f>D65/(1+Fiche_signalétique_projet!$D$57)^C65</f>
        <v>0</v>
      </c>
    </row>
    <row r="66" spans="3:5" x14ac:dyDescent="0.25">
      <c r="C66" s="22">
        <v>59</v>
      </c>
      <c r="D66" s="95">
        <f>Chêne!F69+'Chêne Rouge'!J65+Peuplier!J64+Mélèze!J65+Cèdre!J65+Douglas!J65+'Pin laricio'!J65+'Pin maritime'!J65+Sapin!J65</f>
        <v>0</v>
      </c>
      <c r="E66" s="21">
        <f>D66/(1+Fiche_signalétique_projet!$D$57)^C66</f>
        <v>0</v>
      </c>
    </row>
    <row r="67" spans="3:5" x14ac:dyDescent="0.25">
      <c r="C67" s="22">
        <v>60</v>
      </c>
      <c r="D67" s="95">
        <f>Chêne!F70+'Chêne Rouge'!J66+Peuplier!J65+Mélèze!J66+Cèdre!J66+Douglas!J66+'Pin laricio'!J66+'Pin maritime'!J66+Sapin!J66</f>
        <v>0</v>
      </c>
      <c r="E67" s="21">
        <f>D67/(1+Fiche_signalétique_projet!$D$57)^C67</f>
        <v>0</v>
      </c>
    </row>
    <row r="68" spans="3:5" x14ac:dyDescent="0.25">
      <c r="C68" s="22">
        <v>61</v>
      </c>
      <c r="D68" s="95">
        <f>Chêne!F71+'Chêne Rouge'!J67+Peuplier!J66+Mélèze!J67+Cèdre!J67+Douglas!J67+'Pin laricio'!J67+'Pin maritime'!J67+Sapin!J67</f>
        <v>0</v>
      </c>
      <c r="E68" s="21">
        <f>D68/(1+Fiche_signalétique_projet!$D$57)^C68</f>
        <v>0</v>
      </c>
    </row>
    <row r="69" spans="3:5" x14ac:dyDescent="0.25">
      <c r="C69" s="22">
        <v>62</v>
      </c>
      <c r="D69" s="95">
        <f>Chêne!F72+'Chêne Rouge'!J68+Peuplier!J67+Mélèze!J68+Cèdre!J68+Douglas!J68+'Pin laricio'!J68+'Pin maritime'!J68+Sapin!J68</f>
        <v>0</v>
      </c>
      <c r="E69" s="21">
        <f>D69/(1+Fiche_signalétique_projet!$D$57)^C69</f>
        <v>0</v>
      </c>
    </row>
    <row r="70" spans="3:5" x14ac:dyDescent="0.25">
      <c r="C70" s="22">
        <v>63</v>
      </c>
      <c r="D70" s="95">
        <f>Chêne!F73+'Chêne Rouge'!J69+Peuplier!J68+Mélèze!J69+Cèdre!J69+Douglas!J69+'Pin laricio'!J69+'Pin maritime'!J69+Sapin!J69</f>
        <v>0</v>
      </c>
      <c r="E70" s="21">
        <f>D70/(1+Fiche_signalétique_projet!$D$57)^C70</f>
        <v>0</v>
      </c>
    </row>
    <row r="71" spans="3:5" x14ac:dyDescent="0.25">
      <c r="C71" s="22">
        <v>64</v>
      </c>
      <c r="D71" s="95">
        <f>Chêne!F74+'Chêne Rouge'!J70+Peuplier!J69+Mélèze!J70+Cèdre!J70+Douglas!J70+'Pin laricio'!J70+'Pin maritime'!J70+Sapin!J70</f>
        <v>2102.5095057034223</v>
      </c>
      <c r="E71" s="21">
        <f>D71/(1+Fiche_signalétique_projet!$D$57)^C71</f>
        <v>125.68845256071506</v>
      </c>
    </row>
    <row r="72" spans="3:5" x14ac:dyDescent="0.25">
      <c r="C72" s="22">
        <v>65</v>
      </c>
      <c r="D72" s="95">
        <f>Chêne!F75+'Chêne Rouge'!J71+Peuplier!J70+Mélèze!J71+Cèdre!J71+Douglas!J71+'Pin laricio'!J71+'Pin maritime'!J71+Sapin!J71</f>
        <v>0</v>
      </c>
      <c r="E72" s="21">
        <f>D72/(1+Fiche_signalétique_projet!$D$57)^C72</f>
        <v>0</v>
      </c>
    </row>
    <row r="73" spans="3:5" x14ac:dyDescent="0.25">
      <c r="C73" s="22">
        <v>66</v>
      </c>
      <c r="D73" s="95">
        <f>Chêne!F76+'Chêne Rouge'!J72+Peuplier!J71+Mélèze!J72+Cèdre!J72+Douglas!J72+'Pin laricio'!J72+'Pin maritime'!J72+Sapin!J72</f>
        <v>0</v>
      </c>
      <c r="E73" s="21">
        <f>D73/(1+Fiche_signalétique_projet!$D$57)^C73</f>
        <v>0</v>
      </c>
    </row>
    <row r="74" spans="3:5" x14ac:dyDescent="0.25">
      <c r="C74" s="22">
        <v>67</v>
      </c>
      <c r="D74" s="95">
        <f>Chêne!F77+'Chêne Rouge'!J73+Peuplier!J72+Mélèze!J73+Cèdre!J73+Douglas!J73+'Pin laricio'!J73+'Pin maritime'!J73+Sapin!J73</f>
        <v>0</v>
      </c>
      <c r="E74" s="21">
        <f>D74/(1+Fiche_signalétique_projet!$D$57)^C74</f>
        <v>0</v>
      </c>
    </row>
    <row r="75" spans="3:5" x14ac:dyDescent="0.25">
      <c r="C75" s="22">
        <v>68</v>
      </c>
      <c r="D75" s="95">
        <f>Chêne!F78+'Chêne Rouge'!J74+Peuplier!J73+Mélèze!J74+Cèdre!J74+Douglas!J74+'Pin laricio'!J74+'Pin maritime'!J74+Sapin!J74</f>
        <v>0</v>
      </c>
      <c r="E75" s="21">
        <f>D75/(1+Fiche_signalétique_projet!$D$57)^C75</f>
        <v>0</v>
      </c>
    </row>
    <row r="76" spans="3:5" x14ac:dyDescent="0.25">
      <c r="C76" s="22">
        <v>69</v>
      </c>
      <c r="D76" s="95">
        <f>Chêne!F79+'Chêne Rouge'!J75+Peuplier!J74+Mélèze!J75+Cèdre!J75+Douglas!J75+'Pin laricio'!J75+'Pin maritime'!J75+Sapin!J75</f>
        <v>0</v>
      </c>
      <c r="E76" s="21">
        <f>D76/(1+Fiche_signalétique_projet!$D$57)^C76</f>
        <v>0</v>
      </c>
    </row>
    <row r="77" spans="3:5" x14ac:dyDescent="0.25">
      <c r="C77" s="22">
        <v>70</v>
      </c>
      <c r="D77" s="95">
        <f>Chêne!F80+'Chêne Rouge'!J76+Peuplier!J75+Mélèze!J76+Cèdre!J76+Douglas!J76+'Pin laricio'!J76+'Pin maritime'!J76+Sapin!J76</f>
        <v>0</v>
      </c>
      <c r="E77" s="21">
        <f>D77/(1+Fiche_signalétique_projet!$D$57)^C77</f>
        <v>0</v>
      </c>
    </row>
    <row r="78" spans="3:5" x14ac:dyDescent="0.25">
      <c r="C78" s="22">
        <v>71</v>
      </c>
      <c r="D78" s="95">
        <f>Chêne!F81+'Chêne Rouge'!J77+Peuplier!J76+Mélèze!J77+Cèdre!J77+Douglas!J77+'Pin laricio'!J77+'Pin maritime'!J77+Sapin!J77</f>
        <v>0</v>
      </c>
      <c r="E78" s="21">
        <f>D78/(1+Fiche_signalétique_projet!$D$57)^C78</f>
        <v>0</v>
      </c>
    </row>
    <row r="79" spans="3:5" x14ac:dyDescent="0.25">
      <c r="C79" s="22">
        <v>72</v>
      </c>
      <c r="D79" s="95">
        <f>Chêne!F82+'Chêne Rouge'!J78+Peuplier!J77+Mélèze!J78+Cèdre!J78+Douglas!J78+'Pin laricio'!J78+'Pin maritime'!J78+Sapin!J78</f>
        <v>0</v>
      </c>
      <c r="E79" s="21">
        <f>D79/(1+Fiche_signalétique_projet!$D$57)^C79</f>
        <v>0</v>
      </c>
    </row>
    <row r="80" spans="3:5" x14ac:dyDescent="0.25">
      <c r="C80" s="22">
        <v>73</v>
      </c>
      <c r="D80" s="95">
        <f>Chêne!F83+'Chêne Rouge'!J79+Peuplier!J78+Mélèze!J79+Cèdre!J79+Douglas!J79+'Pin laricio'!J79+'Pin maritime'!J79+Sapin!J79</f>
        <v>0</v>
      </c>
      <c r="E80" s="21">
        <f>D80/(1+Fiche_signalétique_projet!$D$57)^C80</f>
        <v>0</v>
      </c>
    </row>
    <row r="81" spans="3:5" x14ac:dyDescent="0.25">
      <c r="C81" s="22">
        <v>74</v>
      </c>
      <c r="D81" s="95">
        <f>Chêne!F84+'Chêne Rouge'!J80+Peuplier!J79+Mélèze!J80+Cèdre!J80+Douglas!J80+'Pin laricio'!J80+'Pin maritime'!J80+Sapin!J80</f>
        <v>0</v>
      </c>
      <c r="E81" s="21">
        <f>D81/(1+Fiche_signalétique_projet!$D$57)^C81</f>
        <v>0</v>
      </c>
    </row>
    <row r="82" spans="3:5" x14ac:dyDescent="0.25">
      <c r="C82" s="22">
        <v>75</v>
      </c>
      <c r="D82" s="95">
        <f>Chêne!F85+'Chêne Rouge'!J81+Peuplier!J80+Mélèze!J81+Cèdre!J81+Douglas!J81+'Pin laricio'!J81+'Pin maritime'!J81+Sapin!J81</f>
        <v>0</v>
      </c>
      <c r="E82" s="21">
        <f>D82/(1+Fiche_signalétique_projet!$D$57)^C82</f>
        <v>0</v>
      </c>
    </row>
    <row r="83" spans="3:5" x14ac:dyDescent="0.25">
      <c r="C83" s="22">
        <v>76</v>
      </c>
      <c r="D83" s="95">
        <f>Chêne!F86+'Chêne Rouge'!J82+Peuplier!J81+Mélèze!J82+Cèdre!J82+Douglas!J82+'Pin laricio'!J82+'Pin maritime'!J82+Sapin!J82</f>
        <v>0</v>
      </c>
      <c r="E83" s="21">
        <f>D83/(1+Fiche_signalétique_projet!$D$57)^C83</f>
        <v>0</v>
      </c>
    </row>
    <row r="84" spans="3:5" x14ac:dyDescent="0.25">
      <c r="C84" s="22">
        <v>77</v>
      </c>
      <c r="D84" s="95">
        <f>Chêne!F87+'Chêne Rouge'!J83+Peuplier!J82+Mélèze!J83+Cèdre!J83+Douglas!J83+'Pin laricio'!J83+'Pin maritime'!J83+Sapin!J83</f>
        <v>3153.764258555133</v>
      </c>
      <c r="E84" s="21">
        <f>D84/(1+Fiche_signalétique_projet!$D$57)^C84</f>
        <v>106.38364407552534</v>
      </c>
    </row>
    <row r="85" spans="3:5" x14ac:dyDescent="0.25">
      <c r="C85" s="22">
        <v>78</v>
      </c>
      <c r="D85" s="95">
        <f>Chêne!F88+'Chêne Rouge'!J84+Peuplier!J83+Mélèze!J84+Cèdre!J84+Douglas!J84+'Pin laricio'!J84+'Pin maritime'!J84+Sapin!J84</f>
        <v>0</v>
      </c>
      <c r="E85" s="21">
        <f>D85/(1+Fiche_signalétique_projet!$D$57)^C85</f>
        <v>0</v>
      </c>
    </row>
    <row r="86" spans="3:5" x14ac:dyDescent="0.25">
      <c r="C86" s="22">
        <v>79</v>
      </c>
      <c r="D86" s="95">
        <f>Chêne!F89+'Chêne Rouge'!J85+Peuplier!J84+Mélèze!J85+Cèdre!J85+Douglas!J85+'Pin laricio'!J85+'Pin maritime'!J85+Sapin!J85</f>
        <v>0</v>
      </c>
      <c r="E86" s="21">
        <f>D86/(1+Fiche_signalétique_projet!$D$57)^C86</f>
        <v>0</v>
      </c>
    </row>
    <row r="87" spans="3:5" x14ac:dyDescent="0.25">
      <c r="C87" s="22">
        <v>80</v>
      </c>
      <c r="D87" s="95">
        <f>Chêne!F90+'Chêne Rouge'!J86+Peuplier!J85+Mélèze!J86+Cèdre!J86+Douglas!J86+'Pin laricio'!J86+'Pin maritime'!J86+Sapin!J86</f>
        <v>0</v>
      </c>
      <c r="E87" s="21">
        <f>D87/(1+Fiche_signalétique_projet!$D$57)^C87</f>
        <v>0</v>
      </c>
    </row>
    <row r="88" spans="3:5" x14ac:dyDescent="0.25">
      <c r="C88" s="22">
        <v>81</v>
      </c>
      <c r="D88" s="95">
        <f>Chêne!F91+'Chêne Rouge'!J87+Peuplier!J86+Mélèze!J87+Cèdre!J87+Douglas!J87+'Pin laricio'!J87+'Pin maritime'!J87+Sapin!J87</f>
        <v>0</v>
      </c>
      <c r="E88" s="21">
        <f>D88/(1+Fiche_signalétique_projet!$D$57)^C88</f>
        <v>0</v>
      </c>
    </row>
    <row r="89" spans="3:5" x14ac:dyDescent="0.25">
      <c r="C89" s="22">
        <v>82</v>
      </c>
      <c r="D89" s="95">
        <f>Chêne!F92+'Chêne Rouge'!J88+Peuplier!J87+Mélèze!J88+Cèdre!J88+Douglas!J88+'Pin laricio'!J88+'Pin maritime'!J88+Sapin!J88</f>
        <v>0</v>
      </c>
      <c r="E89" s="21">
        <f>D89/(1+Fiche_signalétique_projet!$D$57)^C89</f>
        <v>0</v>
      </c>
    </row>
    <row r="90" spans="3:5" x14ac:dyDescent="0.25">
      <c r="C90" s="22">
        <v>83</v>
      </c>
      <c r="D90" s="95">
        <f>Chêne!F93+'Chêne Rouge'!J89+Peuplier!J88+Mélèze!J89+Cèdre!J89+Douglas!J89+'Pin laricio'!J89+'Pin maritime'!J89+Sapin!J89</f>
        <v>0</v>
      </c>
      <c r="E90" s="21">
        <f>D90/(1+Fiche_signalétique_projet!$D$57)^C90</f>
        <v>0</v>
      </c>
    </row>
    <row r="91" spans="3:5" x14ac:dyDescent="0.25">
      <c r="C91" s="22">
        <v>84</v>
      </c>
      <c r="D91" s="95">
        <f>Chêne!F94+'Chêne Rouge'!J90+Peuplier!J89+Mélèze!J90+Cèdre!J90+Douglas!J90+'Pin laricio'!J90+'Pin maritime'!J90+Sapin!J90</f>
        <v>0</v>
      </c>
      <c r="E91" s="21">
        <f>D91/(1+Fiche_signalétique_projet!$D$57)^C91</f>
        <v>0</v>
      </c>
    </row>
    <row r="92" spans="3:5" x14ac:dyDescent="0.25">
      <c r="C92" s="22">
        <v>85</v>
      </c>
      <c r="D92" s="95">
        <f>Chêne!F95+'Chêne Rouge'!J91+Peuplier!J90+Mélèze!J91+Cèdre!J91+Douglas!J91+'Pin laricio'!J91+'Pin maritime'!J91+Sapin!J91</f>
        <v>0</v>
      </c>
      <c r="E92" s="21">
        <f>D92/(1+Fiche_signalétique_projet!$D$57)^C92</f>
        <v>0</v>
      </c>
    </row>
    <row r="93" spans="3:5" x14ac:dyDescent="0.25">
      <c r="C93" s="22">
        <v>86</v>
      </c>
      <c r="D93" s="95">
        <f>Chêne!F96+'Chêne Rouge'!J92+Peuplier!J91+Mélèze!J92+Cèdre!J92+Douglas!J92+'Pin laricio'!J92+'Pin maritime'!J92+Sapin!J92</f>
        <v>0</v>
      </c>
      <c r="E93" s="21">
        <f>D93/(1+Fiche_signalétique_projet!$D$57)^C93</f>
        <v>0</v>
      </c>
    </row>
    <row r="94" spans="3:5" x14ac:dyDescent="0.25">
      <c r="C94" s="22">
        <v>87</v>
      </c>
      <c r="D94" s="95">
        <f>Chêne!F97+'Chêne Rouge'!J93+Peuplier!J92+Mélèze!J93+Cèdre!J93+Douglas!J93+'Pin laricio'!J93+'Pin maritime'!J93+Sapin!J93</f>
        <v>0</v>
      </c>
      <c r="E94" s="21">
        <f>D94/(1+Fiche_signalétique_projet!$D$57)^C94</f>
        <v>0</v>
      </c>
    </row>
    <row r="95" spans="3:5" x14ac:dyDescent="0.25">
      <c r="C95" s="22">
        <v>88</v>
      </c>
      <c r="D95" s="95">
        <f>Chêne!F98+'Chêne Rouge'!J94+Peuplier!J93+Mélèze!J94+Cèdre!J94+Douglas!J94+'Pin laricio'!J94+'Pin maritime'!J94+Sapin!J94</f>
        <v>0</v>
      </c>
      <c r="E95" s="21">
        <f>D95/(1+Fiche_signalétique_projet!$D$57)^C95</f>
        <v>0</v>
      </c>
    </row>
    <row r="96" spans="3:5" x14ac:dyDescent="0.25">
      <c r="C96" s="22">
        <v>89</v>
      </c>
      <c r="D96" s="95">
        <f>Chêne!F99+'Chêne Rouge'!J95+Peuplier!J94+Mélèze!J95+Cèdre!J95+Douglas!J95+'Pin laricio'!J95+'Pin maritime'!J95+Sapin!J95</f>
        <v>0</v>
      </c>
      <c r="E96" s="21">
        <f>D96/(1+Fiche_signalétique_projet!$D$57)^C96</f>
        <v>0</v>
      </c>
    </row>
    <row r="97" spans="3:5" x14ac:dyDescent="0.25">
      <c r="C97" s="22">
        <v>90</v>
      </c>
      <c r="D97" s="95">
        <f>Chêne!F100+'Chêne Rouge'!J96+Peuplier!J95+Mélèze!J96+Cèdre!J96+Douglas!J96+'Pin laricio'!J96+'Pin maritime'!J96+Sapin!J96</f>
        <v>5519.0874524714827</v>
      </c>
      <c r="E97" s="21">
        <f>D97/(1+Fiche_signalétique_projet!$D$57)^C97</f>
        <v>105.05122848529953</v>
      </c>
    </row>
    <row r="98" spans="3:5" x14ac:dyDescent="0.25">
      <c r="C98" s="22">
        <v>91</v>
      </c>
      <c r="D98" s="95">
        <f>Chêne!F101+'Chêne Rouge'!J97+Peuplier!J96+Mélèze!J97+Cèdre!J97+Douglas!J97+'Pin laricio'!J97+'Pin maritime'!J97+Sapin!J97</f>
        <v>0</v>
      </c>
      <c r="E98" s="21">
        <f>D98/(1+Fiche_signalétique_projet!$D$57)^C98</f>
        <v>0</v>
      </c>
    </row>
    <row r="99" spans="3:5" x14ac:dyDescent="0.25">
      <c r="C99" s="22">
        <v>92</v>
      </c>
      <c r="D99" s="95">
        <f>Chêne!F102+'Chêne Rouge'!J98+Peuplier!J97+Mélèze!J98+Cèdre!J98+Douglas!J98+'Pin laricio'!J98+'Pin maritime'!J98+Sapin!J98</f>
        <v>0</v>
      </c>
      <c r="E99" s="21">
        <f>D99/(1+Fiche_signalétique_projet!$D$57)^C99</f>
        <v>0</v>
      </c>
    </row>
    <row r="100" spans="3:5" x14ac:dyDescent="0.25">
      <c r="C100" s="22">
        <v>93</v>
      </c>
      <c r="D100" s="95">
        <f>Chêne!F103+'Chêne Rouge'!J99+Peuplier!J98+Mélèze!J99+Cèdre!J99+Douglas!J99+'Pin laricio'!J99+'Pin maritime'!J99+Sapin!J99</f>
        <v>0</v>
      </c>
      <c r="E100" s="21">
        <f>D100/(1+Fiche_signalétique_projet!$D$57)^C100</f>
        <v>0</v>
      </c>
    </row>
    <row r="101" spans="3:5" x14ac:dyDescent="0.25">
      <c r="C101" s="22">
        <v>94</v>
      </c>
      <c r="D101" s="95">
        <f>Chêne!F104+'Chêne Rouge'!J100+Peuplier!J99+Mélèze!J100+Cèdre!J100+Douglas!J100+'Pin laricio'!J100+'Pin maritime'!J100+Sapin!J100</f>
        <v>0</v>
      </c>
      <c r="E101" s="21">
        <f>D101/(1+Fiche_signalétique_projet!$D$57)^C101</f>
        <v>0</v>
      </c>
    </row>
    <row r="102" spans="3:5" x14ac:dyDescent="0.25">
      <c r="C102" s="22">
        <v>95</v>
      </c>
      <c r="D102" s="95">
        <f>Chêne!F105+'Chêne Rouge'!J101+Peuplier!J100+Mélèze!J101+Cèdre!J101+Douglas!J101+'Pin laricio'!J101+'Pin maritime'!J101+Sapin!J101</f>
        <v>0</v>
      </c>
      <c r="E102" s="21">
        <f>D102/(1+Fiche_signalétique_projet!$D$57)^C102</f>
        <v>0</v>
      </c>
    </row>
    <row r="103" spans="3:5" x14ac:dyDescent="0.25">
      <c r="C103" s="22">
        <v>96</v>
      </c>
      <c r="D103" s="95">
        <f>Chêne!F106+'Chêne Rouge'!J102+Peuplier!J101+Mélèze!J102+Cèdre!J102+Douglas!J102+'Pin laricio'!J102+'Pin maritime'!J102+Sapin!J102</f>
        <v>0</v>
      </c>
      <c r="E103" s="21">
        <f>D103/(1+Fiche_signalétique_projet!$D$57)^C103</f>
        <v>0</v>
      </c>
    </row>
    <row r="104" spans="3:5" x14ac:dyDescent="0.25">
      <c r="C104" s="22">
        <v>97</v>
      </c>
      <c r="D104" s="95">
        <f>Chêne!F107+'Chêne Rouge'!J103+Peuplier!J102+Mélèze!J103+Cèdre!J103+Douglas!J103+'Pin laricio'!J103+'Pin maritime'!J103+Sapin!J103</f>
        <v>0</v>
      </c>
      <c r="E104" s="21">
        <f>D104/(1+Fiche_signalétique_projet!$D$57)^C104</f>
        <v>0</v>
      </c>
    </row>
    <row r="105" spans="3:5" x14ac:dyDescent="0.25">
      <c r="C105" s="22">
        <v>98</v>
      </c>
      <c r="D105" s="95">
        <f>Chêne!F108+'Chêne Rouge'!J104+Peuplier!J103+Mélèze!J104+Cèdre!J104+Douglas!J104+'Pin laricio'!J104+'Pin maritime'!J104+Sapin!J104</f>
        <v>0</v>
      </c>
      <c r="E105" s="21">
        <f>D105/(1+Fiche_signalétique_projet!$D$57)^C105</f>
        <v>0</v>
      </c>
    </row>
    <row r="106" spans="3:5" x14ac:dyDescent="0.25">
      <c r="C106" s="22">
        <v>99</v>
      </c>
      <c r="D106" s="95">
        <f>Chêne!F109+'Chêne Rouge'!J105+Peuplier!J104+Mélèze!J105+Cèdre!J105+Douglas!J105+'Pin laricio'!J105+'Pin maritime'!J105+Sapin!J105</f>
        <v>0</v>
      </c>
      <c r="E106" s="21">
        <f>D106/(1+Fiche_signalétique_projet!$D$57)^C106</f>
        <v>0</v>
      </c>
    </row>
    <row r="107" spans="3:5" x14ac:dyDescent="0.25">
      <c r="C107" s="22">
        <v>100</v>
      </c>
      <c r="D107" s="95">
        <f>Chêne!F110+'Chêne Rouge'!J106+Peuplier!J105+Mélèze!J106+Cèdre!J106+Douglas!J106+'Pin laricio'!J106+'Pin maritime'!J106+Sapin!J106</f>
        <v>0</v>
      </c>
      <c r="E107" s="21">
        <f>D107/(1+Fiche_signalétique_projet!$D$57)^C107</f>
        <v>0</v>
      </c>
    </row>
    <row r="108" spans="3:5" x14ac:dyDescent="0.25">
      <c r="C108" s="22">
        <v>101</v>
      </c>
      <c r="D108" s="95">
        <f>Chêne!F111+'Chêne Rouge'!J107+Peuplier!J106+Mélèze!J107+Cèdre!J107+Douglas!J107+'Pin laricio'!J107+'Pin maritime'!J107+Sapin!J107</f>
        <v>0</v>
      </c>
      <c r="E108" s="21">
        <f>D108/(1+Fiche_signalétique_projet!$D$57)^C108</f>
        <v>0</v>
      </c>
    </row>
    <row r="109" spans="3:5" x14ac:dyDescent="0.25">
      <c r="C109" s="22">
        <v>102</v>
      </c>
      <c r="D109" s="95">
        <f>Chêne!F112+'Chêne Rouge'!J108+Peuplier!J107+Mélèze!J108+Cèdre!J108+Douglas!J108+'Pin laricio'!J108+'Pin maritime'!J108+Sapin!J108</f>
        <v>0</v>
      </c>
      <c r="E109" s="21">
        <f>D109/(1+Fiche_signalétique_projet!$D$57)^C109</f>
        <v>0</v>
      </c>
    </row>
    <row r="110" spans="3:5" x14ac:dyDescent="0.25">
      <c r="C110" s="22">
        <v>103</v>
      </c>
      <c r="D110" s="95">
        <f>Chêne!F113+'Chêne Rouge'!J109+Peuplier!J108+Mélèze!J109+Cèdre!J109+Douglas!J109+'Pin laricio'!J109+'Pin maritime'!J109+Sapin!J109</f>
        <v>8760.4562737642591</v>
      </c>
      <c r="E110" s="21">
        <f>D110/(1+Fiche_signalétique_projet!$D$57)^C110</f>
        <v>94.09115728341898</v>
      </c>
    </row>
    <row r="111" spans="3:5" x14ac:dyDescent="0.25">
      <c r="C111" s="22">
        <v>104</v>
      </c>
      <c r="D111" s="95">
        <f>Chêne!F114+'Chêne Rouge'!J110+Peuplier!J109+Mélèze!J110+Cèdre!J110+Douglas!J110+'Pin laricio'!J110+'Pin maritime'!J110+Sapin!J110</f>
        <v>0</v>
      </c>
      <c r="E111" s="21">
        <f>D111/(1+Fiche_signalétique_projet!$D$57)^C111</f>
        <v>0</v>
      </c>
    </row>
    <row r="112" spans="3:5" x14ac:dyDescent="0.25">
      <c r="C112" s="22">
        <v>105</v>
      </c>
      <c r="D112" s="95">
        <f>Chêne!F115+'Chêne Rouge'!J111+Peuplier!J110+Mélèze!J111+Cèdre!J111+Douglas!J111+'Pin laricio'!J111+'Pin maritime'!J111+Sapin!J111</f>
        <v>0</v>
      </c>
      <c r="E112" s="21">
        <f>D112/(1+Fiche_signalétique_projet!$D$57)^C112</f>
        <v>0</v>
      </c>
    </row>
    <row r="113" spans="3:5" x14ac:dyDescent="0.25">
      <c r="C113" s="22">
        <v>106</v>
      </c>
      <c r="D113" s="95">
        <f>Chêne!F116+'Chêne Rouge'!J112+Peuplier!J111+Mélèze!J112+Cèdre!J112+Douglas!J112+'Pin laricio'!J112+'Pin maritime'!J112+Sapin!J112</f>
        <v>0</v>
      </c>
      <c r="E113" s="21">
        <f>D113/(1+Fiche_signalétique_projet!$D$57)^C113</f>
        <v>0</v>
      </c>
    </row>
    <row r="114" spans="3:5" x14ac:dyDescent="0.25">
      <c r="C114" s="22">
        <v>107</v>
      </c>
      <c r="D114" s="95">
        <f>Chêne!F117+'Chêne Rouge'!J113+Peuplier!J112+Mélèze!J113+Cèdre!J113+Douglas!J113+'Pin laricio'!J113+'Pin maritime'!J113+Sapin!J113</f>
        <v>0</v>
      </c>
      <c r="E114" s="21">
        <f>D114/(1+Fiche_signalétique_projet!$D$57)^C114</f>
        <v>0</v>
      </c>
    </row>
    <row r="115" spans="3:5" x14ac:dyDescent="0.25">
      <c r="C115" s="22">
        <v>108</v>
      </c>
      <c r="D115" s="95">
        <f>Chêne!F118+'Chêne Rouge'!J114+Peuplier!J113+Mélèze!J114+Cèdre!J114+Douglas!J114+'Pin laricio'!J114+'Pin maritime'!J114+Sapin!J114</f>
        <v>0</v>
      </c>
      <c r="E115" s="21">
        <f>D115/(1+Fiche_signalétique_projet!$D$57)^C115</f>
        <v>0</v>
      </c>
    </row>
    <row r="116" spans="3:5" x14ac:dyDescent="0.25">
      <c r="C116" s="22">
        <v>109</v>
      </c>
      <c r="D116" s="95">
        <f>Chêne!F119+'Chêne Rouge'!J115+Peuplier!J114+Mélèze!J115+Cèdre!J115+Douglas!J115+'Pin laricio'!J115+'Pin maritime'!J115+Sapin!J115</f>
        <v>0</v>
      </c>
      <c r="E116" s="21">
        <f>D116/(1+Fiche_signalétique_projet!$D$57)^C116</f>
        <v>0</v>
      </c>
    </row>
    <row r="117" spans="3:5" x14ac:dyDescent="0.25">
      <c r="C117" s="22">
        <v>110</v>
      </c>
      <c r="D117" s="95">
        <f>Chêne!F120+'Chêne Rouge'!J116+Peuplier!J115+Mélèze!J116+Cèdre!J116+Douglas!J116+'Pin laricio'!J116+'Pin maritime'!J116+Sapin!J116</f>
        <v>0</v>
      </c>
      <c r="E117" s="21">
        <f>D117/(1+Fiche_signalétique_projet!$D$57)^C117</f>
        <v>0</v>
      </c>
    </row>
    <row r="118" spans="3:5" x14ac:dyDescent="0.25">
      <c r="C118" s="22">
        <v>111</v>
      </c>
      <c r="D118" s="95">
        <f>Chêne!F121+'Chêne Rouge'!J117+Peuplier!J116+Mélèze!J117+Cèdre!J117+Douglas!J117+'Pin laricio'!J117+'Pin maritime'!J117+Sapin!J117</f>
        <v>0</v>
      </c>
      <c r="E118" s="21">
        <f>D118/(1+Fiche_signalétique_projet!$D$57)^C118</f>
        <v>0</v>
      </c>
    </row>
    <row r="119" spans="3:5" x14ac:dyDescent="0.25">
      <c r="C119" s="22">
        <v>112</v>
      </c>
      <c r="D119" s="95">
        <f>Chêne!F122+'Chêne Rouge'!J118+Peuplier!J117+Mélèze!J118+Cèdre!J118+Douglas!J118+'Pin laricio'!J118+'Pin maritime'!J118+Sapin!J118</f>
        <v>0</v>
      </c>
      <c r="E119" s="21">
        <f>D119/(1+Fiche_signalétique_projet!$D$57)^C119</f>
        <v>0</v>
      </c>
    </row>
    <row r="120" spans="3:5" x14ac:dyDescent="0.25">
      <c r="C120" s="22">
        <v>113</v>
      </c>
      <c r="D120" s="95">
        <f>Chêne!F123+'Chêne Rouge'!J119+Peuplier!J118+Mélèze!J119+Cèdre!J119+Douglas!J119+'Pin laricio'!J119+'Pin maritime'!J119+Sapin!J119</f>
        <v>0</v>
      </c>
      <c r="E120" s="21">
        <f>D120/(1+Fiche_signalétique_projet!$D$57)^C120</f>
        <v>0</v>
      </c>
    </row>
    <row r="121" spans="3:5" x14ac:dyDescent="0.25">
      <c r="C121" s="22">
        <v>114</v>
      </c>
      <c r="D121" s="95">
        <f>Chêne!F124+'Chêne Rouge'!J120+Peuplier!J119+Mélèze!J120+Cèdre!J120+Douglas!J120+'Pin laricio'!J120+'Pin maritime'!J120+Sapin!J120</f>
        <v>0</v>
      </c>
      <c r="E121" s="21">
        <f>D121/(1+Fiche_signalétique_projet!$D$57)^C121</f>
        <v>0</v>
      </c>
    </row>
    <row r="122" spans="3:5" x14ac:dyDescent="0.25">
      <c r="C122" s="22">
        <v>115</v>
      </c>
      <c r="D122" s="95">
        <f>Chêne!F125+'Chêne Rouge'!J121+Peuplier!J120+Mélèze!J121+Cèdre!J121+Douglas!J121+'Pin laricio'!J121+'Pin maritime'!J121+Sapin!J121</f>
        <v>0</v>
      </c>
      <c r="E122" s="21">
        <f>D122/(1+Fiche_signalétique_projet!$D$57)^C122</f>
        <v>0</v>
      </c>
    </row>
    <row r="123" spans="3:5" x14ac:dyDescent="0.25">
      <c r="C123" s="22">
        <v>116</v>
      </c>
      <c r="D123" s="95">
        <f>Chêne!F126+'Chêne Rouge'!J122+Peuplier!J121+Mélèze!J122+Cèdre!J122+Douglas!J122+'Pin laricio'!J122+'Pin maritime'!J122+Sapin!J122</f>
        <v>0</v>
      </c>
      <c r="E123" s="21">
        <f>D123/(1+Fiche_signalétique_projet!$D$57)^C123</f>
        <v>0</v>
      </c>
    </row>
    <row r="124" spans="3:5" x14ac:dyDescent="0.25">
      <c r="C124" s="22">
        <v>117</v>
      </c>
      <c r="D124" s="95">
        <f>Chêne!F127+'Chêne Rouge'!J123+Peuplier!J122+Mélèze!J123+Cèdre!J123+Douglas!J123+'Pin laricio'!J123+'Pin maritime'!J123+Sapin!J123</f>
        <v>0</v>
      </c>
      <c r="E124" s="21">
        <f>D124/(1+Fiche_signalétique_projet!$D$57)^C124</f>
        <v>0</v>
      </c>
    </row>
    <row r="125" spans="3:5" x14ac:dyDescent="0.25">
      <c r="C125" s="22">
        <v>118</v>
      </c>
      <c r="D125" s="95">
        <f>Chêne!F128+'Chêne Rouge'!J124+Peuplier!J123+Mélèze!J124+Cèdre!J124+Douglas!J124+'Pin laricio'!J124+'Pin maritime'!J124+Sapin!J124</f>
        <v>0</v>
      </c>
      <c r="E125" s="21">
        <f>D125/(1+Fiche_signalétique_projet!$D$57)^C125</f>
        <v>0</v>
      </c>
    </row>
    <row r="126" spans="3:5" x14ac:dyDescent="0.25">
      <c r="C126" s="22">
        <v>119</v>
      </c>
      <c r="D126" s="95">
        <f>Chêne!F129+'Chêne Rouge'!J125+Peuplier!J124+Mélèze!J125+Cèdre!J125+Douglas!J125+'Pin laricio'!J125+'Pin maritime'!J125+Sapin!J125</f>
        <v>0</v>
      </c>
      <c r="E126" s="21">
        <f>D126/(1+Fiche_signalétique_projet!$D$57)^C126</f>
        <v>0</v>
      </c>
    </row>
    <row r="127" spans="3:5" x14ac:dyDescent="0.25">
      <c r="C127" s="22">
        <v>120</v>
      </c>
      <c r="D127" s="95">
        <f>Chêne!F130+'Chêne Rouge'!J126+Peuplier!J125+Mélèze!J126+Cèdre!J126+Douglas!J126+'Pin laricio'!J126+'Pin maritime'!J126+Sapin!J126</f>
        <v>91984.790874524711</v>
      </c>
      <c r="E127" s="21">
        <f>D127/(1+Fiche_signalétique_projet!$D$57)^C127</f>
        <v>467.47799391007823</v>
      </c>
    </row>
  </sheetData>
  <sheetProtection selectLockedCells="1"/>
  <mergeCells count="1">
    <mergeCell ref="B3:G3"/>
  </mergeCells>
  <phoneticPr fontId="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3608-AEEE-4B53-86A0-846D8A4C651B}">
  <sheetPr>
    <tabColor rgb="FFC00000"/>
  </sheetPr>
  <dimension ref="A1:H130"/>
  <sheetViews>
    <sheetView workbookViewId="0">
      <selection activeCell="A57" sqref="A57"/>
    </sheetView>
  </sheetViews>
  <sheetFormatPr baseColWidth="10" defaultRowHeight="15" x14ac:dyDescent="0.25"/>
  <cols>
    <col min="1" max="1" width="32.7109375" bestFit="1" customWidth="1"/>
    <col min="2" max="2" width="13.5703125" bestFit="1" customWidth="1"/>
    <col min="6" max="6" width="20.28515625" bestFit="1" customWidth="1"/>
    <col min="7" max="7" width="16.85546875" bestFit="1" customWidth="1"/>
    <col min="12" max="12" width="20" bestFit="1" customWidth="1"/>
  </cols>
  <sheetData>
    <row r="1" spans="1:8" ht="19.5" thickBot="1" x14ac:dyDescent="0.35">
      <c r="B1" s="589" t="s">
        <v>275</v>
      </c>
      <c r="C1" s="590"/>
      <c r="D1" s="590"/>
      <c r="E1" s="590"/>
      <c r="F1" s="590"/>
      <c r="G1" s="591"/>
    </row>
    <row r="4" spans="1:8" ht="15.75" x14ac:dyDescent="0.25">
      <c r="C4" s="82"/>
      <c r="D4" s="82"/>
      <c r="E4" s="592" t="s">
        <v>253</v>
      </c>
      <c r="F4" s="592"/>
      <c r="G4" s="592"/>
      <c r="H4" s="81"/>
    </row>
    <row r="5" spans="1:8" ht="15.75" x14ac:dyDescent="0.25">
      <c r="C5" s="63"/>
      <c r="D5" s="63"/>
      <c r="E5" s="74" t="s">
        <v>228</v>
      </c>
      <c r="F5" s="75">
        <f>NPV(B10,G11:G130)+G10</f>
        <v>2593.8752539195857</v>
      </c>
    </row>
    <row r="6" spans="1:8" ht="15.75" x14ac:dyDescent="0.25">
      <c r="C6" s="63"/>
      <c r="D6" s="63"/>
    </row>
    <row r="7" spans="1:8" ht="15.75" x14ac:dyDescent="0.25">
      <c r="C7" s="61"/>
      <c r="D7" s="61"/>
      <c r="G7" s="10"/>
      <c r="H7" s="73"/>
    </row>
    <row r="8" spans="1:8" ht="16.5" thickBot="1" x14ac:dyDescent="0.3">
      <c r="C8" s="63"/>
      <c r="D8" s="63"/>
      <c r="F8" s="39"/>
      <c r="H8" s="73"/>
    </row>
    <row r="9" spans="1:8" ht="16.5" thickBot="1" x14ac:dyDescent="0.3">
      <c r="A9" s="76" t="s">
        <v>230</v>
      </c>
      <c r="B9" s="100"/>
      <c r="C9" s="165"/>
      <c r="D9" s="61"/>
      <c r="E9" s="70" t="s">
        <v>225</v>
      </c>
      <c r="F9" s="70" t="s">
        <v>224</v>
      </c>
      <c r="G9" s="70" t="s">
        <v>219</v>
      </c>
      <c r="H9" s="71" t="s">
        <v>218</v>
      </c>
    </row>
    <row r="10" spans="1:8" ht="16.5" thickBot="1" x14ac:dyDescent="0.3">
      <c r="A10" s="79" t="s">
        <v>189</v>
      </c>
      <c r="B10" s="80">
        <f>Fiche_signalétique_projet!D57</f>
        <v>4.4999999999999998E-2</v>
      </c>
      <c r="C10" s="60"/>
      <c r="D10" s="60"/>
      <c r="E10" s="22">
        <v>0</v>
      </c>
      <c r="F10" s="22"/>
      <c r="G10" s="95"/>
      <c r="H10" s="21">
        <f>G10/(1+$B$10)^E10</f>
        <v>0</v>
      </c>
    </row>
    <row r="11" spans="1:8" ht="16.5" thickBot="1" x14ac:dyDescent="0.3">
      <c r="A11" s="101" t="s">
        <v>190</v>
      </c>
      <c r="B11" s="106">
        <f>Annexe_îlots_boisements!L98</f>
        <v>3.84</v>
      </c>
      <c r="C11" s="61"/>
      <c r="D11" s="61"/>
      <c r="E11" s="22">
        <v>1</v>
      </c>
      <c r="F11" s="22"/>
      <c r="G11" s="95"/>
      <c r="H11" s="21">
        <f t="shared" ref="H11:H41" si="0">G11/(1+$B$10)^E11</f>
        <v>0</v>
      </c>
    </row>
    <row r="12" spans="1:8" ht="15.75" customHeight="1" thickBot="1" x14ac:dyDescent="0.35">
      <c r="A12" s="97"/>
      <c r="B12" s="97"/>
      <c r="C12" s="60"/>
      <c r="D12" s="60"/>
      <c r="E12" s="22">
        <v>2</v>
      </c>
      <c r="F12" s="22"/>
      <c r="G12" s="95"/>
      <c r="H12" s="21">
        <f t="shared" si="0"/>
        <v>0</v>
      </c>
    </row>
    <row r="13" spans="1:8" ht="15.75" x14ac:dyDescent="0.25">
      <c r="A13" s="93" t="s">
        <v>254</v>
      </c>
      <c r="B13" s="17" t="s">
        <v>255</v>
      </c>
      <c r="C13" s="17" t="s">
        <v>133</v>
      </c>
      <c r="D13" s="63"/>
      <c r="E13" s="22">
        <v>3</v>
      </c>
      <c r="F13" s="22"/>
      <c r="G13" s="95"/>
      <c r="H13" s="21">
        <f t="shared" si="0"/>
        <v>0</v>
      </c>
    </row>
    <row r="14" spans="1:8" ht="15.75" x14ac:dyDescent="0.25">
      <c r="A14" s="159" t="s">
        <v>297</v>
      </c>
      <c r="B14" s="105">
        <f>IF(C14&gt;0,80,0)</f>
        <v>0</v>
      </c>
      <c r="C14" s="14">
        <f>Annexe_îlots_boisements!D104</f>
        <v>0</v>
      </c>
      <c r="D14" s="61"/>
      <c r="E14" s="22">
        <v>4</v>
      </c>
      <c r="F14" s="22"/>
      <c r="G14" s="95"/>
      <c r="H14" s="21">
        <f t="shared" si="0"/>
        <v>0</v>
      </c>
    </row>
    <row r="15" spans="1:8" ht="15.75" x14ac:dyDescent="0.25">
      <c r="A15" s="159" t="s">
        <v>298</v>
      </c>
      <c r="B15" s="105">
        <f>IF(C15&gt;0,120,0)</f>
        <v>120</v>
      </c>
      <c r="C15" s="14">
        <f>Annexe_îlots_boisements!D105</f>
        <v>3.5041825095057035</v>
      </c>
      <c r="D15" s="60"/>
      <c r="E15" s="22">
        <v>5</v>
      </c>
      <c r="F15" s="22"/>
      <c r="G15" s="95"/>
      <c r="H15" s="21">
        <f t="shared" si="0"/>
        <v>0</v>
      </c>
    </row>
    <row r="16" spans="1:8" ht="15.75" x14ac:dyDescent="0.25">
      <c r="A16" s="159" t="s">
        <v>429</v>
      </c>
      <c r="B16" s="105">
        <f>IF(C16&gt;0,20,0)</f>
        <v>0</v>
      </c>
      <c r="C16" s="14">
        <f>Annexe_îlots_boisements!D106</f>
        <v>0</v>
      </c>
      <c r="D16" s="63"/>
      <c r="E16" s="22">
        <v>6</v>
      </c>
      <c r="F16" s="22"/>
      <c r="G16" s="95"/>
      <c r="H16" s="21">
        <f t="shared" si="0"/>
        <v>0</v>
      </c>
    </row>
    <row r="17" spans="1:8" ht="15.75" x14ac:dyDescent="0.25">
      <c r="A17" s="159" t="s">
        <v>61</v>
      </c>
      <c r="B17" s="105">
        <f>IF(C17&gt;0,55,0)</f>
        <v>0</v>
      </c>
      <c r="C17" s="14">
        <f>Annexe_îlots_boisements!D107</f>
        <v>0</v>
      </c>
      <c r="D17" s="61"/>
      <c r="E17" s="22">
        <v>7</v>
      </c>
      <c r="F17" s="22"/>
      <c r="G17" s="95"/>
      <c r="H17" s="21">
        <f t="shared" si="0"/>
        <v>0</v>
      </c>
    </row>
    <row r="18" spans="1:8" ht="15.75" x14ac:dyDescent="0.25">
      <c r="A18" s="159" t="s">
        <v>33</v>
      </c>
      <c r="B18" s="105">
        <f>IF(C18&gt;0,65,0)</f>
        <v>0</v>
      </c>
      <c r="C18" s="14">
        <f>Annexe_îlots_boisements!D108</f>
        <v>0</v>
      </c>
      <c r="D18" s="60"/>
      <c r="E18" s="22">
        <v>8</v>
      </c>
      <c r="F18" s="22"/>
      <c r="G18" s="95"/>
      <c r="H18" s="21">
        <f t="shared" si="0"/>
        <v>0</v>
      </c>
    </row>
    <row r="19" spans="1:8" ht="15.75" x14ac:dyDescent="0.25">
      <c r="A19" s="159" t="s">
        <v>48</v>
      </c>
      <c r="B19" s="105">
        <f>IF(C19&gt;0,45,0)</f>
        <v>0</v>
      </c>
      <c r="C19" s="14">
        <f>Annexe_îlots_boisements!D109</f>
        <v>0</v>
      </c>
      <c r="D19" s="63"/>
      <c r="E19" s="22">
        <v>9</v>
      </c>
      <c r="F19" s="22"/>
      <c r="G19" s="95"/>
      <c r="H19" s="21">
        <f t="shared" si="0"/>
        <v>0</v>
      </c>
    </row>
    <row r="20" spans="1:8" ht="15.75" x14ac:dyDescent="0.25">
      <c r="A20" s="159" t="s">
        <v>83</v>
      </c>
      <c r="B20" s="105">
        <f>IF(C20&gt;0,60,0)</f>
        <v>0</v>
      </c>
      <c r="C20" s="14">
        <f>Annexe_îlots_boisements!D110</f>
        <v>0</v>
      </c>
      <c r="D20" s="61"/>
      <c r="E20" s="22">
        <v>10</v>
      </c>
      <c r="F20" s="22"/>
      <c r="G20" s="95"/>
      <c r="H20" s="21">
        <f t="shared" si="0"/>
        <v>0</v>
      </c>
    </row>
    <row r="21" spans="1:8" ht="15.75" x14ac:dyDescent="0.25">
      <c r="A21" s="159" t="s">
        <v>86</v>
      </c>
      <c r="B21" s="105">
        <f>IF(C21&gt;0,35,0)</f>
        <v>0</v>
      </c>
      <c r="C21" s="14">
        <f>Annexe_îlots_boisements!D111</f>
        <v>0</v>
      </c>
      <c r="D21" s="60"/>
      <c r="E21" s="22">
        <v>11</v>
      </c>
      <c r="F21" s="22"/>
      <c r="G21" s="95"/>
      <c r="H21" s="21">
        <f t="shared" si="0"/>
        <v>0</v>
      </c>
    </row>
    <row r="22" spans="1:8" x14ac:dyDescent="0.25">
      <c r="A22" s="159" t="s">
        <v>98</v>
      </c>
      <c r="B22" s="105">
        <f>IF(C22&gt;0,70,0)</f>
        <v>0</v>
      </c>
      <c r="C22" s="14">
        <f>Annexe_îlots_boisements!D112</f>
        <v>0</v>
      </c>
      <c r="E22" s="22">
        <v>12</v>
      </c>
      <c r="F22" s="22"/>
      <c r="G22" s="95"/>
      <c r="H22" s="21">
        <f t="shared" si="0"/>
        <v>0</v>
      </c>
    </row>
    <row r="23" spans="1:8" x14ac:dyDescent="0.25">
      <c r="A23" s="159" t="s">
        <v>315</v>
      </c>
      <c r="B23" s="105">
        <f>IF(C23&gt;0,120,0)</f>
        <v>0</v>
      </c>
      <c r="C23" s="14">
        <f>Annexe_îlots_boisements!D113</f>
        <v>0</v>
      </c>
      <c r="D23" s="59"/>
      <c r="E23" s="22">
        <v>13</v>
      </c>
      <c r="F23" s="22"/>
      <c r="G23" s="95"/>
      <c r="H23" s="21">
        <f t="shared" si="0"/>
        <v>0</v>
      </c>
    </row>
    <row r="24" spans="1:8" x14ac:dyDescent="0.25">
      <c r="A24" s="159" t="s">
        <v>467</v>
      </c>
      <c r="B24" s="105">
        <f>IF(C24&gt;0,120,0)</f>
        <v>0</v>
      </c>
      <c r="C24" s="14">
        <f>Annexe_îlots_boisements!D114</f>
        <v>0</v>
      </c>
      <c r="D24" s="57"/>
      <c r="E24" s="22">
        <v>14</v>
      </c>
      <c r="F24" s="22"/>
      <c r="G24" s="95"/>
      <c r="H24" s="21">
        <f t="shared" si="0"/>
        <v>0</v>
      </c>
    </row>
    <row r="25" spans="1:8" x14ac:dyDescent="0.25">
      <c r="A25" s="159" t="s">
        <v>29</v>
      </c>
      <c r="B25" s="105">
        <f>IF(C25&gt;0,120,0)</f>
        <v>120</v>
      </c>
      <c r="C25" s="14">
        <f>Annexe_îlots_boisements!D115</f>
        <v>9.1254752851711016E-2</v>
      </c>
      <c r="D25" s="57"/>
      <c r="E25" s="22">
        <v>15</v>
      </c>
      <c r="F25" s="22"/>
      <c r="G25" s="95"/>
      <c r="H25" s="21">
        <f t="shared" si="0"/>
        <v>0</v>
      </c>
    </row>
    <row r="26" spans="1:8" x14ac:dyDescent="0.25">
      <c r="A26" s="159" t="s">
        <v>27</v>
      </c>
      <c r="B26" s="105">
        <f t="shared" ref="B26:B44" si="1">IF(C26&gt;0,120,0)</f>
        <v>0</v>
      </c>
      <c r="C26" s="14">
        <f>Annexe_îlots_boisements!D116</f>
        <v>0</v>
      </c>
      <c r="D26" s="57"/>
      <c r="E26" s="22">
        <v>16</v>
      </c>
      <c r="F26" s="22"/>
      <c r="G26" s="95"/>
      <c r="H26" s="21">
        <f t="shared" si="0"/>
        <v>0</v>
      </c>
    </row>
    <row r="27" spans="1:8" x14ac:dyDescent="0.25">
      <c r="A27" s="159" t="s">
        <v>28</v>
      </c>
      <c r="B27" s="105">
        <f t="shared" si="1"/>
        <v>120</v>
      </c>
      <c r="C27" s="14">
        <f>Annexe_îlots_boisements!D117</f>
        <v>0.15330798479087451</v>
      </c>
      <c r="D27" s="33"/>
      <c r="E27" s="22">
        <v>17</v>
      </c>
      <c r="F27" s="22"/>
      <c r="G27" s="95"/>
      <c r="H27" s="21">
        <f t="shared" si="0"/>
        <v>0</v>
      </c>
    </row>
    <row r="28" spans="1:8" x14ac:dyDescent="0.25">
      <c r="A28" s="159" t="s">
        <v>468</v>
      </c>
      <c r="B28" s="105">
        <f t="shared" si="1"/>
        <v>120</v>
      </c>
      <c r="C28" s="14">
        <f>Annexe_îlots_boisements!D118</f>
        <v>9.1254752851711016E-2</v>
      </c>
      <c r="E28" s="22">
        <v>18</v>
      </c>
      <c r="F28" s="22"/>
      <c r="G28" s="95"/>
      <c r="H28" s="21">
        <f t="shared" si="0"/>
        <v>0</v>
      </c>
    </row>
    <row r="29" spans="1:8" x14ac:dyDescent="0.25">
      <c r="A29" s="159" t="s">
        <v>31</v>
      </c>
      <c r="B29" s="105">
        <f t="shared" si="1"/>
        <v>0</v>
      </c>
      <c r="C29" s="14">
        <f>Annexe_îlots_boisements!D119</f>
        <v>0</v>
      </c>
      <c r="E29" s="22">
        <v>19</v>
      </c>
      <c r="F29" s="22"/>
      <c r="G29" s="95"/>
      <c r="H29" s="21">
        <f t="shared" si="0"/>
        <v>0</v>
      </c>
    </row>
    <row r="30" spans="1:8" x14ac:dyDescent="0.25">
      <c r="A30" s="159" t="s">
        <v>51</v>
      </c>
      <c r="B30" s="105">
        <f t="shared" si="1"/>
        <v>0</v>
      </c>
      <c r="C30" s="14">
        <f>Annexe_îlots_boisements!D120</f>
        <v>0</v>
      </c>
      <c r="E30" s="22">
        <v>20</v>
      </c>
      <c r="F30" s="22"/>
      <c r="G30" s="95"/>
      <c r="H30" s="21">
        <f t="shared" si="0"/>
        <v>0</v>
      </c>
    </row>
    <row r="31" spans="1:8" x14ac:dyDescent="0.25">
      <c r="A31" s="159" t="s">
        <v>53</v>
      </c>
      <c r="B31" s="105">
        <f t="shared" si="1"/>
        <v>0</v>
      </c>
      <c r="C31" s="14">
        <f>Annexe_îlots_boisements!D121</f>
        <v>0</v>
      </c>
      <c r="E31" s="22">
        <v>21</v>
      </c>
      <c r="F31" s="22"/>
      <c r="G31" s="95"/>
      <c r="H31" s="21">
        <f t="shared" si="0"/>
        <v>0</v>
      </c>
    </row>
    <row r="32" spans="1:8" x14ac:dyDescent="0.25">
      <c r="A32" s="159" t="s">
        <v>54</v>
      </c>
      <c r="B32" s="105">
        <f t="shared" si="1"/>
        <v>0</v>
      </c>
      <c r="C32" s="14">
        <f>Annexe_îlots_boisements!D122</f>
        <v>0</v>
      </c>
      <c r="E32" s="22">
        <v>22</v>
      </c>
      <c r="F32" s="22"/>
      <c r="G32" s="95"/>
      <c r="H32" s="21">
        <f t="shared" si="0"/>
        <v>0</v>
      </c>
    </row>
    <row r="33" spans="1:8" x14ac:dyDescent="0.25">
      <c r="A33" s="159" t="s">
        <v>105</v>
      </c>
      <c r="B33" s="105">
        <f t="shared" si="1"/>
        <v>0</v>
      </c>
      <c r="C33" s="14">
        <f>Annexe_îlots_boisements!D123</f>
        <v>0</v>
      </c>
      <c r="E33" s="22">
        <v>23</v>
      </c>
      <c r="F33" s="22"/>
      <c r="G33" s="95"/>
      <c r="H33" s="21">
        <f t="shared" si="0"/>
        <v>0</v>
      </c>
    </row>
    <row r="34" spans="1:8" x14ac:dyDescent="0.25">
      <c r="A34" s="159" t="s">
        <v>55</v>
      </c>
      <c r="B34" s="105">
        <f t="shared" si="1"/>
        <v>0</v>
      </c>
      <c r="C34" s="14">
        <f>Annexe_îlots_boisements!D124</f>
        <v>0</v>
      </c>
      <c r="E34" s="22">
        <v>24</v>
      </c>
      <c r="F34" s="22"/>
      <c r="G34" s="95"/>
      <c r="H34" s="21">
        <f t="shared" si="0"/>
        <v>0</v>
      </c>
    </row>
    <row r="35" spans="1:8" x14ac:dyDescent="0.25">
      <c r="A35" s="159" t="s">
        <v>105</v>
      </c>
      <c r="B35" s="105">
        <f t="shared" si="1"/>
        <v>0</v>
      </c>
      <c r="C35" s="14">
        <f>Annexe_îlots_boisements!D125</f>
        <v>0</v>
      </c>
      <c r="E35" s="22">
        <v>25</v>
      </c>
      <c r="F35" s="22"/>
      <c r="G35" s="95"/>
      <c r="H35" s="21">
        <f t="shared" si="0"/>
        <v>0</v>
      </c>
    </row>
    <row r="36" spans="1:8" x14ac:dyDescent="0.25">
      <c r="A36" s="159" t="s">
        <v>55</v>
      </c>
      <c r="B36" s="105">
        <f t="shared" si="1"/>
        <v>0</v>
      </c>
      <c r="C36" s="14">
        <f>Annexe_îlots_boisements!D126</f>
        <v>0</v>
      </c>
      <c r="E36" s="22">
        <v>26</v>
      </c>
      <c r="F36" s="22"/>
      <c r="G36" s="95"/>
      <c r="H36" s="21">
        <f t="shared" si="0"/>
        <v>0</v>
      </c>
    </row>
    <row r="37" spans="1:8" x14ac:dyDescent="0.25">
      <c r="A37" s="159" t="s">
        <v>56</v>
      </c>
      <c r="B37" s="105">
        <f t="shared" si="1"/>
        <v>0</v>
      </c>
      <c r="C37" s="14">
        <f>Annexe_îlots_boisements!D127</f>
        <v>0</v>
      </c>
      <c r="E37" s="22">
        <v>27</v>
      </c>
      <c r="F37" s="22"/>
      <c r="G37" s="95"/>
      <c r="H37" s="21">
        <f t="shared" si="0"/>
        <v>0</v>
      </c>
    </row>
    <row r="38" spans="1:8" x14ac:dyDescent="0.25">
      <c r="A38" s="159" t="s">
        <v>59</v>
      </c>
      <c r="B38" s="105">
        <f t="shared" si="1"/>
        <v>0</v>
      </c>
      <c r="C38" s="14">
        <f>Annexe_îlots_boisements!D128</f>
        <v>0</v>
      </c>
      <c r="E38" s="22">
        <v>28</v>
      </c>
      <c r="F38" s="22"/>
      <c r="G38" s="95"/>
      <c r="H38" s="21">
        <f t="shared" si="0"/>
        <v>0</v>
      </c>
    </row>
    <row r="39" spans="1:8" x14ac:dyDescent="0.25">
      <c r="A39" s="159" t="s">
        <v>63</v>
      </c>
      <c r="B39" s="105">
        <f t="shared" si="1"/>
        <v>0</v>
      </c>
      <c r="C39" s="14">
        <f>Annexe_îlots_boisements!D129</f>
        <v>0</v>
      </c>
      <c r="E39" s="22">
        <v>29</v>
      </c>
      <c r="F39" s="22"/>
      <c r="G39" s="95"/>
      <c r="H39" s="21">
        <f t="shared" si="0"/>
        <v>0</v>
      </c>
    </row>
    <row r="40" spans="1:8" x14ac:dyDescent="0.25">
      <c r="A40" s="159" t="s">
        <v>83</v>
      </c>
      <c r="B40" s="105">
        <f t="shared" si="1"/>
        <v>0</v>
      </c>
      <c r="C40" s="14">
        <f>Annexe_îlots_boisements!D130</f>
        <v>0</v>
      </c>
      <c r="E40" s="22">
        <v>30</v>
      </c>
      <c r="F40" s="22"/>
      <c r="G40" s="95">
        <f>IF(E40&lt;=C57,E40*B11*B58,0)</f>
        <v>576</v>
      </c>
      <c r="H40" s="21">
        <f t="shared" si="0"/>
        <v>153.79200893203372</v>
      </c>
    </row>
    <row r="41" spans="1:8" x14ac:dyDescent="0.25">
      <c r="A41" s="159" t="s">
        <v>87</v>
      </c>
      <c r="B41" s="105">
        <f t="shared" si="1"/>
        <v>0</v>
      </c>
      <c r="C41" s="14">
        <f>Annexe_îlots_boisements!D131</f>
        <v>0</v>
      </c>
      <c r="E41" s="22">
        <v>31</v>
      </c>
      <c r="F41" s="22"/>
      <c r="G41" s="95"/>
      <c r="H41" s="21">
        <f t="shared" si="0"/>
        <v>0</v>
      </c>
    </row>
    <row r="42" spans="1:8" x14ac:dyDescent="0.25">
      <c r="A42" s="159" t="s">
        <v>94</v>
      </c>
      <c r="B42" s="105">
        <f t="shared" si="1"/>
        <v>0</v>
      </c>
      <c r="C42" s="14">
        <f>Annexe_îlots_boisements!D132</f>
        <v>0</v>
      </c>
      <c r="E42" s="22">
        <v>32</v>
      </c>
      <c r="F42" s="22"/>
      <c r="G42" s="95"/>
      <c r="H42" s="21">
        <f t="shared" ref="H42:H73" si="2">G42/(1+$B$10)^E42</f>
        <v>0</v>
      </c>
    </row>
    <row r="43" spans="1:8" x14ac:dyDescent="0.25">
      <c r="A43" s="159" t="s">
        <v>95</v>
      </c>
      <c r="B43" s="105">
        <f t="shared" si="1"/>
        <v>0</v>
      </c>
      <c r="C43" s="14">
        <f>Annexe_îlots_boisements!D133</f>
        <v>0</v>
      </c>
      <c r="E43" s="22">
        <v>33</v>
      </c>
      <c r="F43" s="22"/>
      <c r="G43" s="95"/>
      <c r="H43" s="21">
        <f t="shared" si="2"/>
        <v>0</v>
      </c>
    </row>
    <row r="44" spans="1:8" x14ac:dyDescent="0.25">
      <c r="A44" s="159" t="s">
        <v>99</v>
      </c>
      <c r="B44" s="105">
        <f t="shared" si="1"/>
        <v>0</v>
      </c>
      <c r="C44" s="14">
        <f>Annexe_îlots_boisements!D134</f>
        <v>0</v>
      </c>
      <c r="E44" s="22">
        <v>34</v>
      </c>
      <c r="F44" s="22"/>
      <c r="G44" s="95"/>
      <c r="H44" s="21">
        <f t="shared" si="2"/>
        <v>0</v>
      </c>
    </row>
    <row r="45" spans="1:8" x14ac:dyDescent="0.25">
      <c r="A45" s="159" t="s">
        <v>108</v>
      </c>
      <c r="B45" s="105">
        <f>IF(C45&gt;0,120,0)</f>
        <v>0</v>
      </c>
      <c r="C45" s="14">
        <f>Annexe_îlots_boisements!D135</f>
        <v>0</v>
      </c>
      <c r="E45" s="22">
        <v>35</v>
      </c>
      <c r="F45" s="22"/>
      <c r="G45" s="95"/>
      <c r="H45" s="21">
        <f t="shared" si="2"/>
        <v>0</v>
      </c>
    </row>
    <row r="46" spans="1:8" x14ac:dyDescent="0.25">
      <c r="A46" s="159"/>
      <c r="B46" s="105"/>
      <c r="C46" s="14"/>
      <c r="E46" s="22">
        <v>36</v>
      </c>
      <c r="F46" s="22"/>
      <c r="G46" s="95"/>
      <c r="H46" s="21">
        <f t="shared" si="2"/>
        <v>0</v>
      </c>
    </row>
    <row r="47" spans="1:8" x14ac:dyDescent="0.25">
      <c r="A47" s="159"/>
      <c r="B47" s="105"/>
      <c r="C47" s="14"/>
      <c r="E47" s="22">
        <v>37</v>
      </c>
      <c r="F47" s="22"/>
      <c r="G47" s="95"/>
      <c r="H47" s="21">
        <f t="shared" si="2"/>
        <v>0</v>
      </c>
    </row>
    <row r="48" spans="1:8" x14ac:dyDescent="0.25">
      <c r="A48" s="159"/>
      <c r="B48" s="105"/>
      <c r="C48" s="14"/>
      <c r="E48" s="22">
        <v>38</v>
      </c>
      <c r="F48" s="22"/>
      <c r="G48" s="95"/>
      <c r="H48" s="21">
        <f t="shared" si="2"/>
        <v>0</v>
      </c>
    </row>
    <row r="49" spans="1:8" x14ac:dyDescent="0.25">
      <c r="A49" s="159"/>
      <c r="B49" s="105"/>
      <c r="C49" s="14"/>
      <c r="E49" s="22">
        <v>39</v>
      </c>
      <c r="F49" s="22"/>
      <c r="G49" s="95"/>
      <c r="H49" s="21">
        <f t="shared" si="2"/>
        <v>0</v>
      </c>
    </row>
    <row r="50" spans="1:8" x14ac:dyDescent="0.25">
      <c r="A50" s="159"/>
      <c r="B50" s="105"/>
      <c r="C50" s="14"/>
      <c r="E50" s="22">
        <v>40</v>
      </c>
      <c r="F50" s="22"/>
      <c r="G50" s="95"/>
      <c r="H50" s="21">
        <f t="shared" si="2"/>
        <v>0</v>
      </c>
    </row>
    <row r="51" spans="1:8" x14ac:dyDescent="0.25">
      <c r="A51" s="159"/>
      <c r="B51" s="105"/>
      <c r="C51" s="14"/>
      <c r="E51" s="22">
        <v>41</v>
      </c>
      <c r="F51" s="22"/>
      <c r="G51" s="95"/>
      <c r="H51" s="21">
        <f t="shared" si="2"/>
        <v>0</v>
      </c>
    </row>
    <row r="52" spans="1:8" x14ac:dyDescent="0.25">
      <c r="A52" s="159"/>
      <c r="B52" s="105"/>
      <c r="C52" s="14"/>
      <c r="E52" s="22">
        <v>42</v>
      </c>
      <c r="F52" s="22"/>
      <c r="G52" s="95"/>
      <c r="H52" s="21">
        <f t="shared" si="2"/>
        <v>0</v>
      </c>
    </row>
    <row r="53" spans="1:8" x14ac:dyDescent="0.25">
      <c r="A53" s="159"/>
      <c r="B53" s="105"/>
      <c r="C53" s="14"/>
      <c r="E53" s="22">
        <v>43</v>
      </c>
      <c r="F53" s="22"/>
      <c r="G53" s="95"/>
      <c r="H53" s="21">
        <f t="shared" si="2"/>
        <v>0</v>
      </c>
    </row>
    <row r="54" spans="1:8" x14ac:dyDescent="0.25">
      <c r="A54" s="159"/>
      <c r="B54" s="105"/>
      <c r="C54" s="14"/>
      <c r="E54" s="22">
        <v>44</v>
      </c>
      <c r="F54" s="22"/>
      <c r="G54" s="95"/>
      <c r="H54" s="21">
        <f t="shared" si="2"/>
        <v>0</v>
      </c>
    </row>
    <row r="55" spans="1:8" x14ac:dyDescent="0.25">
      <c r="A55" s="159"/>
      <c r="B55" s="105"/>
      <c r="C55" s="14"/>
      <c r="E55" s="22">
        <v>45</v>
      </c>
      <c r="F55" s="22"/>
      <c r="G55" s="95"/>
      <c r="H55" s="21">
        <f t="shared" si="2"/>
        <v>0</v>
      </c>
    </row>
    <row r="56" spans="1:8" x14ac:dyDescent="0.25">
      <c r="A56" s="105"/>
      <c r="B56" s="105"/>
      <c r="C56" s="14"/>
      <c r="E56" s="22">
        <v>46</v>
      </c>
      <c r="F56" s="22"/>
      <c r="G56" s="95"/>
      <c r="H56" s="21">
        <f t="shared" si="2"/>
        <v>0</v>
      </c>
    </row>
    <row r="57" spans="1:8" ht="18.75" x14ac:dyDescent="0.3">
      <c r="A57" s="98"/>
      <c r="B57" s="99" t="s">
        <v>263</v>
      </c>
      <c r="C57" s="104">
        <f>MAX(B14:B56)</f>
        <v>120</v>
      </c>
      <c r="E57" s="22">
        <v>47</v>
      </c>
      <c r="F57" s="22"/>
      <c r="G57" s="95"/>
      <c r="H57" s="21">
        <f t="shared" si="2"/>
        <v>0</v>
      </c>
    </row>
    <row r="58" spans="1:8" ht="18.75" x14ac:dyDescent="0.3">
      <c r="A58" s="98" t="s">
        <v>256</v>
      </c>
      <c r="B58" s="102">
        <v>5</v>
      </c>
      <c r="E58" s="22">
        <v>48</v>
      </c>
      <c r="F58" s="22"/>
      <c r="G58" s="95"/>
      <c r="H58" s="21">
        <f t="shared" si="2"/>
        <v>0</v>
      </c>
    </row>
    <row r="59" spans="1:8" x14ac:dyDescent="0.25">
      <c r="A59" s="13"/>
      <c r="B59" s="13"/>
      <c r="E59" s="22">
        <v>49</v>
      </c>
      <c r="F59" s="22"/>
      <c r="G59" s="95"/>
      <c r="H59" s="21">
        <f t="shared" si="2"/>
        <v>0</v>
      </c>
    </row>
    <row r="60" spans="1:8" x14ac:dyDescent="0.25">
      <c r="E60" s="22">
        <v>50</v>
      </c>
      <c r="F60" s="22"/>
      <c r="G60" s="95"/>
      <c r="H60" s="21">
        <f t="shared" si="2"/>
        <v>0</v>
      </c>
    </row>
    <row r="61" spans="1:8" x14ac:dyDescent="0.25">
      <c r="E61" s="22">
        <v>51</v>
      </c>
      <c r="F61" s="22"/>
      <c r="G61" s="95"/>
      <c r="H61" s="21">
        <f t="shared" si="2"/>
        <v>0</v>
      </c>
    </row>
    <row r="62" spans="1:8" x14ac:dyDescent="0.25">
      <c r="E62" s="22">
        <v>52</v>
      </c>
      <c r="F62" s="22"/>
      <c r="G62" s="95"/>
      <c r="H62" s="21">
        <f t="shared" si="2"/>
        <v>0</v>
      </c>
    </row>
    <row r="63" spans="1:8" x14ac:dyDescent="0.25">
      <c r="E63" s="22">
        <v>53</v>
      </c>
      <c r="F63" s="22"/>
      <c r="G63" s="95"/>
      <c r="H63" s="21">
        <f t="shared" si="2"/>
        <v>0</v>
      </c>
    </row>
    <row r="64" spans="1:8" x14ac:dyDescent="0.25">
      <c r="E64" s="22">
        <v>54</v>
      </c>
      <c r="F64" s="22"/>
      <c r="G64" s="95"/>
      <c r="H64" s="21">
        <f t="shared" si="2"/>
        <v>0</v>
      </c>
    </row>
    <row r="65" spans="1:8" x14ac:dyDescent="0.25">
      <c r="E65" s="22">
        <v>55</v>
      </c>
      <c r="F65" s="22"/>
      <c r="G65" s="95"/>
      <c r="H65" s="21">
        <f t="shared" si="2"/>
        <v>0</v>
      </c>
    </row>
    <row r="66" spans="1:8" x14ac:dyDescent="0.25">
      <c r="E66" s="22">
        <v>56</v>
      </c>
      <c r="F66" s="22"/>
      <c r="G66" s="95"/>
      <c r="H66" s="21">
        <f t="shared" si="2"/>
        <v>0</v>
      </c>
    </row>
    <row r="67" spans="1:8" x14ac:dyDescent="0.25">
      <c r="E67" s="22">
        <v>57</v>
      </c>
      <c r="F67" s="22"/>
      <c r="G67" s="95"/>
      <c r="H67" s="21">
        <f t="shared" si="2"/>
        <v>0</v>
      </c>
    </row>
    <row r="68" spans="1:8" ht="18.75" x14ac:dyDescent="0.3">
      <c r="A68" s="87"/>
      <c r="B68" s="88"/>
      <c r="C68" s="13"/>
      <c r="D68" s="13"/>
      <c r="E68" s="22">
        <v>58</v>
      </c>
      <c r="F68" s="22"/>
      <c r="G68" s="95"/>
      <c r="H68" s="21">
        <f t="shared" si="2"/>
        <v>0</v>
      </c>
    </row>
    <row r="69" spans="1:8" ht="18.75" x14ac:dyDescent="0.3">
      <c r="A69" s="87"/>
      <c r="B69" s="89"/>
      <c r="C69" s="13"/>
      <c r="D69" s="13"/>
      <c r="E69" s="22">
        <v>59</v>
      </c>
      <c r="F69" s="22"/>
      <c r="G69" s="95"/>
      <c r="H69" s="21">
        <f t="shared" si="2"/>
        <v>0</v>
      </c>
    </row>
    <row r="70" spans="1:8" ht="18.75" x14ac:dyDescent="0.3">
      <c r="A70" s="87"/>
      <c r="B70" s="88"/>
      <c r="C70" s="13"/>
      <c r="D70" s="13"/>
      <c r="E70" s="22">
        <v>60</v>
      </c>
      <c r="F70" s="22"/>
      <c r="G70" s="95">
        <f>IF(E70&lt;=C57,E70*B11*B58,0)</f>
        <v>1152</v>
      </c>
      <c r="H70" s="21">
        <f t="shared" si="2"/>
        <v>82.124937539412315</v>
      </c>
    </row>
    <row r="71" spans="1:8" ht="18.75" x14ac:dyDescent="0.3">
      <c r="A71" s="87"/>
      <c r="B71" s="88"/>
      <c r="C71" s="13"/>
      <c r="D71" s="13"/>
      <c r="E71" s="22">
        <v>61</v>
      </c>
      <c r="F71" s="22"/>
      <c r="G71" s="95"/>
      <c r="H71" s="21">
        <f t="shared" si="2"/>
        <v>0</v>
      </c>
    </row>
    <row r="72" spans="1:8" ht="18.75" x14ac:dyDescent="0.3">
      <c r="A72" s="87"/>
      <c r="B72" s="90"/>
      <c r="C72" s="13"/>
      <c r="D72" s="13"/>
      <c r="E72" s="22">
        <v>62</v>
      </c>
      <c r="F72" s="22"/>
      <c r="G72" s="95"/>
      <c r="H72" s="21">
        <f t="shared" si="2"/>
        <v>0</v>
      </c>
    </row>
    <row r="73" spans="1:8" ht="18.75" x14ac:dyDescent="0.3">
      <c r="A73" s="87"/>
      <c r="B73" s="88"/>
      <c r="C73" s="13"/>
      <c r="D73" s="13"/>
      <c r="E73" s="22">
        <v>63</v>
      </c>
      <c r="F73" s="22"/>
      <c r="G73" s="95"/>
      <c r="H73" s="21">
        <f t="shared" si="2"/>
        <v>0</v>
      </c>
    </row>
    <row r="74" spans="1:8" ht="18.75" x14ac:dyDescent="0.3">
      <c r="A74" s="87"/>
      <c r="B74" s="91"/>
      <c r="C74" s="13"/>
      <c r="D74" s="13"/>
      <c r="E74" s="22">
        <v>64</v>
      </c>
      <c r="F74" s="22"/>
      <c r="G74" s="95"/>
      <c r="H74" s="21">
        <f t="shared" ref="H74:H130" si="3">G74/(1+$B$10)^E74</f>
        <v>0</v>
      </c>
    </row>
    <row r="75" spans="1:8" ht="18.75" x14ac:dyDescent="0.3">
      <c r="A75" s="87"/>
      <c r="B75" s="92"/>
      <c r="C75" s="13"/>
      <c r="D75" s="13"/>
      <c r="E75" s="22">
        <v>65</v>
      </c>
      <c r="F75" s="22"/>
      <c r="G75" s="95"/>
      <c r="H75" s="21">
        <f t="shared" si="3"/>
        <v>0</v>
      </c>
    </row>
    <row r="76" spans="1:8" ht="18.75" x14ac:dyDescent="0.3">
      <c r="A76" s="87"/>
      <c r="B76" s="92"/>
      <c r="C76" s="13"/>
      <c r="D76" s="13"/>
      <c r="E76" s="22">
        <v>66</v>
      </c>
      <c r="F76" s="22"/>
      <c r="G76" s="95"/>
      <c r="H76" s="21">
        <f t="shared" si="3"/>
        <v>0</v>
      </c>
    </row>
    <row r="77" spans="1:8" ht="18.75" x14ac:dyDescent="0.3">
      <c r="A77" s="87"/>
      <c r="B77" s="92"/>
      <c r="C77" s="13"/>
      <c r="D77" s="13"/>
      <c r="E77" s="22">
        <v>67</v>
      </c>
      <c r="F77" s="22"/>
      <c r="G77" s="95"/>
      <c r="H77" s="21">
        <f t="shared" si="3"/>
        <v>0</v>
      </c>
    </row>
    <row r="78" spans="1:8" ht="18.75" x14ac:dyDescent="0.3">
      <c r="A78" s="87"/>
      <c r="B78" s="92"/>
      <c r="C78" s="13"/>
      <c r="D78" s="13"/>
      <c r="E78" s="22">
        <v>68</v>
      </c>
      <c r="F78" s="22"/>
      <c r="G78" s="95"/>
      <c r="H78" s="21">
        <f t="shared" si="3"/>
        <v>0</v>
      </c>
    </row>
    <row r="79" spans="1:8" x14ac:dyDescent="0.25">
      <c r="E79" s="22">
        <v>69</v>
      </c>
      <c r="F79" s="22"/>
      <c r="G79" s="95"/>
      <c r="H79" s="21">
        <f t="shared" si="3"/>
        <v>0</v>
      </c>
    </row>
    <row r="80" spans="1:8" x14ac:dyDescent="0.25">
      <c r="E80" s="22">
        <v>70</v>
      </c>
      <c r="F80" s="22"/>
      <c r="G80" s="95"/>
      <c r="H80" s="21">
        <f t="shared" si="3"/>
        <v>0</v>
      </c>
    </row>
    <row r="81" spans="5:8" x14ac:dyDescent="0.25">
      <c r="E81" s="22">
        <v>71</v>
      </c>
      <c r="F81" s="22"/>
      <c r="G81" s="95"/>
      <c r="H81" s="21">
        <f t="shared" si="3"/>
        <v>0</v>
      </c>
    </row>
    <row r="82" spans="5:8" x14ac:dyDescent="0.25">
      <c r="E82" s="22">
        <v>72</v>
      </c>
      <c r="F82" s="22"/>
      <c r="G82" s="95"/>
      <c r="H82" s="21">
        <f t="shared" si="3"/>
        <v>0</v>
      </c>
    </row>
    <row r="83" spans="5:8" x14ac:dyDescent="0.25">
      <c r="E83" s="22">
        <v>73</v>
      </c>
      <c r="F83" s="22"/>
      <c r="G83" s="95"/>
      <c r="H83" s="21">
        <f t="shared" si="3"/>
        <v>0</v>
      </c>
    </row>
    <row r="84" spans="5:8" x14ac:dyDescent="0.25">
      <c r="E84" s="22">
        <v>74</v>
      </c>
      <c r="F84" s="22"/>
      <c r="G84" s="95"/>
      <c r="H84" s="21">
        <f t="shared" si="3"/>
        <v>0</v>
      </c>
    </row>
    <row r="85" spans="5:8" x14ac:dyDescent="0.25">
      <c r="E85" s="22">
        <v>75</v>
      </c>
      <c r="F85" s="22"/>
      <c r="G85" s="95"/>
      <c r="H85" s="21">
        <f t="shared" si="3"/>
        <v>0</v>
      </c>
    </row>
    <row r="86" spans="5:8" x14ac:dyDescent="0.25">
      <c r="E86" s="22">
        <v>76</v>
      </c>
      <c r="F86" s="22"/>
      <c r="G86" s="95"/>
      <c r="H86" s="21">
        <f t="shared" si="3"/>
        <v>0</v>
      </c>
    </row>
    <row r="87" spans="5:8" x14ac:dyDescent="0.25">
      <c r="E87" s="22">
        <v>77</v>
      </c>
      <c r="F87" s="22"/>
      <c r="G87" s="95"/>
      <c r="H87" s="21">
        <f t="shared" si="3"/>
        <v>0</v>
      </c>
    </row>
    <row r="88" spans="5:8" x14ac:dyDescent="0.25">
      <c r="E88" s="22">
        <v>78</v>
      </c>
      <c r="F88" s="22"/>
      <c r="G88" s="95"/>
      <c r="H88" s="21">
        <f t="shared" si="3"/>
        <v>0</v>
      </c>
    </row>
    <row r="89" spans="5:8" x14ac:dyDescent="0.25">
      <c r="E89" s="22">
        <v>79</v>
      </c>
      <c r="F89" s="22"/>
      <c r="G89" s="95"/>
      <c r="H89" s="21">
        <f t="shared" si="3"/>
        <v>0</v>
      </c>
    </row>
    <row r="90" spans="5:8" x14ac:dyDescent="0.25">
      <c r="E90" s="22">
        <v>80</v>
      </c>
      <c r="F90" s="22"/>
      <c r="G90" s="95"/>
      <c r="H90" s="21">
        <f t="shared" si="3"/>
        <v>0</v>
      </c>
    </row>
    <row r="91" spans="5:8" x14ac:dyDescent="0.25">
      <c r="E91" s="22">
        <v>81</v>
      </c>
      <c r="F91" s="22"/>
      <c r="G91" s="95"/>
      <c r="H91" s="21">
        <f t="shared" si="3"/>
        <v>0</v>
      </c>
    </row>
    <row r="92" spans="5:8" x14ac:dyDescent="0.25">
      <c r="E92" s="22">
        <v>82</v>
      </c>
      <c r="F92" s="22"/>
      <c r="G92" s="95"/>
      <c r="H92" s="21">
        <f t="shared" si="3"/>
        <v>0</v>
      </c>
    </row>
    <row r="93" spans="5:8" x14ac:dyDescent="0.25">
      <c r="E93" s="22">
        <v>83</v>
      </c>
      <c r="F93" s="22"/>
      <c r="G93" s="95"/>
      <c r="H93" s="21">
        <f t="shared" si="3"/>
        <v>0</v>
      </c>
    </row>
    <row r="94" spans="5:8" x14ac:dyDescent="0.25">
      <c r="E94" s="22">
        <v>84</v>
      </c>
      <c r="F94" s="22"/>
      <c r="G94" s="95"/>
      <c r="H94" s="21">
        <f t="shared" si="3"/>
        <v>0</v>
      </c>
    </row>
    <row r="95" spans="5:8" x14ac:dyDescent="0.25">
      <c r="E95" s="22">
        <v>85</v>
      </c>
      <c r="F95" s="22"/>
      <c r="G95" s="95"/>
      <c r="H95" s="21">
        <f t="shared" si="3"/>
        <v>0</v>
      </c>
    </row>
    <row r="96" spans="5:8" x14ac:dyDescent="0.25">
      <c r="E96" s="22">
        <v>86</v>
      </c>
      <c r="F96" s="22"/>
      <c r="G96" s="95"/>
      <c r="H96" s="21">
        <f t="shared" si="3"/>
        <v>0</v>
      </c>
    </row>
    <row r="97" spans="1:8" x14ac:dyDescent="0.25">
      <c r="E97" s="22">
        <v>87</v>
      </c>
      <c r="F97" s="22"/>
      <c r="G97" s="95"/>
      <c r="H97" s="21">
        <f t="shared" si="3"/>
        <v>0</v>
      </c>
    </row>
    <row r="98" spans="1:8" x14ac:dyDescent="0.25">
      <c r="E98" s="22">
        <v>88</v>
      </c>
      <c r="F98" s="22"/>
      <c r="G98" s="95"/>
      <c r="H98" s="21">
        <f t="shared" si="3"/>
        <v>0</v>
      </c>
    </row>
    <row r="99" spans="1:8" x14ac:dyDescent="0.25">
      <c r="E99" s="22">
        <v>89</v>
      </c>
      <c r="F99" s="22"/>
      <c r="G99" s="95"/>
      <c r="H99" s="21">
        <f t="shared" si="3"/>
        <v>0</v>
      </c>
    </row>
    <row r="100" spans="1:8" x14ac:dyDescent="0.25">
      <c r="E100" s="22">
        <v>90</v>
      </c>
      <c r="F100" s="22"/>
      <c r="G100" s="95">
        <f>IF(E100&lt;=C57,E40*B11*B58,0)</f>
        <v>576</v>
      </c>
      <c r="H100" s="21">
        <f t="shared" si="3"/>
        <v>10.963679798267373</v>
      </c>
    </row>
    <row r="101" spans="1:8" x14ac:dyDescent="0.25">
      <c r="E101" s="22">
        <v>91</v>
      </c>
      <c r="F101" s="22"/>
      <c r="G101" s="95"/>
      <c r="H101" s="21">
        <f t="shared" si="3"/>
        <v>0</v>
      </c>
    </row>
    <row r="102" spans="1:8" x14ac:dyDescent="0.25">
      <c r="A102" s="13"/>
      <c r="B102" s="13"/>
      <c r="E102" s="22">
        <v>92</v>
      </c>
      <c r="F102" s="22"/>
      <c r="G102" s="95"/>
      <c r="H102" s="21">
        <f t="shared" si="3"/>
        <v>0</v>
      </c>
    </row>
    <row r="103" spans="1:8" x14ac:dyDescent="0.25">
      <c r="A103" s="84"/>
      <c r="B103" s="84"/>
      <c r="E103" s="22">
        <v>93</v>
      </c>
      <c r="F103" s="22"/>
      <c r="G103" s="95"/>
      <c r="H103" s="21">
        <f t="shared" si="3"/>
        <v>0</v>
      </c>
    </row>
    <row r="104" spans="1:8" x14ac:dyDescent="0.25">
      <c r="A104" s="85"/>
      <c r="B104" s="85"/>
      <c r="E104" s="22">
        <v>94</v>
      </c>
      <c r="F104" s="22"/>
      <c r="G104" s="95"/>
      <c r="H104" s="21">
        <f t="shared" si="3"/>
        <v>0</v>
      </c>
    </row>
    <row r="105" spans="1:8" x14ac:dyDescent="0.25">
      <c r="A105" s="13"/>
      <c r="B105" s="86"/>
      <c r="E105" s="22">
        <v>95</v>
      </c>
      <c r="F105" s="22"/>
      <c r="G105" s="95"/>
      <c r="H105" s="21">
        <f t="shared" si="3"/>
        <v>0</v>
      </c>
    </row>
    <row r="106" spans="1:8" x14ac:dyDescent="0.25">
      <c r="A106" s="13"/>
      <c r="B106" s="13"/>
      <c r="E106" s="22">
        <v>96</v>
      </c>
      <c r="F106" s="22"/>
      <c r="G106" s="95"/>
      <c r="H106" s="21">
        <f t="shared" si="3"/>
        <v>0</v>
      </c>
    </row>
    <row r="107" spans="1:8" x14ac:dyDescent="0.25">
      <c r="A107" s="13"/>
      <c r="B107" s="13"/>
      <c r="E107" s="22">
        <v>97</v>
      </c>
      <c r="F107" s="22"/>
      <c r="G107" s="95"/>
      <c r="H107" s="21">
        <f t="shared" si="3"/>
        <v>0</v>
      </c>
    </row>
    <row r="108" spans="1:8" x14ac:dyDescent="0.25">
      <c r="A108" s="85"/>
      <c r="B108" s="85"/>
      <c r="E108" s="22">
        <v>98</v>
      </c>
      <c r="F108" s="22"/>
      <c r="G108" s="95"/>
      <c r="H108" s="21">
        <f t="shared" si="3"/>
        <v>0</v>
      </c>
    </row>
    <row r="109" spans="1:8" x14ac:dyDescent="0.25">
      <c r="A109" s="13"/>
      <c r="B109" s="86"/>
      <c r="E109" s="22">
        <v>99</v>
      </c>
      <c r="F109" s="22"/>
      <c r="G109" s="95"/>
      <c r="H109" s="21">
        <f t="shared" si="3"/>
        <v>0</v>
      </c>
    </row>
    <row r="110" spans="1:8" x14ac:dyDescent="0.25">
      <c r="A110" s="13"/>
      <c r="B110" s="13"/>
      <c r="E110" s="22">
        <v>100</v>
      </c>
      <c r="F110" s="22"/>
      <c r="G110" s="95"/>
      <c r="H110" s="21">
        <f t="shared" si="3"/>
        <v>0</v>
      </c>
    </row>
    <row r="111" spans="1:8" x14ac:dyDescent="0.25">
      <c r="A111" s="13"/>
      <c r="B111" s="13"/>
      <c r="E111" s="22">
        <v>101</v>
      </c>
      <c r="F111" s="22"/>
      <c r="G111" s="95"/>
      <c r="H111" s="21">
        <f t="shared" si="3"/>
        <v>0</v>
      </c>
    </row>
    <row r="112" spans="1:8" x14ac:dyDescent="0.25">
      <c r="A112" s="13"/>
      <c r="B112" s="13"/>
      <c r="E112" s="22">
        <v>102</v>
      </c>
      <c r="F112" s="22"/>
      <c r="G112" s="95"/>
      <c r="H112" s="21">
        <f t="shared" si="3"/>
        <v>0</v>
      </c>
    </row>
    <row r="113" spans="5:8" x14ac:dyDescent="0.25">
      <c r="E113" s="22">
        <v>103</v>
      </c>
      <c r="F113" s="22"/>
      <c r="G113" s="95"/>
      <c r="H113" s="21">
        <f t="shared" si="3"/>
        <v>0</v>
      </c>
    </row>
    <row r="114" spans="5:8" x14ac:dyDescent="0.25">
      <c r="E114" s="22">
        <v>104</v>
      </c>
      <c r="F114" s="22"/>
      <c r="G114" s="95"/>
      <c r="H114" s="21">
        <f t="shared" si="3"/>
        <v>0</v>
      </c>
    </row>
    <row r="115" spans="5:8" x14ac:dyDescent="0.25">
      <c r="E115" s="22">
        <v>105</v>
      </c>
      <c r="F115" s="22"/>
      <c r="G115" s="95"/>
      <c r="H115" s="21">
        <f t="shared" si="3"/>
        <v>0</v>
      </c>
    </row>
    <row r="116" spans="5:8" x14ac:dyDescent="0.25">
      <c r="E116" s="22">
        <v>106</v>
      </c>
      <c r="F116" s="22"/>
      <c r="G116" s="95"/>
      <c r="H116" s="21">
        <f t="shared" si="3"/>
        <v>0</v>
      </c>
    </row>
    <row r="117" spans="5:8" x14ac:dyDescent="0.25">
      <c r="E117" s="22">
        <v>107</v>
      </c>
      <c r="F117" s="22"/>
      <c r="G117" s="95"/>
      <c r="H117" s="21">
        <f t="shared" si="3"/>
        <v>0</v>
      </c>
    </row>
    <row r="118" spans="5:8" x14ac:dyDescent="0.25">
      <c r="E118" s="22">
        <v>108</v>
      </c>
      <c r="F118" s="22"/>
      <c r="G118" s="95"/>
      <c r="H118" s="21">
        <f t="shared" si="3"/>
        <v>0</v>
      </c>
    </row>
    <row r="119" spans="5:8" x14ac:dyDescent="0.25">
      <c r="E119" s="22">
        <v>109</v>
      </c>
      <c r="F119" s="22"/>
      <c r="G119" s="95"/>
      <c r="H119" s="21">
        <f t="shared" si="3"/>
        <v>0</v>
      </c>
    </row>
    <row r="120" spans="5:8" x14ac:dyDescent="0.25">
      <c r="E120" s="22">
        <v>110</v>
      </c>
      <c r="F120" s="22"/>
      <c r="G120" s="95"/>
      <c r="H120" s="21">
        <f t="shared" si="3"/>
        <v>0</v>
      </c>
    </row>
    <row r="121" spans="5:8" x14ac:dyDescent="0.25">
      <c r="E121" s="22">
        <v>111</v>
      </c>
      <c r="F121" s="22"/>
      <c r="G121" s="95"/>
      <c r="H121" s="21">
        <f t="shared" si="3"/>
        <v>0</v>
      </c>
    </row>
    <row r="122" spans="5:8" x14ac:dyDescent="0.25">
      <c r="E122" s="22">
        <v>112</v>
      </c>
      <c r="F122" s="22"/>
      <c r="G122" s="95"/>
      <c r="H122" s="21">
        <f t="shared" si="3"/>
        <v>0</v>
      </c>
    </row>
    <row r="123" spans="5:8" x14ac:dyDescent="0.25">
      <c r="E123" s="22">
        <v>113</v>
      </c>
      <c r="F123" s="22"/>
      <c r="G123" s="95"/>
      <c r="H123" s="21">
        <f t="shared" si="3"/>
        <v>0</v>
      </c>
    </row>
    <row r="124" spans="5:8" x14ac:dyDescent="0.25">
      <c r="E124" s="22">
        <v>114</v>
      </c>
      <c r="F124" s="22"/>
      <c r="G124" s="95"/>
      <c r="H124" s="21">
        <f t="shared" si="3"/>
        <v>0</v>
      </c>
    </row>
    <row r="125" spans="5:8" x14ac:dyDescent="0.25">
      <c r="E125" s="22">
        <v>115</v>
      </c>
      <c r="F125" s="22"/>
      <c r="G125" s="95"/>
      <c r="H125" s="21">
        <f t="shared" si="3"/>
        <v>0</v>
      </c>
    </row>
    <row r="126" spans="5:8" x14ac:dyDescent="0.25">
      <c r="E126" s="22">
        <v>116</v>
      </c>
      <c r="F126" s="22"/>
      <c r="G126" s="95"/>
      <c r="H126" s="21">
        <f t="shared" si="3"/>
        <v>0</v>
      </c>
    </row>
    <row r="127" spans="5:8" x14ac:dyDescent="0.25">
      <c r="E127" s="22">
        <v>117</v>
      </c>
      <c r="F127" s="22"/>
      <c r="G127" s="95"/>
      <c r="H127" s="21">
        <f t="shared" si="3"/>
        <v>0</v>
      </c>
    </row>
    <row r="128" spans="5:8" x14ac:dyDescent="0.25">
      <c r="E128" s="22">
        <v>118</v>
      </c>
      <c r="F128" s="22"/>
      <c r="G128" s="95"/>
      <c r="H128" s="21">
        <f t="shared" si="3"/>
        <v>0</v>
      </c>
    </row>
    <row r="129" spans="5:8" x14ac:dyDescent="0.25">
      <c r="E129" s="22">
        <v>119</v>
      </c>
      <c r="F129" s="22"/>
      <c r="G129" s="95"/>
      <c r="H129" s="21">
        <f t="shared" si="3"/>
        <v>0</v>
      </c>
    </row>
    <row r="130" spans="5:8" x14ac:dyDescent="0.25">
      <c r="E130" s="22">
        <v>120</v>
      </c>
      <c r="F130" s="22"/>
      <c r="G130" s="95">
        <f>IF(E130&lt;=C57,E40*B11*B58,0)</f>
        <v>576</v>
      </c>
      <c r="H130" s="21">
        <f t="shared" si="3"/>
        <v>2.927302676151204</v>
      </c>
    </row>
  </sheetData>
  <sheetProtection selectLockedCells="1"/>
  <mergeCells count="2">
    <mergeCell ref="E4:G4"/>
    <mergeCell ref="B1:G1"/>
  </mergeCells>
  <dataValidations count="1">
    <dataValidation type="list" allowBlank="1" showInputMessage="1" showErrorMessage="1" sqref="A14:A55" xr:uid="{BFAE28B1-62B8-4E04-9F3C-53B0C7EAB524}">
      <formula1>essences_projets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E1BA-F48C-4D38-BE65-4B24F01A9DF2}">
  <sheetPr>
    <tabColor rgb="FFC00000"/>
    <pageSetUpPr fitToPage="1"/>
  </sheetPr>
  <dimension ref="A1:X86"/>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187</v>
      </c>
      <c r="E1" s="592"/>
      <c r="F1" s="592"/>
      <c r="G1" s="592"/>
      <c r="H1" s="592"/>
      <c r="I1" s="592"/>
      <c r="J1" s="592"/>
      <c r="K1" s="81"/>
    </row>
    <row r="2" spans="1:24" ht="15.75" x14ac:dyDescent="0.25">
      <c r="C2" s="63"/>
      <c r="D2" s="78" t="s">
        <v>229</v>
      </c>
      <c r="E2" s="77">
        <f>IFERROR(IRR(J6:J86,0.045),0)</f>
        <v>0</v>
      </c>
      <c r="F2" s="77" t="e">
        <f>IRR(J6:J86,0.02)</f>
        <v>#NUM!</v>
      </c>
      <c r="L2" s="69"/>
      <c r="O2" s="68"/>
      <c r="P2" s="68"/>
      <c r="Q2" s="68"/>
      <c r="R2" s="68"/>
      <c r="S2" s="68"/>
      <c r="T2" s="68"/>
      <c r="U2" s="68"/>
      <c r="V2" s="68"/>
      <c r="W2" s="68"/>
    </row>
    <row r="3" spans="1:24" ht="15.75" x14ac:dyDescent="0.25">
      <c r="C3" s="61"/>
      <c r="D3" s="74" t="s">
        <v>228</v>
      </c>
      <c r="E3" s="103">
        <f>IFERROR(NPV(B8,J7:J86)+J6,0)</f>
        <v>0</v>
      </c>
      <c r="F3" s="75" t="e">
        <f>NPV(#REF!,J7:J86)+J6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7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22"/>
      <c r="J6" s="23">
        <f>-(B11+B12+B13)*B9*(1+B15)</f>
        <v>0</v>
      </c>
      <c r="K6" s="21">
        <f>J6/(1+B8)^D6</f>
        <v>0</v>
      </c>
    </row>
    <row r="7" spans="1:24" ht="16.5" thickBot="1" x14ac:dyDescent="0.3">
      <c r="A7" s="76" t="s">
        <v>230</v>
      </c>
      <c r="B7" s="83"/>
      <c r="C7" s="63"/>
      <c r="D7" s="22">
        <v>1</v>
      </c>
      <c r="E7" s="22" t="s">
        <v>242</v>
      </c>
      <c r="F7" s="22" t="s">
        <v>217</v>
      </c>
      <c r="G7" s="25">
        <v>100</v>
      </c>
      <c r="H7" s="22"/>
      <c r="I7" s="22"/>
      <c r="J7" s="23">
        <f>-B14*B9*(1+B15)</f>
        <v>0</v>
      </c>
      <c r="K7" s="21">
        <f t="shared" ref="K7:K70" si="0">J7/(1+B9)^D7</f>
        <v>0</v>
      </c>
      <c r="S7" s="30"/>
    </row>
    <row r="8" spans="1:24" ht="16.5" thickBot="1" x14ac:dyDescent="0.3">
      <c r="A8" s="79" t="s">
        <v>189</v>
      </c>
      <c r="B8" s="80">
        <f>Fiche_signalétique_projet!D57</f>
        <v>4.4999999999999998E-2</v>
      </c>
      <c r="C8" s="61"/>
      <c r="D8" s="22">
        <v>2</v>
      </c>
      <c r="E8" s="22" t="s">
        <v>242</v>
      </c>
      <c r="F8" s="22" t="s">
        <v>194</v>
      </c>
      <c r="G8" s="25">
        <v>100</v>
      </c>
      <c r="H8" s="22"/>
      <c r="I8" s="22"/>
      <c r="J8" s="23">
        <f>-B14*B9*(1+B15)</f>
        <v>0</v>
      </c>
      <c r="K8" s="21">
        <f t="shared" si="0"/>
        <v>0</v>
      </c>
      <c r="L8" s="27"/>
      <c r="N8" s="29"/>
      <c r="O8" s="27"/>
      <c r="P8" s="27"/>
      <c r="Q8" s="27"/>
      <c r="R8" s="27"/>
      <c r="S8" s="27"/>
      <c r="T8" s="27"/>
      <c r="U8" s="27"/>
      <c r="V8" s="27"/>
      <c r="W8" s="27"/>
    </row>
    <row r="9" spans="1:24" ht="16.5" thickBot="1" x14ac:dyDescent="0.3">
      <c r="A9" s="63" t="s">
        <v>190</v>
      </c>
      <c r="B9" s="67">
        <f>Annexe_îlots_boisements!D104</f>
        <v>0</v>
      </c>
      <c r="C9" s="60"/>
      <c r="D9" s="22">
        <v>3</v>
      </c>
      <c r="E9" s="22" t="s">
        <v>242</v>
      </c>
      <c r="F9" s="22" t="s">
        <v>194</v>
      </c>
      <c r="G9" s="25">
        <v>100</v>
      </c>
      <c r="H9" s="22"/>
      <c r="I9" s="22"/>
      <c r="J9" s="23">
        <f>-B14*B9*(1+B15)</f>
        <v>0</v>
      </c>
      <c r="K9" s="21">
        <f t="shared" si="0"/>
        <v>0</v>
      </c>
      <c r="L9" s="28"/>
      <c r="M9" s="28"/>
      <c r="N9" s="58"/>
      <c r="O9" s="26"/>
      <c r="P9" s="26"/>
      <c r="Q9" s="26"/>
      <c r="R9" s="26"/>
      <c r="S9" s="26"/>
      <c r="T9" s="26"/>
      <c r="U9" s="26"/>
      <c r="V9" s="26"/>
      <c r="W9" s="26"/>
      <c r="X9" s="26"/>
    </row>
    <row r="10" spans="1:24" ht="18.75" x14ac:dyDescent="0.3">
      <c r="A10" s="66" t="s">
        <v>215</v>
      </c>
      <c r="B10" s="65"/>
      <c r="C10" s="63"/>
      <c r="D10" s="22">
        <v>4</v>
      </c>
      <c r="E10" s="22"/>
      <c r="F10" s="22" t="s">
        <v>194</v>
      </c>
      <c r="G10" s="25">
        <v>100</v>
      </c>
      <c r="H10" s="22"/>
      <c r="I10" s="22"/>
      <c r="J10" s="23"/>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104,Annexe_îlots_boisements!I8:L11,4)*Annexe_îlots_boisements!M8,0)+IFERROR(VLOOKUP(Annexe_îlots_boisements!A104,Annexe_îlots_boisements!I13:L16,4)*Annexe_îlots_boisements!M13,0)+IFERROR(VLOOKUP(Annexe_îlots_boisements!A104,Annexe_îlots_boisements!I18:L21,4)*Annexe_îlots_boisements!M18,0)+IFERROR(VLOOKUP(Annexe_îlots_boisements!A104,Annexe_îlots_boisements!I23:L26,4)*Annexe_îlots_boisements!M23,0)+IFERROR(VLOOKUP(Annexe_îlots_boisements!A104,Annexe_îlots_boisements!I28:L31,4)*Annexe_îlots_boisements!M28,0)+IFERROR(VLOOKUP(Annexe_îlots_boisements!A104,Annexe_îlots_boisements!I33:L36,4)*Annexe_îlots_boisements!M33,0)+IFERROR(VLOOKUP(Annexe_îlots_boisements!A104,Annexe_îlots_boisements!I38:L41,4)*Annexe_îlots_boisements!M38,0)+IFERROR(VLOOKUP(Annexe_îlots_boisements!A104,Annexe_îlots_boisements!I43:L46,4)*Annexe_îlots_boisements!M43,0)+IFERROR(VLOOKUP(Annexe_îlots_boisements!A104,Annexe_îlots_boisements!I48:L51,4)*Annexe_îlots_boisements!M48,0)+IFERROR(VLOOKUP(Annexe_îlots_boisements!A104,Annexe_îlots_boisements!I53:L56,4)*Annexe_îlots_boisements!M53,0)+IFERROR(VLOOKUP(Annexe_îlots_boisements!A104,Annexe_îlots_boisements!I58:L61,4)*Annexe_îlots_boisements!M58,0)+IFERROR(VLOOKUP(Annexe_îlots_boisements!A104,Annexe_îlots_boisements!I63:L66,4)*Annexe_îlots_boisements!M63,0)+IFERROR(VLOOKUP(Annexe_îlots_boisements!A104,Annexe_îlots_boisements!I68:L71,4)*Annexe_îlots_boisements!M68,0)+IFERROR(VLOOKUP(Annexe_îlots_boisements!A104,Annexe_îlots_boisements!I73:L76,4)*Annexe_îlots_boisements!M73,0)+IFERROR(VLOOKUP(Annexe_îlots_boisements!A104,Annexe_îlots_boisements!I78:L81,4)*Annexe_îlots_boisements!M78,0)+IFERROR(VLOOKUP(Annexe_îlots_boisements!A104,Annexe_îlots_boisements!I83:L86,4)*Annexe_îlots_boisements!M83,0)+IFERROR(VLOOKUP(Annexe_îlots_boisements!A104,Annexe_îlots_boisements!I88:L91,4)*Annexe_îlots_boisements!M88,0)+IFERROR(VLOOKUP(Annexe_îlots_boisements!A104,Annexe_îlots_boisements!I93:L96,4)*Annexe_îlots_boisements!M93,0))/Annexe_îlots_boisements!D104,0)</f>
        <v>0</v>
      </c>
      <c r="C11" s="61"/>
      <c r="D11" s="22">
        <v>5</v>
      </c>
      <c r="E11" s="22" t="s">
        <v>242</v>
      </c>
      <c r="F11" s="22" t="s">
        <v>194</v>
      </c>
      <c r="G11" s="25">
        <v>100</v>
      </c>
      <c r="H11" s="22"/>
      <c r="I11" s="22"/>
      <c r="J11" s="23">
        <f>-B14*B9*(1+B15)</f>
        <v>0</v>
      </c>
      <c r="K11" s="21">
        <f t="shared" si="0"/>
        <v>0</v>
      </c>
      <c r="L11" s="28"/>
      <c r="M11" s="28"/>
      <c r="N11" s="58"/>
      <c r="O11" s="26"/>
      <c r="P11" s="26"/>
      <c r="Q11" s="26"/>
      <c r="R11" s="26"/>
      <c r="S11" s="26"/>
      <c r="T11" s="26"/>
      <c r="U11" s="26"/>
      <c r="V11" s="26"/>
      <c r="W11" s="26"/>
      <c r="X11" s="26"/>
    </row>
    <row r="12" spans="1:24" ht="16.149999999999999" customHeight="1" x14ac:dyDescent="0.3">
      <c r="A12" s="52" t="s">
        <v>238</v>
      </c>
      <c r="B12" s="55">
        <f>IFERROR((IFERROR(VLOOKUP(Annexe_îlots_boisements!A104,Annexe_îlots_boisements!I6:L9,4),0)*IFERROR(VLOOKUP(Annexe_îlots_boisements!A104,Annexe_îlots_boisements!I6:O9,6),0)+IFERROR(VLOOKUP(Annexe_îlots_boisements!A104,Annexe_îlots_boisements!I11:L14,4)*IFERROR(VLOOKUP(Annexe_îlots_boisements!A104,Annexe_îlots_boisements!I11:O14,6),0)+IFERROR(VLOOKUP(Annexe_îlots_boisements!A104,Annexe_îlots_boisements!I16:L19,4),0)*IFERROR(VLOOKUP(Annexe_îlots_boisements!A104,Annexe_îlots_boisements!I16:O19,6),0)+IFERROR(VLOOKUP(Annexe_îlots_boisements!A104,Annexe_îlots_boisements!I21:L24,4),0)*IFERROR(VLOOKUP(Annexe_îlots_boisements!A104,Annexe_îlots_boisements!I21:O24,6),0)+IFERROR(VLOOKUP(Annexe_îlots_boisements!A104,Annexe_îlots_boisements!I26:L29,4),0)*IFERROR(VLOOKUP(Annexe_îlots_boisements!A104,Annexe_îlots_boisements!I26:O29,6),0)+IFERROR(VLOOKUP(Annexe_îlots_boisements!A104,Annexe_îlots_boisements!I31:L34,4),0)*IFERROR(VLOOKUP(Annexe_îlots_boisements!A104,Annexe_îlots_boisements!I31:O34,6),0)+IFERROR(VLOOKUP(Annexe_îlots_boisements!A104,Annexe_îlots_boisements!I36:L39,4),0)*IFERROR(VLOOKUP(Annexe_îlots_boisements!A104,Annexe_îlots_boisements!I36:O39,6),0)+IFERROR(VLOOKUP(Annexe_îlots_boisements!A104,Annexe_îlots_boisements!I41:L44,4),0)*IFERROR(VLOOKUP(Annexe_îlots_boisements!A104,Annexe_îlots_boisements!I41:O44,6),0)+IFERROR(VLOOKUP(Annexe_îlots_boisements!A104,Annexe_îlots_boisements!I46:L49,4),0)*IFERROR(VLOOKUP(Annexe_îlots_boisements!A104,Annexe_îlots_boisements!I46:O49,6),0)+IFERROR(VLOOKUP(Annexe_îlots_boisements!A104,Annexe_îlots_boisements!I51:L54,4),0)*IFERROR(VLOOKUP(Annexe_îlots_boisements!A104,Annexe_îlots_boisements!I51:O54,6),0)+IFERROR(VLOOKUP(Annexe_îlots_boisements!A104,Annexe_îlots_boisements!I56:L59,4),0)*VLOOKUP(Annexe_îlots_boisements!A104,Annexe_îlots_boisements!I56:O59,6),0)+IFERROR(VLOOKUP(Annexe_îlots_boisements!A104,Annexe_îlots_boisements!I61:L64,4),0)*IFERROR(VLOOKUP(Annexe_îlots_boisements!A104,Annexe_îlots_boisements!I61:O64,6),0)+IFERROR(VLOOKUP(Annexe_îlots_boisements!A104,Annexe_îlots_boisements!I66:L69,4),0)*IFERROR(VLOOKUP(Annexe_îlots_boisements!A104,Annexe_îlots_boisements!I66:O69,6),0)+IFERROR(VLOOKUP(Annexe_îlots_boisements!A104,Annexe_îlots_boisements!I71:L74,4),0)*IFERROR(VLOOKUP(Annexe_îlots_boisements!A104,Annexe_îlots_boisements!I71:O74,6),0)+IFERROR(VLOOKUP(Annexe_îlots_boisements!A104,Annexe_îlots_boisements!I76:L79,4),0)*IFERROR(VLOOKUP(Annexe_îlots_boisements!A104,Annexe_îlots_boisements!I76:O79,6),0)+IFERROR(VLOOKUP(Annexe_îlots_boisements!A104,Annexe_îlots_boisements!I81:L84,4),0)*IFERROR(VLOOKUP(Annexe_îlots_boisements!A104,Annexe_îlots_boisements!I81:O84,6),0)+IFERROR(VLOOKUP(Annexe_îlots_boisements!A104,Annexe_îlots_boisements!I86:L89,4),0)*IFERROR(VLOOKUP(Annexe_îlots_boisements!A104,Annexe_îlots_boisements!I86:O89,6),0)+IFERROR(VLOOKUP(Annexe_îlots_boisements!A104,Annexe_îlots_boisements!I91:L94,4),0)*IFERROR(VLOOKUP(Annexe_îlots_boisements!A104,Annexe_îlots_boisements!I91:O94,6),0))/Annexe_îlots_boisements!D104,0)</f>
        <v>0</v>
      </c>
      <c r="C12" s="60"/>
      <c r="D12" s="22">
        <v>6</v>
      </c>
      <c r="E12" s="22"/>
      <c r="F12" s="22"/>
      <c r="G12" s="25"/>
      <c r="H12" s="22"/>
      <c r="I12" s="22"/>
      <c r="J12" s="23"/>
      <c r="K12" s="21">
        <f t="shared" si="0"/>
        <v>0</v>
      </c>
      <c r="L12" s="28"/>
      <c r="M12" s="28"/>
      <c r="N12" s="58"/>
      <c r="O12" s="26"/>
      <c r="P12" s="26"/>
      <c r="Q12" s="26"/>
      <c r="R12" s="26"/>
      <c r="S12" s="26"/>
      <c r="T12" s="26"/>
      <c r="U12" s="26"/>
      <c r="V12" s="26"/>
      <c r="W12" s="26"/>
      <c r="X12" s="26"/>
    </row>
    <row r="13" spans="1:24" ht="18.75" x14ac:dyDescent="0.3">
      <c r="A13" s="52" t="s">
        <v>239</v>
      </c>
      <c r="B13" s="62">
        <f>IFERROR((IFERROR(VLOOKUP(Annexe_îlots_boisements!A104,Annexe_îlots_boisements!I6:L9,4),0)*IFERROR(VLOOKUP(Annexe_îlots_boisements!A104,Annexe_îlots_boisements!I6:O9,7),0)+IFERROR(VLOOKUP(Annexe_îlots_boisements!A104,Annexe_îlots_boisements!I11:L14,4)*IFERROR(VLOOKUP(Annexe_îlots_boisements!A104,Annexe_îlots_boisements!I11:O14,7),0)+IFERROR(VLOOKUP(Annexe_îlots_boisements!A104,Annexe_îlots_boisements!I16:L19,4),0)*IFERROR(VLOOKUP(Annexe_îlots_boisements!A104,Annexe_îlots_boisements!I16:O19,7),0)+IFERROR(VLOOKUP(Annexe_îlots_boisements!A104,Annexe_îlots_boisements!I21:L24,4),0)*IFERROR(VLOOKUP(Annexe_îlots_boisements!A104,Annexe_îlots_boisements!I21:O24,7),0)+IFERROR(VLOOKUP(Annexe_îlots_boisements!A104,Annexe_îlots_boisements!I26:L29,4),0)*IFERROR(VLOOKUP(Annexe_îlots_boisements!A104,Annexe_îlots_boisements!I26:O29,7),0)+IFERROR(VLOOKUP(Annexe_îlots_boisements!A104,Annexe_îlots_boisements!I31:L34,4),0)*IFERROR(VLOOKUP(Annexe_îlots_boisements!A104,Annexe_îlots_boisements!I31:O34,7),0)+IFERROR(VLOOKUP(Annexe_îlots_boisements!A104,Annexe_îlots_boisements!I36:L39,4),0)*IFERROR(VLOOKUP(Annexe_îlots_boisements!A104,Annexe_îlots_boisements!I36:O39,7),0)+IFERROR(VLOOKUP(Annexe_îlots_boisements!A104,Annexe_îlots_boisements!I41:L44,4),0)*IFERROR(VLOOKUP(Annexe_îlots_boisements!A104,Annexe_îlots_boisements!I41:O44,7),0)+IFERROR(VLOOKUP(Annexe_îlots_boisements!A104,Annexe_îlots_boisements!I46:L49,4),0)*IFERROR(VLOOKUP(Annexe_îlots_boisements!A104,Annexe_îlots_boisements!I46:O49,7),0)+IFERROR(VLOOKUP(Annexe_îlots_boisements!A104,Annexe_îlots_boisements!I51:L54,4),0)*IFERROR(VLOOKUP(Annexe_îlots_boisements!A104,Annexe_îlots_boisements!I51:O54,7),0)+IFERROR(VLOOKUP(Annexe_îlots_boisements!A104,Annexe_îlots_boisements!I56:L59,4),0)*VLOOKUP(Annexe_îlots_boisements!A104,Annexe_îlots_boisements!I56:O59,7),0)+IFERROR(VLOOKUP(Annexe_îlots_boisements!A104,Annexe_îlots_boisements!I61:L64,4),0)*IFERROR(VLOOKUP(Annexe_îlots_boisements!A104,Annexe_îlots_boisements!I61:O64,7),0)+IFERROR(VLOOKUP(Annexe_îlots_boisements!A104,Annexe_îlots_boisements!I66:L69,4),0)*IFERROR(VLOOKUP(Annexe_îlots_boisements!A104,Annexe_îlots_boisements!I66:O69,7),0)+IFERROR(VLOOKUP(Annexe_îlots_boisements!A104,Annexe_îlots_boisements!I71:L74,4),0)*IFERROR(VLOOKUP(Annexe_îlots_boisements!A104,Annexe_îlots_boisements!I71:O74,7),0)+IFERROR(VLOOKUP(Annexe_îlots_boisements!A104,Annexe_îlots_boisements!I76:L79,4),0)*IFERROR(VLOOKUP(Annexe_îlots_boisements!A104,Annexe_îlots_boisements!I76:O79,7),0)+IFERROR(VLOOKUP(Annexe_îlots_boisements!A104,Annexe_îlots_boisements!I81:L84,4),0)*IFERROR(VLOOKUP(Annexe_îlots_boisements!A104,Annexe_îlots_boisements!I81:O84,7),0)+IFERROR(VLOOKUP(Annexe_îlots_boisements!A104,Annexe_îlots_boisements!I86:L89,4),0)*IFERROR(VLOOKUP(Annexe_îlots_boisements!A104,Annexe_îlots_boisements!I86:O89,7),0)+IFERROR(VLOOKUP(Annexe_îlots_boisements!A104,Annexe_îlots_boisements!I91:L94,4),0)*IFERROR(VLOOKUP(Annexe_îlots_boisements!A104,Annexe_îlots_boisements!I91:O94,7),0))/Annexe_îlots_boisements!D104,0)</f>
        <v>0</v>
      </c>
      <c r="C13" s="63"/>
      <c r="D13" s="22">
        <v>7</v>
      </c>
      <c r="E13" s="22" t="s">
        <v>242</v>
      </c>
      <c r="F13" s="22" t="s">
        <v>194</v>
      </c>
      <c r="G13" s="25">
        <v>100</v>
      </c>
      <c r="H13" s="22"/>
      <c r="I13" s="22"/>
      <c r="J13" s="23">
        <f>-B14*B9*(1+B15)</f>
        <v>0</v>
      </c>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104,Annexe_îlots_boisements!I8:L11,4)*Annexe_îlots_boisements!P8,0)+IFERROR(VLOOKUP(Annexe_îlots_boisements!A104,Annexe_îlots_boisements!I13:L16,4)*Annexe_îlots_boisements!P13,0)+IFERROR(VLOOKUP(Annexe_îlots_boisements!A104,Annexe_îlots_boisements!I18:L21,4)*Annexe_îlots_boisements!P18,0)+IFERROR(VLOOKUP(Annexe_îlots_boisements!A104,Annexe_îlots_boisements!I23:L26,4)*Annexe_îlots_boisements!P23,0)+IFERROR(VLOOKUP(Annexe_îlots_boisements!A104,Annexe_îlots_boisements!I28:L31,4)*Annexe_îlots_boisements!P28,0)+IFERROR(VLOOKUP(Annexe_îlots_boisements!A104,Annexe_îlots_boisements!I33:L36,4)*Annexe_îlots_boisements!P33,0)+IFERROR(VLOOKUP(Annexe_îlots_boisements!A104,Annexe_îlots_boisements!I38:L41,4)*Annexe_îlots_boisements!P38,0)+IFERROR(VLOOKUP(Annexe_îlots_boisements!A104,Annexe_îlots_boisements!I43:L46,4)*Annexe_îlots_boisements!P43,0)+IFERROR(VLOOKUP(Annexe_îlots_boisements!A104,Annexe_îlots_boisements!I48:L51,4)*Annexe_îlots_boisements!P48,0)+IFERROR(VLOOKUP(Annexe_îlots_boisements!A104,Annexe_îlots_boisements!I53:L56,4)*Annexe_îlots_boisements!P53,0)+IFERROR(VLOOKUP(Annexe_îlots_boisements!A104,Annexe_îlots_boisements!I58:L61,4)*Annexe_îlots_boisements!P58,0)+IFERROR(VLOOKUP(Annexe_îlots_boisements!A104,Annexe_îlots_boisements!I63:L66,4)*Annexe_îlots_boisements!P63,0)+IFERROR(VLOOKUP(Annexe_îlots_boisements!A104,Annexe_îlots_boisements!I68:L71,4)*Annexe_îlots_boisements!P68,0)+IFERROR(VLOOKUP(Annexe_îlots_boisements!A104,Annexe_îlots_boisements!I73:L76,4)*Annexe_îlots_boisements!P73,0)+IFERROR(VLOOKUP(Annexe_îlots_boisements!A104,Annexe_îlots_boisements!I78:L81,4)*Annexe_îlots_boisements!P78,0)+IFERROR(VLOOKUP(Annexe_îlots_boisements!A104,Annexe_îlots_boisements!I83:L86,4)*Annexe_îlots_boisements!P83,0)+IFERROR(VLOOKUP(Annexe_îlots_boisements!A104,Annexe_îlots_boisements!I88:L91,4)*Annexe_îlots_boisements!P88,0)+IFERROR(VLOOKUP(Annexe_îlots_boisements!A104,Annexe_îlots_boisements!I93:L96,4)*Annexe_îlots_boisements!P93,0))/Annexe_îlots_boisements!D104,0)</f>
        <v>0</v>
      </c>
      <c r="C14" s="61"/>
      <c r="D14" s="22">
        <v>8</v>
      </c>
      <c r="E14" s="22"/>
      <c r="F14" s="22" t="s">
        <v>194</v>
      </c>
      <c r="G14" s="25">
        <v>100</v>
      </c>
      <c r="H14" s="22"/>
      <c r="I14" s="22"/>
      <c r="J14" s="23"/>
      <c r="K14" s="21">
        <f t="shared" si="0"/>
        <v>0</v>
      </c>
      <c r="S14" s="30"/>
      <c r="W14" s="26"/>
      <c r="X14" s="26"/>
    </row>
    <row r="15" spans="1:24" ht="18.75" x14ac:dyDescent="0.3">
      <c r="A15" s="52" t="s">
        <v>214</v>
      </c>
      <c r="B15" s="234">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c r="F15" s="22" t="s">
        <v>194</v>
      </c>
      <c r="G15" s="25">
        <v>100</v>
      </c>
      <c r="H15" s="22"/>
      <c r="I15" s="22"/>
      <c r="J15" s="23"/>
      <c r="K15" s="21">
        <f t="shared" si="0"/>
        <v>0</v>
      </c>
      <c r="L15" s="64"/>
      <c r="N15" s="29"/>
      <c r="O15" s="64"/>
      <c r="P15" s="64"/>
      <c r="Q15" s="64"/>
      <c r="R15" s="64"/>
      <c r="S15" s="64"/>
      <c r="T15" s="64"/>
      <c r="U15" s="64"/>
      <c r="V15" s="64"/>
      <c r="W15" s="26"/>
      <c r="X15" s="26"/>
    </row>
    <row r="16" spans="1:24" ht="19.5" thickBot="1" x14ac:dyDescent="0.35">
      <c r="A16" s="138" t="s">
        <v>243</v>
      </c>
      <c r="B16" s="139">
        <v>350</v>
      </c>
      <c r="C16" s="63"/>
      <c r="D16" s="22">
        <v>10</v>
      </c>
      <c r="E16" s="22"/>
      <c r="F16" s="22" t="s">
        <v>194</v>
      </c>
      <c r="G16" s="25">
        <v>100</v>
      </c>
      <c r="H16" s="22"/>
      <c r="I16" s="22"/>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22"/>
      <c r="J17" s="23"/>
      <c r="K17" s="21">
        <f t="shared" si="0"/>
        <v>0</v>
      </c>
      <c r="L17" s="28"/>
      <c r="N17" s="58"/>
      <c r="O17" s="26"/>
      <c r="P17" s="26"/>
      <c r="Q17" s="26"/>
      <c r="R17" s="26"/>
      <c r="S17" s="26"/>
      <c r="T17" s="26"/>
      <c r="U17" s="26"/>
      <c r="V17" s="26"/>
      <c r="W17" s="26"/>
      <c r="X17" s="26"/>
    </row>
    <row r="18" spans="1:24" ht="18.75" x14ac:dyDescent="0.3">
      <c r="A18" s="47" t="s">
        <v>212</v>
      </c>
      <c r="B18" s="46">
        <v>30</v>
      </c>
      <c r="C18" s="60"/>
      <c r="D18" s="22">
        <v>12</v>
      </c>
      <c r="E18" s="22" t="s">
        <v>258</v>
      </c>
      <c r="F18" s="22" t="s">
        <v>194</v>
      </c>
      <c r="G18" s="25">
        <v>100</v>
      </c>
      <c r="H18" s="22"/>
      <c r="I18" s="22"/>
      <c r="J18" s="23">
        <f>B16*B9*(1+B15)</f>
        <v>0</v>
      </c>
      <c r="K18" s="21">
        <f t="shared" si="0"/>
        <v>0</v>
      </c>
      <c r="L18" s="28"/>
      <c r="N18" s="58"/>
      <c r="O18" s="26"/>
      <c r="P18" s="26"/>
      <c r="Q18" s="26"/>
      <c r="R18" s="26"/>
      <c r="S18" s="26"/>
      <c r="T18" s="26"/>
      <c r="U18" s="26"/>
      <c r="V18" s="26"/>
    </row>
    <row r="19" spans="1:24" ht="18.75" x14ac:dyDescent="0.3">
      <c r="A19" s="45" t="s">
        <v>211</v>
      </c>
      <c r="B19" s="46">
        <v>40</v>
      </c>
      <c r="D19" s="22">
        <v>13</v>
      </c>
      <c r="E19" s="22"/>
      <c r="F19" s="22" t="s">
        <v>194</v>
      </c>
      <c r="G19" s="25">
        <v>100</v>
      </c>
      <c r="H19" s="22"/>
      <c r="I19" s="22"/>
      <c r="J19" s="23"/>
      <c r="K19" s="21">
        <f t="shared" si="0"/>
        <v>0</v>
      </c>
      <c r="L19" s="28"/>
      <c r="N19" s="58"/>
      <c r="O19" s="26"/>
      <c r="P19" s="26"/>
      <c r="Q19" s="26"/>
      <c r="R19" s="26"/>
      <c r="S19" s="26"/>
      <c r="T19" s="26"/>
      <c r="U19" s="26"/>
      <c r="V19" s="26"/>
    </row>
    <row r="20" spans="1:24" ht="18.75" x14ac:dyDescent="0.3">
      <c r="A20" s="45" t="s">
        <v>210</v>
      </c>
      <c r="B20" s="46"/>
      <c r="C20" s="59"/>
      <c r="D20" s="22">
        <v>14</v>
      </c>
      <c r="E20" s="22"/>
      <c r="F20" s="22" t="s">
        <v>194</v>
      </c>
      <c r="G20" s="25">
        <v>100</v>
      </c>
      <c r="H20" s="22"/>
      <c r="I20" s="22"/>
      <c r="J20" s="23"/>
      <c r="K20" s="21">
        <f t="shared" si="0"/>
        <v>0</v>
      </c>
      <c r="N20" s="58"/>
    </row>
    <row r="21" spans="1:24" ht="18.75" x14ac:dyDescent="0.3">
      <c r="A21" s="47" t="s">
        <v>209</v>
      </c>
      <c r="B21" s="46">
        <v>40</v>
      </c>
      <c r="C21" s="57"/>
      <c r="D21" s="22">
        <v>15</v>
      </c>
      <c r="E21" s="22"/>
      <c r="F21" s="22" t="s">
        <v>194</v>
      </c>
      <c r="G21" s="25">
        <v>100</v>
      </c>
      <c r="H21" s="22"/>
      <c r="I21" s="22"/>
      <c r="J21" s="23"/>
      <c r="K21" s="21">
        <f t="shared" si="0"/>
        <v>0</v>
      </c>
      <c r="S21" s="30"/>
    </row>
    <row r="22" spans="1:24" ht="18.75" x14ac:dyDescent="0.3">
      <c r="A22" s="45" t="s">
        <v>484</v>
      </c>
      <c r="B22" s="46">
        <v>45</v>
      </c>
      <c r="C22" s="57"/>
      <c r="D22" s="22">
        <v>16</v>
      </c>
      <c r="E22" s="22"/>
      <c r="F22" s="22" t="s">
        <v>194</v>
      </c>
      <c r="G22" s="25">
        <v>100</v>
      </c>
      <c r="H22" s="22"/>
      <c r="I22" s="22"/>
      <c r="J22" s="23"/>
      <c r="K22" s="21">
        <f t="shared" si="0"/>
        <v>0</v>
      </c>
      <c r="L22" s="33"/>
      <c r="N22" s="29"/>
      <c r="O22" s="33"/>
      <c r="P22" s="33"/>
      <c r="Q22" s="33"/>
      <c r="R22" s="33"/>
      <c r="S22" s="33"/>
      <c r="T22" s="33"/>
      <c r="U22" s="33"/>
      <c r="V22" s="33"/>
      <c r="W22" s="33"/>
    </row>
    <row r="23" spans="1:24" ht="18.75" x14ac:dyDescent="0.3">
      <c r="A23" s="45" t="s">
        <v>207</v>
      </c>
      <c r="B23" s="46">
        <v>50</v>
      </c>
      <c r="C23" s="57"/>
      <c r="D23" s="22">
        <v>17</v>
      </c>
      <c r="E23" s="22"/>
      <c r="F23" s="22" t="s">
        <v>194</v>
      </c>
      <c r="G23" s="25">
        <v>100</v>
      </c>
      <c r="H23" s="22"/>
      <c r="I23" s="22"/>
      <c r="J23" s="23"/>
      <c r="K23" s="21">
        <f t="shared" si="0"/>
        <v>0</v>
      </c>
      <c r="L23" s="34"/>
      <c r="O23" s="26"/>
      <c r="P23" s="26"/>
      <c r="Q23" s="26"/>
      <c r="R23" s="26"/>
      <c r="S23" s="26"/>
      <c r="T23" s="26"/>
      <c r="U23" s="26"/>
      <c r="V23" s="26"/>
      <c r="W23" s="26"/>
    </row>
    <row r="24" spans="1:24" ht="18.75" x14ac:dyDescent="0.3">
      <c r="A24" s="45" t="s">
        <v>206</v>
      </c>
      <c r="B24" s="46">
        <v>50</v>
      </c>
      <c r="C24" s="33"/>
      <c r="D24" s="22">
        <v>18</v>
      </c>
      <c r="E24" s="22"/>
      <c r="F24" s="22" t="s">
        <v>192</v>
      </c>
      <c r="G24" s="25">
        <v>100</v>
      </c>
      <c r="H24" s="24" t="e">
        <f>#REF!*#REF!*#REF!</f>
        <v>#REF!</v>
      </c>
      <c r="I24" s="22">
        <v>18</v>
      </c>
      <c r="J24" s="23"/>
      <c r="K24" s="21">
        <f t="shared" si="0"/>
        <v>0</v>
      </c>
      <c r="L24" s="34"/>
      <c r="O24" s="26"/>
      <c r="P24" s="26"/>
      <c r="Q24" s="26"/>
      <c r="R24" s="26"/>
      <c r="S24" s="26"/>
      <c r="T24" s="26"/>
      <c r="U24" s="26"/>
      <c r="V24" s="26"/>
      <c r="W24" s="26"/>
    </row>
    <row r="25" spans="1:24" ht="18.75" x14ac:dyDescent="0.3">
      <c r="A25" s="47" t="s">
        <v>205</v>
      </c>
      <c r="B25" s="46">
        <v>250</v>
      </c>
      <c r="D25" s="22">
        <v>19</v>
      </c>
      <c r="E25" s="22"/>
      <c r="F25" s="22" t="s">
        <v>194</v>
      </c>
      <c r="G25" s="25">
        <v>100</v>
      </c>
      <c r="H25" s="22"/>
      <c r="I25" s="22"/>
      <c r="J25" s="23"/>
      <c r="K25" s="21">
        <f t="shared" si="0"/>
        <v>0</v>
      </c>
      <c r="L25" s="34"/>
      <c r="O25" s="26"/>
      <c r="P25" s="26"/>
      <c r="Q25" s="26"/>
      <c r="R25" s="26"/>
      <c r="S25" s="26"/>
      <c r="T25" s="26"/>
      <c r="U25" s="26"/>
      <c r="V25" s="26"/>
      <c r="W25" s="26"/>
    </row>
    <row r="26" spans="1:24" ht="19.5" thickBot="1" x14ac:dyDescent="0.35">
      <c r="A26" s="45" t="s">
        <v>204</v>
      </c>
      <c r="B26" s="44">
        <v>0</v>
      </c>
      <c r="D26" s="22">
        <v>20</v>
      </c>
      <c r="E26" s="22" t="s">
        <v>258</v>
      </c>
      <c r="F26" s="22" t="s">
        <v>194</v>
      </c>
      <c r="G26" s="25">
        <v>100</v>
      </c>
      <c r="H26" s="22"/>
      <c r="I26" s="22"/>
      <c r="J26" s="23">
        <f>B16*B9*(1+B15)</f>
        <v>0</v>
      </c>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22"/>
      <c r="J27" s="23"/>
      <c r="K27" s="21">
        <f t="shared" si="0"/>
        <v>0</v>
      </c>
      <c r="L27" s="34"/>
      <c r="N27" s="56"/>
      <c r="O27" s="26"/>
      <c r="P27" s="26"/>
      <c r="Q27" s="26"/>
      <c r="R27" s="26"/>
      <c r="S27" s="26"/>
      <c r="T27" s="26"/>
      <c r="U27" s="26"/>
      <c r="V27" s="26"/>
      <c r="W27" s="26"/>
    </row>
    <row r="28" spans="1:24" ht="18.75" x14ac:dyDescent="0.3">
      <c r="A28" s="41" t="s">
        <v>202</v>
      </c>
      <c r="B28" s="40">
        <v>8</v>
      </c>
      <c r="D28" s="22">
        <v>22</v>
      </c>
      <c r="E28" s="22" t="s">
        <v>247</v>
      </c>
      <c r="F28" s="22" t="s">
        <v>194</v>
      </c>
      <c r="G28" s="25">
        <v>101</v>
      </c>
      <c r="H28" s="22"/>
      <c r="I28" s="22"/>
      <c r="J28" s="23">
        <f>(B28*B18)*B9</f>
        <v>0</v>
      </c>
      <c r="K28" s="21">
        <f t="shared" si="0"/>
        <v>0</v>
      </c>
      <c r="L28" s="34"/>
      <c r="O28" s="26"/>
      <c r="P28" s="26"/>
      <c r="Q28" s="26"/>
      <c r="R28" s="26"/>
      <c r="S28" s="26"/>
      <c r="T28" s="26"/>
      <c r="U28" s="26"/>
      <c r="V28" s="26"/>
      <c r="W28" s="26"/>
    </row>
    <row r="29" spans="1:24" ht="18.75" x14ac:dyDescent="0.3">
      <c r="A29" s="38" t="s">
        <v>201</v>
      </c>
      <c r="B29" s="35">
        <v>12</v>
      </c>
      <c r="D29" s="22">
        <v>23</v>
      </c>
      <c r="E29" s="22"/>
      <c r="F29" s="22" t="s">
        <v>194</v>
      </c>
      <c r="G29" s="25">
        <v>100</v>
      </c>
      <c r="H29" s="22"/>
      <c r="I29" s="22"/>
      <c r="J29" s="23"/>
      <c r="K29" s="21">
        <f t="shared" si="0"/>
        <v>0</v>
      </c>
      <c r="L29" s="34"/>
      <c r="O29" s="26"/>
      <c r="P29" s="26"/>
      <c r="Q29" s="26"/>
      <c r="R29" s="26"/>
      <c r="S29" s="26"/>
      <c r="T29" s="26"/>
      <c r="U29" s="26"/>
      <c r="V29" s="26"/>
      <c r="W29" s="26"/>
    </row>
    <row r="30" spans="1:24" ht="18.75" x14ac:dyDescent="0.3">
      <c r="A30" s="36" t="s">
        <v>200</v>
      </c>
      <c r="B30" s="35">
        <v>0</v>
      </c>
      <c r="D30" s="22">
        <v>24</v>
      </c>
      <c r="E30" s="22"/>
      <c r="F30" s="22" t="s">
        <v>194</v>
      </c>
      <c r="G30" s="25">
        <v>100</v>
      </c>
      <c r="H30" s="22"/>
      <c r="I30" s="22"/>
      <c r="J30" s="23"/>
      <c r="K30" s="21">
        <f t="shared" si="0"/>
        <v>0</v>
      </c>
      <c r="L30" s="34"/>
      <c r="O30" s="26"/>
      <c r="P30" s="26"/>
      <c r="Q30" s="26"/>
      <c r="R30" s="26"/>
      <c r="S30" s="26"/>
      <c r="T30" s="26"/>
      <c r="U30" s="26"/>
      <c r="V30" s="26"/>
      <c r="W30" s="26"/>
    </row>
    <row r="31" spans="1:24" ht="18.75" x14ac:dyDescent="0.3">
      <c r="A31" s="38" t="s">
        <v>199</v>
      </c>
      <c r="B31" s="35">
        <v>25</v>
      </c>
      <c r="D31" s="22">
        <v>25</v>
      </c>
      <c r="E31" s="22"/>
      <c r="F31" s="22" t="s">
        <v>194</v>
      </c>
      <c r="G31" s="25">
        <v>101</v>
      </c>
      <c r="H31" s="22"/>
      <c r="I31" s="22"/>
      <c r="J31" s="23"/>
      <c r="K31" s="21">
        <f t="shared" si="0"/>
        <v>0</v>
      </c>
      <c r="L31" s="34"/>
      <c r="O31" s="26"/>
      <c r="P31" s="26"/>
      <c r="Q31" s="26"/>
      <c r="R31" s="26"/>
      <c r="S31" s="26"/>
      <c r="T31" s="26"/>
      <c r="U31" s="26"/>
      <c r="V31" s="26"/>
      <c r="W31" s="26"/>
    </row>
    <row r="32" spans="1:24" ht="18.75" x14ac:dyDescent="0.3">
      <c r="A32" s="36" t="s">
        <v>198</v>
      </c>
      <c r="B32" s="35">
        <v>35</v>
      </c>
      <c r="D32" s="22">
        <v>26</v>
      </c>
      <c r="E32" s="22"/>
      <c r="F32" s="22" t="s">
        <v>192</v>
      </c>
      <c r="G32" s="25">
        <v>100</v>
      </c>
      <c r="H32" s="24" t="e">
        <f>#REF!*#REF!*#REF!</f>
        <v>#REF!</v>
      </c>
      <c r="I32" s="22">
        <v>20</v>
      </c>
      <c r="J32" s="23"/>
      <c r="K32" s="21">
        <f t="shared" si="0"/>
        <v>0</v>
      </c>
    </row>
    <row r="33" spans="1:24" ht="18.75" x14ac:dyDescent="0.3">
      <c r="A33" s="38" t="s">
        <v>197</v>
      </c>
      <c r="B33" s="35">
        <v>45</v>
      </c>
      <c r="D33" s="22">
        <v>27</v>
      </c>
      <c r="E33" s="22"/>
      <c r="F33" s="22" t="s">
        <v>194</v>
      </c>
      <c r="G33" s="25">
        <v>100</v>
      </c>
      <c r="H33" s="22"/>
      <c r="I33" s="22"/>
      <c r="J33" s="23"/>
      <c r="K33" s="21">
        <f t="shared" si="0"/>
        <v>0</v>
      </c>
      <c r="S33" s="30"/>
    </row>
    <row r="34" spans="1:24" ht="18.75" x14ac:dyDescent="0.3">
      <c r="A34" s="36" t="s">
        <v>196</v>
      </c>
      <c r="B34" s="35">
        <v>50</v>
      </c>
      <c r="D34" s="22">
        <v>28</v>
      </c>
      <c r="E34" s="22"/>
      <c r="F34" s="22" t="s">
        <v>194</v>
      </c>
      <c r="G34" s="25">
        <v>100</v>
      </c>
      <c r="H34" s="22"/>
      <c r="I34" s="22"/>
      <c r="J34" s="23"/>
      <c r="K34" s="21">
        <f t="shared" si="0"/>
        <v>0</v>
      </c>
      <c r="N34" s="29"/>
    </row>
    <row r="35" spans="1:24" ht="19.5" thickBot="1" x14ac:dyDescent="0.35">
      <c r="A35" s="32" t="s">
        <v>195</v>
      </c>
      <c r="B35" s="31">
        <v>75</v>
      </c>
      <c r="D35" s="22">
        <v>29</v>
      </c>
      <c r="E35" s="22"/>
      <c r="F35" s="22" t="s">
        <v>194</v>
      </c>
      <c r="G35" s="25">
        <v>100</v>
      </c>
      <c r="H35" s="22"/>
      <c r="I35" s="22"/>
      <c r="J35" s="23"/>
      <c r="K35" s="21">
        <f t="shared" si="0"/>
        <v>0</v>
      </c>
      <c r="L35" s="28"/>
      <c r="M35" s="28"/>
      <c r="N35" s="27"/>
      <c r="O35" s="26"/>
      <c r="P35" s="26"/>
      <c r="Q35" s="26"/>
      <c r="R35" s="26"/>
      <c r="S35" s="26"/>
      <c r="T35" s="26"/>
      <c r="U35" s="26"/>
      <c r="V35" s="26"/>
      <c r="W35" s="26"/>
      <c r="X35" s="26"/>
    </row>
    <row r="36" spans="1:24" ht="18.75" x14ac:dyDescent="0.3">
      <c r="A36" s="52"/>
      <c r="B36" s="51"/>
      <c r="D36" s="22">
        <v>30</v>
      </c>
      <c r="E36" s="22" t="s">
        <v>259</v>
      </c>
      <c r="F36" s="22" t="s">
        <v>192</v>
      </c>
      <c r="G36" s="25">
        <v>100</v>
      </c>
      <c r="H36" s="24" t="e">
        <f>#REF!*#REF!*#REF!</f>
        <v>#REF!</v>
      </c>
      <c r="I36" s="22">
        <v>30</v>
      </c>
      <c r="J36" s="23">
        <f>(B29*B19)*B9</f>
        <v>0</v>
      </c>
      <c r="K36" s="21">
        <f t="shared" si="0"/>
        <v>0</v>
      </c>
      <c r="L36" s="28"/>
      <c r="M36" s="28"/>
      <c r="N36" s="27"/>
      <c r="O36" s="26"/>
      <c r="P36" s="26"/>
      <c r="Q36" s="26"/>
      <c r="R36" s="26"/>
      <c r="S36" s="26"/>
      <c r="T36" s="26"/>
      <c r="U36" s="26"/>
      <c r="V36" s="26"/>
      <c r="W36" s="26"/>
      <c r="X36" s="26"/>
    </row>
    <row r="37" spans="1:24" ht="19.5" thickBot="1" x14ac:dyDescent="0.35">
      <c r="A37" s="50"/>
      <c r="B37" s="49"/>
      <c r="D37" s="22">
        <v>31</v>
      </c>
      <c r="E37" s="22"/>
      <c r="F37" s="22"/>
      <c r="G37" s="25"/>
      <c r="H37" s="22"/>
      <c r="I37" s="22"/>
      <c r="J37" s="23"/>
      <c r="K37" s="21">
        <f t="shared" si="0"/>
        <v>0</v>
      </c>
    </row>
    <row r="38" spans="1:24" ht="18.75" x14ac:dyDescent="0.3">
      <c r="A38" s="54"/>
      <c r="B38" s="53"/>
      <c r="D38" s="22">
        <v>32</v>
      </c>
      <c r="E38" s="22"/>
      <c r="F38" s="22"/>
      <c r="G38" s="25"/>
      <c r="H38" s="22"/>
      <c r="I38" s="22"/>
      <c r="J38" s="23"/>
      <c r="K38" s="21">
        <f t="shared" si="0"/>
        <v>0</v>
      </c>
    </row>
    <row r="39" spans="1:24" ht="18.75" x14ac:dyDescent="0.3">
      <c r="A39" s="52"/>
      <c r="B39" s="51"/>
      <c r="D39" s="22">
        <v>33</v>
      </c>
      <c r="E39" s="22"/>
      <c r="F39" s="22"/>
      <c r="G39" s="25"/>
      <c r="H39" s="22"/>
      <c r="I39" s="22"/>
      <c r="J39" s="23"/>
      <c r="K39" s="21">
        <f t="shared" si="0"/>
        <v>0</v>
      </c>
      <c r="S39" s="30"/>
    </row>
    <row r="40" spans="1:24" ht="19.5" thickBot="1" x14ac:dyDescent="0.35">
      <c r="A40" s="50"/>
      <c r="B40" s="49"/>
      <c r="D40" s="22">
        <v>34</v>
      </c>
      <c r="E40" s="22"/>
      <c r="F40" s="22"/>
      <c r="G40" s="25"/>
      <c r="H40" s="22"/>
      <c r="I40" s="22"/>
      <c r="J40" s="23"/>
      <c r="K40" s="21">
        <f t="shared" si="0"/>
        <v>0</v>
      </c>
      <c r="N40" s="29"/>
    </row>
    <row r="41" spans="1:24" x14ac:dyDescent="0.25">
      <c r="D41" s="22">
        <v>35</v>
      </c>
      <c r="E41" s="22"/>
      <c r="F41" s="22"/>
      <c r="G41" s="25"/>
      <c r="H41" s="22"/>
      <c r="I41" s="22"/>
      <c r="J41" s="23"/>
      <c r="K41" s="21">
        <f t="shared" si="0"/>
        <v>0</v>
      </c>
      <c r="L41" s="28"/>
      <c r="N41" s="27"/>
      <c r="O41" s="26"/>
      <c r="P41" s="26"/>
      <c r="Q41" s="26"/>
      <c r="R41" s="26"/>
      <c r="S41" s="26"/>
      <c r="T41" s="26"/>
      <c r="U41" s="26"/>
      <c r="V41" s="33"/>
      <c r="W41" s="33"/>
    </row>
    <row r="42" spans="1:24" x14ac:dyDescent="0.25">
      <c r="D42" s="22">
        <v>36</v>
      </c>
      <c r="E42" s="22"/>
      <c r="F42" s="22"/>
      <c r="G42" s="25"/>
      <c r="H42" s="22"/>
      <c r="I42" s="22"/>
      <c r="J42" s="23"/>
      <c r="K42" s="21">
        <f t="shared" si="0"/>
        <v>0</v>
      </c>
      <c r="L42" s="28"/>
      <c r="N42" s="27"/>
      <c r="O42" s="26"/>
      <c r="P42" s="26"/>
      <c r="Q42" s="26"/>
      <c r="R42" s="26"/>
      <c r="S42" s="26"/>
      <c r="T42" s="26"/>
      <c r="U42" s="26"/>
      <c r="V42" s="33"/>
      <c r="W42" s="33"/>
    </row>
    <row r="43" spans="1:24" x14ac:dyDescent="0.25">
      <c r="D43" s="22">
        <v>37</v>
      </c>
      <c r="E43" s="22"/>
      <c r="F43" s="22"/>
      <c r="G43" s="25"/>
      <c r="H43" s="22"/>
      <c r="I43" s="22"/>
      <c r="J43" s="23"/>
      <c r="K43" s="21">
        <f t="shared" si="0"/>
        <v>0</v>
      </c>
      <c r="L43" s="28"/>
      <c r="N43" s="27"/>
      <c r="O43" s="26"/>
      <c r="P43" s="26"/>
      <c r="Q43" s="26"/>
      <c r="R43" s="26"/>
      <c r="S43" s="26"/>
      <c r="T43" s="26"/>
      <c r="U43" s="26"/>
      <c r="V43" s="33"/>
      <c r="W43" s="33"/>
    </row>
    <row r="44" spans="1:24" x14ac:dyDescent="0.25">
      <c r="D44" s="22">
        <v>38</v>
      </c>
      <c r="E44" s="22" t="s">
        <v>260</v>
      </c>
      <c r="F44" s="22" t="s">
        <v>192</v>
      </c>
      <c r="G44" s="25">
        <v>100</v>
      </c>
      <c r="H44" s="24" t="e">
        <f>B21*#REF!*#REF!</f>
        <v>#REF!</v>
      </c>
      <c r="I44" s="22">
        <v>30</v>
      </c>
      <c r="J44" s="23">
        <f>(B31*B21)*B9</f>
        <v>0</v>
      </c>
      <c r="K44" s="21">
        <f t="shared" si="0"/>
        <v>0</v>
      </c>
      <c r="L44" s="28"/>
      <c r="N44" s="27"/>
      <c r="O44" s="26"/>
      <c r="P44" s="26"/>
      <c r="Q44" s="26"/>
      <c r="R44" s="26"/>
      <c r="S44" s="26"/>
      <c r="T44" s="26"/>
      <c r="U44" s="26"/>
      <c r="V44" s="33"/>
      <c r="W44" s="33"/>
    </row>
    <row r="45" spans="1:24" x14ac:dyDescent="0.25">
      <c r="D45" s="22">
        <v>39</v>
      </c>
      <c r="E45" s="22"/>
      <c r="F45" s="22"/>
      <c r="G45" s="25"/>
      <c r="H45" s="22"/>
      <c r="I45" s="22"/>
      <c r="J45" s="23"/>
      <c r="K45" s="21">
        <f t="shared" si="0"/>
        <v>0</v>
      </c>
      <c r="L45" s="28"/>
      <c r="N45" s="27"/>
      <c r="O45" s="26"/>
      <c r="P45" s="26"/>
      <c r="Q45" s="26"/>
      <c r="R45" s="26"/>
      <c r="S45" s="26"/>
      <c r="T45" s="26"/>
      <c r="U45" s="26"/>
      <c r="V45" s="33"/>
      <c r="W45" s="33"/>
    </row>
    <row r="46" spans="1:24" x14ac:dyDescent="0.25">
      <c r="D46" s="22">
        <v>40</v>
      </c>
      <c r="E46" s="22"/>
      <c r="F46" s="22"/>
      <c r="G46" s="25"/>
      <c r="H46" s="22"/>
      <c r="I46" s="22"/>
      <c r="J46" s="23"/>
      <c r="K46" s="21">
        <f t="shared" si="0"/>
        <v>0</v>
      </c>
      <c r="L46" s="28"/>
      <c r="N46" s="27"/>
      <c r="O46" s="26"/>
      <c r="P46" s="26"/>
      <c r="Q46" s="26"/>
      <c r="R46" s="26"/>
      <c r="S46" s="26"/>
      <c r="T46" s="26"/>
      <c r="U46" s="26"/>
      <c r="V46" s="33"/>
      <c r="W46" s="33"/>
    </row>
    <row r="47" spans="1:24" x14ac:dyDescent="0.25">
      <c r="D47" s="22">
        <v>41</v>
      </c>
      <c r="E47" s="22"/>
      <c r="F47" s="22"/>
      <c r="G47" s="25"/>
      <c r="H47" s="22"/>
      <c r="I47" s="22"/>
      <c r="J47" s="23"/>
      <c r="K47" s="21">
        <f t="shared" si="0"/>
        <v>0</v>
      </c>
      <c r="L47" s="28"/>
      <c r="N47" s="27"/>
      <c r="O47" s="26"/>
      <c r="P47" s="26"/>
      <c r="Q47" s="26"/>
      <c r="R47" s="26"/>
      <c r="S47" s="26"/>
      <c r="T47" s="26"/>
      <c r="U47" s="26"/>
      <c r="V47" s="33"/>
      <c r="W47" s="33"/>
    </row>
    <row r="48" spans="1:24" x14ac:dyDescent="0.25">
      <c r="D48" s="22">
        <v>42</v>
      </c>
      <c r="E48" s="22"/>
      <c r="F48" s="22"/>
      <c r="G48" s="25"/>
      <c r="H48" s="22"/>
      <c r="I48" s="22"/>
      <c r="J48" s="23"/>
      <c r="K48" s="21">
        <f t="shared" si="0"/>
        <v>0</v>
      </c>
      <c r="N48" s="26"/>
      <c r="O48" s="26"/>
      <c r="P48" s="26"/>
      <c r="Q48" s="26"/>
      <c r="R48" s="26"/>
      <c r="S48" s="26"/>
      <c r="T48" s="26"/>
    </row>
    <row r="49" spans="4:23" x14ac:dyDescent="0.25">
      <c r="D49" s="22">
        <v>43</v>
      </c>
      <c r="E49" s="22"/>
      <c r="F49" s="22"/>
      <c r="G49" s="25"/>
      <c r="H49" s="22"/>
      <c r="I49" s="22"/>
      <c r="J49" s="23"/>
      <c r="K49" s="21">
        <f t="shared" si="0"/>
        <v>0</v>
      </c>
      <c r="S49" s="30"/>
    </row>
    <row r="50" spans="4:23" x14ac:dyDescent="0.25">
      <c r="D50" s="22">
        <v>44</v>
      </c>
      <c r="E50" s="22"/>
      <c r="F50" s="22"/>
      <c r="G50" s="25"/>
      <c r="H50" s="22"/>
      <c r="I50" s="22"/>
      <c r="J50" s="22"/>
      <c r="K50" s="21">
        <f t="shared" si="0"/>
        <v>0</v>
      </c>
      <c r="N50" s="29"/>
    </row>
    <row r="51" spans="4:23" x14ac:dyDescent="0.25">
      <c r="D51" s="22">
        <v>45</v>
      </c>
      <c r="E51" s="22"/>
      <c r="F51" s="22"/>
      <c r="G51" s="25"/>
      <c r="H51" s="22"/>
      <c r="I51" s="22"/>
      <c r="J51" s="23"/>
      <c r="K51" s="21">
        <f>J51/(1+B52)^D51</f>
        <v>0</v>
      </c>
      <c r="L51" s="28"/>
      <c r="N51" s="37"/>
      <c r="O51" s="26"/>
      <c r="P51" s="26"/>
      <c r="Q51" s="26"/>
      <c r="R51" s="26"/>
      <c r="S51" s="26"/>
      <c r="T51" s="26"/>
      <c r="U51" s="26"/>
      <c r="V51" s="33"/>
      <c r="W51" s="33"/>
    </row>
    <row r="52" spans="4:23" x14ac:dyDescent="0.25">
      <c r="D52" s="22">
        <v>46</v>
      </c>
      <c r="E52" s="22" t="s">
        <v>249</v>
      </c>
      <c r="F52" s="22" t="s">
        <v>192</v>
      </c>
      <c r="G52" s="25">
        <v>100</v>
      </c>
      <c r="H52" s="24" t="e">
        <f>B31*#REF!*#REF!</f>
        <v>#REF!</v>
      </c>
      <c r="I52" s="22">
        <v>30</v>
      </c>
      <c r="J52" s="23">
        <f>(B22*B31)*B9</f>
        <v>0</v>
      </c>
      <c r="K52" s="21">
        <f t="shared" si="0"/>
        <v>0</v>
      </c>
      <c r="L52" s="28"/>
      <c r="N52" s="37"/>
      <c r="O52" s="26"/>
      <c r="P52" s="26"/>
      <c r="Q52" s="26"/>
      <c r="R52" s="26"/>
      <c r="S52" s="26"/>
      <c r="T52" s="26"/>
      <c r="U52" s="26"/>
      <c r="V52" s="33"/>
      <c r="W52" s="33"/>
    </row>
    <row r="53" spans="4:23" x14ac:dyDescent="0.25">
      <c r="D53" s="22">
        <v>47</v>
      </c>
      <c r="E53" s="22"/>
      <c r="F53" s="22"/>
      <c r="G53" s="25"/>
      <c r="H53" s="22"/>
      <c r="I53" s="22"/>
      <c r="J53" s="23"/>
      <c r="K53" s="21">
        <f>J52/(1+B55)^D52</f>
        <v>0</v>
      </c>
      <c r="L53" s="28"/>
      <c r="N53" s="37"/>
      <c r="O53" s="26"/>
      <c r="P53" s="26"/>
      <c r="Q53" s="26"/>
      <c r="R53" s="26"/>
      <c r="S53" s="26"/>
      <c r="T53" s="26"/>
      <c r="U53" s="26"/>
      <c r="V53" s="33"/>
      <c r="W53" s="33"/>
    </row>
    <row r="54" spans="4:23" x14ac:dyDescent="0.25">
      <c r="D54" s="22">
        <v>48</v>
      </c>
      <c r="E54" s="22"/>
      <c r="F54" s="22"/>
      <c r="G54" s="25"/>
      <c r="H54" s="22"/>
      <c r="I54" s="22"/>
      <c r="J54" s="22"/>
      <c r="K54" s="21">
        <f t="shared" si="0"/>
        <v>0</v>
      </c>
      <c r="L54" s="28"/>
      <c r="N54" s="37"/>
      <c r="O54" s="26"/>
      <c r="P54" s="26"/>
      <c r="Q54" s="26"/>
      <c r="R54" s="26"/>
      <c r="S54" s="26"/>
      <c r="T54" s="26"/>
      <c r="U54" s="26"/>
      <c r="V54" s="33"/>
      <c r="W54" s="33"/>
    </row>
    <row r="55" spans="4:23" x14ac:dyDescent="0.25">
      <c r="D55" s="22">
        <v>49</v>
      </c>
      <c r="E55" s="22"/>
      <c r="F55" s="22"/>
      <c r="G55" s="25"/>
      <c r="H55" s="22"/>
      <c r="I55" s="22"/>
      <c r="J55" s="23"/>
      <c r="K55" s="21">
        <f t="shared" si="0"/>
        <v>0</v>
      </c>
    </row>
    <row r="56" spans="4:23" x14ac:dyDescent="0.25">
      <c r="D56" s="22">
        <v>50</v>
      </c>
      <c r="E56" s="22"/>
      <c r="F56" s="22"/>
      <c r="G56" s="25"/>
      <c r="H56" s="22"/>
      <c r="I56" s="22"/>
      <c r="J56" s="23"/>
      <c r="K56" s="21">
        <f t="shared" si="0"/>
        <v>0</v>
      </c>
    </row>
    <row r="57" spans="4:23" x14ac:dyDescent="0.25">
      <c r="D57" s="22">
        <v>51</v>
      </c>
      <c r="E57" s="22"/>
      <c r="F57" s="22"/>
      <c r="G57" s="25"/>
      <c r="H57" s="22"/>
      <c r="I57" s="22"/>
      <c r="J57" s="23"/>
      <c r="K57" s="21">
        <f t="shared" si="0"/>
        <v>0</v>
      </c>
      <c r="S57" s="30"/>
    </row>
    <row r="58" spans="4:23" x14ac:dyDescent="0.25">
      <c r="D58" s="22">
        <v>52</v>
      </c>
      <c r="E58" s="22"/>
      <c r="F58" s="22"/>
      <c r="G58" s="25"/>
      <c r="H58" s="22"/>
      <c r="I58" s="22"/>
      <c r="J58" s="23"/>
      <c r="K58" s="21">
        <f t="shared" si="0"/>
        <v>0</v>
      </c>
      <c r="N58" s="29"/>
    </row>
    <row r="59" spans="4:23" x14ac:dyDescent="0.25">
      <c r="D59" s="22">
        <v>52</v>
      </c>
      <c r="E59" s="22"/>
      <c r="F59" s="22"/>
      <c r="G59" s="25"/>
      <c r="H59" s="22"/>
      <c r="I59" s="22"/>
      <c r="J59" s="23"/>
      <c r="K59" s="21">
        <f t="shared" si="0"/>
        <v>0</v>
      </c>
      <c r="L59" s="28"/>
      <c r="N59" s="37"/>
      <c r="O59" s="26"/>
      <c r="P59" s="26"/>
      <c r="Q59" s="26"/>
      <c r="R59" s="26"/>
      <c r="S59" s="26"/>
      <c r="T59" s="26"/>
      <c r="U59" s="26"/>
      <c r="V59" s="26"/>
      <c r="W59" s="26"/>
    </row>
    <row r="60" spans="4:23" x14ac:dyDescent="0.25">
      <c r="D60" s="22">
        <v>54</v>
      </c>
      <c r="E60" s="22" t="s">
        <v>250</v>
      </c>
      <c r="F60" s="22" t="s">
        <v>192</v>
      </c>
      <c r="G60" s="25">
        <v>100</v>
      </c>
      <c r="H60" s="24" t="e">
        <f>B41*#REF!*#REF!</f>
        <v>#REF!</v>
      </c>
      <c r="I60" s="22">
        <v>30</v>
      </c>
      <c r="J60" s="23">
        <f>(B32*B23)*B9</f>
        <v>0</v>
      </c>
      <c r="K60" s="21">
        <f t="shared" si="0"/>
        <v>0</v>
      </c>
      <c r="L60" s="28"/>
      <c r="N60" s="37"/>
      <c r="O60" s="26"/>
      <c r="P60" s="26"/>
      <c r="Q60" s="26"/>
      <c r="R60" s="26"/>
      <c r="S60" s="26"/>
      <c r="T60" s="26"/>
      <c r="U60" s="26"/>
      <c r="V60" s="26"/>
      <c r="W60" s="26"/>
    </row>
    <row r="61" spans="4:23" x14ac:dyDescent="0.25">
      <c r="D61" s="22">
        <v>55</v>
      </c>
      <c r="E61" s="22"/>
      <c r="F61" s="22"/>
      <c r="G61" s="25"/>
      <c r="H61" s="22"/>
      <c r="I61" s="22"/>
      <c r="J61" s="23"/>
      <c r="K61" s="21">
        <f t="shared" si="0"/>
        <v>0</v>
      </c>
      <c r="L61" s="28"/>
      <c r="N61" s="37"/>
      <c r="O61" s="26"/>
      <c r="P61" s="26"/>
      <c r="Q61" s="26"/>
      <c r="R61" s="26"/>
      <c r="S61" s="26"/>
      <c r="T61" s="26"/>
      <c r="U61" s="26"/>
      <c r="V61" s="26"/>
      <c r="W61" s="26"/>
    </row>
    <row r="62" spans="4:23" x14ac:dyDescent="0.25">
      <c r="D62" s="22">
        <v>56</v>
      </c>
      <c r="E62" s="22"/>
      <c r="F62" s="22"/>
      <c r="G62" s="25"/>
      <c r="H62" s="22"/>
      <c r="I62" s="22"/>
      <c r="J62" s="23"/>
      <c r="K62" s="21">
        <f t="shared" si="0"/>
        <v>0</v>
      </c>
      <c r="L62" s="28"/>
      <c r="N62" s="37"/>
      <c r="O62" s="26"/>
      <c r="P62" s="26"/>
      <c r="Q62" s="26"/>
      <c r="R62" s="26"/>
      <c r="S62" s="26"/>
      <c r="T62" s="26"/>
      <c r="U62" s="26"/>
      <c r="V62" s="26"/>
      <c r="W62" s="26"/>
    </row>
    <row r="63" spans="4:23" x14ac:dyDescent="0.25">
      <c r="D63" s="22">
        <v>57</v>
      </c>
      <c r="E63" s="22"/>
      <c r="F63" s="22"/>
      <c r="G63" s="25"/>
      <c r="H63" s="22"/>
      <c r="I63" s="22"/>
      <c r="J63" s="23"/>
      <c r="K63" s="21">
        <f t="shared" si="0"/>
        <v>0</v>
      </c>
      <c r="L63" s="34"/>
      <c r="N63" s="37"/>
      <c r="O63" s="33"/>
      <c r="P63" s="33"/>
      <c r="Q63" s="33"/>
      <c r="R63" s="33"/>
      <c r="S63" s="33"/>
      <c r="T63" s="33"/>
      <c r="U63" s="33"/>
      <c r="V63" s="33"/>
      <c r="W63" s="33"/>
    </row>
    <row r="64" spans="4:23" x14ac:dyDescent="0.25">
      <c r="D64" s="22">
        <v>58</v>
      </c>
      <c r="E64" s="22"/>
      <c r="F64" s="22"/>
      <c r="G64" s="25"/>
      <c r="H64" s="22"/>
      <c r="I64" s="22"/>
      <c r="J64" s="23"/>
      <c r="K64" s="21">
        <f t="shared" si="0"/>
        <v>0</v>
      </c>
    </row>
    <row r="65" spans="1:23" x14ac:dyDescent="0.25">
      <c r="D65" s="22">
        <v>59</v>
      </c>
      <c r="E65" s="22"/>
      <c r="F65" s="22"/>
      <c r="G65" s="25"/>
      <c r="H65" s="22"/>
      <c r="I65" s="22"/>
      <c r="J65" s="22"/>
      <c r="K65" s="21">
        <f t="shared" si="0"/>
        <v>0</v>
      </c>
      <c r="S65" s="30"/>
    </row>
    <row r="66" spans="1:23" ht="18.75" x14ac:dyDescent="0.3">
      <c r="A66" s="87"/>
      <c r="B66" s="88"/>
      <c r="D66" s="22">
        <v>60</v>
      </c>
      <c r="E66" s="22"/>
      <c r="F66" s="22"/>
      <c r="G66" s="25"/>
      <c r="H66" s="22"/>
      <c r="I66" s="22"/>
      <c r="J66" s="23"/>
      <c r="K66" s="21">
        <f t="shared" si="0"/>
        <v>0</v>
      </c>
      <c r="N66" s="29"/>
    </row>
    <row r="67" spans="1:23" ht="18.75" x14ac:dyDescent="0.3">
      <c r="A67" s="87"/>
      <c r="B67" s="89"/>
      <c r="D67" s="22">
        <v>61</v>
      </c>
      <c r="E67" s="22"/>
      <c r="F67" s="22"/>
      <c r="G67" s="25"/>
      <c r="H67" s="22"/>
      <c r="I67" s="22"/>
      <c r="J67" s="23"/>
      <c r="K67" s="21">
        <f t="shared" si="0"/>
        <v>0</v>
      </c>
      <c r="L67" s="28"/>
      <c r="N67" s="37"/>
      <c r="O67" s="26"/>
      <c r="P67" s="26"/>
      <c r="Q67" s="26"/>
      <c r="R67" s="26"/>
      <c r="S67" s="26"/>
      <c r="T67" s="26"/>
      <c r="U67" s="26"/>
      <c r="V67" s="26"/>
      <c r="W67" s="26"/>
    </row>
    <row r="68" spans="1:23" ht="18.75" x14ac:dyDescent="0.3">
      <c r="A68" s="87"/>
      <c r="B68" s="88"/>
      <c r="D68" s="22">
        <v>62</v>
      </c>
      <c r="E68" s="22" t="s">
        <v>251</v>
      </c>
      <c r="F68" s="22" t="s">
        <v>192</v>
      </c>
      <c r="G68" s="25">
        <v>100</v>
      </c>
      <c r="H68" s="24" t="e">
        <f>B51*#REF!*#REF!</f>
        <v>#REF!</v>
      </c>
      <c r="I68" s="22">
        <v>30</v>
      </c>
      <c r="J68" s="23">
        <f>(B33*B24)*B9</f>
        <v>0</v>
      </c>
      <c r="K68" s="21">
        <f t="shared" si="0"/>
        <v>0</v>
      </c>
      <c r="L68" s="28"/>
      <c r="N68" s="37"/>
      <c r="O68" s="26"/>
      <c r="P68" s="26"/>
      <c r="Q68" s="26"/>
      <c r="R68" s="26"/>
      <c r="S68" s="26"/>
      <c r="T68" s="26"/>
      <c r="U68" s="26"/>
      <c r="V68" s="26"/>
      <c r="W68" s="26"/>
    </row>
    <row r="69" spans="1:23" ht="18.75" x14ac:dyDescent="0.3">
      <c r="A69" s="87"/>
      <c r="B69" s="88"/>
      <c r="D69" s="22">
        <v>63</v>
      </c>
      <c r="E69" s="22"/>
      <c r="F69" s="22"/>
      <c r="G69" s="25"/>
      <c r="H69" s="22"/>
      <c r="I69" s="22"/>
      <c r="J69" s="23"/>
      <c r="K69" s="21">
        <f t="shared" si="0"/>
        <v>0</v>
      </c>
      <c r="L69" s="28"/>
      <c r="N69" s="37"/>
      <c r="O69" s="26"/>
      <c r="P69" s="26"/>
      <c r="Q69" s="26"/>
      <c r="R69" s="26"/>
      <c r="S69" s="26"/>
      <c r="T69" s="26"/>
      <c r="U69" s="26"/>
      <c r="V69" s="26"/>
      <c r="W69" s="26"/>
    </row>
    <row r="70" spans="1:23" ht="18.75" x14ac:dyDescent="0.3">
      <c r="A70" s="87"/>
      <c r="B70" s="90"/>
      <c r="D70" s="22">
        <v>64</v>
      </c>
      <c r="E70" s="22"/>
      <c r="F70" s="22"/>
      <c r="G70" s="25"/>
      <c r="H70" s="22"/>
      <c r="I70" s="22"/>
      <c r="J70" s="22"/>
      <c r="K70" s="21">
        <f t="shared" si="0"/>
        <v>0</v>
      </c>
      <c r="L70" s="28"/>
      <c r="N70" s="37"/>
      <c r="O70" s="26"/>
      <c r="P70" s="26"/>
      <c r="Q70" s="26"/>
      <c r="R70" s="26"/>
      <c r="S70" s="26"/>
      <c r="T70" s="26"/>
      <c r="U70" s="26"/>
      <c r="V70" s="26"/>
      <c r="W70" s="26"/>
    </row>
    <row r="71" spans="1:23" ht="18.75" x14ac:dyDescent="0.3">
      <c r="A71" s="87"/>
      <c r="B71" s="88"/>
      <c r="D71" s="22">
        <v>65</v>
      </c>
      <c r="E71" s="22"/>
      <c r="F71" s="22"/>
      <c r="G71" s="25"/>
      <c r="H71" s="22"/>
      <c r="I71" s="22"/>
      <c r="J71" s="23"/>
      <c r="K71" s="21">
        <f t="shared" ref="K71:K86" si="1">J71/(1+B73)^D71</f>
        <v>0</v>
      </c>
      <c r="L71" s="34"/>
      <c r="N71" s="37"/>
      <c r="O71" s="33"/>
      <c r="P71" s="33"/>
      <c r="Q71" s="33"/>
      <c r="R71" s="33"/>
      <c r="S71" s="33"/>
      <c r="T71" s="33"/>
      <c r="U71" s="33"/>
      <c r="V71" s="33"/>
      <c r="W71" s="33"/>
    </row>
    <row r="72" spans="1:23" ht="18.75" x14ac:dyDescent="0.3">
      <c r="A72" s="87"/>
      <c r="B72" s="91"/>
      <c r="D72" s="22">
        <v>66</v>
      </c>
      <c r="E72" s="22"/>
      <c r="F72" s="22"/>
      <c r="G72" s="25"/>
      <c r="H72" s="22"/>
      <c r="I72" s="22"/>
      <c r="J72" s="22"/>
      <c r="K72" s="21">
        <f t="shared" si="1"/>
        <v>0</v>
      </c>
    </row>
    <row r="73" spans="1:23" ht="18.75" x14ac:dyDescent="0.3">
      <c r="A73" s="87"/>
      <c r="B73" s="92"/>
      <c r="D73" s="22">
        <v>67</v>
      </c>
      <c r="E73" s="22"/>
      <c r="F73" s="22"/>
      <c r="G73" s="25"/>
      <c r="H73" s="22"/>
      <c r="I73" s="22"/>
      <c r="J73" s="23"/>
      <c r="K73" s="21">
        <f t="shared" si="1"/>
        <v>0</v>
      </c>
      <c r="S73" s="30"/>
    </row>
    <row r="74" spans="1:23" ht="18.75" x14ac:dyDescent="0.3">
      <c r="A74" s="87"/>
      <c r="B74" s="92"/>
      <c r="D74" s="22">
        <v>68</v>
      </c>
      <c r="E74" s="22"/>
      <c r="F74" s="22"/>
      <c r="G74" s="25"/>
      <c r="H74" s="22"/>
      <c r="I74" s="22"/>
      <c r="J74" s="22"/>
      <c r="K74" s="21">
        <f t="shared" si="1"/>
        <v>0</v>
      </c>
      <c r="N74" s="29"/>
    </row>
    <row r="75" spans="1:23" ht="18.75" x14ac:dyDescent="0.3">
      <c r="A75" s="87"/>
      <c r="B75" s="92"/>
      <c r="D75" s="22">
        <v>69</v>
      </c>
      <c r="E75" s="22"/>
      <c r="F75" s="22"/>
      <c r="G75" s="25"/>
      <c r="H75" s="22"/>
      <c r="I75" s="22"/>
      <c r="J75" s="23"/>
      <c r="K75" s="21">
        <f t="shared" si="1"/>
        <v>0</v>
      </c>
      <c r="L75" s="28"/>
      <c r="O75" s="26"/>
      <c r="P75" s="26"/>
      <c r="Q75" s="26"/>
      <c r="R75" s="26"/>
      <c r="S75" s="26"/>
      <c r="T75" s="26"/>
      <c r="U75" s="26"/>
      <c r="V75" s="26"/>
      <c r="W75" s="26"/>
    </row>
    <row r="76" spans="1:23" ht="18.75" x14ac:dyDescent="0.3">
      <c r="A76" s="87"/>
      <c r="B76" s="92"/>
      <c r="D76" s="22">
        <v>70</v>
      </c>
      <c r="E76" s="22"/>
      <c r="F76" s="22"/>
      <c r="G76" s="25"/>
      <c r="H76" s="22"/>
      <c r="I76" s="22"/>
      <c r="J76" s="22"/>
      <c r="K76" s="21">
        <f t="shared" si="1"/>
        <v>0</v>
      </c>
      <c r="L76" s="28"/>
      <c r="N76" s="37"/>
      <c r="O76" s="26"/>
      <c r="P76" s="26"/>
      <c r="Q76" s="26"/>
      <c r="R76" s="26"/>
      <c r="S76" s="26"/>
      <c r="T76" s="26"/>
      <c r="U76" s="26"/>
      <c r="V76" s="26"/>
      <c r="W76" s="26"/>
    </row>
    <row r="77" spans="1:23" x14ac:dyDescent="0.25">
      <c r="D77" s="22">
        <v>71</v>
      </c>
      <c r="E77" s="22"/>
      <c r="F77" s="22"/>
      <c r="G77" s="25"/>
      <c r="H77" s="22"/>
      <c r="I77" s="22"/>
      <c r="J77" s="23"/>
      <c r="K77" s="21">
        <f t="shared" si="1"/>
        <v>0</v>
      </c>
      <c r="L77" s="28"/>
      <c r="O77" s="26"/>
      <c r="P77" s="26"/>
      <c r="Q77" s="26"/>
      <c r="R77" s="26"/>
      <c r="S77" s="26"/>
      <c r="T77" s="26"/>
      <c r="U77" s="26"/>
      <c r="V77" s="26"/>
      <c r="W77" s="26"/>
    </row>
    <row r="78" spans="1:23" x14ac:dyDescent="0.25">
      <c r="D78" s="22">
        <v>72</v>
      </c>
      <c r="E78" s="22"/>
      <c r="F78" s="22"/>
      <c r="G78" s="25"/>
      <c r="H78" s="22"/>
      <c r="I78" s="22"/>
      <c r="J78" s="22"/>
      <c r="K78" s="21">
        <f t="shared" si="1"/>
        <v>0</v>
      </c>
      <c r="L78" s="28"/>
      <c r="N78" s="37"/>
      <c r="O78" s="26"/>
      <c r="P78" s="26"/>
      <c r="Q78" s="26"/>
      <c r="R78" s="26"/>
      <c r="S78" s="26"/>
      <c r="T78" s="26"/>
      <c r="U78" s="26"/>
      <c r="V78" s="26"/>
      <c r="W78" s="26"/>
    </row>
    <row r="79" spans="1:23" x14ac:dyDescent="0.25">
      <c r="D79" s="22">
        <v>73</v>
      </c>
      <c r="E79" s="22"/>
      <c r="F79" s="22"/>
      <c r="G79" s="25"/>
      <c r="H79" s="22"/>
      <c r="I79" s="22"/>
      <c r="J79" s="23"/>
      <c r="K79" s="21">
        <f t="shared" si="1"/>
        <v>0</v>
      </c>
      <c r="L79" s="34"/>
      <c r="O79" s="33"/>
      <c r="P79" s="33"/>
      <c r="Q79" s="33"/>
      <c r="R79" s="33"/>
      <c r="S79" s="33"/>
      <c r="T79" s="33"/>
      <c r="U79" s="33"/>
      <c r="V79" s="33"/>
      <c r="W79" s="33"/>
    </row>
    <row r="80" spans="1:23" x14ac:dyDescent="0.25">
      <c r="D80" s="22">
        <v>74</v>
      </c>
      <c r="E80" s="22"/>
      <c r="F80" s="22"/>
      <c r="G80" s="25"/>
      <c r="H80" s="22"/>
      <c r="I80" s="22"/>
      <c r="J80" s="22"/>
      <c r="K80" s="21">
        <f t="shared" si="1"/>
        <v>0</v>
      </c>
    </row>
    <row r="81" spans="4:23" x14ac:dyDescent="0.25">
      <c r="D81" s="22">
        <v>75</v>
      </c>
      <c r="E81" s="22"/>
      <c r="F81" s="22"/>
      <c r="G81" s="25"/>
      <c r="H81" s="22"/>
      <c r="I81" s="22"/>
      <c r="J81" s="23"/>
      <c r="K81" s="21">
        <f t="shared" si="1"/>
        <v>0</v>
      </c>
    </row>
    <row r="82" spans="4:23" x14ac:dyDescent="0.25">
      <c r="D82" s="22">
        <v>76</v>
      </c>
      <c r="E82" s="22"/>
      <c r="F82" s="22"/>
      <c r="G82" s="25"/>
      <c r="H82" s="22"/>
      <c r="I82" s="22"/>
      <c r="J82" s="22"/>
      <c r="K82" s="21">
        <f t="shared" si="1"/>
        <v>0</v>
      </c>
      <c r="S82" s="30"/>
    </row>
    <row r="83" spans="4:23" x14ac:dyDescent="0.25">
      <c r="D83" s="22">
        <v>77</v>
      </c>
      <c r="E83" s="22"/>
      <c r="F83" s="22"/>
      <c r="G83" s="25"/>
      <c r="H83" s="22"/>
      <c r="I83" s="22"/>
      <c r="J83" s="23"/>
      <c r="K83" s="21">
        <f t="shared" si="1"/>
        <v>0</v>
      </c>
      <c r="N83" s="29"/>
    </row>
    <row r="84" spans="4:23" x14ac:dyDescent="0.25">
      <c r="D84" s="22">
        <v>78</v>
      </c>
      <c r="E84" s="22"/>
      <c r="F84" s="22"/>
      <c r="G84" s="25"/>
      <c r="H84" s="22"/>
      <c r="I84" s="22"/>
      <c r="J84" s="22"/>
      <c r="K84" s="21">
        <f t="shared" si="1"/>
        <v>0</v>
      </c>
      <c r="L84" s="28"/>
      <c r="O84" s="26"/>
      <c r="P84" s="26"/>
      <c r="Q84" s="26"/>
      <c r="R84" s="26"/>
      <c r="S84" s="26"/>
      <c r="T84" s="26"/>
      <c r="U84" s="26"/>
      <c r="V84" s="26"/>
      <c r="W84" s="26"/>
    </row>
    <row r="85" spans="4:23" x14ac:dyDescent="0.25">
      <c r="D85" s="22">
        <v>79</v>
      </c>
      <c r="E85" s="22"/>
      <c r="F85" s="22"/>
      <c r="G85" s="25"/>
      <c r="H85" s="22"/>
      <c r="I85" s="22"/>
      <c r="J85" s="23"/>
      <c r="K85" s="21">
        <f t="shared" si="1"/>
        <v>0</v>
      </c>
      <c r="L85" s="28"/>
      <c r="N85" s="37"/>
      <c r="O85" s="26"/>
      <c r="P85" s="26"/>
      <c r="Q85" s="26"/>
      <c r="R85" s="26"/>
      <c r="S85" s="26"/>
      <c r="T85" s="26"/>
      <c r="U85" s="26"/>
      <c r="V85" s="26"/>
      <c r="W85" s="26"/>
    </row>
    <row r="86" spans="4:23" x14ac:dyDescent="0.25">
      <c r="D86" s="22">
        <v>80</v>
      </c>
      <c r="E86" s="22" t="s">
        <v>261</v>
      </c>
      <c r="F86" s="22" t="s">
        <v>192</v>
      </c>
      <c r="G86" s="25">
        <v>100</v>
      </c>
      <c r="H86" s="24" t="e">
        <f>B66*#REF!*#REF!</f>
        <v>#REF!</v>
      </c>
      <c r="I86" s="22">
        <v>30</v>
      </c>
      <c r="J86" s="23">
        <f>(B25*B35)*B9</f>
        <v>0</v>
      </c>
      <c r="K86" s="21">
        <f t="shared" si="1"/>
        <v>0</v>
      </c>
      <c r="L86" s="28"/>
      <c r="O86" s="26"/>
      <c r="P86" s="26"/>
      <c r="Q86" s="26"/>
      <c r="R86" s="26"/>
      <c r="S86" s="26"/>
      <c r="T86" s="26"/>
      <c r="U86" s="26"/>
      <c r="V86" s="26"/>
      <c r="W86" s="26"/>
    </row>
  </sheetData>
  <sheetProtection selectLockedCells="1"/>
  <mergeCells count="1">
    <mergeCell ref="D1:J1"/>
  </mergeCells>
  <conditionalFormatting sqref="L9:L13">
    <cfRule type="colorScale" priority="71">
      <colorScale>
        <cfvo type="min"/>
        <cfvo type="percentile" val="50"/>
        <cfvo type="max"/>
        <color rgb="FFF8696B"/>
        <color rgb="FFFCFCFF"/>
        <color rgb="FF63BE7B"/>
      </colorScale>
    </cfRule>
  </conditionalFormatting>
  <conditionalFormatting sqref="L9:M13">
    <cfRule type="colorScale" priority="70">
      <colorScale>
        <cfvo type="min"/>
        <cfvo type="percentile" val="50"/>
        <cfvo type="max"/>
        <color rgb="FFF8696B"/>
        <color rgb="FFFCFCFF"/>
        <color rgb="FF63BE7B"/>
      </colorScale>
    </cfRule>
  </conditionalFormatting>
  <conditionalFormatting sqref="O9:W13 W14:W17">
    <cfRule type="colorScale" priority="69">
      <colorScale>
        <cfvo type="min"/>
        <cfvo type="percentile" val="50"/>
        <cfvo type="max"/>
        <color rgb="FFF8696B"/>
        <color rgb="FFFCFCFF"/>
        <color rgb="FF63BE7B"/>
      </colorScale>
    </cfRule>
  </conditionalFormatting>
  <conditionalFormatting sqref="O9:X13 W14:X17">
    <cfRule type="colorScale" priority="68">
      <colorScale>
        <cfvo type="min"/>
        <cfvo type="percentile" val="50"/>
        <cfvo type="max"/>
        <color rgb="FFF8696B"/>
        <color rgb="FFFCFCFF"/>
        <color rgb="FF63BE7B"/>
      </colorScale>
    </cfRule>
  </conditionalFormatting>
  <conditionalFormatting sqref="O23:U31">
    <cfRule type="colorScale" priority="65">
      <colorScale>
        <cfvo type="min"/>
        <cfvo type="percentile" val="50"/>
        <cfvo type="max"/>
        <color rgb="FFF8696B"/>
        <color rgb="FFFCFCFF"/>
        <color rgb="FF63BE7B"/>
      </colorScale>
    </cfRule>
  </conditionalFormatting>
  <conditionalFormatting sqref="O23:V31">
    <cfRule type="colorScale" priority="64">
      <colorScale>
        <cfvo type="min"/>
        <cfvo type="percentile" val="50"/>
        <cfvo type="max"/>
        <color rgb="FFF8696B"/>
        <color rgb="FFFCFCFF"/>
        <color rgb="FF63BE7B"/>
      </colorScale>
    </cfRule>
  </conditionalFormatting>
  <conditionalFormatting sqref="O16:V19">
    <cfRule type="colorScale" priority="63">
      <colorScale>
        <cfvo type="min"/>
        <cfvo type="percentile" val="50"/>
        <cfvo type="max"/>
        <color rgb="FFF8696B"/>
        <color rgb="FFFCFCFF"/>
        <color rgb="FF63BE7B"/>
      </colorScale>
    </cfRule>
  </conditionalFormatting>
  <conditionalFormatting sqref="O16:V19">
    <cfRule type="colorScale" priority="62">
      <colorScale>
        <cfvo type="min"/>
        <cfvo type="percentile" val="50"/>
        <cfvo type="max"/>
        <color rgb="FFF8696B"/>
        <color rgb="FFFCFCFF"/>
        <color rgb="FF63BE7B"/>
      </colorScale>
    </cfRule>
  </conditionalFormatting>
  <conditionalFormatting sqref="O35:W36">
    <cfRule type="colorScale" priority="59">
      <colorScale>
        <cfvo type="min"/>
        <cfvo type="percentile" val="50"/>
        <cfvo type="max"/>
        <color rgb="FFF8696B"/>
        <color rgb="FFFCFCFF"/>
        <color rgb="FF63BE7B"/>
      </colorScale>
    </cfRule>
  </conditionalFormatting>
  <conditionalFormatting sqref="O35:X36">
    <cfRule type="colorScale" priority="58">
      <colorScale>
        <cfvo type="min"/>
        <cfvo type="percentile" val="50"/>
        <cfvo type="max"/>
        <color rgb="FFF8696B"/>
        <color rgb="FFFCFCFF"/>
        <color rgb="FF63BE7B"/>
      </colorScale>
    </cfRule>
  </conditionalFormatting>
  <conditionalFormatting sqref="L16:L19">
    <cfRule type="colorScale" priority="72">
      <colorScale>
        <cfvo type="min"/>
        <cfvo type="percentile" val="50"/>
        <cfvo type="max"/>
        <color rgb="FFF8696B"/>
        <color rgb="FFFCFCFF"/>
        <color rgb="FF63BE7B"/>
      </colorScale>
    </cfRule>
  </conditionalFormatting>
  <conditionalFormatting sqref="L16:L19">
    <cfRule type="colorScale" priority="73">
      <colorScale>
        <cfvo type="min"/>
        <cfvo type="percentile" val="50"/>
        <cfvo type="max"/>
        <color rgb="FFF8696B"/>
        <color rgb="FFFCFCFF"/>
        <color rgb="FF63BE7B"/>
      </colorScale>
    </cfRule>
  </conditionalFormatting>
  <conditionalFormatting sqref="N48:T48 O41:U47">
    <cfRule type="colorScale" priority="55">
      <colorScale>
        <cfvo type="min"/>
        <cfvo type="percentile" val="50"/>
        <cfvo type="max"/>
        <color rgb="FFF8696B"/>
        <color rgb="FFFCFCFF"/>
        <color rgb="FF63BE7B"/>
      </colorScale>
    </cfRule>
  </conditionalFormatting>
  <conditionalFormatting sqref="O41:W47">
    <cfRule type="colorScale" priority="53">
      <colorScale>
        <cfvo type="min"/>
        <cfvo type="percentile" val="50"/>
        <cfvo type="max"/>
        <color rgb="FFF8696B"/>
        <color rgb="FFFCFCFF"/>
        <color rgb="FF63BE7B"/>
      </colorScale>
    </cfRule>
  </conditionalFormatting>
  <conditionalFormatting sqref="O51:U54">
    <cfRule type="colorScale" priority="50">
      <colorScale>
        <cfvo type="min"/>
        <cfvo type="percentile" val="50"/>
        <cfvo type="max"/>
        <color rgb="FFF8696B"/>
        <color rgb="FFFCFCFF"/>
        <color rgb="FF63BE7B"/>
      </colorScale>
    </cfRule>
  </conditionalFormatting>
  <conditionalFormatting sqref="O51:W54">
    <cfRule type="colorScale" priority="48">
      <colorScale>
        <cfvo type="min"/>
        <cfvo type="percentile" val="50"/>
        <cfvo type="max"/>
        <color rgb="FFF8696B"/>
        <color rgb="FFFCFCFF"/>
        <color rgb="FF63BE7B"/>
      </colorScale>
    </cfRule>
  </conditionalFormatting>
  <conditionalFormatting sqref="O59:U62">
    <cfRule type="colorScale" priority="42">
      <colorScale>
        <cfvo type="min"/>
        <cfvo type="percentile" val="50"/>
        <cfvo type="max"/>
        <color rgb="FFF8696B"/>
        <color rgb="FFFCFCFF"/>
        <color rgb="FF63BE7B"/>
      </colorScale>
    </cfRule>
  </conditionalFormatting>
  <conditionalFormatting sqref="O59:U62">
    <cfRule type="colorScale" priority="41">
      <colorScale>
        <cfvo type="min"/>
        <cfvo type="percentile" val="50"/>
        <cfvo type="max"/>
        <color rgb="FFF8696B"/>
        <color rgb="FFFCFCFF"/>
        <color rgb="FF63BE7B"/>
      </colorScale>
    </cfRule>
  </conditionalFormatting>
  <conditionalFormatting sqref="O59:W62">
    <cfRule type="colorScale" priority="40">
      <colorScale>
        <cfvo type="min"/>
        <cfvo type="percentile" val="50"/>
        <cfvo type="max"/>
        <color rgb="FFF8696B"/>
        <color rgb="FFFCFCFF"/>
        <color rgb="FF63BE7B"/>
      </colorScale>
    </cfRule>
  </conditionalFormatting>
  <conditionalFormatting sqref="O59:W63">
    <cfRule type="colorScale" priority="38">
      <colorScale>
        <cfvo type="min"/>
        <cfvo type="percentile" val="50"/>
        <cfvo type="max"/>
        <color rgb="FFF8696B"/>
        <color rgb="FFFCFCFF"/>
        <color rgb="FF63BE7B"/>
      </colorScale>
    </cfRule>
  </conditionalFormatting>
  <conditionalFormatting sqref="O67:U70">
    <cfRule type="colorScale" priority="34">
      <colorScale>
        <cfvo type="min"/>
        <cfvo type="percentile" val="50"/>
        <cfvo type="max"/>
        <color rgb="FFF8696B"/>
        <color rgb="FFFCFCFF"/>
        <color rgb="FF63BE7B"/>
      </colorScale>
    </cfRule>
  </conditionalFormatting>
  <conditionalFormatting sqref="O67:U70">
    <cfRule type="colorScale" priority="33">
      <colorScale>
        <cfvo type="min"/>
        <cfvo type="percentile" val="50"/>
        <cfvo type="max"/>
        <color rgb="FFF8696B"/>
        <color rgb="FFFCFCFF"/>
        <color rgb="FF63BE7B"/>
      </colorScale>
    </cfRule>
  </conditionalFormatting>
  <conditionalFormatting sqref="O67:W70">
    <cfRule type="colorScale" priority="32">
      <colorScale>
        <cfvo type="min"/>
        <cfvo type="percentile" val="50"/>
        <cfvo type="max"/>
        <color rgb="FFF8696B"/>
        <color rgb="FFFCFCFF"/>
        <color rgb="FF63BE7B"/>
      </colorScale>
    </cfRule>
  </conditionalFormatting>
  <conditionalFormatting sqref="O67:W71">
    <cfRule type="colorScale" priority="30">
      <colorScale>
        <cfvo type="min"/>
        <cfvo type="percentile" val="50"/>
        <cfvo type="max"/>
        <color rgb="FFF8696B"/>
        <color rgb="FFFCFCFF"/>
        <color rgb="FF63BE7B"/>
      </colorScale>
    </cfRule>
  </conditionalFormatting>
  <conditionalFormatting sqref="O75:U78">
    <cfRule type="colorScale" priority="26">
      <colorScale>
        <cfvo type="min"/>
        <cfvo type="percentile" val="50"/>
        <cfvo type="max"/>
        <color rgb="FFF8696B"/>
        <color rgb="FFFCFCFF"/>
        <color rgb="FF63BE7B"/>
      </colorScale>
    </cfRule>
  </conditionalFormatting>
  <conditionalFormatting sqref="O75:U78">
    <cfRule type="colorScale" priority="25">
      <colorScale>
        <cfvo type="min"/>
        <cfvo type="percentile" val="50"/>
        <cfvo type="max"/>
        <color rgb="FFF8696B"/>
        <color rgb="FFFCFCFF"/>
        <color rgb="FF63BE7B"/>
      </colorScale>
    </cfRule>
  </conditionalFormatting>
  <conditionalFormatting sqref="O75:W78">
    <cfRule type="colorScale" priority="24">
      <colorScale>
        <cfvo type="min"/>
        <cfvo type="percentile" val="50"/>
        <cfvo type="max"/>
        <color rgb="FFF8696B"/>
        <color rgb="FFFCFCFF"/>
        <color rgb="FF63BE7B"/>
      </colorScale>
    </cfRule>
  </conditionalFormatting>
  <conditionalFormatting sqref="O75:W79">
    <cfRule type="colorScale" priority="22">
      <colorScale>
        <cfvo type="min"/>
        <cfvo type="percentile" val="50"/>
        <cfvo type="max"/>
        <color rgb="FFF8696B"/>
        <color rgb="FFFCFCFF"/>
        <color rgb="FF63BE7B"/>
      </colorScale>
    </cfRule>
  </conditionalFormatting>
  <conditionalFormatting sqref="O23:W31">
    <cfRule type="colorScale" priority="10">
      <colorScale>
        <cfvo type="min"/>
        <cfvo type="percentile" val="50"/>
        <cfvo type="max"/>
        <color rgb="FFF8696B"/>
        <color rgb="FFFCFCFF"/>
        <color rgb="FF63BE7B"/>
      </colorScale>
    </cfRule>
  </conditionalFormatting>
  <conditionalFormatting sqref="L35:L36">
    <cfRule type="colorScale" priority="88">
      <colorScale>
        <cfvo type="min"/>
        <cfvo type="percentile" val="50"/>
        <cfvo type="max"/>
        <color rgb="FFF8696B"/>
        <color rgb="FFFCFCFF"/>
        <color rgb="FF63BE7B"/>
      </colorScale>
    </cfRule>
  </conditionalFormatting>
  <conditionalFormatting sqref="L35:M36">
    <cfRule type="colorScale" priority="89">
      <colorScale>
        <cfvo type="min"/>
        <cfvo type="percentile" val="50"/>
        <cfvo type="max"/>
        <color rgb="FFF8696B"/>
        <color rgb="FFFCFCFF"/>
        <color rgb="FF63BE7B"/>
      </colorScale>
    </cfRule>
  </conditionalFormatting>
  <conditionalFormatting sqref="L41:L47">
    <cfRule type="colorScale" priority="91">
      <colorScale>
        <cfvo type="min"/>
        <cfvo type="percentile" val="50"/>
        <cfvo type="max"/>
        <color rgb="FFF8696B"/>
        <color rgb="FFFCFCFF"/>
        <color rgb="FF63BE7B"/>
      </colorScale>
    </cfRule>
  </conditionalFormatting>
  <conditionalFormatting sqref="L51:L54">
    <cfRule type="colorScale" priority="92">
      <colorScale>
        <cfvo type="min"/>
        <cfvo type="percentile" val="50"/>
        <cfvo type="max"/>
        <color rgb="FFF8696B"/>
        <color rgb="FFFCFCFF"/>
        <color rgb="FF63BE7B"/>
      </colorScale>
    </cfRule>
  </conditionalFormatting>
  <conditionalFormatting sqref="L59:L62">
    <cfRule type="colorScale" priority="93">
      <colorScale>
        <cfvo type="min"/>
        <cfvo type="percentile" val="50"/>
        <cfvo type="max"/>
        <color rgb="FFF8696B"/>
        <color rgb="FFFCFCFF"/>
        <color rgb="FF63BE7B"/>
      </colorScale>
    </cfRule>
  </conditionalFormatting>
  <conditionalFormatting sqref="L59:L63">
    <cfRule type="colorScale" priority="94">
      <colorScale>
        <cfvo type="min"/>
        <cfvo type="percentile" val="50"/>
        <cfvo type="max"/>
        <color rgb="FFF8696B"/>
        <color rgb="FFFCFCFF"/>
        <color rgb="FF63BE7B"/>
      </colorScale>
    </cfRule>
  </conditionalFormatting>
  <conditionalFormatting sqref="L67:L70">
    <cfRule type="colorScale" priority="95">
      <colorScale>
        <cfvo type="min"/>
        <cfvo type="percentile" val="50"/>
        <cfvo type="max"/>
        <color rgb="FFF8696B"/>
        <color rgb="FFFCFCFF"/>
        <color rgb="FF63BE7B"/>
      </colorScale>
    </cfRule>
  </conditionalFormatting>
  <conditionalFormatting sqref="L67:L71">
    <cfRule type="colorScale" priority="96">
      <colorScale>
        <cfvo type="min"/>
        <cfvo type="percentile" val="50"/>
        <cfvo type="max"/>
        <color rgb="FFF8696B"/>
        <color rgb="FFFCFCFF"/>
        <color rgb="FF63BE7B"/>
      </colorScale>
    </cfRule>
  </conditionalFormatting>
  <conditionalFormatting sqref="L75:L78">
    <cfRule type="colorScale" priority="97">
      <colorScale>
        <cfvo type="min"/>
        <cfvo type="percentile" val="50"/>
        <cfvo type="max"/>
        <color rgb="FFF8696B"/>
        <color rgb="FFFCFCFF"/>
        <color rgb="FF63BE7B"/>
      </colorScale>
    </cfRule>
  </conditionalFormatting>
  <conditionalFormatting sqref="L75:L79">
    <cfRule type="colorScale" priority="98">
      <colorScale>
        <cfvo type="min"/>
        <cfvo type="percentile" val="50"/>
        <cfvo type="max"/>
        <color rgb="FFF8696B"/>
        <color rgb="FFFCFCFF"/>
        <color rgb="FF63BE7B"/>
      </colorScale>
    </cfRule>
  </conditionalFormatting>
  <conditionalFormatting sqref="L23:L31">
    <cfRule type="colorScale" priority="102">
      <colorScale>
        <cfvo type="min"/>
        <cfvo type="percentile" val="50"/>
        <cfvo type="max"/>
        <color rgb="FFF8696B"/>
        <color rgb="FFFCFCFF"/>
        <color rgb="FF63BE7B"/>
      </colorScale>
    </cfRule>
  </conditionalFormatting>
  <conditionalFormatting sqref="L2:L5">
    <cfRule type="colorScale" priority="106">
      <colorScale>
        <cfvo type="min"/>
        <cfvo type="percentile" val="50"/>
        <cfvo type="max"/>
        <color rgb="FFF8696B"/>
        <color rgb="FFFCFCFF"/>
        <color rgb="FF63BE7B"/>
      </colorScale>
    </cfRule>
  </conditionalFormatting>
  <conditionalFormatting sqref="O2:W5">
    <cfRule type="colorScale" priority="108">
      <colorScale>
        <cfvo type="min"/>
        <cfvo type="percentile" val="50"/>
        <cfvo type="max"/>
        <color rgb="FFF8696B"/>
        <color rgb="FFFCFCFF"/>
        <color rgb="FF63BE7B"/>
      </colorScale>
    </cfRule>
  </conditionalFormatting>
  <conditionalFormatting sqref="O84:U86">
    <cfRule type="colorScale" priority="116">
      <colorScale>
        <cfvo type="min"/>
        <cfvo type="percentile" val="50"/>
        <cfvo type="max"/>
        <color rgb="FFF8696B"/>
        <color rgb="FFFCFCFF"/>
        <color rgb="FF63BE7B"/>
      </colorScale>
    </cfRule>
  </conditionalFormatting>
  <conditionalFormatting sqref="O84:W86">
    <cfRule type="colorScale" priority="118">
      <colorScale>
        <cfvo type="min"/>
        <cfvo type="percentile" val="50"/>
        <cfvo type="max"/>
        <color rgb="FFF8696B"/>
        <color rgb="FFFCFCFF"/>
        <color rgb="FF63BE7B"/>
      </colorScale>
    </cfRule>
  </conditionalFormatting>
  <conditionalFormatting sqref="L84:L86">
    <cfRule type="colorScale" priority="121">
      <colorScale>
        <cfvo type="min"/>
        <cfvo type="percentile" val="50"/>
        <cfvo type="max"/>
        <color rgb="FFF8696B"/>
        <color rgb="FFFCFCFF"/>
        <color rgb="FF63BE7B"/>
      </colorScale>
    </cfRule>
  </conditionalFormatting>
  <dataValidations count="1">
    <dataValidation type="list" allowBlank="1" showInputMessage="1" showErrorMessage="1" sqref="B17" xr:uid="{93023BD3-75E0-4D0B-A1BC-F2DA8F8F73DB}">
      <formula1>"1100,1330,1660,2000"</formula1>
    </dataValidation>
  </dataValidations>
  <pageMargins left="0.7" right="0.7" top="0.75" bottom="0.75" header="0.3" footer="0.3"/>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3333-5BA0-4DEF-9E96-CF03DAB527CB}">
  <sheetPr>
    <tabColor rgb="FFC00000"/>
    <pageSetUpPr fitToPage="1"/>
  </sheetPr>
  <dimension ref="A1:T130"/>
  <sheetViews>
    <sheetView zoomScale="80" zoomScaleNormal="80" workbookViewId="0">
      <selection activeCell="K13" sqref="K13"/>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16.28515625" bestFit="1" customWidth="1"/>
    <col min="7" max="7" width="14.28515625" bestFit="1" customWidth="1"/>
    <col min="8" max="8" width="13.42578125" bestFit="1" customWidth="1"/>
    <col min="10" max="10" width="15.42578125" bestFit="1" customWidth="1"/>
    <col min="11" max="11" width="13.7109375" bestFit="1" customWidth="1"/>
    <col min="15" max="15" width="12.7109375" bestFit="1" customWidth="1"/>
  </cols>
  <sheetData>
    <row r="1" spans="1:20" ht="19.5" thickBot="1" x14ac:dyDescent="0.35">
      <c r="B1" s="589" t="s">
        <v>276</v>
      </c>
      <c r="C1" s="590"/>
      <c r="D1" s="590"/>
      <c r="E1" s="590"/>
      <c r="F1" s="590"/>
      <c r="G1" s="591"/>
    </row>
    <row r="3" spans="1:20" ht="15.75" x14ac:dyDescent="0.25">
      <c r="C3" s="82"/>
      <c r="D3" s="592" t="s">
        <v>252</v>
      </c>
      <c r="E3" s="592"/>
      <c r="F3" s="592"/>
      <c r="G3" s="81"/>
    </row>
    <row r="4" spans="1:20" ht="15.75" x14ac:dyDescent="0.25">
      <c r="C4" s="63"/>
      <c r="D4" s="78" t="s">
        <v>229</v>
      </c>
      <c r="E4" s="77">
        <f>IRR(F10:F130,0.045)</f>
        <v>0.12108166619275296</v>
      </c>
      <c r="J4" s="29"/>
    </row>
    <row r="5" spans="1:20" ht="15.75" x14ac:dyDescent="0.25">
      <c r="C5" s="63"/>
      <c r="D5" s="74" t="s">
        <v>228</v>
      </c>
      <c r="E5" s="75">
        <f>NPV(B10,F11:F130)+F10</f>
        <v>38172.93738396588</v>
      </c>
      <c r="P5" s="68"/>
      <c r="Q5" s="68"/>
      <c r="R5" s="68"/>
      <c r="S5" s="68"/>
    </row>
    <row r="6" spans="1:20" ht="16.5" thickBot="1" x14ac:dyDescent="0.3">
      <c r="C6" s="63"/>
      <c r="K6" s="68"/>
      <c r="L6" s="68"/>
      <c r="M6" s="68"/>
      <c r="N6" s="68"/>
      <c r="O6" s="68"/>
      <c r="P6" s="68"/>
      <c r="Q6" s="68"/>
      <c r="R6" s="68"/>
      <c r="S6" s="68"/>
    </row>
    <row r="7" spans="1:20" ht="16.5" hidden="1" thickBot="1" x14ac:dyDescent="0.3">
      <c r="C7" s="61"/>
      <c r="F7" s="10" t="s">
        <v>227</v>
      </c>
      <c r="G7" s="73">
        <v>1</v>
      </c>
      <c r="K7" s="68"/>
      <c r="L7" s="68"/>
      <c r="M7" s="68"/>
      <c r="N7" s="68"/>
      <c r="O7" s="68"/>
      <c r="P7" s="68"/>
      <c r="Q7" s="68"/>
      <c r="R7" s="68"/>
      <c r="S7" s="68"/>
    </row>
    <row r="8" spans="1:20" ht="16.5" hidden="1" thickBot="1" x14ac:dyDescent="0.3">
      <c r="C8" s="63"/>
      <c r="E8" s="39"/>
      <c r="F8" t="s">
        <v>226</v>
      </c>
      <c r="G8" s="73">
        <v>1</v>
      </c>
      <c r="K8" s="68"/>
      <c r="L8" s="68"/>
      <c r="M8" s="68"/>
      <c r="N8" s="68"/>
      <c r="O8" s="68"/>
      <c r="P8" s="68"/>
      <c r="Q8" s="68"/>
      <c r="R8" s="68"/>
      <c r="S8" s="68"/>
    </row>
    <row r="9" spans="1:20" ht="16.5" thickBot="1" x14ac:dyDescent="0.3">
      <c r="A9" s="76" t="s">
        <v>230</v>
      </c>
      <c r="B9" s="83"/>
      <c r="C9" s="61"/>
      <c r="D9" s="70" t="s">
        <v>225</v>
      </c>
      <c r="E9" s="70" t="s">
        <v>224</v>
      </c>
      <c r="F9" s="70" t="s">
        <v>219</v>
      </c>
      <c r="G9" s="71" t="s">
        <v>218</v>
      </c>
      <c r="P9" s="68"/>
      <c r="Q9" s="68"/>
      <c r="R9" s="68"/>
      <c r="S9" s="68"/>
    </row>
    <row r="10" spans="1:20" ht="16.5" thickBot="1" x14ac:dyDescent="0.3">
      <c r="A10" s="79" t="s">
        <v>189</v>
      </c>
      <c r="B10" s="80">
        <f>Fiche_signalétique_projet!D57</f>
        <v>4.4999999999999998E-2</v>
      </c>
      <c r="C10" s="60"/>
      <c r="D10" s="22">
        <v>0</v>
      </c>
      <c r="E10" s="22" t="s">
        <v>241</v>
      </c>
      <c r="F10" s="95">
        <f>(B13+B15+B14)*(-B11)*(1+B17)</f>
        <v>-18985.660836501906</v>
      </c>
      <c r="G10" s="21">
        <f t="shared" ref="G10:G41" si="0">F10/(1+$B$10)^D10</f>
        <v>-18985.660836501906</v>
      </c>
    </row>
    <row r="11" spans="1:20" ht="16.5" thickBot="1" x14ac:dyDescent="0.3">
      <c r="A11" s="63" t="s">
        <v>190</v>
      </c>
      <c r="B11" s="67">
        <f>Annexe_îlots_boisements!D105</f>
        <v>3.5041825095057035</v>
      </c>
      <c r="C11" s="61"/>
      <c r="D11" s="22">
        <v>1</v>
      </c>
      <c r="E11" s="22" t="s">
        <v>242</v>
      </c>
      <c r="F11" s="23">
        <f>-$B$16*$B$11*(1+B17)</f>
        <v>-981.17110266159705</v>
      </c>
      <c r="G11" s="21">
        <f t="shared" si="0"/>
        <v>-938.91971546564321</v>
      </c>
      <c r="J11" s="29"/>
      <c r="K11" s="27"/>
      <c r="L11" s="27"/>
      <c r="M11" s="27"/>
      <c r="N11" s="27"/>
      <c r="O11" s="27"/>
      <c r="P11" s="27"/>
      <c r="Q11" s="27"/>
      <c r="R11" s="27"/>
      <c r="S11" s="27"/>
    </row>
    <row r="12" spans="1:20" ht="18.75" x14ac:dyDescent="0.3">
      <c r="A12" s="66" t="s">
        <v>215</v>
      </c>
      <c r="B12" s="65"/>
      <c r="C12" s="60"/>
      <c r="D12" s="22">
        <v>2</v>
      </c>
      <c r="E12" s="22" t="s">
        <v>242</v>
      </c>
      <c r="F12" s="23">
        <f>-$B$16*$B$11*(1+B17)</f>
        <v>-981.17110266159705</v>
      </c>
      <c r="G12" s="21">
        <f t="shared" si="0"/>
        <v>-898.48776599583084</v>
      </c>
      <c r="I12" s="28"/>
      <c r="J12" s="58"/>
      <c r="K12" s="26"/>
      <c r="L12" s="26"/>
      <c r="M12" s="26"/>
      <c r="N12" s="26"/>
      <c r="O12" s="26"/>
      <c r="P12" s="26"/>
      <c r="Q12" s="26"/>
      <c r="R12" s="26"/>
      <c r="S12" s="26"/>
      <c r="T12" s="26"/>
    </row>
    <row r="13" spans="1:20" ht="18.75" x14ac:dyDescent="0.3">
      <c r="A13" s="52" t="s">
        <v>237</v>
      </c>
      <c r="B13" s="55">
        <v>1171.875</v>
      </c>
      <c r="C13" s="63"/>
      <c r="D13" s="22">
        <v>3</v>
      </c>
      <c r="E13" s="22" t="s">
        <v>242</v>
      </c>
      <c r="F13" s="23">
        <f>-$B$16*$B$11*(1+B17)</f>
        <v>-981.17110266159705</v>
      </c>
      <c r="G13" s="21">
        <f t="shared" si="0"/>
        <v>-859.79690525916828</v>
      </c>
      <c r="I13" s="28"/>
      <c r="J13" s="58"/>
      <c r="K13" s="26"/>
      <c r="L13" s="26"/>
      <c r="M13" s="26"/>
      <c r="N13" s="26"/>
      <c r="O13" s="26"/>
      <c r="P13" s="26"/>
      <c r="Q13" s="26"/>
      <c r="R13" s="26"/>
      <c r="S13" s="26"/>
      <c r="T13" s="26"/>
    </row>
    <row r="14" spans="1:20" ht="18.75" x14ac:dyDescent="0.3">
      <c r="A14" s="52" t="s">
        <v>238</v>
      </c>
      <c r="B14" s="55">
        <v>1715.6249999999998</v>
      </c>
      <c r="C14" s="61"/>
      <c r="D14" s="22">
        <v>4</v>
      </c>
      <c r="E14" s="22"/>
      <c r="F14" s="23"/>
      <c r="G14" s="21">
        <f t="shared" si="0"/>
        <v>0</v>
      </c>
      <c r="I14" s="28"/>
      <c r="J14" s="58"/>
      <c r="K14" s="26"/>
      <c r="L14" s="26"/>
      <c r="M14" s="26"/>
      <c r="N14" s="26"/>
      <c r="O14" s="26"/>
      <c r="P14" s="26"/>
      <c r="Q14" s="26"/>
      <c r="R14" s="26"/>
      <c r="S14" s="26"/>
      <c r="T14" s="26"/>
    </row>
    <row r="15" spans="1:20" ht="16.149999999999999" customHeight="1" x14ac:dyDescent="0.3">
      <c r="A15" s="52" t="s">
        <v>239</v>
      </c>
      <c r="B15" s="62">
        <v>1950</v>
      </c>
      <c r="C15" s="60"/>
      <c r="D15" s="22">
        <v>5</v>
      </c>
      <c r="E15" s="22" t="s">
        <v>240</v>
      </c>
      <c r="F15" s="23">
        <f>-$B$16*$B$11*(1+B17)</f>
        <v>-981.17110266159705</v>
      </c>
      <c r="G15" s="21">
        <f t="shared" si="0"/>
        <v>-787.34177812702876</v>
      </c>
      <c r="I15" s="28"/>
      <c r="J15" s="58"/>
      <c r="K15" s="26"/>
      <c r="L15" s="26"/>
      <c r="M15" s="26"/>
      <c r="N15" s="26"/>
      <c r="O15" s="26"/>
      <c r="P15" s="26"/>
      <c r="Q15" s="26"/>
      <c r="R15" s="26"/>
      <c r="S15" s="26"/>
      <c r="T15" s="26"/>
    </row>
    <row r="16" spans="1:20" ht="18.75" x14ac:dyDescent="0.3">
      <c r="A16" s="52" t="s">
        <v>242</v>
      </c>
      <c r="B16" s="94">
        <v>250</v>
      </c>
      <c r="C16" s="63"/>
      <c r="D16" s="22">
        <v>6</v>
      </c>
      <c r="E16" s="22"/>
      <c r="F16" s="23"/>
      <c r="G16" s="21">
        <f t="shared" si="0"/>
        <v>0</v>
      </c>
      <c r="I16" s="28"/>
      <c r="K16" s="26"/>
      <c r="L16" s="26"/>
      <c r="M16" s="26"/>
      <c r="N16" s="26"/>
      <c r="O16" s="26"/>
      <c r="P16" s="26"/>
      <c r="Q16" s="26"/>
      <c r="R16" s="26"/>
      <c r="S16" s="26"/>
      <c r="T16" s="26"/>
    </row>
    <row r="17" spans="1:20" ht="18.75" x14ac:dyDescent="0.3">
      <c r="A17" s="52" t="s">
        <v>214</v>
      </c>
      <c r="B17" s="51">
        <v>0.12</v>
      </c>
      <c r="C17" s="61"/>
      <c r="D17" s="22">
        <v>7</v>
      </c>
      <c r="E17" s="22" t="s">
        <v>216</v>
      </c>
      <c r="F17" s="23">
        <f>-$B$16*$B$11*(1+B17)</f>
        <v>-981.17110266159705</v>
      </c>
      <c r="G17" s="21">
        <f t="shared" si="0"/>
        <v>-720.99244809141624</v>
      </c>
      <c r="O17" s="30"/>
      <c r="S17" s="26"/>
      <c r="T17" s="26"/>
    </row>
    <row r="18" spans="1:20" ht="19.5" thickBot="1" x14ac:dyDescent="0.35">
      <c r="A18" s="96" t="s">
        <v>243</v>
      </c>
      <c r="B18" s="139"/>
      <c r="C18" s="60"/>
      <c r="D18" s="22">
        <v>8</v>
      </c>
      <c r="E18" s="22"/>
      <c r="F18" s="23"/>
      <c r="G18" s="21">
        <f t="shared" si="0"/>
        <v>0</v>
      </c>
      <c r="J18" s="29"/>
      <c r="K18" s="64"/>
      <c r="L18" s="64"/>
      <c r="M18" s="64"/>
      <c r="N18" s="64"/>
      <c r="O18" s="64"/>
      <c r="P18" s="64"/>
      <c r="Q18" s="64"/>
      <c r="R18" s="64"/>
      <c r="S18" s="26"/>
      <c r="T18" s="26"/>
    </row>
    <row r="19" spans="1:20" ht="19.5" thickBot="1" x14ac:dyDescent="0.35">
      <c r="A19" s="48" t="s">
        <v>213</v>
      </c>
      <c r="B19" s="48"/>
      <c r="C19" s="63"/>
      <c r="D19" s="22">
        <v>9</v>
      </c>
      <c r="E19" s="22"/>
      <c r="F19" s="23"/>
      <c r="G19" s="21">
        <f t="shared" si="0"/>
        <v>0</v>
      </c>
      <c r="J19" s="58"/>
      <c r="K19" s="26"/>
      <c r="L19" s="26"/>
      <c r="M19" s="26"/>
      <c r="N19" s="26"/>
      <c r="O19" s="26"/>
      <c r="P19" s="26"/>
      <c r="Q19" s="26"/>
      <c r="R19" s="26"/>
      <c r="S19" s="26"/>
      <c r="T19" s="26"/>
    </row>
    <row r="20" spans="1:20" ht="18.75" x14ac:dyDescent="0.3">
      <c r="A20" s="47" t="s">
        <v>212</v>
      </c>
      <c r="B20" s="46">
        <v>30</v>
      </c>
      <c r="C20" s="61"/>
      <c r="D20" s="22">
        <v>10</v>
      </c>
      <c r="E20" s="22"/>
      <c r="F20" s="23"/>
      <c r="G20" s="21">
        <f t="shared" si="0"/>
        <v>0</v>
      </c>
      <c r="J20" s="58"/>
      <c r="K20" s="26"/>
      <c r="L20" s="26"/>
      <c r="M20" s="26"/>
      <c r="N20" s="26"/>
      <c r="O20" s="26"/>
      <c r="P20" s="26"/>
      <c r="Q20" s="26"/>
      <c r="R20" s="26"/>
      <c r="S20" s="26"/>
      <c r="T20" s="26"/>
    </row>
    <row r="21" spans="1:20" ht="18.75" x14ac:dyDescent="0.3">
      <c r="A21" s="45" t="s">
        <v>211</v>
      </c>
      <c r="B21" s="46">
        <v>35</v>
      </c>
      <c r="C21" s="60"/>
      <c r="D21" s="22">
        <v>11</v>
      </c>
      <c r="E21" s="22"/>
      <c r="F21" s="23"/>
      <c r="G21" s="21">
        <f t="shared" si="0"/>
        <v>0</v>
      </c>
      <c r="J21" s="58"/>
      <c r="K21" s="26"/>
      <c r="L21" s="26"/>
      <c r="M21" s="26"/>
      <c r="N21" s="26"/>
      <c r="O21" s="26"/>
      <c r="P21" s="26"/>
      <c r="Q21" s="26"/>
      <c r="R21" s="26"/>
    </row>
    <row r="22" spans="1:20" ht="18.75" x14ac:dyDescent="0.3">
      <c r="A22" s="45" t="s">
        <v>210</v>
      </c>
      <c r="B22" s="46">
        <v>40</v>
      </c>
      <c r="D22" s="22">
        <v>12</v>
      </c>
      <c r="E22" s="22" t="s">
        <v>244</v>
      </c>
      <c r="F22" s="23">
        <f>-(B18)*$B$11*(1+B17)</f>
        <v>0</v>
      </c>
      <c r="G22" s="21">
        <f t="shared" si="0"/>
        <v>0</v>
      </c>
      <c r="J22" s="58"/>
      <c r="K22" s="26"/>
      <c r="L22" s="26"/>
      <c r="M22" s="26"/>
      <c r="N22" s="26"/>
      <c r="O22" s="26"/>
      <c r="P22" s="26"/>
      <c r="Q22" s="26"/>
      <c r="R22" s="26"/>
    </row>
    <row r="23" spans="1:20" ht="18.75" x14ac:dyDescent="0.3">
      <c r="A23" s="47" t="s">
        <v>209</v>
      </c>
      <c r="B23" s="46">
        <v>30</v>
      </c>
      <c r="C23" s="59"/>
      <c r="D23" s="22">
        <v>13</v>
      </c>
      <c r="E23" s="22"/>
      <c r="F23" s="23"/>
      <c r="G23" s="21">
        <f t="shared" si="0"/>
        <v>0</v>
      </c>
      <c r="J23" s="58"/>
    </row>
    <row r="24" spans="1:20" ht="18.75" x14ac:dyDescent="0.3">
      <c r="A24" s="45" t="s">
        <v>208</v>
      </c>
      <c r="B24" s="46">
        <v>30</v>
      </c>
      <c r="C24" s="57"/>
      <c r="D24" s="22">
        <v>14</v>
      </c>
      <c r="E24" s="22"/>
      <c r="F24" s="23"/>
      <c r="G24" s="21">
        <f t="shared" si="0"/>
        <v>0</v>
      </c>
      <c r="O24" s="30"/>
    </row>
    <row r="25" spans="1:20" ht="18.75" x14ac:dyDescent="0.3">
      <c r="A25" s="45" t="s">
        <v>207</v>
      </c>
      <c r="B25" s="46">
        <v>45</v>
      </c>
      <c r="C25" s="57"/>
      <c r="D25" s="22">
        <v>15</v>
      </c>
      <c r="E25" s="22"/>
      <c r="F25" s="23"/>
      <c r="G25" s="21">
        <f t="shared" si="0"/>
        <v>0</v>
      </c>
      <c r="J25" s="29"/>
      <c r="K25" s="33"/>
      <c r="L25" s="33"/>
      <c r="M25" s="33"/>
      <c r="N25" s="33"/>
      <c r="O25" s="33"/>
      <c r="P25" s="33"/>
      <c r="Q25" s="33"/>
      <c r="R25" s="33"/>
      <c r="S25" s="33"/>
    </row>
    <row r="26" spans="1:20" ht="18.75" x14ac:dyDescent="0.3">
      <c r="A26" s="45" t="s">
        <v>206</v>
      </c>
      <c r="B26" s="46">
        <v>50</v>
      </c>
      <c r="C26" s="57"/>
      <c r="D26" s="22">
        <v>16</v>
      </c>
      <c r="E26" s="22"/>
      <c r="F26" s="23"/>
      <c r="G26" s="21">
        <f t="shared" si="0"/>
        <v>0</v>
      </c>
      <c r="K26" s="26"/>
      <c r="L26" s="26"/>
      <c r="M26" s="26"/>
      <c r="N26" s="26"/>
      <c r="O26" s="26"/>
      <c r="P26" s="26"/>
      <c r="Q26" s="26"/>
      <c r="R26" s="26"/>
      <c r="S26" s="26"/>
    </row>
    <row r="27" spans="1:20" ht="18.75" x14ac:dyDescent="0.3">
      <c r="A27" s="47" t="s">
        <v>205</v>
      </c>
      <c r="B27" s="46">
        <v>175</v>
      </c>
      <c r="C27" s="33"/>
      <c r="D27" s="22">
        <v>17</v>
      </c>
      <c r="E27" s="22"/>
      <c r="F27" s="23"/>
      <c r="G27" s="21">
        <f t="shared" si="0"/>
        <v>0</v>
      </c>
      <c r="K27" s="26"/>
      <c r="L27" s="26"/>
      <c r="M27" s="26"/>
      <c r="N27" s="26"/>
      <c r="O27" s="26"/>
      <c r="P27" s="26"/>
      <c r="Q27" s="26"/>
      <c r="R27" s="26"/>
      <c r="S27" s="26"/>
    </row>
    <row r="28" spans="1:20" ht="19.5" thickBot="1" x14ac:dyDescent="0.35">
      <c r="A28" s="45" t="s">
        <v>204</v>
      </c>
      <c r="B28" s="44">
        <v>0</v>
      </c>
      <c r="D28" s="22">
        <v>18</v>
      </c>
      <c r="E28" s="22"/>
      <c r="F28" s="23"/>
      <c r="G28" s="21">
        <f t="shared" si="0"/>
        <v>0</v>
      </c>
      <c r="K28" s="26"/>
      <c r="L28" s="26"/>
      <c r="M28" s="26"/>
      <c r="N28" s="26"/>
      <c r="O28" s="26"/>
      <c r="P28" s="26"/>
      <c r="Q28" s="26"/>
      <c r="R28" s="26"/>
      <c r="S28" s="26"/>
    </row>
    <row r="29" spans="1:20" ht="19.5" thickBot="1" x14ac:dyDescent="0.35">
      <c r="A29" s="43" t="s">
        <v>203</v>
      </c>
      <c r="B29" s="42"/>
      <c r="D29" s="22">
        <v>19</v>
      </c>
      <c r="E29" s="22"/>
      <c r="F29" s="23"/>
      <c r="G29" s="21">
        <f t="shared" si="0"/>
        <v>0</v>
      </c>
      <c r="K29" s="26"/>
      <c r="L29" s="26"/>
      <c r="M29" s="26"/>
      <c r="N29" s="26"/>
      <c r="O29" s="26"/>
      <c r="P29" s="26"/>
      <c r="Q29" s="26"/>
      <c r="R29" s="26"/>
      <c r="S29" s="26"/>
    </row>
    <row r="30" spans="1:20" ht="18.75" x14ac:dyDescent="0.3">
      <c r="A30" s="41" t="s">
        <v>202</v>
      </c>
      <c r="B30" s="40">
        <v>8</v>
      </c>
      <c r="D30" s="22">
        <v>20</v>
      </c>
      <c r="E30" s="22" t="s">
        <v>244</v>
      </c>
      <c r="F30" s="23">
        <f>-(B18)*$B$11*(1+B17)</f>
        <v>0</v>
      </c>
      <c r="G30" s="21">
        <f t="shared" si="0"/>
        <v>0</v>
      </c>
      <c r="J30" s="56"/>
      <c r="K30" s="26"/>
      <c r="L30" s="26"/>
      <c r="M30" s="26"/>
      <c r="N30" s="26"/>
      <c r="O30" s="26"/>
      <c r="P30" s="26"/>
      <c r="Q30" s="26"/>
      <c r="R30" s="26"/>
      <c r="S30" s="26"/>
    </row>
    <row r="31" spans="1:20" ht="18.75" x14ac:dyDescent="0.3">
      <c r="A31" s="38" t="s">
        <v>201</v>
      </c>
      <c r="B31" s="35">
        <v>12</v>
      </c>
      <c r="D31" s="22">
        <v>21</v>
      </c>
      <c r="E31" s="22"/>
      <c r="F31" s="23"/>
      <c r="G31" s="21">
        <f t="shared" si="0"/>
        <v>0</v>
      </c>
      <c r="K31" s="26"/>
      <c r="L31" s="26"/>
      <c r="M31" s="26"/>
      <c r="N31" s="26"/>
      <c r="O31" s="26"/>
      <c r="P31" s="26"/>
      <c r="Q31" s="26"/>
      <c r="R31" s="26"/>
      <c r="S31" s="26"/>
    </row>
    <row r="32" spans="1:20" ht="18.75" x14ac:dyDescent="0.3">
      <c r="A32" s="36" t="s">
        <v>200</v>
      </c>
      <c r="B32" s="35">
        <v>15</v>
      </c>
      <c r="D32" s="22">
        <v>22</v>
      </c>
      <c r="E32" s="22"/>
      <c r="F32" s="23"/>
      <c r="G32" s="21">
        <f t="shared" si="0"/>
        <v>0</v>
      </c>
      <c r="K32" s="26"/>
      <c r="L32" s="26"/>
      <c r="M32" s="26"/>
      <c r="N32" s="26"/>
      <c r="O32" s="26"/>
      <c r="P32" s="26"/>
      <c r="Q32" s="26"/>
      <c r="R32" s="26"/>
      <c r="S32" s="26"/>
    </row>
    <row r="33" spans="1:20" ht="18.75" x14ac:dyDescent="0.3">
      <c r="A33" s="38" t="s">
        <v>199</v>
      </c>
      <c r="B33" s="35">
        <v>20</v>
      </c>
      <c r="D33" s="22">
        <v>23</v>
      </c>
      <c r="E33" s="22"/>
      <c r="F33" s="23"/>
      <c r="G33" s="21">
        <f t="shared" si="0"/>
        <v>0</v>
      </c>
      <c r="K33" s="26"/>
      <c r="L33" s="26"/>
      <c r="M33" s="26"/>
      <c r="N33" s="26"/>
      <c r="O33" s="26"/>
      <c r="P33" s="26"/>
      <c r="Q33" s="26"/>
      <c r="R33" s="26"/>
      <c r="S33" s="26"/>
    </row>
    <row r="34" spans="1:20" ht="18.75" x14ac:dyDescent="0.3">
      <c r="A34" s="36" t="s">
        <v>198</v>
      </c>
      <c r="B34" s="35">
        <v>30</v>
      </c>
      <c r="D34" s="22">
        <v>24</v>
      </c>
      <c r="E34" s="22"/>
      <c r="F34" s="23"/>
      <c r="G34" s="21">
        <f t="shared" si="0"/>
        <v>0</v>
      </c>
      <c r="K34" s="26"/>
      <c r="L34" s="26"/>
      <c r="M34" s="26"/>
      <c r="N34" s="26"/>
      <c r="O34" s="26"/>
      <c r="P34" s="26"/>
      <c r="Q34" s="26"/>
      <c r="R34" s="26"/>
      <c r="S34" s="26"/>
    </row>
    <row r="35" spans="1:20" ht="18.75" x14ac:dyDescent="0.3">
      <c r="A35" s="38" t="s">
        <v>197</v>
      </c>
      <c r="B35" s="35">
        <v>35</v>
      </c>
      <c r="D35" s="22">
        <v>25</v>
      </c>
      <c r="E35" s="22" t="s">
        <v>247</v>
      </c>
      <c r="F35" s="23">
        <f>(B20*B30)*B11</f>
        <v>841.00380228136885</v>
      </c>
      <c r="G35" s="21">
        <f t="shared" si="0"/>
        <v>279.82769694148874</v>
      </c>
    </row>
    <row r="36" spans="1:20" ht="18.75" x14ac:dyDescent="0.3">
      <c r="A36" s="36" t="s">
        <v>196</v>
      </c>
      <c r="B36" s="35">
        <v>50</v>
      </c>
      <c r="D36" s="22">
        <v>26</v>
      </c>
      <c r="E36" s="22"/>
      <c r="F36" s="23"/>
      <c r="G36" s="21">
        <f t="shared" si="0"/>
        <v>0</v>
      </c>
      <c r="O36" s="30"/>
    </row>
    <row r="37" spans="1:20" ht="19.5" thickBot="1" x14ac:dyDescent="0.35">
      <c r="A37" s="32" t="s">
        <v>195</v>
      </c>
      <c r="B37" s="31">
        <v>150</v>
      </c>
      <c r="D37" s="22">
        <v>27</v>
      </c>
      <c r="E37" s="22"/>
      <c r="F37" s="23"/>
      <c r="G37" s="21">
        <f t="shared" si="0"/>
        <v>0</v>
      </c>
      <c r="J37" s="29"/>
    </row>
    <row r="38" spans="1:20" ht="18.75" x14ac:dyDescent="0.3">
      <c r="A38" s="52"/>
      <c r="B38" s="51"/>
      <c r="D38" s="22">
        <v>28</v>
      </c>
      <c r="E38" s="22"/>
      <c r="F38" s="23"/>
      <c r="G38" s="21">
        <f t="shared" si="0"/>
        <v>0</v>
      </c>
      <c r="I38" s="28"/>
      <c r="J38" s="27"/>
      <c r="K38" s="26"/>
      <c r="L38" s="26"/>
      <c r="M38" s="26"/>
      <c r="N38" s="26"/>
      <c r="O38" s="26"/>
      <c r="P38" s="26"/>
      <c r="Q38" s="26"/>
      <c r="R38" s="26"/>
      <c r="S38" s="26"/>
      <c r="T38" s="26"/>
    </row>
    <row r="39" spans="1:20" ht="19.5" thickBot="1" x14ac:dyDescent="0.35">
      <c r="A39" s="50"/>
      <c r="B39" s="49"/>
      <c r="D39" s="22">
        <v>29</v>
      </c>
      <c r="E39" s="22"/>
      <c r="F39" s="23"/>
      <c r="G39" s="21">
        <f t="shared" si="0"/>
        <v>0</v>
      </c>
      <c r="I39" s="28"/>
      <c r="J39" s="27"/>
      <c r="K39" s="26"/>
      <c r="L39" s="26"/>
      <c r="M39" s="26"/>
      <c r="N39" s="26"/>
      <c r="O39" s="26"/>
      <c r="P39" s="26"/>
      <c r="Q39" s="26"/>
      <c r="R39" s="26"/>
      <c r="S39" s="26"/>
      <c r="T39" s="26"/>
    </row>
    <row r="40" spans="1:20" ht="18.75" x14ac:dyDescent="0.3">
      <c r="A40" s="54"/>
      <c r="B40" s="53"/>
      <c r="D40" s="22">
        <v>30</v>
      </c>
      <c r="E40" s="22"/>
      <c r="F40" s="23"/>
      <c r="G40" s="21">
        <f t="shared" si="0"/>
        <v>0</v>
      </c>
    </row>
    <row r="41" spans="1:20" ht="18.75" x14ac:dyDescent="0.3">
      <c r="A41" s="52"/>
      <c r="B41" s="51"/>
      <c r="D41" s="22">
        <v>31</v>
      </c>
      <c r="E41" s="22"/>
      <c r="F41" s="23"/>
      <c r="G41" s="21">
        <f t="shared" si="0"/>
        <v>0</v>
      </c>
    </row>
    <row r="42" spans="1:20" ht="19.5" thickBot="1" x14ac:dyDescent="0.35">
      <c r="A42" s="50"/>
      <c r="B42" s="49"/>
      <c r="D42" s="22">
        <v>32</v>
      </c>
      <c r="E42" s="22"/>
      <c r="F42" s="23"/>
      <c r="G42" s="21">
        <f t="shared" ref="G42:G73" si="1">F42/(1+$B$10)^D42</f>
        <v>0</v>
      </c>
      <c r="O42" s="30"/>
    </row>
    <row r="43" spans="1:20" x14ac:dyDescent="0.25">
      <c r="D43" s="22">
        <v>33</v>
      </c>
      <c r="E43" s="22"/>
      <c r="F43" s="23"/>
      <c r="G43" s="21">
        <f t="shared" si="1"/>
        <v>0</v>
      </c>
      <c r="J43" s="29"/>
    </row>
    <row r="44" spans="1:20" x14ac:dyDescent="0.25">
      <c r="D44" s="22">
        <v>34</v>
      </c>
      <c r="E44" s="22"/>
      <c r="F44" s="23"/>
      <c r="G44" s="21">
        <f t="shared" si="1"/>
        <v>0</v>
      </c>
      <c r="J44" s="27"/>
      <c r="K44" s="26"/>
      <c r="L44" s="26"/>
      <c r="M44" s="26"/>
      <c r="N44" s="26"/>
      <c r="O44" s="26"/>
      <c r="P44" s="26"/>
      <c r="Q44" s="26"/>
      <c r="R44" s="33"/>
      <c r="S44" s="33"/>
    </row>
    <row r="45" spans="1:20" x14ac:dyDescent="0.25">
      <c r="D45" s="22">
        <v>35</v>
      </c>
      <c r="E45" s="22"/>
      <c r="F45" s="23"/>
      <c r="G45" s="21">
        <f t="shared" si="1"/>
        <v>0</v>
      </c>
      <c r="J45" s="27"/>
      <c r="K45" s="26"/>
      <c r="L45" s="26"/>
      <c r="M45" s="26"/>
      <c r="N45" s="26"/>
      <c r="O45" s="26"/>
      <c r="P45" s="26"/>
      <c r="Q45" s="26"/>
      <c r="R45" s="33"/>
      <c r="S45" s="33"/>
    </row>
    <row r="46" spans="1:20" x14ac:dyDescent="0.25">
      <c r="D46" s="22">
        <v>36</v>
      </c>
      <c r="E46" s="22"/>
      <c r="F46" s="23"/>
      <c r="G46" s="21">
        <f t="shared" si="1"/>
        <v>0</v>
      </c>
      <c r="J46" s="27"/>
      <c r="K46" s="26"/>
      <c r="L46" s="26"/>
      <c r="M46" s="26"/>
      <c r="N46" s="26"/>
      <c r="O46" s="26"/>
      <c r="P46" s="26"/>
      <c r="Q46" s="26"/>
      <c r="R46" s="33"/>
      <c r="S46" s="33"/>
    </row>
    <row r="47" spans="1:20" x14ac:dyDescent="0.25">
      <c r="D47" s="22">
        <v>37</v>
      </c>
      <c r="E47" s="22"/>
      <c r="F47" s="23"/>
      <c r="G47" s="21">
        <f t="shared" si="1"/>
        <v>0</v>
      </c>
      <c r="J47" s="27"/>
      <c r="K47" s="26"/>
      <c r="L47" s="26"/>
      <c r="M47" s="26"/>
      <c r="N47" s="26"/>
      <c r="O47" s="26"/>
      <c r="P47" s="26"/>
      <c r="Q47" s="26"/>
      <c r="R47" s="33"/>
      <c r="S47" s="33"/>
    </row>
    <row r="48" spans="1:20" x14ac:dyDescent="0.25">
      <c r="D48" s="22">
        <v>38</v>
      </c>
      <c r="E48" s="22" t="s">
        <v>246</v>
      </c>
      <c r="F48" s="23">
        <f>(B21*B31)*B11</f>
        <v>1471.7566539923955</v>
      </c>
      <c r="G48" s="21">
        <f t="shared" si="1"/>
        <v>276.32295907297646</v>
      </c>
      <c r="J48" s="27"/>
      <c r="K48" s="26"/>
      <c r="L48" s="26"/>
      <c r="M48" s="26"/>
      <c r="N48" s="26"/>
      <c r="O48" s="26"/>
      <c r="P48" s="26"/>
      <c r="Q48" s="26"/>
      <c r="R48" s="33"/>
      <c r="S48" s="33"/>
    </row>
    <row r="49" spans="4:19" x14ac:dyDescent="0.25">
      <c r="D49" s="22">
        <v>39</v>
      </c>
      <c r="E49" s="22"/>
      <c r="F49" s="23"/>
      <c r="G49" s="21">
        <f t="shared" si="1"/>
        <v>0</v>
      </c>
      <c r="J49" s="27"/>
      <c r="K49" s="26"/>
      <c r="L49" s="26"/>
      <c r="M49" s="26"/>
      <c r="N49" s="26"/>
      <c r="O49" s="26"/>
      <c r="P49" s="26"/>
      <c r="Q49" s="26"/>
      <c r="R49" s="33"/>
      <c r="S49" s="33"/>
    </row>
    <row r="50" spans="4:19" x14ac:dyDescent="0.25">
      <c r="D50" s="22">
        <v>40</v>
      </c>
      <c r="E50" s="22"/>
      <c r="F50" s="23"/>
      <c r="G50" s="21">
        <f t="shared" si="1"/>
        <v>0</v>
      </c>
      <c r="J50" s="27"/>
      <c r="K50" s="26"/>
      <c r="L50" s="26"/>
      <c r="M50" s="26"/>
      <c r="N50" s="26"/>
      <c r="O50" s="26"/>
      <c r="P50" s="26"/>
      <c r="Q50" s="26"/>
      <c r="R50" s="33"/>
      <c r="S50" s="33"/>
    </row>
    <row r="51" spans="4:19" x14ac:dyDescent="0.25">
      <c r="D51" s="22">
        <v>41</v>
      </c>
      <c r="E51" s="22"/>
      <c r="F51" s="23"/>
      <c r="G51" s="21">
        <f t="shared" si="1"/>
        <v>0</v>
      </c>
      <c r="J51" s="26"/>
      <c r="K51" s="26"/>
      <c r="L51" s="26"/>
      <c r="M51" s="26"/>
      <c r="N51" s="26"/>
      <c r="O51" s="26"/>
      <c r="P51" s="26"/>
    </row>
    <row r="52" spans="4:19" x14ac:dyDescent="0.25">
      <c r="D52" s="22">
        <v>42</v>
      </c>
      <c r="E52" s="22"/>
      <c r="F52" s="23"/>
      <c r="G52" s="21">
        <f>F105/(1+$B$10)^D105</f>
        <v>0</v>
      </c>
      <c r="O52" s="30"/>
    </row>
    <row r="53" spans="4:19" x14ac:dyDescent="0.25">
      <c r="D53" s="22">
        <v>43</v>
      </c>
      <c r="E53" s="22"/>
      <c r="F53" s="23"/>
      <c r="G53" s="21">
        <f>F105/(1+$B$10)^D105</f>
        <v>0</v>
      </c>
      <c r="J53" s="29"/>
    </row>
    <row r="54" spans="4:19" x14ac:dyDescent="0.25">
      <c r="D54" s="22">
        <v>44</v>
      </c>
      <c r="E54" s="22"/>
      <c r="F54" s="22"/>
      <c r="G54" s="21">
        <f t="shared" si="1"/>
        <v>0</v>
      </c>
      <c r="J54" s="37"/>
      <c r="K54" s="26"/>
      <c r="L54" s="26"/>
      <c r="M54" s="26"/>
      <c r="N54" s="26"/>
      <c r="O54" s="26"/>
      <c r="P54" s="26"/>
      <c r="Q54" s="26"/>
      <c r="R54" s="33"/>
      <c r="S54" s="33"/>
    </row>
    <row r="55" spans="4:19" x14ac:dyDescent="0.25">
      <c r="D55" s="22">
        <v>45</v>
      </c>
      <c r="E55" s="22"/>
      <c r="G55" s="21">
        <f t="shared" si="1"/>
        <v>0</v>
      </c>
      <c r="J55" s="37"/>
      <c r="K55" s="26"/>
      <c r="L55" s="26"/>
      <c r="M55" s="26"/>
      <c r="N55" s="26"/>
      <c r="O55" s="26"/>
      <c r="P55" s="26"/>
      <c r="Q55" s="26"/>
      <c r="R55" s="33"/>
      <c r="S55" s="33"/>
    </row>
    <row r="56" spans="4:19" x14ac:dyDescent="0.25">
      <c r="D56" s="22">
        <v>46</v>
      </c>
      <c r="E56" s="22"/>
      <c r="F56" s="23"/>
      <c r="G56" s="21">
        <f t="shared" si="1"/>
        <v>0</v>
      </c>
      <c r="J56" s="37"/>
      <c r="K56" s="26"/>
      <c r="L56" s="26"/>
      <c r="M56" s="26"/>
      <c r="N56" s="26"/>
      <c r="O56" s="26"/>
      <c r="P56" s="26"/>
      <c r="Q56" s="26"/>
      <c r="R56" s="33"/>
      <c r="S56" s="33"/>
    </row>
    <row r="57" spans="4:19" x14ac:dyDescent="0.25">
      <c r="D57" s="22">
        <v>47</v>
      </c>
      <c r="E57" s="22"/>
      <c r="F57" s="23"/>
      <c r="G57" s="21">
        <f t="shared" si="1"/>
        <v>0</v>
      </c>
      <c r="J57" s="37"/>
      <c r="K57" s="26"/>
      <c r="L57" s="26"/>
      <c r="M57" s="26"/>
      <c r="N57" s="26"/>
      <c r="O57" s="26"/>
      <c r="P57" s="26"/>
      <c r="Q57" s="26"/>
      <c r="R57" s="33"/>
      <c r="S57" s="33"/>
    </row>
    <row r="58" spans="4:19" x14ac:dyDescent="0.25">
      <c r="D58" s="22">
        <v>48</v>
      </c>
      <c r="E58" s="22"/>
      <c r="F58" s="23"/>
      <c r="G58" s="21">
        <f t="shared" si="1"/>
        <v>0</v>
      </c>
    </row>
    <row r="59" spans="4:19" x14ac:dyDescent="0.25">
      <c r="D59" s="22">
        <v>49</v>
      </c>
      <c r="E59" s="22"/>
      <c r="F59" s="22"/>
      <c r="G59" s="21">
        <f t="shared" si="1"/>
        <v>0</v>
      </c>
    </row>
    <row r="60" spans="4:19" x14ac:dyDescent="0.25">
      <c r="D60" s="22">
        <v>50</v>
      </c>
      <c r="E60" s="22"/>
      <c r="F60" s="23"/>
      <c r="G60" s="21">
        <f t="shared" si="1"/>
        <v>0</v>
      </c>
      <c r="H60" s="39"/>
      <c r="O60" s="30"/>
    </row>
    <row r="61" spans="4:19" x14ac:dyDescent="0.25">
      <c r="D61" s="22">
        <v>51</v>
      </c>
      <c r="E61" s="22" t="s">
        <v>245</v>
      </c>
      <c r="F61" s="23">
        <f>(B22*B32)*B11</f>
        <v>2102.5095057034223</v>
      </c>
      <c r="G61" s="21">
        <f t="shared" si="1"/>
        <v>222.744585096538</v>
      </c>
      <c r="H61" s="39"/>
      <c r="J61" s="29"/>
    </row>
    <row r="62" spans="4:19" x14ac:dyDescent="0.25">
      <c r="D62" s="22">
        <v>105</v>
      </c>
      <c r="E62" s="22"/>
      <c r="F62" s="23"/>
      <c r="G62" s="21">
        <f t="shared" si="1"/>
        <v>0</v>
      </c>
      <c r="H62" s="39"/>
      <c r="J62" s="37"/>
      <c r="K62" s="26"/>
      <c r="L62" s="26"/>
      <c r="M62" s="26"/>
      <c r="N62" s="26"/>
      <c r="O62" s="26"/>
      <c r="P62" s="26"/>
      <c r="Q62" s="26"/>
      <c r="R62" s="26"/>
      <c r="S62" s="26"/>
    </row>
    <row r="63" spans="4:19" x14ac:dyDescent="0.25">
      <c r="D63" s="22">
        <v>105</v>
      </c>
      <c r="E63" s="22"/>
      <c r="F63" s="23"/>
      <c r="G63" s="21">
        <f t="shared" si="1"/>
        <v>0</v>
      </c>
      <c r="H63" s="39"/>
      <c r="J63" s="37"/>
      <c r="K63" s="26"/>
      <c r="L63" s="26"/>
      <c r="M63" s="26"/>
      <c r="N63" s="26"/>
      <c r="O63" s="26"/>
      <c r="P63" s="26"/>
      <c r="Q63" s="26"/>
      <c r="R63" s="26"/>
      <c r="S63" s="26"/>
    </row>
    <row r="64" spans="4:19" x14ac:dyDescent="0.25">
      <c r="D64" s="22">
        <v>54</v>
      </c>
      <c r="E64" s="22"/>
      <c r="F64" s="23"/>
      <c r="G64" s="21">
        <f t="shared" si="1"/>
        <v>0</v>
      </c>
      <c r="H64" s="39"/>
      <c r="J64" s="37"/>
      <c r="K64" s="26"/>
      <c r="L64" s="26"/>
      <c r="M64" s="26"/>
      <c r="N64" s="26"/>
      <c r="O64" s="26"/>
      <c r="P64" s="26"/>
      <c r="Q64" s="26"/>
      <c r="R64" s="26"/>
      <c r="S64" s="26"/>
    </row>
    <row r="65" spans="1:19" x14ac:dyDescent="0.25">
      <c r="D65" s="22">
        <v>55</v>
      </c>
      <c r="E65" s="22"/>
      <c r="F65" s="23"/>
      <c r="G65" s="21">
        <f t="shared" si="1"/>
        <v>0</v>
      </c>
      <c r="J65" s="37"/>
      <c r="K65" s="26"/>
      <c r="L65" s="26"/>
      <c r="M65" s="26"/>
      <c r="N65" s="26"/>
      <c r="O65" s="26"/>
      <c r="P65" s="26"/>
      <c r="Q65" s="26"/>
      <c r="R65" s="26"/>
      <c r="S65" s="26"/>
    </row>
    <row r="66" spans="1:19" x14ac:dyDescent="0.25">
      <c r="D66" s="22">
        <v>56</v>
      </c>
      <c r="E66" s="22"/>
      <c r="F66" s="23"/>
      <c r="G66" s="21">
        <f t="shared" si="1"/>
        <v>0</v>
      </c>
      <c r="J66" s="37"/>
      <c r="K66" s="33"/>
      <c r="L66" s="33"/>
      <c r="M66" s="33"/>
      <c r="N66" s="33"/>
      <c r="O66" s="33"/>
      <c r="P66" s="33"/>
      <c r="Q66" s="33"/>
      <c r="R66" s="33"/>
      <c r="S66" s="33"/>
    </row>
    <row r="67" spans="1:19" x14ac:dyDescent="0.25">
      <c r="D67" s="22">
        <v>57</v>
      </c>
      <c r="E67" s="22"/>
      <c r="F67" s="23"/>
      <c r="G67" s="21">
        <f t="shared" si="1"/>
        <v>0</v>
      </c>
      <c r="H67" s="39"/>
    </row>
    <row r="68" spans="1:19" ht="18.75" x14ac:dyDescent="0.3">
      <c r="A68" s="87"/>
      <c r="B68" s="88"/>
      <c r="C68" s="13"/>
      <c r="D68" s="22">
        <v>58</v>
      </c>
      <c r="E68" s="22"/>
      <c r="F68" s="23"/>
      <c r="G68" s="21">
        <f t="shared" si="1"/>
        <v>0</v>
      </c>
      <c r="H68" s="39"/>
      <c r="O68" s="30"/>
    </row>
    <row r="69" spans="1:19" ht="18.75" x14ac:dyDescent="0.3">
      <c r="A69" s="87"/>
      <c r="B69" s="89"/>
      <c r="C69" s="13"/>
      <c r="D69" s="22">
        <v>59</v>
      </c>
      <c r="E69" s="22"/>
      <c r="F69" s="22"/>
      <c r="G69" s="21">
        <f t="shared" si="1"/>
        <v>0</v>
      </c>
      <c r="H69" s="39"/>
      <c r="J69" s="29"/>
    </row>
    <row r="70" spans="1:19" ht="18.75" x14ac:dyDescent="0.3">
      <c r="A70" s="87"/>
      <c r="B70" s="88"/>
      <c r="C70" s="13"/>
      <c r="D70" s="22">
        <v>60</v>
      </c>
      <c r="E70" s="22"/>
      <c r="F70" s="23"/>
      <c r="G70" s="21">
        <f t="shared" si="1"/>
        <v>0</v>
      </c>
      <c r="H70" s="39"/>
      <c r="J70" s="37"/>
      <c r="K70" s="26"/>
      <c r="L70" s="26"/>
      <c r="M70" s="26"/>
      <c r="N70" s="26"/>
      <c r="O70" s="26"/>
      <c r="P70" s="26"/>
      <c r="Q70" s="26"/>
      <c r="R70" s="26"/>
      <c r="S70" s="26"/>
    </row>
    <row r="71" spans="1:19" ht="18.75" x14ac:dyDescent="0.3">
      <c r="A71" s="87"/>
      <c r="B71" s="88"/>
      <c r="C71" s="13"/>
      <c r="D71" s="22">
        <v>61</v>
      </c>
      <c r="E71" s="22"/>
      <c r="F71" s="23"/>
      <c r="G71" s="21">
        <f t="shared" si="1"/>
        <v>0</v>
      </c>
      <c r="H71" s="39"/>
      <c r="J71" s="37"/>
      <c r="K71" s="26"/>
      <c r="L71" s="26"/>
      <c r="M71" s="26"/>
      <c r="N71" s="26"/>
      <c r="O71" s="26"/>
      <c r="P71" s="26"/>
      <c r="Q71" s="26"/>
      <c r="R71" s="26"/>
      <c r="S71" s="26"/>
    </row>
    <row r="72" spans="1:19" ht="18.75" x14ac:dyDescent="0.3">
      <c r="A72" s="87"/>
      <c r="B72" s="90"/>
      <c r="C72" s="13"/>
      <c r="D72" s="22">
        <v>62</v>
      </c>
      <c r="E72" s="22"/>
      <c r="F72" s="23"/>
      <c r="G72" s="21">
        <f t="shared" si="1"/>
        <v>0</v>
      </c>
      <c r="J72" s="37"/>
      <c r="K72" s="26"/>
      <c r="L72" s="26"/>
      <c r="M72" s="26"/>
      <c r="N72" s="26"/>
      <c r="O72" s="26"/>
      <c r="P72" s="26"/>
      <c r="Q72" s="26"/>
      <c r="R72" s="26"/>
      <c r="S72" s="26"/>
    </row>
    <row r="73" spans="1:19" ht="18.75" x14ac:dyDescent="0.3">
      <c r="A73" s="87"/>
      <c r="B73" s="88"/>
      <c r="C73" s="13"/>
      <c r="D73" s="22">
        <v>63</v>
      </c>
      <c r="E73" s="22"/>
      <c r="F73" s="23"/>
      <c r="G73" s="21">
        <f t="shared" si="1"/>
        <v>0</v>
      </c>
      <c r="J73" s="37"/>
      <c r="K73" s="26"/>
      <c r="L73" s="26"/>
      <c r="M73" s="26"/>
      <c r="N73" s="26"/>
      <c r="O73" s="26"/>
      <c r="P73" s="26"/>
      <c r="Q73" s="26"/>
      <c r="R73" s="26"/>
      <c r="S73" s="26"/>
    </row>
    <row r="74" spans="1:19" ht="18.75" x14ac:dyDescent="0.3">
      <c r="A74" s="87"/>
      <c r="B74" s="91"/>
      <c r="C74" s="13"/>
      <c r="D74" s="22">
        <v>64</v>
      </c>
      <c r="E74" s="22" t="s">
        <v>248</v>
      </c>
      <c r="F74" s="23">
        <f>(B23*B33)*B11</f>
        <v>2102.5095057034223</v>
      </c>
      <c r="G74" s="21">
        <f t="shared" ref="G74:G105" si="2">F74/(1+$B$10)^D74</f>
        <v>125.68845256071506</v>
      </c>
      <c r="H74" s="39"/>
      <c r="J74" s="37"/>
      <c r="K74" s="33"/>
      <c r="L74" s="33"/>
      <c r="M74" s="33"/>
      <c r="N74" s="33"/>
      <c r="O74" s="33"/>
      <c r="P74" s="33"/>
      <c r="Q74" s="33"/>
      <c r="R74" s="33"/>
      <c r="S74" s="33"/>
    </row>
    <row r="75" spans="1:19" ht="18.75" x14ac:dyDescent="0.3">
      <c r="A75" s="87"/>
      <c r="B75" s="92"/>
      <c r="C75" s="13"/>
      <c r="D75" s="22">
        <v>65</v>
      </c>
      <c r="E75" s="22"/>
      <c r="F75" s="23"/>
      <c r="G75" s="21">
        <f t="shared" si="2"/>
        <v>0</v>
      </c>
      <c r="H75" s="39"/>
    </row>
    <row r="76" spans="1:19" ht="18.75" x14ac:dyDescent="0.3">
      <c r="A76" s="87"/>
      <c r="B76" s="92"/>
      <c r="C76" s="13"/>
      <c r="D76" s="22">
        <v>66</v>
      </c>
      <c r="E76" s="22"/>
      <c r="F76" s="23"/>
      <c r="G76" s="21">
        <f t="shared" si="2"/>
        <v>0</v>
      </c>
      <c r="H76" s="39"/>
      <c r="O76" s="30"/>
    </row>
    <row r="77" spans="1:19" ht="18.75" x14ac:dyDescent="0.3">
      <c r="A77" s="87"/>
      <c r="B77" s="92"/>
      <c r="C77" s="13"/>
      <c r="D77" s="22">
        <v>67</v>
      </c>
      <c r="E77" s="22"/>
      <c r="F77" s="23"/>
      <c r="G77" s="21">
        <f t="shared" si="2"/>
        <v>0</v>
      </c>
      <c r="H77" s="39"/>
      <c r="J77" s="29"/>
    </row>
    <row r="78" spans="1:19" ht="18.75" x14ac:dyDescent="0.3">
      <c r="A78" s="87"/>
      <c r="B78" s="92"/>
      <c r="C78" s="13"/>
      <c r="D78" s="22">
        <v>68</v>
      </c>
      <c r="E78" s="22"/>
      <c r="F78" s="23"/>
      <c r="G78" s="21">
        <f t="shared" si="2"/>
        <v>0</v>
      </c>
      <c r="H78" s="39"/>
      <c r="K78" s="26"/>
      <c r="L78" s="26"/>
      <c r="M78" s="26"/>
      <c r="N78" s="26"/>
      <c r="O78" s="26"/>
      <c r="P78" s="26"/>
      <c r="Q78" s="26"/>
      <c r="R78" s="26"/>
      <c r="S78" s="26"/>
    </row>
    <row r="79" spans="1:19" x14ac:dyDescent="0.25">
      <c r="D79" s="22">
        <v>69</v>
      </c>
      <c r="E79" s="22"/>
      <c r="F79" s="22"/>
      <c r="G79" s="21">
        <f t="shared" si="2"/>
        <v>0</v>
      </c>
      <c r="J79" s="37"/>
      <c r="K79" s="26"/>
      <c r="L79" s="26"/>
      <c r="M79" s="26"/>
      <c r="N79" s="26"/>
      <c r="O79" s="26"/>
      <c r="P79" s="26"/>
      <c r="Q79" s="26"/>
      <c r="R79" s="26"/>
      <c r="S79" s="26"/>
    </row>
    <row r="80" spans="1:19" x14ac:dyDescent="0.25">
      <c r="D80" s="22">
        <v>70</v>
      </c>
      <c r="E80" s="22"/>
      <c r="F80" s="23"/>
      <c r="G80" s="21">
        <f t="shared" si="2"/>
        <v>0</v>
      </c>
      <c r="K80" s="26"/>
      <c r="L80" s="26"/>
      <c r="M80" s="26"/>
      <c r="N80" s="26"/>
      <c r="O80" s="26"/>
      <c r="P80" s="26"/>
      <c r="Q80" s="26"/>
      <c r="R80" s="26"/>
      <c r="S80" s="26"/>
    </row>
    <row r="81" spans="4:19" x14ac:dyDescent="0.25">
      <c r="D81" s="22">
        <v>71</v>
      </c>
      <c r="E81" s="22"/>
      <c r="F81" s="23"/>
      <c r="G81" s="21">
        <f t="shared" si="2"/>
        <v>0</v>
      </c>
      <c r="H81" s="39"/>
      <c r="J81" s="37"/>
      <c r="K81" s="26"/>
      <c r="L81" s="26"/>
      <c r="M81" s="26"/>
      <c r="N81" s="26"/>
      <c r="O81" s="26"/>
      <c r="P81" s="26"/>
      <c r="Q81" s="26"/>
      <c r="R81" s="26"/>
      <c r="S81" s="26"/>
    </row>
    <row r="82" spans="4:19" x14ac:dyDescent="0.25">
      <c r="D82" s="22">
        <v>72</v>
      </c>
      <c r="E82" s="22"/>
      <c r="F82" s="23"/>
      <c r="G82" s="21">
        <f t="shared" si="2"/>
        <v>0</v>
      </c>
      <c r="H82" s="39"/>
      <c r="K82" s="33"/>
      <c r="L82" s="33"/>
      <c r="M82" s="33"/>
      <c r="N82" s="33"/>
      <c r="O82" s="33"/>
      <c r="P82" s="33"/>
      <c r="Q82" s="33"/>
      <c r="R82" s="33"/>
      <c r="S82" s="33"/>
    </row>
    <row r="83" spans="4:19" x14ac:dyDescent="0.25">
      <c r="D83" s="22">
        <v>73</v>
      </c>
      <c r="E83" s="22"/>
      <c r="F83" s="23"/>
      <c r="G83" s="21">
        <f t="shared" si="2"/>
        <v>0</v>
      </c>
      <c r="H83" s="39"/>
    </row>
    <row r="84" spans="4:19" x14ac:dyDescent="0.25">
      <c r="D84" s="22">
        <v>74</v>
      </c>
      <c r="E84" s="22"/>
      <c r="F84" s="22"/>
      <c r="G84" s="21">
        <f t="shared" si="2"/>
        <v>0</v>
      </c>
      <c r="H84" s="39"/>
    </row>
    <row r="85" spans="4:19" x14ac:dyDescent="0.25">
      <c r="D85" s="22">
        <v>75</v>
      </c>
      <c r="E85" s="22"/>
      <c r="F85" s="22"/>
      <c r="G85" s="21">
        <f t="shared" si="2"/>
        <v>0</v>
      </c>
      <c r="H85" s="39"/>
      <c r="O85" s="30"/>
    </row>
    <row r="86" spans="4:19" x14ac:dyDescent="0.25">
      <c r="D86" s="22">
        <v>76</v>
      </c>
      <c r="E86" s="22"/>
      <c r="F86" s="23"/>
      <c r="G86" s="21">
        <f t="shared" si="2"/>
        <v>0</v>
      </c>
      <c r="J86" s="29"/>
    </row>
    <row r="87" spans="4:19" x14ac:dyDescent="0.25">
      <c r="D87" s="22">
        <v>77</v>
      </c>
      <c r="E87" s="22" t="s">
        <v>249</v>
      </c>
      <c r="F87" s="23">
        <f>(B24*B34)*B11</f>
        <v>3153.764258555133</v>
      </c>
      <c r="G87" s="21">
        <f t="shared" si="2"/>
        <v>106.38364407552534</v>
      </c>
      <c r="K87" s="26"/>
      <c r="L87" s="26"/>
      <c r="M87" s="26"/>
      <c r="N87" s="26"/>
      <c r="O87" s="26"/>
      <c r="P87" s="26"/>
      <c r="Q87" s="26"/>
      <c r="R87" s="26"/>
      <c r="S87" s="26"/>
    </row>
    <row r="88" spans="4:19" x14ac:dyDescent="0.25">
      <c r="D88" s="22">
        <v>78</v>
      </c>
      <c r="E88" s="22"/>
      <c r="F88" s="23"/>
      <c r="G88" s="21">
        <f t="shared" si="2"/>
        <v>0</v>
      </c>
      <c r="H88" s="39"/>
      <c r="J88" s="37"/>
      <c r="K88" s="26"/>
      <c r="L88" s="26"/>
      <c r="M88" s="26"/>
      <c r="N88" s="26"/>
      <c r="O88" s="26"/>
      <c r="P88" s="26"/>
      <c r="Q88" s="26"/>
      <c r="R88" s="26"/>
      <c r="S88" s="26"/>
    </row>
    <row r="89" spans="4:19" x14ac:dyDescent="0.25">
      <c r="D89" s="22">
        <v>79</v>
      </c>
      <c r="E89" s="22"/>
      <c r="F89" s="22"/>
      <c r="G89" s="21">
        <f t="shared" si="2"/>
        <v>0</v>
      </c>
      <c r="H89" s="39"/>
      <c r="K89" s="26"/>
      <c r="L89" s="26"/>
      <c r="M89" s="26"/>
      <c r="N89" s="26"/>
      <c r="O89" s="26"/>
      <c r="P89" s="26"/>
      <c r="Q89" s="26"/>
      <c r="R89" s="26"/>
      <c r="S89" s="26"/>
    </row>
    <row r="90" spans="4:19" x14ac:dyDescent="0.25">
      <c r="D90" s="22">
        <v>80</v>
      </c>
      <c r="E90" s="22"/>
      <c r="F90" s="23"/>
      <c r="G90" s="21">
        <f t="shared" si="2"/>
        <v>0</v>
      </c>
      <c r="H90" s="39"/>
      <c r="J90" s="37"/>
      <c r="K90" s="26"/>
      <c r="L90" s="26"/>
      <c r="M90" s="26"/>
      <c r="N90" s="26"/>
      <c r="O90" s="26"/>
      <c r="P90" s="26"/>
      <c r="Q90" s="26"/>
      <c r="R90" s="26"/>
      <c r="S90" s="26"/>
    </row>
    <row r="91" spans="4:19" x14ac:dyDescent="0.25">
      <c r="D91" s="22">
        <v>81</v>
      </c>
      <c r="E91" s="22"/>
      <c r="F91" s="23"/>
      <c r="G91" s="21">
        <f t="shared" si="2"/>
        <v>0</v>
      </c>
      <c r="H91" s="39"/>
      <c r="K91" s="33"/>
      <c r="L91" s="33"/>
      <c r="M91" s="33"/>
      <c r="N91" s="33"/>
      <c r="O91" s="33"/>
      <c r="P91" s="33"/>
      <c r="Q91" s="33"/>
      <c r="R91" s="33"/>
      <c r="S91" s="33"/>
    </row>
    <row r="92" spans="4:19" x14ac:dyDescent="0.25">
      <c r="D92" s="22">
        <v>82</v>
      </c>
      <c r="E92" s="22"/>
      <c r="F92" s="23"/>
      <c r="G92" s="21">
        <f t="shared" si="2"/>
        <v>0</v>
      </c>
      <c r="H92" s="39"/>
      <c r="J92" s="37"/>
      <c r="K92" s="33"/>
      <c r="L92" s="33"/>
      <c r="M92" s="33"/>
      <c r="N92" s="33"/>
      <c r="O92" s="33"/>
      <c r="P92" s="33"/>
      <c r="Q92" s="33"/>
      <c r="R92" s="33"/>
      <c r="S92" s="33"/>
    </row>
    <row r="93" spans="4:19" x14ac:dyDescent="0.25">
      <c r="D93" s="22">
        <v>83</v>
      </c>
      <c r="E93" s="22"/>
      <c r="F93" s="23"/>
      <c r="G93" s="21">
        <f t="shared" si="2"/>
        <v>0</v>
      </c>
      <c r="K93" s="33"/>
      <c r="L93" s="33"/>
      <c r="M93" s="33"/>
      <c r="N93" s="33"/>
      <c r="O93" s="33"/>
      <c r="P93" s="33"/>
      <c r="Q93" s="33"/>
      <c r="R93" s="33"/>
      <c r="S93" s="33"/>
    </row>
    <row r="94" spans="4:19" x14ac:dyDescent="0.25">
      <c r="D94" s="22">
        <v>84</v>
      </c>
      <c r="E94" s="22"/>
      <c r="F94" s="22"/>
      <c r="G94" s="21">
        <f t="shared" si="2"/>
        <v>0</v>
      </c>
      <c r="J94" s="37"/>
      <c r="K94" s="33"/>
      <c r="L94" s="33"/>
      <c r="M94" s="33"/>
      <c r="N94" s="33"/>
      <c r="O94" s="33"/>
      <c r="P94" s="33"/>
      <c r="Q94" s="33"/>
      <c r="R94" s="33"/>
      <c r="S94" s="33"/>
    </row>
    <row r="95" spans="4:19" x14ac:dyDescent="0.25">
      <c r="D95" s="22">
        <v>85</v>
      </c>
      <c r="E95" s="22"/>
      <c r="F95" s="22"/>
      <c r="G95" s="21">
        <f t="shared" si="2"/>
        <v>0</v>
      </c>
      <c r="K95" s="33"/>
      <c r="L95" s="33"/>
      <c r="M95" s="33"/>
      <c r="N95" s="33"/>
      <c r="O95" s="33"/>
      <c r="P95" s="33"/>
      <c r="Q95" s="33"/>
      <c r="R95" s="33"/>
      <c r="S95" s="33"/>
    </row>
    <row r="96" spans="4:19" x14ac:dyDescent="0.25">
      <c r="D96" s="22">
        <v>86</v>
      </c>
      <c r="E96" s="22"/>
      <c r="F96" s="22"/>
      <c r="G96" s="21">
        <f t="shared" si="2"/>
        <v>0</v>
      </c>
    </row>
    <row r="97" spans="1:14" x14ac:dyDescent="0.25">
      <c r="D97" s="22">
        <v>87</v>
      </c>
      <c r="E97" s="22"/>
      <c r="F97" s="22"/>
      <c r="G97" s="21">
        <f t="shared" si="2"/>
        <v>0</v>
      </c>
    </row>
    <row r="98" spans="1:14" x14ac:dyDescent="0.25">
      <c r="D98" s="22">
        <v>88</v>
      </c>
      <c r="E98" s="22"/>
      <c r="F98" s="22"/>
      <c r="G98" s="21">
        <f t="shared" si="2"/>
        <v>0</v>
      </c>
    </row>
    <row r="99" spans="1:14" x14ac:dyDescent="0.25">
      <c r="D99" s="22">
        <v>89</v>
      </c>
      <c r="E99" s="22"/>
      <c r="F99" s="22"/>
      <c r="G99" s="21">
        <f t="shared" si="2"/>
        <v>0</v>
      </c>
    </row>
    <row r="100" spans="1:14" x14ac:dyDescent="0.25">
      <c r="D100" s="22">
        <v>90</v>
      </c>
      <c r="E100" s="22" t="s">
        <v>250</v>
      </c>
      <c r="F100" s="23">
        <f>(B25*B35)*B11</f>
        <v>5519.0874524714827</v>
      </c>
      <c r="G100" s="21">
        <f t="shared" si="2"/>
        <v>105.05122848529953</v>
      </c>
      <c r="I100" s="28"/>
      <c r="J100" s="28"/>
      <c r="K100" s="28"/>
      <c r="L100" s="28"/>
      <c r="M100" s="28"/>
      <c r="N100" s="28"/>
    </row>
    <row r="101" spans="1:14" x14ac:dyDescent="0.25">
      <c r="D101" s="22">
        <v>91</v>
      </c>
      <c r="E101" s="22"/>
      <c r="F101" s="23"/>
      <c r="G101" s="21">
        <f t="shared" si="2"/>
        <v>0</v>
      </c>
      <c r="I101" s="26"/>
    </row>
    <row r="102" spans="1:14" x14ac:dyDescent="0.25">
      <c r="A102" s="13"/>
      <c r="B102" s="13"/>
      <c r="D102" s="22">
        <v>92</v>
      </c>
      <c r="E102" s="22"/>
      <c r="F102" s="23"/>
      <c r="G102" s="21">
        <f t="shared" si="2"/>
        <v>0</v>
      </c>
      <c r="I102" s="26"/>
    </row>
    <row r="103" spans="1:14" x14ac:dyDescent="0.25">
      <c r="A103" s="84"/>
      <c r="B103" s="84"/>
      <c r="D103" s="22">
        <v>93</v>
      </c>
      <c r="E103" s="22"/>
      <c r="F103" s="23"/>
      <c r="G103" s="21">
        <f t="shared" si="2"/>
        <v>0</v>
      </c>
    </row>
    <row r="104" spans="1:14" x14ac:dyDescent="0.25">
      <c r="A104" s="85"/>
      <c r="B104" s="85"/>
      <c r="D104" s="22">
        <v>94</v>
      </c>
      <c r="E104" s="22"/>
      <c r="F104" s="22"/>
      <c r="G104" s="21">
        <f>F105/(1+$B$10)^D105</f>
        <v>0</v>
      </c>
    </row>
    <row r="105" spans="1:14" x14ac:dyDescent="0.25">
      <c r="A105" s="13"/>
      <c r="B105" s="86"/>
      <c r="D105" s="22">
        <v>95</v>
      </c>
      <c r="E105" s="22"/>
      <c r="F105" s="23"/>
      <c r="G105" s="21">
        <f t="shared" si="2"/>
        <v>0</v>
      </c>
    </row>
    <row r="106" spans="1:14" x14ac:dyDescent="0.25">
      <c r="A106" s="13"/>
      <c r="B106" s="13"/>
      <c r="D106" s="22">
        <v>96</v>
      </c>
      <c r="E106" s="22"/>
      <c r="F106" s="23"/>
      <c r="G106" s="21">
        <f t="shared" ref="G106:G130" si="3">F106/(1+$B$10)^D106</f>
        <v>0</v>
      </c>
    </row>
    <row r="107" spans="1:14" x14ac:dyDescent="0.25">
      <c r="A107" s="13"/>
      <c r="B107" s="13"/>
      <c r="D107" s="22">
        <v>97</v>
      </c>
      <c r="E107" s="22"/>
      <c r="F107" s="23"/>
      <c r="G107" s="21">
        <f t="shared" si="3"/>
        <v>0</v>
      </c>
    </row>
    <row r="108" spans="1:14" x14ac:dyDescent="0.25">
      <c r="A108" s="85"/>
      <c r="B108" s="85"/>
      <c r="D108" s="22">
        <v>98</v>
      </c>
      <c r="E108" s="22"/>
      <c r="F108" s="23"/>
      <c r="G108" s="21">
        <f t="shared" si="3"/>
        <v>0</v>
      </c>
    </row>
    <row r="109" spans="1:14" x14ac:dyDescent="0.25">
      <c r="A109" s="13"/>
      <c r="B109" s="86"/>
      <c r="D109" s="22">
        <v>99</v>
      </c>
      <c r="E109" s="22"/>
      <c r="F109" s="23"/>
      <c r="G109" s="21">
        <f t="shared" si="3"/>
        <v>0</v>
      </c>
    </row>
    <row r="110" spans="1:14" x14ac:dyDescent="0.25">
      <c r="A110" s="13"/>
      <c r="B110" s="13"/>
      <c r="D110" s="22">
        <v>100</v>
      </c>
      <c r="E110" s="22"/>
      <c r="F110" s="23"/>
      <c r="G110" s="21">
        <f t="shared" si="3"/>
        <v>0</v>
      </c>
    </row>
    <row r="111" spans="1:14" x14ac:dyDescent="0.25">
      <c r="A111" s="13"/>
      <c r="B111" s="13"/>
      <c r="D111" s="22">
        <v>101</v>
      </c>
      <c r="E111" s="22"/>
      <c r="F111" s="23"/>
      <c r="G111" s="21">
        <f t="shared" si="3"/>
        <v>0</v>
      </c>
    </row>
    <row r="112" spans="1:14" x14ac:dyDescent="0.25">
      <c r="A112" s="13"/>
      <c r="B112" s="13"/>
      <c r="D112" s="22">
        <v>102</v>
      </c>
      <c r="E112" s="22"/>
      <c r="F112" s="23"/>
      <c r="G112" s="21">
        <f t="shared" si="3"/>
        <v>0</v>
      </c>
    </row>
    <row r="113" spans="4:7" x14ac:dyDescent="0.25">
      <c r="D113" s="22">
        <v>103</v>
      </c>
      <c r="E113" s="22" t="s">
        <v>251</v>
      </c>
      <c r="F113" s="23">
        <f>(B26*B36)*B11</f>
        <v>8760.4562737642591</v>
      </c>
      <c r="G113" s="21">
        <f t="shared" si="3"/>
        <v>94.09115728341898</v>
      </c>
    </row>
    <row r="114" spans="4:7" x14ac:dyDescent="0.25">
      <c r="D114" s="22">
        <v>105</v>
      </c>
      <c r="E114" s="22"/>
      <c r="F114" s="23"/>
      <c r="G114" s="21">
        <f t="shared" si="3"/>
        <v>0</v>
      </c>
    </row>
    <row r="115" spans="4:7" x14ac:dyDescent="0.25">
      <c r="D115" s="22">
        <v>105</v>
      </c>
      <c r="E115" s="22"/>
      <c r="F115" s="23"/>
      <c r="G115" s="21">
        <f t="shared" si="3"/>
        <v>0</v>
      </c>
    </row>
    <row r="116" spans="4:7" x14ac:dyDescent="0.25">
      <c r="D116" s="22">
        <v>106</v>
      </c>
      <c r="E116" s="22"/>
      <c r="F116" s="23"/>
      <c r="G116" s="21">
        <f t="shared" si="3"/>
        <v>0</v>
      </c>
    </row>
    <row r="117" spans="4:7" x14ac:dyDescent="0.25">
      <c r="D117" s="22">
        <v>107</v>
      </c>
      <c r="E117" s="22"/>
      <c r="F117" s="23"/>
      <c r="G117" s="21">
        <f t="shared" si="3"/>
        <v>0</v>
      </c>
    </row>
    <row r="118" spans="4:7" x14ac:dyDescent="0.25">
      <c r="D118" s="22">
        <v>108</v>
      </c>
      <c r="E118" s="22"/>
      <c r="F118" s="23"/>
      <c r="G118" s="21">
        <f t="shared" si="3"/>
        <v>0</v>
      </c>
    </row>
    <row r="119" spans="4:7" x14ac:dyDescent="0.25">
      <c r="D119" s="22">
        <v>109</v>
      </c>
      <c r="E119" s="22"/>
      <c r="F119" s="23"/>
      <c r="G119" s="21">
        <f t="shared" si="3"/>
        <v>0</v>
      </c>
    </row>
    <row r="120" spans="4:7" x14ac:dyDescent="0.25">
      <c r="D120" s="22">
        <v>110</v>
      </c>
      <c r="E120" s="22"/>
      <c r="F120" s="23"/>
      <c r="G120" s="21">
        <f t="shared" si="3"/>
        <v>0</v>
      </c>
    </row>
    <row r="121" spans="4:7" x14ac:dyDescent="0.25">
      <c r="D121" s="22">
        <v>111</v>
      </c>
      <c r="E121" s="22"/>
      <c r="F121" s="23"/>
      <c r="G121" s="21">
        <f t="shared" si="3"/>
        <v>0</v>
      </c>
    </row>
    <row r="122" spans="4:7" x14ac:dyDescent="0.25">
      <c r="D122" s="22">
        <v>112</v>
      </c>
      <c r="E122" s="22"/>
      <c r="F122" s="23"/>
      <c r="G122" s="21">
        <f t="shared" si="3"/>
        <v>0</v>
      </c>
    </row>
    <row r="123" spans="4:7" x14ac:dyDescent="0.25">
      <c r="D123" s="22">
        <v>113</v>
      </c>
      <c r="E123" s="22"/>
      <c r="F123" s="23"/>
      <c r="G123" s="21">
        <f t="shared" si="3"/>
        <v>0</v>
      </c>
    </row>
    <row r="124" spans="4:7" x14ac:dyDescent="0.25">
      <c r="D124" s="22">
        <v>114</v>
      </c>
      <c r="E124" s="22"/>
      <c r="F124" s="23"/>
      <c r="G124" s="21">
        <f t="shared" si="3"/>
        <v>0</v>
      </c>
    </row>
    <row r="125" spans="4:7" x14ac:dyDescent="0.25">
      <c r="D125" s="22">
        <v>115</v>
      </c>
      <c r="E125" s="22"/>
      <c r="F125" s="23"/>
      <c r="G125" s="21">
        <f t="shared" si="3"/>
        <v>0</v>
      </c>
    </row>
    <row r="126" spans="4:7" x14ac:dyDescent="0.25">
      <c r="D126" s="22">
        <v>116</v>
      </c>
      <c r="E126" s="22"/>
      <c r="F126" s="23"/>
      <c r="G126" s="21">
        <f t="shared" si="3"/>
        <v>0</v>
      </c>
    </row>
    <row r="127" spans="4:7" x14ac:dyDescent="0.25">
      <c r="D127" s="22">
        <v>117</v>
      </c>
      <c r="E127" s="22"/>
      <c r="F127" s="23"/>
      <c r="G127" s="21">
        <f t="shared" si="3"/>
        <v>0</v>
      </c>
    </row>
    <row r="128" spans="4:7" x14ac:dyDescent="0.25">
      <c r="D128" s="22">
        <v>118</v>
      </c>
      <c r="E128" s="22"/>
      <c r="F128" s="23"/>
      <c r="G128" s="21">
        <f t="shared" si="3"/>
        <v>0</v>
      </c>
    </row>
    <row r="129" spans="4:7" x14ac:dyDescent="0.25">
      <c r="D129" s="22">
        <v>119</v>
      </c>
      <c r="E129" s="22"/>
      <c r="F129" s="23"/>
      <c r="G129" s="21">
        <f t="shared" si="3"/>
        <v>0</v>
      </c>
    </row>
    <row r="130" spans="4:7" x14ac:dyDescent="0.25">
      <c r="D130" s="22">
        <v>120</v>
      </c>
      <c r="E130" s="22" t="s">
        <v>193</v>
      </c>
      <c r="F130" s="23">
        <f>(B27*B37)*B11</f>
        <v>91984.790874524711</v>
      </c>
      <c r="G130" s="21">
        <f t="shared" si="3"/>
        <v>467.47799391007823</v>
      </c>
    </row>
  </sheetData>
  <sheetProtection selectLockedCells="1"/>
  <mergeCells count="2">
    <mergeCell ref="D3:F3"/>
    <mergeCell ref="B1:G1"/>
  </mergeCells>
  <conditionalFormatting sqref="K12:S16 S17:S20">
    <cfRule type="colorScale" priority="69">
      <colorScale>
        <cfvo type="min"/>
        <cfvo type="percentile" val="50"/>
        <cfvo type="max"/>
        <color rgb="FFF8696B"/>
        <color rgb="FFFCFCFF"/>
        <color rgb="FF63BE7B"/>
      </colorScale>
    </cfRule>
  </conditionalFormatting>
  <conditionalFormatting sqref="K12:T16 S17:T20">
    <cfRule type="colorScale" priority="68">
      <colorScale>
        <cfvo type="min"/>
        <cfvo type="percentile" val="50"/>
        <cfvo type="max"/>
        <color rgb="FFF8696B"/>
        <color rgb="FFFCFCFF"/>
        <color rgb="FF63BE7B"/>
      </colorScale>
    </cfRule>
  </conditionalFormatting>
  <conditionalFormatting sqref="K26:Q34">
    <cfRule type="colorScale" priority="65">
      <colorScale>
        <cfvo type="min"/>
        <cfvo type="percentile" val="50"/>
        <cfvo type="max"/>
        <color rgb="FFF8696B"/>
        <color rgb="FFFCFCFF"/>
        <color rgb="FF63BE7B"/>
      </colorScale>
    </cfRule>
  </conditionalFormatting>
  <conditionalFormatting sqref="K26:R34">
    <cfRule type="colorScale" priority="64">
      <colorScale>
        <cfvo type="min"/>
        <cfvo type="percentile" val="50"/>
        <cfvo type="max"/>
        <color rgb="FFF8696B"/>
        <color rgb="FFFCFCFF"/>
        <color rgb="FF63BE7B"/>
      </colorScale>
    </cfRule>
  </conditionalFormatting>
  <conditionalFormatting sqref="K19:R22">
    <cfRule type="colorScale" priority="63">
      <colorScale>
        <cfvo type="min"/>
        <cfvo type="percentile" val="50"/>
        <cfvo type="max"/>
        <color rgb="FFF8696B"/>
        <color rgb="FFFCFCFF"/>
        <color rgb="FF63BE7B"/>
      </colorScale>
    </cfRule>
  </conditionalFormatting>
  <conditionalFormatting sqref="K19:R22">
    <cfRule type="colorScale" priority="62">
      <colorScale>
        <cfvo type="min"/>
        <cfvo type="percentile" val="50"/>
        <cfvo type="max"/>
        <color rgb="FFF8696B"/>
        <color rgb="FFFCFCFF"/>
        <color rgb="FF63BE7B"/>
      </colorScale>
    </cfRule>
  </conditionalFormatting>
  <conditionalFormatting sqref="K38:S39">
    <cfRule type="colorScale" priority="59">
      <colorScale>
        <cfvo type="min"/>
        <cfvo type="percentile" val="50"/>
        <cfvo type="max"/>
        <color rgb="FFF8696B"/>
        <color rgb="FFFCFCFF"/>
        <color rgb="FF63BE7B"/>
      </colorScale>
    </cfRule>
  </conditionalFormatting>
  <conditionalFormatting sqref="K38:T39">
    <cfRule type="colorScale" priority="58">
      <colorScale>
        <cfvo type="min"/>
        <cfvo type="percentile" val="50"/>
        <cfvo type="max"/>
        <color rgb="FFF8696B"/>
        <color rgb="FFFCFCFF"/>
        <color rgb="FF63BE7B"/>
      </colorScale>
    </cfRule>
  </conditionalFormatting>
  <conditionalFormatting sqref="J51:P51 K44:Q50">
    <cfRule type="colorScale" priority="55">
      <colorScale>
        <cfvo type="min"/>
        <cfvo type="percentile" val="50"/>
        <cfvo type="max"/>
        <color rgb="FFF8696B"/>
        <color rgb="FFFCFCFF"/>
        <color rgb="FF63BE7B"/>
      </colorScale>
    </cfRule>
  </conditionalFormatting>
  <conditionalFormatting sqref="K44:S50">
    <cfRule type="colorScale" priority="53">
      <colorScale>
        <cfvo type="min"/>
        <cfvo type="percentile" val="50"/>
        <cfvo type="max"/>
        <color rgb="FFF8696B"/>
        <color rgb="FFFCFCFF"/>
        <color rgb="FF63BE7B"/>
      </colorScale>
    </cfRule>
  </conditionalFormatting>
  <conditionalFormatting sqref="K54:Q57">
    <cfRule type="colorScale" priority="50">
      <colorScale>
        <cfvo type="min"/>
        <cfvo type="percentile" val="50"/>
        <cfvo type="max"/>
        <color rgb="FFF8696B"/>
        <color rgb="FFFCFCFF"/>
        <color rgb="FF63BE7B"/>
      </colorScale>
    </cfRule>
  </conditionalFormatting>
  <conditionalFormatting sqref="K54:S57">
    <cfRule type="colorScale" priority="48">
      <colorScale>
        <cfvo type="min"/>
        <cfvo type="percentile" val="50"/>
        <cfvo type="max"/>
        <color rgb="FFF8696B"/>
        <color rgb="FFFCFCFF"/>
        <color rgb="FF63BE7B"/>
      </colorScale>
    </cfRule>
  </conditionalFormatting>
  <conditionalFormatting sqref="K62:Q65">
    <cfRule type="colorScale" priority="42">
      <colorScale>
        <cfvo type="min"/>
        <cfvo type="percentile" val="50"/>
        <cfvo type="max"/>
        <color rgb="FFF8696B"/>
        <color rgb="FFFCFCFF"/>
        <color rgb="FF63BE7B"/>
      </colorScale>
    </cfRule>
  </conditionalFormatting>
  <conditionalFormatting sqref="K62:Q65">
    <cfRule type="colorScale" priority="41">
      <colorScale>
        <cfvo type="min"/>
        <cfvo type="percentile" val="50"/>
        <cfvo type="max"/>
        <color rgb="FFF8696B"/>
        <color rgb="FFFCFCFF"/>
        <color rgb="FF63BE7B"/>
      </colorScale>
    </cfRule>
  </conditionalFormatting>
  <conditionalFormatting sqref="K62:S65">
    <cfRule type="colorScale" priority="40">
      <colorScale>
        <cfvo type="min"/>
        <cfvo type="percentile" val="50"/>
        <cfvo type="max"/>
        <color rgb="FFF8696B"/>
        <color rgb="FFFCFCFF"/>
        <color rgb="FF63BE7B"/>
      </colorScale>
    </cfRule>
  </conditionalFormatting>
  <conditionalFormatting sqref="K62:S66">
    <cfRule type="colorScale" priority="38">
      <colorScale>
        <cfvo type="min"/>
        <cfvo type="percentile" val="50"/>
        <cfvo type="max"/>
        <color rgb="FFF8696B"/>
        <color rgb="FFFCFCFF"/>
        <color rgb="FF63BE7B"/>
      </colorScale>
    </cfRule>
  </conditionalFormatting>
  <conditionalFormatting sqref="K70:Q73">
    <cfRule type="colorScale" priority="34">
      <colorScale>
        <cfvo type="min"/>
        <cfvo type="percentile" val="50"/>
        <cfvo type="max"/>
        <color rgb="FFF8696B"/>
        <color rgb="FFFCFCFF"/>
        <color rgb="FF63BE7B"/>
      </colorScale>
    </cfRule>
  </conditionalFormatting>
  <conditionalFormatting sqref="K70:Q73">
    <cfRule type="colorScale" priority="33">
      <colorScale>
        <cfvo type="min"/>
        <cfvo type="percentile" val="50"/>
        <cfvo type="max"/>
        <color rgb="FFF8696B"/>
        <color rgb="FFFCFCFF"/>
        <color rgb="FF63BE7B"/>
      </colorScale>
    </cfRule>
  </conditionalFormatting>
  <conditionalFormatting sqref="K70:S73">
    <cfRule type="colorScale" priority="32">
      <colorScale>
        <cfvo type="min"/>
        <cfvo type="percentile" val="50"/>
        <cfvo type="max"/>
        <color rgb="FFF8696B"/>
        <color rgb="FFFCFCFF"/>
        <color rgb="FF63BE7B"/>
      </colorScale>
    </cfRule>
  </conditionalFormatting>
  <conditionalFormatting sqref="K70:S74">
    <cfRule type="colorScale" priority="30">
      <colorScale>
        <cfvo type="min"/>
        <cfvo type="percentile" val="50"/>
        <cfvo type="max"/>
        <color rgb="FFF8696B"/>
        <color rgb="FFFCFCFF"/>
        <color rgb="FF63BE7B"/>
      </colorScale>
    </cfRule>
  </conditionalFormatting>
  <conditionalFormatting sqref="K78:Q81">
    <cfRule type="colorScale" priority="26">
      <colorScale>
        <cfvo type="min"/>
        <cfvo type="percentile" val="50"/>
        <cfvo type="max"/>
        <color rgb="FFF8696B"/>
        <color rgb="FFFCFCFF"/>
        <color rgb="FF63BE7B"/>
      </colorScale>
    </cfRule>
  </conditionalFormatting>
  <conditionalFormatting sqref="K78:Q81">
    <cfRule type="colorScale" priority="25">
      <colorScale>
        <cfvo type="min"/>
        <cfvo type="percentile" val="50"/>
        <cfvo type="max"/>
        <color rgb="FFF8696B"/>
        <color rgb="FFFCFCFF"/>
        <color rgb="FF63BE7B"/>
      </colorScale>
    </cfRule>
  </conditionalFormatting>
  <conditionalFormatting sqref="K78:S81">
    <cfRule type="colorScale" priority="24">
      <colorScale>
        <cfvo type="min"/>
        <cfvo type="percentile" val="50"/>
        <cfvo type="max"/>
        <color rgb="FFF8696B"/>
        <color rgb="FFFCFCFF"/>
        <color rgb="FF63BE7B"/>
      </colorScale>
    </cfRule>
  </conditionalFormatting>
  <conditionalFormatting sqref="K78:S82">
    <cfRule type="colorScale" priority="22">
      <colorScale>
        <cfvo type="min"/>
        <cfvo type="percentile" val="50"/>
        <cfvo type="max"/>
        <color rgb="FFF8696B"/>
        <color rgb="FFFCFCFF"/>
        <color rgb="FF63BE7B"/>
      </colorScale>
    </cfRule>
  </conditionalFormatting>
  <conditionalFormatting sqref="K87:Q90">
    <cfRule type="colorScale" priority="18">
      <colorScale>
        <cfvo type="min"/>
        <cfvo type="percentile" val="50"/>
        <cfvo type="max"/>
        <color rgb="FFF8696B"/>
        <color rgb="FFFCFCFF"/>
        <color rgb="FF63BE7B"/>
      </colorScale>
    </cfRule>
  </conditionalFormatting>
  <conditionalFormatting sqref="K87:Q90">
    <cfRule type="colorScale" priority="17">
      <colorScale>
        <cfvo type="min"/>
        <cfvo type="percentile" val="50"/>
        <cfvo type="max"/>
        <color rgb="FFF8696B"/>
        <color rgb="FFFCFCFF"/>
        <color rgb="FF63BE7B"/>
      </colorScale>
    </cfRule>
  </conditionalFormatting>
  <conditionalFormatting sqref="K87:S90">
    <cfRule type="colorScale" priority="16">
      <colorScale>
        <cfvo type="min"/>
        <cfvo type="percentile" val="50"/>
        <cfvo type="max"/>
        <color rgb="FFF8696B"/>
        <color rgb="FFFCFCFF"/>
        <color rgb="FF63BE7B"/>
      </colorScale>
    </cfRule>
  </conditionalFormatting>
  <conditionalFormatting sqref="K87:S91">
    <cfRule type="colorScale" priority="14">
      <colorScale>
        <cfvo type="min"/>
        <cfvo type="percentile" val="50"/>
        <cfvo type="max"/>
        <color rgb="FFF8696B"/>
        <color rgb="FFFCFCFF"/>
        <color rgb="FF63BE7B"/>
      </colorScale>
    </cfRule>
  </conditionalFormatting>
  <conditionalFormatting sqref="K87:S95">
    <cfRule type="colorScale" priority="12">
      <colorScale>
        <cfvo type="min"/>
        <cfvo type="percentile" val="50"/>
        <cfvo type="max"/>
        <color rgb="FFF8696B"/>
        <color rgb="FFFCFCFF"/>
        <color rgb="FF63BE7B"/>
      </colorScale>
    </cfRule>
  </conditionalFormatting>
  <conditionalFormatting sqref="K26:S34">
    <cfRule type="colorScale" priority="10">
      <colorScale>
        <cfvo type="min"/>
        <cfvo type="percentile" val="50"/>
        <cfvo type="max"/>
        <color rgb="FFF8696B"/>
        <color rgb="FFFCFCFF"/>
        <color rgb="FF63BE7B"/>
      </colorScale>
    </cfRule>
  </conditionalFormatting>
  <conditionalFormatting sqref="I12:I16">
    <cfRule type="colorScale" priority="74">
      <colorScale>
        <cfvo type="min"/>
        <cfvo type="percentile" val="50"/>
        <cfvo type="max"/>
        <color rgb="FFF8696B"/>
        <color rgb="FFFCFCFF"/>
        <color rgb="FF63BE7B"/>
      </colorScale>
    </cfRule>
  </conditionalFormatting>
  <conditionalFormatting sqref="I38:I39">
    <cfRule type="colorScale" priority="77">
      <colorScale>
        <cfvo type="min"/>
        <cfvo type="percentile" val="50"/>
        <cfvo type="max"/>
        <color rgb="FFF8696B"/>
        <color rgb="FFFCFCFF"/>
        <color rgb="FF63BE7B"/>
      </colorScale>
    </cfRule>
  </conditionalFormatting>
  <conditionalFormatting sqref="K6:S8 P9:S9 P5:S5">
    <cfRule type="colorScale" priority="85">
      <colorScale>
        <cfvo type="min"/>
        <cfvo type="percentile" val="50"/>
        <cfvo type="max"/>
        <color rgb="FFF8696B"/>
        <color rgb="FFFCFCFF"/>
        <color rgb="FF63BE7B"/>
      </colorScale>
    </cfRule>
  </conditionalFormatting>
  <pageMargins left="0.7" right="0.7" top="0.75" bottom="0.75" header="0.3" footer="0.3"/>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CC99-A060-4870-BDB2-354D1829B0D1}">
  <sheetPr>
    <tabColor rgb="FFC00000"/>
    <pageSetUpPr fitToPage="1"/>
  </sheetPr>
  <dimension ref="A1:V110"/>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2" max="12" width="15.42578125" bestFit="1" customWidth="1"/>
    <col min="13" max="13" width="13.7109375" bestFit="1" customWidth="1"/>
    <col min="17" max="17" width="12.7109375" bestFit="1" customWidth="1"/>
  </cols>
  <sheetData>
    <row r="1" spans="1:22" ht="15.75" x14ac:dyDescent="0.25">
      <c r="C1" s="82"/>
      <c r="D1" s="592" t="s">
        <v>188</v>
      </c>
      <c r="E1" s="592"/>
      <c r="F1" s="592"/>
      <c r="G1" s="592"/>
      <c r="H1" s="592"/>
      <c r="I1" s="592"/>
      <c r="J1" s="592"/>
      <c r="K1" s="81"/>
    </row>
    <row r="2" spans="1:22" ht="15.75" x14ac:dyDescent="0.25">
      <c r="C2" s="63"/>
      <c r="D2" s="78" t="s">
        <v>229</v>
      </c>
      <c r="E2" s="77">
        <f>IFERROR(IRR(J6:J86,0.045),0)</f>
        <v>0</v>
      </c>
      <c r="F2" s="77" t="e">
        <f>IRR(J5:J25,0.02)</f>
        <v>#NUM!</v>
      </c>
      <c r="L2" s="29"/>
    </row>
    <row r="3" spans="1:22" ht="15.75" x14ac:dyDescent="0.25">
      <c r="C3" s="63"/>
      <c r="D3" s="74" t="s">
        <v>228</v>
      </c>
      <c r="E3" s="103">
        <f>IFERROR(NPV(B8,J7:J86)+J6,0)</f>
        <v>0</v>
      </c>
      <c r="F3" s="75" t="e">
        <f>NPV(#REF!,J6:J25)+J5</f>
        <v>#REF!</v>
      </c>
      <c r="M3" s="68"/>
      <c r="N3" s="68"/>
      <c r="O3" s="68"/>
      <c r="P3" s="68"/>
      <c r="Q3" s="68"/>
      <c r="R3" s="68"/>
      <c r="S3" s="68"/>
      <c r="T3" s="68"/>
      <c r="U3" s="68"/>
    </row>
    <row r="4" spans="1:22" ht="15.75" x14ac:dyDescent="0.25">
      <c r="C4" s="61"/>
      <c r="D4" s="70" t="s">
        <v>225</v>
      </c>
      <c r="E4" s="70" t="s">
        <v>224</v>
      </c>
      <c r="F4" s="70" t="s">
        <v>223</v>
      </c>
      <c r="G4" s="72" t="s">
        <v>222</v>
      </c>
      <c r="H4" s="70" t="s">
        <v>221</v>
      </c>
      <c r="I4" s="70" t="s">
        <v>220</v>
      </c>
      <c r="J4" s="70" t="s">
        <v>219</v>
      </c>
      <c r="K4" s="71" t="s">
        <v>218</v>
      </c>
      <c r="M4" s="68"/>
      <c r="N4" s="68"/>
      <c r="O4" s="68"/>
      <c r="P4" s="68"/>
      <c r="Q4" s="68"/>
      <c r="R4" s="68"/>
      <c r="S4" s="68"/>
      <c r="T4" s="68"/>
      <c r="U4" s="68"/>
    </row>
    <row r="5" spans="1:22" ht="15.75" x14ac:dyDescent="0.25">
      <c r="C5" s="60"/>
      <c r="D5" s="22">
        <v>0</v>
      </c>
      <c r="E5" s="22" t="s">
        <v>262</v>
      </c>
      <c r="F5" s="22" t="s">
        <v>194</v>
      </c>
      <c r="G5" s="25">
        <v>100</v>
      </c>
      <c r="H5" s="22"/>
      <c r="I5" s="22"/>
      <c r="J5" s="23">
        <f>-B9*(B11+B12+B13)*(1+B15)</f>
        <v>0</v>
      </c>
      <c r="K5" s="21">
        <f>J5/(1+$B$8)^D5</f>
        <v>0</v>
      </c>
    </row>
    <row r="6" spans="1:22" ht="16.5" thickBot="1" x14ac:dyDescent="0.3">
      <c r="C6" s="63"/>
      <c r="D6" s="22">
        <v>1</v>
      </c>
      <c r="E6" s="22" t="s">
        <v>242</v>
      </c>
      <c r="F6" s="22" t="s">
        <v>217</v>
      </c>
      <c r="G6" s="25">
        <v>100</v>
      </c>
      <c r="H6" s="22"/>
      <c r="I6" s="22"/>
      <c r="J6" s="23">
        <f>-$B$9*$B$14*(1+B15)</f>
        <v>0</v>
      </c>
      <c r="K6" s="21">
        <f t="shared" ref="K6:K25" si="0">J6/(1+$B$8)^D6</f>
        <v>0</v>
      </c>
      <c r="Q6" s="30"/>
    </row>
    <row r="7" spans="1:22" ht="16.5" thickBot="1" x14ac:dyDescent="0.3">
      <c r="A7" s="76" t="s">
        <v>230</v>
      </c>
      <c r="B7" s="83"/>
      <c r="C7" s="61"/>
      <c r="D7" s="22">
        <v>2</v>
      </c>
      <c r="E7" s="22" t="s">
        <v>242</v>
      </c>
      <c r="F7" s="22" t="s">
        <v>194</v>
      </c>
      <c r="G7" s="25">
        <v>100</v>
      </c>
      <c r="H7" s="22"/>
      <c r="I7" s="22"/>
      <c r="J7" s="23">
        <f>-$B$9*$B$14*(1+B15)</f>
        <v>0</v>
      </c>
      <c r="K7" s="21">
        <f t="shared" si="0"/>
        <v>0</v>
      </c>
      <c r="L7" s="29"/>
      <c r="M7" s="27"/>
      <c r="N7" s="27"/>
      <c r="O7" s="27"/>
      <c r="P7" s="27"/>
      <c r="Q7" s="27"/>
      <c r="R7" s="27"/>
      <c r="S7" s="27"/>
      <c r="T7" s="27"/>
      <c r="U7" s="27"/>
    </row>
    <row r="8" spans="1:22" ht="16.5" thickBot="1" x14ac:dyDescent="0.3">
      <c r="A8" s="79" t="s">
        <v>189</v>
      </c>
      <c r="B8" s="80">
        <f>Fiche_signalétique_projet!D57</f>
        <v>4.4999999999999998E-2</v>
      </c>
      <c r="C8" s="60"/>
      <c r="D8" s="22">
        <v>3</v>
      </c>
      <c r="E8" s="22" t="s">
        <v>242</v>
      </c>
      <c r="F8" s="22" t="s">
        <v>194</v>
      </c>
      <c r="G8" s="25">
        <v>100</v>
      </c>
      <c r="H8" s="22"/>
      <c r="I8" s="22"/>
      <c r="J8" s="23">
        <f>-$B$9*$B$14*(1+B15)</f>
        <v>0</v>
      </c>
      <c r="K8" s="21">
        <f t="shared" si="0"/>
        <v>0</v>
      </c>
      <c r="L8" s="58"/>
      <c r="M8" s="26"/>
      <c r="N8" s="26"/>
      <c r="O8" s="26"/>
      <c r="P8" s="26"/>
      <c r="Q8" s="26"/>
      <c r="R8" s="26"/>
      <c r="S8" s="26"/>
      <c r="T8" s="26"/>
      <c r="U8" s="26"/>
      <c r="V8" s="26"/>
    </row>
    <row r="9" spans="1:22" ht="16.5" thickBot="1" x14ac:dyDescent="0.3">
      <c r="A9" s="63" t="s">
        <v>190</v>
      </c>
      <c r="B9" s="67">
        <f>Annexe_îlots_boisements!D106</f>
        <v>0</v>
      </c>
      <c r="C9" s="63"/>
      <c r="D9" s="22">
        <v>4</v>
      </c>
      <c r="E9" s="22"/>
      <c r="F9" s="22" t="s">
        <v>194</v>
      </c>
      <c r="G9" s="25">
        <v>100</v>
      </c>
      <c r="H9" s="22"/>
      <c r="I9" s="22"/>
      <c r="J9" s="23"/>
      <c r="K9" s="21">
        <f t="shared" si="0"/>
        <v>0</v>
      </c>
      <c r="L9" s="58"/>
      <c r="M9" s="26"/>
      <c r="N9" s="26"/>
      <c r="O9" s="26"/>
      <c r="P9" s="26"/>
      <c r="Q9" s="26"/>
      <c r="R9" s="26"/>
      <c r="S9" s="26"/>
      <c r="T9" s="26"/>
      <c r="U9" s="26"/>
      <c r="V9" s="26"/>
    </row>
    <row r="10" spans="1:22" ht="18.75" x14ac:dyDescent="0.3">
      <c r="A10" s="66" t="s">
        <v>215</v>
      </c>
      <c r="B10" s="65"/>
      <c r="C10" s="61"/>
      <c r="D10" s="22">
        <v>5</v>
      </c>
      <c r="E10" s="22" t="s">
        <v>242</v>
      </c>
      <c r="F10" s="22" t="s">
        <v>194</v>
      </c>
      <c r="G10" s="25">
        <v>100</v>
      </c>
      <c r="H10" s="22"/>
      <c r="I10" s="22"/>
      <c r="J10" s="23">
        <f>-B9*B14*(1+B15)</f>
        <v>0</v>
      </c>
      <c r="K10" s="21">
        <f t="shared" si="0"/>
        <v>0</v>
      </c>
      <c r="L10" s="58"/>
      <c r="M10" s="26"/>
      <c r="N10" s="26"/>
      <c r="O10" s="26"/>
      <c r="P10" s="26"/>
      <c r="Q10" s="26"/>
      <c r="R10" s="26"/>
      <c r="S10" s="26"/>
      <c r="T10" s="26"/>
      <c r="U10" s="26"/>
      <c r="V10" s="26"/>
    </row>
    <row r="11" spans="1:22" ht="16.149999999999999" customHeight="1" x14ac:dyDescent="0.3">
      <c r="A11" s="52" t="s">
        <v>237</v>
      </c>
      <c r="B11" s="94">
        <f>IFERROR((IFERROR(VLOOKUP(Annexe_îlots_boisements!A106,Annexe_îlots_boisements!I8:L11,4)*Annexe_îlots_boisements!M8,0)+IFERROR(VLOOKUP(Annexe_îlots_boisements!A106,Annexe_îlots_boisements!I13:L16,4)*Annexe_îlots_boisements!M13,0)+IFERROR(VLOOKUP(Annexe_îlots_boisements!A106,Annexe_îlots_boisements!I18:L21,4)*Annexe_îlots_boisements!M18,0)+IFERROR(VLOOKUP(Annexe_îlots_boisements!A106,Annexe_îlots_boisements!I23:L26,4)*Annexe_îlots_boisements!M23,0)+IFERROR(VLOOKUP(Annexe_îlots_boisements!A106,Annexe_îlots_boisements!I28:L31,4)*Annexe_îlots_boisements!M28,0)+IFERROR(VLOOKUP(Annexe_îlots_boisements!A106,Annexe_îlots_boisements!I33:L36,4)*Annexe_îlots_boisements!M33,0)+IFERROR(VLOOKUP(Annexe_îlots_boisements!A106,Annexe_îlots_boisements!I38:L41,4)*Annexe_îlots_boisements!M38,0)+IFERROR(VLOOKUP(Annexe_îlots_boisements!A106,Annexe_îlots_boisements!I43:L46,4)*Annexe_îlots_boisements!M43,0)+IFERROR(VLOOKUP(Annexe_îlots_boisements!A106,Annexe_îlots_boisements!I48:L51,4)*Annexe_îlots_boisements!M48,0)+IFERROR(VLOOKUP(Annexe_îlots_boisements!A106,Annexe_îlots_boisements!I53:L56,4)*Annexe_îlots_boisements!M53,0)+IFERROR(VLOOKUP(Annexe_îlots_boisements!A106,Annexe_îlots_boisements!I58:L61,4)*Annexe_îlots_boisements!M58,0)+IFERROR(VLOOKUP(Annexe_îlots_boisements!A106,Annexe_îlots_boisements!I63:L66,4)*Annexe_îlots_boisements!M63,0)+IFERROR(VLOOKUP(Annexe_îlots_boisements!A106,Annexe_îlots_boisements!I68:L71,4)*Annexe_îlots_boisements!M68,0)+IFERROR(VLOOKUP(Annexe_îlots_boisements!A106,Annexe_îlots_boisements!I73:L76,4)*Annexe_îlots_boisements!M73,0)+IFERROR(VLOOKUP(Annexe_îlots_boisements!A106,Annexe_îlots_boisements!I78:L81,4)*Annexe_îlots_boisements!M78,0)+IFERROR(VLOOKUP(Annexe_îlots_boisements!A106,Annexe_îlots_boisements!I83:L86,4)*Annexe_îlots_boisements!M83,0)+IFERROR(VLOOKUP(Annexe_îlots_boisements!A106,Annexe_îlots_boisements!I88:L91,4)*Annexe_îlots_boisements!M88,0)+IFERROR(VLOOKUP(Annexe_îlots_boisements!A106,Annexe_îlots_boisements!I93:L96,4)*Annexe_îlots_boisements!M93,0))/Annexe_îlots_boisements!D106,0)</f>
        <v>0</v>
      </c>
      <c r="C11" s="60"/>
      <c r="D11" s="22">
        <v>6</v>
      </c>
      <c r="E11" s="22" t="s">
        <v>244</v>
      </c>
      <c r="F11" s="22" t="s">
        <v>194</v>
      </c>
      <c r="G11" s="25">
        <v>100</v>
      </c>
      <c r="H11" s="22"/>
      <c r="I11" s="22"/>
      <c r="J11" s="23">
        <f>-B16*B9*(1+B15)</f>
        <v>0</v>
      </c>
      <c r="K11" s="21">
        <f t="shared" si="0"/>
        <v>0</v>
      </c>
      <c r="L11" s="58"/>
      <c r="M11" s="26"/>
      <c r="N11" s="26"/>
      <c r="O11" s="26"/>
      <c r="P11" s="26"/>
      <c r="Q11" s="26"/>
      <c r="R11" s="26"/>
      <c r="S11" s="26"/>
      <c r="T11" s="26"/>
      <c r="U11" s="26"/>
      <c r="V11" s="26"/>
    </row>
    <row r="12" spans="1:22" ht="18.75" x14ac:dyDescent="0.3">
      <c r="A12" s="52" t="s">
        <v>238</v>
      </c>
      <c r="B12" s="62">
        <f>IFERROR((IFERROR(VLOOKUP(Annexe_îlots_boisements!A106,Annexe_îlots_boisements!I6:L9,4),0)*IFERROR(VLOOKUP(Annexe_îlots_boisements!A106,Annexe_îlots_boisements!I6:O9,6),0)+IFERROR(VLOOKUP(Annexe_îlots_boisements!A106,Annexe_îlots_boisements!I11:L14,4)*IFERROR(VLOOKUP(Annexe_îlots_boisements!A106,Annexe_îlots_boisements!I11:O14,6),0)+IFERROR(VLOOKUP(Annexe_îlots_boisements!A106,Annexe_îlots_boisements!I16:L19,4),0)*IFERROR(VLOOKUP(Annexe_îlots_boisements!A106,Annexe_îlots_boisements!I16:O19,6),0)+IFERROR(VLOOKUP(Annexe_îlots_boisements!A106,Annexe_îlots_boisements!I21:L24,4),0)*IFERROR(VLOOKUP(Annexe_îlots_boisements!A106,Annexe_îlots_boisements!I21:O24,6),0)+IFERROR(VLOOKUP(Annexe_îlots_boisements!A106,Annexe_îlots_boisements!I26:L29,4),0)*IFERROR(VLOOKUP(Annexe_îlots_boisements!A106,Annexe_îlots_boisements!I26:O29,6),0)+IFERROR(VLOOKUP(Annexe_îlots_boisements!A106,Annexe_îlots_boisements!I31:L34,4),0)*IFERROR(VLOOKUP(Annexe_îlots_boisements!A106,Annexe_îlots_boisements!I31:O34,6),0)+IFERROR(VLOOKUP(Annexe_îlots_boisements!A106,Annexe_îlots_boisements!I36:L39,4),0)*IFERROR(VLOOKUP(Annexe_îlots_boisements!A106,Annexe_îlots_boisements!I36:O39,6),0)+IFERROR(VLOOKUP(Annexe_îlots_boisements!A106,Annexe_îlots_boisements!I41:L44,4),0)*IFERROR(VLOOKUP(Annexe_îlots_boisements!A106,Annexe_îlots_boisements!I41:O44,6),0)+IFERROR(VLOOKUP(Annexe_îlots_boisements!A106,Annexe_îlots_boisements!I46:L49,4),0)*IFERROR(VLOOKUP(Annexe_îlots_boisements!A106,Annexe_îlots_boisements!I46:O49,6),0)+IFERROR(VLOOKUP(Annexe_îlots_boisements!A106,Annexe_îlots_boisements!I51:L54,4),0)*IFERROR(VLOOKUP(Annexe_îlots_boisements!A106,Annexe_îlots_boisements!I51:O54,6),0)+IFERROR(VLOOKUP(Annexe_îlots_boisements!A106,Annexe_îlots_boisements!I56:L59,4),0)*VLOOKUP(Annexe_îlots_boisements!A106,Annexe_îlots_boisements!I56:O59,6),0)+IFERROR(VLOOKUP(Annexe_îlots_boisements!A106,Annexe_îlots_boisements!I61:L64,4),0)*IFERROR(VLOOKUP(Annexe_îlots_boisements!A106,Annexe_îlots_boisements!I61:O64,6),0)+IFERROR(VLOOKUP(Annexe_îlots_boisements!A106,Annexe_îlots_boisements!I66:L69,4),0)*IFERROR(VLOOKUP(Annexe_îlots_boisements!A106,Annexe_îlots_boisements!I66:O69,6),0)+IFERROR(VLOOKUP(Annexe_îlots_boisements!A106,Annexe_îlots_boisements!I71:L74,4),0)*IFERROR(VLOOKUP(Annexe_îlots_boisements!A106,Annexe_îlots_boisements!I71:O74,6),0)+IFERROR(VLOOKUP(Annexe_îlots_boisements!A106,Annexe_îlots_boisements!I76:L79,4),0)*IFERROR(VLOOKUP(Annexe_îlots_boisements!A106,Annexe_îlots_boisements!I76:O79,6),0)+IFERROR(VLOOKUP(Annexe_îlots_boisements!A106,Annexe_îlots_boisements!I81:L84,4),0)*IFERROR(VLOOKUP(Annexe_îlots_boisements!A106,Annexe_îlots_boisements!I81:O84,6),0)+IFERROR(VLOOKUP(Annexe_îlots_boisements!A106,Annexe_îlots_boisements!I86:L89,4),0)*IFERROR(VLOOKUP(Annexe_îlots_boisements!A106,Annexe_îlots_boisements!I86:O89,6),0)+IFERROR(VLOOKUP(Annexe_îlots_boisements!A106,Annexe_îlots_boisements!I91:L94,4),0)*IFERROR(VLOOKUP(Annexe_îlots_boisements!A106,Annexe_îlots_boisements!I91:O94,6),0))/Annexe_îlots_boisements!D106,0)</f>
        <v>0</v>
      </c>
      <c r="C12" s="63"/>
      <c r="D12" s="22">
        <v>7</v>
      </c>
      <c r="E12" s="22" t="s">
        <v>242</v>
      </c>
      <c r="F12" s="22" t="s">
        <v>194</v>
      </c>
      <c r="G12" s="25">
        <v>100</v>
      </c>
      <c r="H12" s="22"/>
      <c r="I12" s="22"/>
      <c r="J12" s="23">
        <f>-$B$14*$B$9*(1+B15)</f>
        <v>0</v>
      </c>
      <c r="K12" s="21">
        <f t="shared" si="0"/>
        <v>0</v>
      </c>
      <c r="M12" s="26"/>
      <c r="N12" s="26"/>
      <c r="O12" s="26"/>
      <c r="P12" s="26"/>
      <c r="Q12" s="26"/>
      <c r="R12" s="26"/>
      <c r="S12" s="26"/>
      <c r="T12" s="26"/>
      <c r="U12" s="26"/>
      <c r="V12" s="26"/>
    </row>
    <row r="13" spans="1:22" ht="18.75" x14ac:dyDescent="0.3">
      <c r="A13" s="52" t="s">
        <v>239</v>
      </c>
      <c r="B13" s="55">
        <f>IFERROR((IFERROR(VLOOKUP(Annexe_îlots_boisements!A106,Annexe_îlots_boisements!I6:L9,4),0)*IFERROR(VLOOKUP(Annexe_îlots_boisements!A106,Annexe_îlots_boisements!I6:O9,7),0)+IFERROR(VLOOKUP(Annexe_îlots_boisements!A106,Annexe_îlots_boisements!I11:L14,4)*IFERROR(VLOOKUP(Annexe_îlots_boisements!A106,Annexe_îlots_boisements!I11:O14,7),0)+IFERROR(VLOOKUP(Annexe_îlots_boisements!A106,Annexe_îlots_boisements!I16:L19,4),0)*IFERROR(VLOOKUP(Annexe_îlots_boisements!A106,Annexe_îlots_boisements!I16:O19,7),0)+IFERROR(VLOOKUP(Annexe_îlots_boisements!A106,Annexe_îlots_boisements!I21:L24,4),0)*IFERROR(VLOOKUP(Annexe_îlots_boisements!A106,Annexe_îlots_boisements!I21:O24,7),0)+IFERROR(VLOOKUP(Annexe_îlots_boisements!A106,Annexe_îlots_boisements!I26:L29,4),0)*IFERROR(VLOOKUP(Annexe_îlots_boisements!A106,Annexe_îlots_boisements!I26:O29,7),0)+IFERROR(VLOOKUP(Annexe_îlots_boisements!A106,Annexe_îlots_boisements!I31:L34,4),0)*IFERROR(VLOOKUP(Annexe_îlots_boisements!A106,Annexe_îlots_boisements!I31:O34,7),0)+IFERROR(VLOOKUP(Annexe_îlots_boisements!A106,Annexe_îlots_boisements!I36:L39,4),0)*IFERROR(VLOOKUP(Annexe_îlots_boisements!A106,Annexe_îlots_boisements!I36:O39,7),0)+IFERROR(VLOOKUP(Annexe_îlots_boisements!A106,Annexe_îlots_boisements!I41:L44,4),0)*IFERROR(VLOOKUP(Annexe_îlots_boisements!A106,Annexe_îlots_boisements!I41:O44,7),0)+IFERROR(VLOOKUP(Annexe_îlots_boisements!A106,Annexe_îlots_boisements!I46:L49,4),0)*IFERROR(VLOOKUP(Annexe_îlots_boisements!A106,Annexe_îlots_boisements!I46:O49,7),0)+IFERROR(VLOOKUP(Annexe_îlots_boisements!A106,Annexe_îlots_boisements!I51:L54,4),0)*IFERROR(VLOOKUP(Annexe_îlots_boisements!A106,Annexe_îlots_boisements!I51:O54,7),0)+IFERROR(VLOOKUP(Annexe_îlots_boisements!A106,Annexe_îlots_boisements!I56:L59,4),0)*VLOOKUP(Annexe_îlots_boisements!A106,Annexe_îlots_boisements!I56:O59,7),0)+IFERROR(VLOOKUP(Annexe_îlots_boisements!A106,Annexe_îlots_boisements!I61:L64,4),0)*IFERROR(VLOOKUP(Annexe_îlots_boisements!A106,Annexe_îlots_boisements!I61:O64,7),0)+IFERROR(VLOOKUP(Annexe_îlots_boisements!A106,Annexe_îlots_boisements!I66:L69,4),0)*IFERROR(VLOOKUP(Annexe_îlots_boisements!A106,Annexe_îlots_boisements!I66:O69,7),0)+IFERROR(VLOOKUP(Annexe_îlots_boisements!A106,Annexe_îlots_boisements!I71:L74,4),0)*IFERROR(VLOOKUP(Annexe_îlots_boisements!A106,Annexe_îlots_boisements!I71:O74,7),0)+IFERROR(VLOOKUP(Annexe_îlots_boisements!A106,Annexe_îlots_boisements!I76:L79,4),0)*IFERROR(VLOOKUP(Annexe_îlots_boisements!A106,Annexe_îlots_boisements!I76:O79,7),0)+IFERROR(VLOOKUP(Annexe_îlots_boisements!A106,Annexe_îlots_boisements!I81:L84,4),0)*IFERROR(VLOOKUP(Annexe_îlots_boisements!A106,Annexe_îlots_boisements!I81:O84,7),0)+IFERROR(VLOOKUP(Annexe_îlots_boisements!A106,Annexe_îlots_boisements!I86:L89,4),0)*IFERROR(VLOOKUP(Annexe_îlots_boisements!A106,Annexe_îlots_boisements!I86:O89,7),0)+IFERROR(VLOOKUP(Annexe_îlots_boisements!A106,Annexe_îlots_boisements!I91:L94,4),0)*IFERROR(VLOOKUP(Annexe_îlots_boisements!A106,Annexe_îlots_boisements!I91:O94,7),0))/Annexe_îlots_boisements!D106,0)</f>
        <v>0</v>
      </c>
      <c r="C13" s="61"/>
      <c r="D13" s="22">
        <v>8</v>
      </c>
      <c r="E13" s="22" t="s">
        <v>242</v>
      </c>
      <c r="F13" s="22" t="s">
        <v>194</v>
      </c>
      <c r="G13" s="25">
        <v>100</v>
      </c>
      <c r="H13" s="22"/>
      <c r="I13" s="22"/>
      <c r="J13" s="23">
        <f>-$B$14*$B$9*(1+B15)</f>
        <v>0</v>
      </c>
      <c r="K13" s="21">
        <f t="shared" si="0"/>
        <v>0</v>
      </c>
      <c r="Q13" s="30"/>
      <c r="U13" s="26"/>
      <c r="V13" s="26"/>
    </row>
    <row r="14" spans="1:22" ht="18.75" x14ac:dyDescent="0.3">
      <c r="A14" s="52" t="s">
        <v>242</v>
      </c>
      <c r="B14" s="94">
        <f>IFERROR((IFERROR(VLOOKUP(Annexe_îlots_boisements!A106,Annexe_îlots_boisements!I8:L11,4)*Annexe_îlots_boisements!P8,0)+IFERROR(VLOOKUP(Annexe_îlots_boisements!A106,Annexe_îlots_boisements!I13:L16,4)*Annexe_îlots_boisements!P13,0)+IFERROR(VLOOKUP(Annexe_îlots_boisements!A106,Annexe_îlots_boisements!I18:L21,4)*Annexe_îlots_boisements!P18,0)+IFERROR(VLOOKUP(Annexe_îlots_boisements!A106,Annexe_îlots_boisements!I23:L26,4)*Annexe_îlots_boisements!P23,0)+IFERROR(VLOOKUP(Annexe_îlots_boisements!A106,Annexe_îlots_boisements!I28:L31,4)*Annexe_îlots_boisements!P28,0)+IFERROR(VLOOKUP(Annexe_îlots_boisements!A106,Annexe_îlots_boisements!I33:L36,4)*Annexe_îlots_boisements!P33,0)+IFERROR(VLOOKUP(Annexe_îlots_boisements!A106,Annexe_îlots_boisements!I38:L41,4)*Annexe_îlots_boisements!P38,0)+IFERROR(VLOOKUP(Annexe_îlots_boisements!A106,Annexe_îlots_boisements!I43:L46,4)*Annexe_îlots_boisements!P43,0)+IFERROR(VLOOKUP(Annexe_îlots_boisements!A106,Annexe_îlots_boisements!I48:L51,4)*Annexe_îlots_boisements!P48,0)+IFERROR(VLOOKUP(Annexe_îlots_boisements!A106,Annexe_îlots_boisements!I53:L56,4)*Annexe_îlots_boisements!P53,0)+IFERROR(VLOOKUP(Annexe_îlots_boisements!A106,Annexe_îlots_boisements!I58:L61,4)*Annexe_îlots_boisements!P58,0)+IFERROR(VLOOKUP(Annexe_îlots_boisements!A106,Annexe_îlots_boisements!I63:L66,4)*Annexe_îlots_boisements!P63,0)+IFERROR(VLOOKUP(Annexe_îlots_boisements!A106,Annexe_îlots_boisements!I68:L71,4)*Annexe_îlots_boisements!P68,0)+IFERROR(VLOOKUP(Annexe_îlots_boisements!A106,Annexe_îlots_boisements!I73:L76,4)*Annexe_îlots_boisements!P73,0)+IFERROR(VLOOKUP(Annexe_îlots_boisements!A106,Annexe_îlots_boisements!I78:L81,4)*Annexe_îlots_boisements!P78,0)+IFERROR(VLOOKUP(Annexe_îlots_boisements!A106,Annexe_îlots_boisements!I83:L86,4)*Annexe_îlots_boisements!P83,0)+IFERROR(VLOOKUP(Annexe_îlots_boisements!A106,Annexe_îlots_boisements!I88:L91,4)*Annexe_îlots_boisements!P88,0)+IFERROR(VLOOKUP(Annexe_îlots_boisements!A106,Annexe_îlots_boisements!I93:L96,4)*Annexe_îlots_boisements!P93,0))/Annexe_îlots_boisements!D106,0)</f>
        <v>0</v>
      </c>
      <c r="C14" s="60"/>
      <c r="D14" s="22">
        <v>9</v>
      </c>
      <c r="E14" s="22" t="s">
        <v>242</v>
      </c>
      <c r="F14" s="22" t="s">
        <v>194</v>
      </c>
      <c r="G14" s="25">
        <v>100</v>
      </c>
      <c r="H14" s="22"/>
      <c r="I14" s="22"/>
      <c r="J14" s="23">
        <f>-$B$14*$B$9*(1+B15)</f>
        <v>0</v>
      </c>
      <c r="K14" s="21">
        <f t="shared" si="0"/>
        <v>0</v>
      </c>
      <c r="L14" s="29"/>
      <c r="M14" s="64"/>
      <c r="N14" s="64"/>
      <c r="O14" s="64"/>
      <c r="P14" s="64"/>
      <c r="Q14" s="64"/>
      <c r="R14" s="64"/>
      <c r="S14" s="64"/>
      <c r="T14" s="64"/>
      <c r="U14" s="26"/>
      <c r="V14" s="26"/>
    </row>
    <row r="15" spans="1:22"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3"/>
      <c r="D15" s="22">
        <v>10</v>
      </c>
      <c r="E15" s="22" t="s">
        <v>242</v>
      </c>
      <c r="F15" s="22" t="s">
        <v>194</v>
      </c>
      <c r="G15" s="25">
        <v>100</v>
      </c>
      <c r="H15" s="22"/>
      <c r="I15" s="22"/>
      <c r="J15" s="23">
        <f>-$B$14*$B$9*(1+B15)</f>
        <v>0</v>
      </c>
      <c r="K15" s="21">
        <f t="shared" si="0"/>
        <v>0</v>
      </c>
      <c r="L15" s="58"/>
      <c r="M15" s="26"/>
      <c r="N15" s="26"/>
      <c r="O15" s="26"/>
      <c r="P15" s="26"/>
      <c r="Q15" s="26"/>
      <c r="R15" s="26"/>
      <c r="S15" s="26"/>
      <c r="T15" s="26"/>
      <c r="U15" s="26"/>
      <c r="V15" s="26"/>
    </row>
    <row r="16" spans="1:22" ht="19.5" thickBot="1" x14ac:dyDescent="0.35">
      <c r="A16" s="96" t="s">
        <v>243</v>
      </c>
      <c r="B16" s="139">
        <v>350</v>
      </c>
      <c r="C16" s="61"/>
      <c r="D16" s="22">
        <v>11</v>
      </c>
      <c r="E16" s="22" t="s">
        <v>242</v>
      </c>
      <c r="F16" s="22" t="s">
        <v>194</v>
      </c>
      <c r="G16" s="25">
        <v>100</v>
      </c>
      <c r="H16" s="22"/>
      <c r="I16" s="22"/>
      <c r="J16" s="23">
        <f>-$B$14*$B$9*(1+B15)</f>
        <v>0</v>
      </c>
      <c r="K16" s="21">
        <f t="shared" si="0"/>
        <v>0</v>
      </c>
      <c r="L16" s="58"/>
      <c r="M16" s="26"/>
      <c r="N16" s="26"/>
      <c r="O16" s="26"/>
      <c r="P16" s="26"/>
      <c r="Q16" s="26"/>
      <c r="R16" s="26"/>
      <c r="S16" s="26"/>
      <c r="T16" s="26"/>
      <c r="U16" s="26"/>
      <c r="V16" s="26"/>
    </row>
    <row r="17" spans="1:21" ht="19.5" thickBot="1" x14ac:dyDescent="0.35">
      <c r="A17" s="48" t="s">
        <v>213</v>
      </c>
      <c r="B17" s="48"/>
      <c r="C17" s="60"/>
      <c r="D17" s="22">
        <v>12</v>
      </c>
      <c r="E17" s="22" t="s">
        <v>242</v>
      </c>
      <c r="F17" s="22" t="s">
        <v>194</v>
      </c>
      <c r="G17" s="25">
        <v>100</v>
      </c>
      <c r="H17" s="22"/>
      <c r="I17" s="22"/>
      <c r="J17" s="23">
        <f>-$B$14*$B$9*(1+B15)</f>
        <v>0</v>
      </c>
      <c r="K17" s="21">
        <f t="shared" si="0"/>
        <v>0</v>
      </c>
      <c r="L17" s="58"/>
      <c r="M17" s="26"/>
      <c r="N17" s="26"/>
      <c r="O17" s="26"/>
      <c r="P17" s="26"/>
      <c r="Q17" s="26"/>
      <c r="R17" s="26"/>
      <c r="S17" s="26"/>
      <c r="T17" s="26"/>
    </row>
    <row r="18" spans="1:21" ht="18.75" x14ac:dyDescent="0.3">
      <c r="A18" s="47" t="s">
        <v>212</v>
      </c>
      <c r="B18" s="46"/>
      <c r="D18" s="22">
        <v>13</v>
      </c>
      <c r="E18" s="22" t="s">
        <v>242</v>
      </c>
      <c r="F18" s="22" t="s">
        <v>194</v>
      </c>
      <c r="G18" s="25">
        <v>100</v>
      </c>
      <c r="H18" s="22"/>
      <c r="I18" s="22"/>
      <c r="J18" s="23">
        <f>-$B$14*$B$9*(1+B15)</f>
        <v>0</v>
      </c>
      <c r="K18" s="21">
        <f t="shared" si="0"/>
        <v>0</v>
      </c>
      <c r="L18" s="58"/>
      <c r="M18" s="26"/>
      <c r="N18" s="26"/>
      <c r="O18" s="26"/>
      <c r="P18" s="26"/>
      <c r="Q18" s="26"/>
      <c r="R18" s="26"/>
      <c r="S18" s="26"/>
      <c r="T18" s="26"/>
    </row>
    <row r="19" spans="1:21" ht="18.75" x14ac:dyDescent="0.3">
      <c r="A19" s="45" t="s">
        <v>211</v>
      </c>
      <c r="B19" s="46"/>
      <c r="C19" s="59"/>
      <c r="D19" s="22">
        <v>14</v>
      </c>
      <c r="E19" s="22" t="s">
        <v>242</v>
      </c>
      <c r="F19" s="22" t="s">
        <v>194</v>
      </c>
      <c r="G19" s="25">
        <v>100</v>
      </c>
      <c r="H19" s="22"/>
      <c r="I19" s="22"/>
      <c r="J19" s="23">
        <f>-$B$14*$B$9*(1+B15)</f>
        <v>0</v>
      </c>
      <c r="K19" s="21">
        <f t="shared" si="0"/>
        <v>0</v>
      </c>
      <c r="L19" s="58"/>
    </row>
    <row r="20" spans="1:21" ht="18.75" x14ac:dyDescent="0.3">
      <c r="A20" s="45" t="s">
        <v>210</v>
      </c>
      <c r="B20" s="46"/>
      <c r="C20" s="57"/>
      <c r="D20" s="22">
        <v>15</v>
      </c>
      <c r="E20" s="22" t="s">
        <v>242</v>
      </c>
      <c r="F20" s="22" t="s">
        <v>194</v>
      </c>
      <c r="G20" s="25">
        <v>100</v>
      </c>
      <c r="H20" s="22"/>
      <c r="I20" s="22"/>
      <c r="J20" s="23">
        <f>-$B$14*$B$9*(1+B15)</f>
        <v>0</v>
      </c>
      <c r="K20" s="21">
        <f t="shared" si="0"/>
        <v>0</v>
      </c>
      <c r="Q20" s="30"/>
    </row>
    <row r="21" spans="1:21" ht="18.75" x14ac:dyDescent="0.3">
      <c r="A21" s="47" t="s">
        <v>209</v>
      </c>
      <c r="B21" s="46"/>
      <c r="C21" s="57"/>
      <c r="D21" s="22">
        <v>16</v>
      </c>
      <c r="E21" s="22" t="s">
        <v>242</v>
      </c>
      <c r="F21" s="22" t="s">
        <v>194</v>
      </c>
      <c r="G21" s="25">
        <v>100</v>
      </c>
      <c r="H21" s="22"/>
      <c r="I21" s="22"/>
      <c r="J21" s="23">
        <f>-$B$14*$B$9*(1+B15)</f>
        <v>0</v>
      </c>
      <c r="K21" s="21">
        <f t="shared" si="0"/>
        <v>0</v>
      </c>
      <c r="L21" s="29"/>
      <c r="M21" s="33"/>
      <c r="N21" s="33"/>
      <c r="O21" s="33"/>
      <c r="P21" s="33"/>
      <c r="Q21" s="33"/>
      <c r="R21" s="33"/>
      <c r="S21" s="33"/>
      <c r="T21" s="33"/>
      <c r="U21" s="33"/>
    </row>
    <row r="22" spans="1:21" ht="18.75" x14ac:dyDescent="0.3">
      <c r="A22" s="45" t="s">
        <v>208</v>
      </c>
      <c r="B22" s="46"/>
      <c r="C22" s="57"/>
      <c r="D22" s="22">
        <v>17</v>
      </c>
      <c r="E22" s="22" t="s">
        <v>242</v>
      </c>
      <c r="F22" s="22" t="s">
        <v>194</v>
      </c>
      <c r="G22" s="25">
        <v>100</v>
      </c>
      <c r="H22" s="22"/>
      <c r="I22" s="22"/>
      <c r="J22" s="23">
        <f>-$B$14*$B$9*(1+B15)</f>
        <v>0</v>
      </c>
      <c r="K22" s="21">
        <f t="shared" si="0"/>
        <v>0</v>
      </c>
      <c r="M22" s="26"/>
      <c r="N22" s="26"/>
      <c r="O22" s="26"/>
      <c r="P22" s="26"/>
      <c r="Q22" s="26"/>
      <c r="R22" s="26"/>
      <c r="S22" s="26"/>
      <c r="T22" s="26"/>
      <c r="U22" s="26"/>
    </row>
    <row r="23" spans="1:21" ht="18.75" x14ac:dyDescent="0.3">
      <c r="A23" s="45" t="s">
        <v>207</v>
      </c>
      <c r="B23" s="46"/>
      <c r="C23" s="33"/>
      <c r="D23" s="22">
        <v>18</v>
      </c>
      <c r="E23" s="22" t="s">
        <v>242</v>
      </c>
      <c r="F23" s="22" t="s">
        <v>192</v>
      </c>
      <c r="G23" s="25">
        <v>100</v>
      </c>
      <c r="H23" s="24" t="e">
        <f>#REF!*#REF!*#REF!</f>
        <v>#REF!</v>
      </c>
      <c r="I23" s="22">
        <v>18</v>
      </c>
      <c r="J23" s="23">
        <f>-$B$14*$B$9*(1+B15)</f>
        <v>0</v>
      </c>
      <c r="K23" s="21">
        <f t="shared" si="0"/>
        <v>0</v>
      </c>
      <c r="M23" s="26"/>
      <c r="N23" s="26"/>
      <c r="O23" s="26"/>
      <c r="P23" s="26"/>
      <c r="Q23" s="26"/>
      <c r="R23" s="26"/>
      <c r="S23" s="26"/>
      <c r="T23" s="26"/>
      <c r="U23" s="26"/>
    </row>
    <row r="24" spans="1:21" ht="18.75" x14ac:dyDescent="0.3">
      <c r="A24" s="45" t="s">
        <v>206</v>
      </c>
      <c r="B24" s="46"/>
      <c r="D24" s="22">
        <v>19</v>
      </c>
      <c r="E24" s="22" t="s">
        <v>242</v>
      </c>
      <c r="F24" s="22" t="s">
        <v>194</v>
      </c>
      <c r="G24" s="25">
        <v>100</v>
      </c>
      <c r="H24" s="22"/>
      <c r="I24" s="22"/>
      <c r="J24" s="23">
        <f>-$B$14*$B$9*(1+B15)</f>
        <v>0</v>
      </c>
      <c r="K24" s="21">
        <f t="shared" si="0"/>
        <v>0</v>
      </c>
      <c r="M24" s="26"/>
      <c r="N24" s="26"/>
      <c r="O24" s="26"/>
      <c r="P24" s="26"/>
      <c r="Q24" s="26"/>
      <c r="R24" s="26"/>
      <c r="S24" s="26"/>
      <c r="T24" s="26"/>
      <c r="U24" s="26"/>
    </row>
    <row r="25" spans="1:21" ht="18.75" x14ac:dyDescent="0.3">
      <c r="A25" s="47" t="s">
        <v>205</v>
      </c>
      <c r="B25" s="46">
        <v>250</v>
      </c>
      <c r="D25" s="22">
        <v>20</v>
      </c>
      <c r="E25" s="22" t="s">
        <v>261</v>
      </c>
      <c r="F25" s="22" t="s">
        <v>192</v>
      </c>
      <c r="G25" s="25">
        <v>100</v>
      </c>
      <c r="H25" s="24" t="e">
        <f>#REF!*#REF!*#REF!</f>
        <v>#REF!</v>
      </c>
      <c r="I25" s="22">
        <v>30</v>
      </c>
      <c r="J25" s="23">
        <f>B9*B25*B35</f>
        <v>0</v>
      </c>
      <c r="K25" s="21">
        <f t="shared" si="0"/>
        <v>0</v>
      </c>
      <c r="M25" s="26"/>
      <c r="N25" s="26"/>
      <c r="O25" s="26"/>
      <c r="P25" s="26"/>
      <c r="Q25" s="26"/>
      <c r="R25" s="26"/>
      <c r="S25" s="26"/>
      <c r="T25" s="26"/>
      <c r="U25" s="26"/>
    </row>
    <row r="26" spans="1:21" ht="19.5" thickBot="1" x14ac:dyDescent="0.35">
      <c r="A26" s="45" t="s">
        <v>204</v>
      </c>
      <c r="B26" s="44">
        <v>0</v>
      </c>
    </row>
    <row r="27" spans="1:21" ht="19.5" thickBot="1" x14ac:dyDescent="0.35">
      <c r="A27" s="43" t="s">
        <v>203</v>
      </c>
      <c r="B27" s="42"/>
    </row>
    <row r="28" spans="1:21" ht="18.75" x14ac:dyDescent="0.3">
      <c r="A28" s="41" t="s">
        <v>202</v>
      </c>
      <c r="B28" s="40"/>
    </row>
    <row r="29" spans="1:21" ht="18.75" x14ac:dyDescent="0.3">
      <c r="A29" s="38" t="s">
        <v>201</v>
      </c>
      <c r="B29" s="35"/>
    </row>
    <row r="30" spans="1:21" ht="18.75" x14ac:dyDescent="0.3">
      <c r="A30" s="36" t="s">
        <v>200</v>
      </c>
      <c r="B30" s="35"/>
    </row>
    <row r="31" spans="1:21" ht="18.75" x14ac:dyDescent="0.3">
      <c r="A31" s="38" t="s">
        <v>199</v>
      </c>
      <c r="B31" s="35"/>
    </row>
    <row r="32" spans="1:21" ht="18.75" x14ac:dyDescent="0.3">
      <c r="A32" s="36" t="s">
        <v>198</v>
      </c>
      <c r="B32" s="35"/>
    </row>
    <row r="33" spans="1:2" ht="18.75" x14ac:dyDescent="0.3">
      <c r="A33" s="38" t="s">
        <v>197</v>
      </c>
      <c r="B33" s="35"/>
    </row>
    <row r="34" spans="1:2" ht="18.75" x14ac:dyDescent="0.3">
      <c r="A34" s="36" t="s">
        <v>196</v>
      </c>
      <c r="B34" s="35"/>
    </row>
    <row r="35" spans="1:2" ht="19.5" thickBot="1" x14ac:dyDescent="0.35">
      <c r="A35" s="32" t="s">
        <v>195</v>
      </c>
      <c r="B35" s="31">
        <v>50</v>
      </c>
    </row>
    <row r="36" spans="1:2" ht="18.75" x14ac:dyDescent="0.3">
      <c r="A36" s="52"/>
      <c r="B36" s="51"/>
    </row>
    <row r="37" spans="1:2" ht="19.5" thickBot="1" x14ac:dyDescent="0.35">
      <c r="A37" s="50"/>
      <c r="B37" s="49"/>
    </row>
    <row r="38" spans="1:2" ht="18.75" x14ac:dyDescent="0.3">
      <c r="A38" s="54"/>
      <c r="B38" s="53"/>
    </row>
    <row r="39" spans="1:2" ht="18.75" x14ac:dyDescent="0.3">
      <c r="A39" s="52"/>
      <c r="B39" s="51"/>
    </row>
    <row r="40" spans="1:2" ht="19.5" thickBot="1" x14ac:dyDescent="0.35">
      <c r="A40" s="50"/>
      <c r="B40" s="49"/>
    </row>
    <row r="66" spans="1:2" ht="18.75" x14ac:dyDescent="0.3">
      <c r="A66" s="87"/>
      <c r="B66" s="88"/>
    </row>
    <row r="67" spans="1:2" ht="18.75" x14ac:dyDescent="0.3">
      <c r="A67" s="87"/>
      <c r="B67" s="89"/>
    </row>
    <row r="68" spans="1:2" ht="18.75" x14ac:dyDescent="0.3">
      <c r="A68" s="87"/>
      <c r="B68" s="88"/>
    </row>
    <row r="69" spans="1:2" ht="18.75" x14ac:dyDescent="0.3">
      <c r="A69" s="87"/>
      <c r="B69" s="88"/>
    </row>
    <row r="70" spans="1:2" ht="18.75" x14ac:dyDescent="0.3">
      <c r="A70" s="87"/>
      <c r="B70" s="90"/>
    </row>
    <row r="71" spans="1:2" ht="18.75" x14ac:dyDescent="0.3">
      <c r="A71" s="87"/>
      <c r="B71" s="88"/>
    </row>
    <row r="72" spans="1:2" ht="18.75" x14ac:dyDescent="0.3">
      <c r="A72" s="87"/>
      <c r="B72" s="91"/>
    </row>
    <row r="73" spans="1:2" ht="18.75" x14ac:dyDescent="0.3">
      <c r="A73" s="87"/>
      <c r="B73" s="92"/>
    </row>
    <row r="74" spans="1:2" ht="18.75" x14ac:dyDescent="0.3">
      <c r="A74" s="87"/>
      <c r="B74" s="92"/>
    </row>
    <row r="75" spans="1:2" ht="18.75" x14ac:dyDescent="0.3">
      <c r="A75" s="87"/>
      <c r="B75" s="92"/>
    </row>
    <row r="76" spans="1:2" ht="18.75" x14ac:dyDescent="0.3">
      <c r="A76" s="87"/>
      <c r="B76" s="92"/>
    </row>
    <row r="100" spans="1:2" x14ac:dyDescent="0.25">
      <c r="A100" s="13"/>
      <c r="B100" s="13"/>
    </row>
    <row r="101" spans="1:2" x14ac:dyDescent="0.25">
      <c r="A101" s="84"/>
      <c r="B101" s="84"/>
    </row>
    <row r="102" spans="1:2" x14ac:dyDescent="0.25">
      <c r="A102" s="85"/>
      <c r="B102" s="85"/>
    </row>
    <row r="103" spans="1:2" x14ac:dyDescent="0.25">
      <c r="A103" s="13"/>
      <c r="B103" s="86"/>
    </row>
    <row r="104" spans="1:2" x14ac:dyDescent="0.25">
      <c r="A104" s="13"/>
      <c r="B104" s="13"/>
    </row>
    <row r="105" spans="1:2" x14ac:dyDescent="0.25">
      <c r="A105" s="13"/>
      <c r="B105" s="13"/>
    </row>
    <row r="106" spans="1:2" x14ac:dyDescent="0.25">
      <c r="A106" s="85"/>
      <c r="B106" s="85"/>
    </row>
    <row r="107" spans="1:2" x14ac:dyDescent="0.25">
      <c r="A107" s="13"/>
      <c r="B107" s="86"/>
    </row>
    <row r="108" spans="1:2" x14ac:dyDescent="0.25">
      <c r="A108" s="13"/>
      <c r="B108" s="13"/>
    </row>
    <row r="109" spans="1:2" x14ac:dyDescent="0.25">
      <c r="A109" s="13"/>
      <c r="B109" s="13"/>
    </row>
    <row r="110" spans="1:2" x14ac:dyDescent="0.25">
      <c r="A110" s="13"/>
      <c r="B110" s="13"/>
    </row>
  </sheetData>
  <sheetProtection algorithmName="SHA-512" hashValue="Kz9HUcp9J0maR8nu1lWEKS5i5eBFWnlxHTHW3lZ1ZRTXV7PPPRvn/IoI6gI4hSAiEj9m7eVNZgvEj4+gBvDSIw==" saltValue="NWFU02kBYWW1OCDqmttblw==" spinCount="100000" sheet="1" objects="1" scenarios="1"/>
  <mergeCells count="1">
    <mergeCell ref="D1:J1"/>
  </mergeCells>
  <conditionalFormatting sqref="M8:U12 U13:U16">
    <cfRule type="colorScale" priority="69">
      <colorScale>
        <cfvo type="min"/>
        <cfvo type="percentile" val="50"/>
        <cfvo type="max"/>
        <color rgb="FFF8696B"/>
        <color rgb="FFFCFCFF"/>
        <color rgb="FF63BE7B"/>
      </colorScale>
    </cfRule>
  </conditionalFormatting>
  <conditionalFormatting sqref="M8:V12 U13:V16">
    <cfRule type="colorScale" priority="68">
      <colorScale>
        <cfvo type="min"/>
        <cfvo type="percentile" val="50"/>
        <cfvo type="max"/>
        <color rgb="FFF8696B"/>
        <color rgb="FFFCFCFF"/>
        <color rgb="FF63BE7B"/>
      </colorScale>
    </cfRule>
  </conditionalFormatting>
  <conditionalFormatting sqref="M15:T18">
    <cfRule type="colorScale" priority="63">
      <colorScale>
        <cfvo type="min"/>
        <cfvo type="percentile" val="50"/>
        <cfvo type="max"/>
        <color rgb="FFF8696B"/>
        <color rgb="FFFCFCFF"/>
        <color rgb="FF63BE7B"/>
      </colorScale>
    </cfRule>
  </conditionalFormatting>
  <conditionalFormatting sqref="M15:T18">
    <cfRule type="colorScale" priority="62">
      <colorScale>
        <cfvo type="min"/>
        <cfvo type="percentile" val="50"/>
        <cfvo type="max"/>
        <color rgb="FFF8696B"/>
        <color rgb="FFFCFCFF"/>
        <color rgb="FF63BE7B"/>
      </colorScale>
    </cfRule>
  </conditionalFormatting>
  <conditionalFormatting sqref="M3:U4">
    <cfRule type="colorScale" priority="112">
      <colorScale>
        <cfvo type="min"/>
        <cfvo type="percentile" val="50"/>
        <cfvo type="max"/>
        <color rgb="FFF8696B"/>
        <color rgb="FFFCFCFF"/>
        <color rgb="FF63BE7B"/>
      </colorScale>
    </cfRule>
  </conditionalFormatting>
  <conditionalFormatting sqref="M22:S25">
    <cfRule type="colorScale" priority="113">
      <colorScale>
        <cfvo type="min"/>
        <cfvo type="percentile" val="50"/>
        <cfvo type="max"/>
        <color rgb="FFF8696B"/>
        <color rgb="FFFCFCFF"/>
        <color rgb="FF63BE7B"/>
      </colorScale>
    </cfRule>
  </conditionalFormatting>
  <conditionalFormatting sqref="M22:T25">
    <cfRule type="colorScale" priority="114">
      <colorScale>
        <cfvo type="min"/>
        <cfvo type="percentile" val="50"/>
        <cfvo type="max"/>
        <color rgb="FFF8696B"/>
        <color rgb="FFFCFCFF"/>
        <color rgb="FF63BE7B"/>
      </colorScale>
    </cfRule>
  </conditionalFormatting>
  <conditionalFormatting sqref="M22:U25">
    <cfRule type="colorScale" priority="115">
      <colorScale>
        <cfvo type="min"/>
        <cfvo type="percentile" val="50"/>
        <cfvo type="max"/>
        <color rgb="FFF8696B"/>
        <color rgb="FFFCFCFF"/>
        <color rgb="FF63BE7B"/>
      </colorScale>
    </cfRule>
  </conditionalFormatting>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21542-611B-432A-B418-21ED07922B21}">
  <sheetPr>
    <tabColor rgb="FFC00000"/>
    <pageSetUpPr fitToPage="1"/>
  </sheetPr>
  <dimension ref="A1:X61"/>
  <sheetViews>
    <sheetView zoomScale="80" zoomScaleNormal="80" workbookViewId="0">
      <selection activeCell="B9" sqref="B9"/>
    </sheetView>
  </sheetViews>
  <sheetFormatPr baseColWidth="10" defaultRowHeight="15" x14ac:dyDescent="0.25"/>
  <cols>
    <col min="1" max="1" width="32.7109375" bestFit="1" customWidth="1"/>
    <col min="2" max="2" width="13.42578125" bestFit="1" customWidth="1"/>
    <col min="4" max="4" width="6.85546875" customWidth="1"/>
    <col min="5" max="5" width="39" customWidth="1"/>
    <col min="6" max="6" width="6" hidden="1" customWidth="1"/>
    <col min="7" max="7" width="6.140625" style="19" hidden="1" customWidth="1"/>
    <col min="8" max="8" width="8" hidden="1" customWidth="1"/>
    <col min="9" max="9" width="11.85546875" hidden="1" customWidth="1"/>
    <col min="10" max="10" width="16.28515625" bestFit="1" customWidth="1"/>
    <col min="11" max="11" width="14.28515625" bestFit="1" customWidth="1"/>
    <col min="14" max="14" width="15.42578125" bestFit="1" customWidth="1"/>
    <col min="15" max="15" width="13.7109375" bestFit="1" customWidth="1"/>
    <col min="19" max="19" width="12.7109375" bestFit="1" customWidth="1"/>
  </cols>
  <sheetData>
    <row r="1" spans="1:24" ht="15.75" x14ac:dyDescent="0.25">
      <c r="C1" s="82"/>
      <c r="D1" s="592" t="s">
        <v>267</v>
      </c>
      <c r="E1" s="592"/>
      <c r="F1" s="592"/>
      <c r="G1" s="592"/>
      <c r="H1" s="592"/>
      <c r="I1" s="592"/>
      <c r="J1" s="592"/>
      <c r="K1" s="81"/>
    </row>
    <row r="2" spans="1:24" ht="15.75" x14ac:dyDescent="0.25">
      <c r="C2" s="63"/>
      <c r="D2" s="78" t="s">
        <v>229</v>
      </c>
      <c r="E2" s="77">
        <f>IFERROR(IRR(J6:J61,0.045),0)</f>
        <v>0</v>
      </c>
      <c r="F2" s="77" t="e">
        <f>IRR(J6:J61,0.02)</f>
        <v>#NUM!</v>
      </c>
      <c r="L2" s="69"/>
      <c r="O2" s="68"/>
      <c r="P2" s="68"/>
      <c r="Q2" s="68"/>
      <c r="R2" s="68"/>
      <c r="S2" s="68"/>
      <c r="T2" s="68"/>
      <c r="U2" s="68"/>
      <c r="V2" s="68"/>
      <c r="W2" s="68"/>
    </row>
    <row r="3" spans="1:24" ht="15.75" x14ac:dyDescent="0.25">
      <c r="C3" s="61"/>
      <c r="D3" s="74" t="s">
        <v>228</v>
      </c>
      <c r="E3" s="103">
        <f>IFERROR(NPV(B8,J7:J61)+J6,0)</f>
        <v>0</v>
      </c>
      <c r="F3" s="75" t="e">
        <f>NPV(#REF!,J7:J61)+J6</f>
        <v>#REF!</v>
      </c>
      <c r="J3" s="10"/>
      <c r="K3" s="73"/>
      <c r="L3" s="69"/>
      <c r="O3" s="68"/>
      <c r="P3" s="68"/>
      <c r="Q3" s="68"/>
      <c r="R3" s="68"/>
      <c r="S3" s="68"/>
      <c r="T3" s="68"/>
      <c r="U3" s="68"/>
      <c r="V3" s="68"/>
      <c r="W3" s="68"/>
    </row>
    <row r="4" spans="1:24" ht="15.75" x14ac:dyDescent="0.25">
      <c r="C4" s="63"/>
      <c r="E4" s="39"/>
      <c r="K4" s="73"/>
      <c r="L4" s="69"/>
      <c r="O4" s="68"/>
      <c r="P4" s="68"/>
      <c r="Q4" s="68"/>
      <c r="R4" s="68"/>
      <c r="S4" s="68"/>
      <c r="T4" s="68"/>
      <c r="U4" s="68"/>
      <c r="V4" s="68"/>
      <c r="W4" s="68"/>
    </row>
    <row r="5" spans="1:24" ht="15.75" x14ac:dyDescent="0.25">
      <c r="C5" s="61"/>
      <c r="D5" s="70" t="s">
        <v>225</v>
      </c>
      <c r="E5" s="70" t="s">
        <v>224</v>
      </c>
      <c r="F5" s="70" t="s">
        <v>223</v>
      </c>
      <c r="G5" s="72" t="s">
        <v>222</v>
      </c>
      <c r="H5" s="70" t="s">
        <v>221</v>
      </c>
      <c r="I5" s="140" t="s">
        <v>220</v>
      </c>
      <c r="J5" s="70" t="s">
        <v>219</v>
      </c>
      <c r="K5" s="71" t="s">
        <v>218</v>
      </c>
      <c r="L5" s="69"/>
      <c r="O5" s="68"/>
      <c r="P5" s="68"/>
      <c r="Q5" s="68"/>
      <c r="R5" s="68"/>
      <c r="S5" s="68"/>
      <c r="T5" s="68"/>
      <c r="U5" s="68"/>
      <c r="V5" s="68"/>
      <c r="W5" s="68"/>
    </row>
    <row r="6" spans="1:24" ht="16.5" thickBot="1" x14ac:dyDescent="0.3">
      <c r="C6" s="60"/>
      <c r="D6" s="22">
        <v>0</v>
      </c>
      <c r="E6" s="22" t="s">
        <v>257</v>
      </c>
      <c r="F6" s="22" t="s">
        <v>194</v>
      </c>
      <c r="G6" s="25">
        <v>100</v>
      </c>
      <c r="H6" s="22"/>
      <c r="I6" s="141"/>
      <c r="J6" s="23">
        <f>-(B14+B12+B13)*B9*(1+B15)</f>
        <v>0</v>
      </c>
      <c r="K6" s="21">
        <f>J6/(1+B8)^D6</f>
        <v>0</v>
      </c>
    </row>
    <row r="7" spans="1:24" ht="16.5" thickBot="1" x14ac:dyDescent="0.3">
      <c r="A7" s="76" t="s">
        <v>230</v>
      </c>
      <c r="B7" s="83"/>
      <c r="C7" s="63"/>
      <c r="D7" s="22">
        <v>1</v>
      </c>
      <c r="E7" s="22" t="s">
        <v>242</v>
      </c>
      <c r="F7" s="22" t="s">
        <v>217</v>
      </c>
      <c r="G7" s="25">
        <v>100</v>
      </c>
      <c r="H7" s="22"/>
      <c r="I7" s="141"/>
      <c r="J7" s="23">
        <f>-B11*B9*(1+B15)</f>
        <v>0</v>
      </c>
      <c r="K7" s="21">
        <f t="shared" ref="K7:K61" si="0">J7/(1+B9)^D7</f>
        <v>0</v>
      </c>
      <c r="S7" s="30"/>
    </row>
    <row r="8" spans="1:24" ht="16.5" thickBot="1" x14ac:dyDescent="0.3">
      <c r="A8" s="79" t="s">
        <v>189</v>
      </c>
      <c r="B8" s="80">
        <f>Fiche_signalétique_projet!D57</f>
        <v>4.4999999999999998E-2</v>
      </c>
      <c r="C8" s="61"/>
      <c r="D8" s="22">
        <v>2</v>
      </c>
      <c r="E8" s="22" t="s">
        <v>242</v>
      </c>
      <c r="F8" s="22" t="s">
        <v>194</v>
      </c>
      <c r="G8" s="25">
        <v>100</v>
      </c>
      <c r="H8" s="22"/>
      <c r="I8" s="141"/>
      <c r="J8" s="23">
        <f>-B11*B9*(1+B15)</f>
        <v>0</v>
      </c>
      <c r="K8" s="21">
        <f t="shared" si="0"/>
        <v>0</v>
      </c>
      <c r="L8" s="27"/>
      <c r="N8" s="29"/>
      <c r="O8" s="27"/>
      <c r="P8" s="27"/>
      <c r="Q8" s="27"/>
      <c r="R8" s="27"/>
      <c r="S8" s="27"/>
      <c r="T8" s="27"/>
      <c r="U8" s="27"/>
      <c r="V8" s="27"/>
      <c r="W8" s="27"/>
    </row>
    <row r="9" spans="1:24" ht="16.5" thickBot="1" x14ac:dyDescent="0.3">
      <c r="A9" s="63" t="s">
        <v>190</v>
      </c>
      <c r="B9" s="67">
        <f>Annexe_îlots_boisements!D107</f>
        <v>0</v>
      </c>
      <c r="C9" s="60"/>
      <c r="D9" s="22">
        <v>3</v>
      </c>
      <c r="E9" s="22" t="s">
        <v>242</v>
      </c>
      <c r="F9" s="22" t="s">
        <v>194</v>
      </c>
      <c r="G9" s="25">
        <v>100</v>
      </c>
      <c r="H9" s="22"/>
      <c r="I9" s="141"/>
      <c r="J9" s="23">
        <f>-B11*B9*(1+B15)</f>
        <v>0</v>
      </c>
      <c r="K9" s="21">
        <f>J9/(1+B14)^D9</f>
        <v>0</v>
      </c>
      <c r="L9" s="28"/>
      <c r="M9" s="28"/>
      <c r="N9" s="58"/>
      <c r="O9" s="26"/>
      <c r="P9" s="26"/>
      <c r="Q9" s="26"/>
      <c r="R9" s="26"/>
      <c r="S9" s="26"/>
      <c r="T9" s="26"/>
      <c r="U9" s="26"/>
      <c r="V9" s="26"/>
      <c r="W9" s="26"/>
      <c r="X9" s="26"/>
    </row>
    <row r="10" spans="1:24" ht="18.75" x14ac:dyDescent="0.3">
      <c r="A10" s="66" t="s">
        <v>215</v>
      </c>
      <c r="B10" s="65"/>
      <c r="C10" s="63"/>
      <c r="D10" s="22">
        <v>4</v>
      </c>
      <c r="E10" s="22"/>
      <c r="F10" s="22" t="s">
        <v>194</v>
      </c>
      <c r="G10" s="25">
        <v>100</v>
      </c>
      <c r="H10" s="22"/>
      <c r="I10" s="141"/>
      <c r="J10" s="23"/>
      <c r="K10" s="21">
        <f t="shared" si="0"/>
        <v>0</v>
      </c>
      <c r="L10" s="28"/>
      <c r="M10" s="28"/>
      <c r="N10" s="58"/>
      <c r="O10" s="26"/>
      <c r="P10" s="26"/>
      <c r="Q10" s="26"/>
      <c r="R10" s="26"/>
      <c r="S10" s="26"/>
      <c r="T10" s="26"/>
      <c r="U10" s="26"/>
      <c r="V10" s="26"/>
      <c r="W10" s="26"/>
      <c r="X10" s="26"/>
    </row>
    <row r="11" spans="1:24" ht="18.75" x14ac:dyDescent="0.3">
      <c r="A11" s="52" t="s">
        <v>237</v>
      </c>
      <c r="B11" s="94">
        <f>IFERROR((IFERROR(VLOOKUP(Annexe_îlots_boisements!A107,Annexe_îlots_boisements!I8:L11,4)*Annexe_îlots_boisements!M8,0)+IFERROR(VLOOKUP(Annexe_îlots_boisements!A107,Annexe_îlots_boisements!I13:L16,4)*Annexe_îlots_boisements!M13,0)+IFERROR(VLOOKUP(Annexe_îlots_boisements!A107,Annexe_îlots_boisements!I18:L21,4)*Annexe_îlots_boisements!M18,0)+IFERROR(VLOOKUP(Annexe_îlots_boisements!A107,Annexe_îlots_boisements!I23:L26,4)*Annexe_îlots_boisements!M23,0)+IFERROR(VLOOKUP(Annexe_îlots_boisements!A107,Annexe_îlots_boisements!I28:L31,4)*Annexe_îlots_boisements!M28,0)+IFERROR(VLOOKUP(Annexe_îlots_boisements!A107,Annexe_îlots_boisements!I33:L36,4)*Annexe_îlots_boisements!M33,0)+IFERROR(VLOOKUP(Annexe_îlots_boisements!A107,Annexe_îlots_boisements!I38:L41,4)*Annexe_îlots_boisements!M38,0)+IFERROR(VLOOKUP(Annexe_îlots_boisements!A107,Annexe_îlots_boisements!I43:L46,4)*Annexe_îlots_boisements!M43,0)+IFERROR(VLOOKUP(Annexe_îlots_boisements!A107,Annexe_îlots_boisements!I48:L51,4)*Annexe_îlots_boisements!M48,0)+IFERROR(VLOOKUP(Annexe_îlots_boisements!A107,Annexe_îlots_boisements!I53:L56,4)*Annexe_îlots_boisements!M53,0)+IFERROR(VLOOKUP(Annexe_îlots_boisements!A107,Annexe_îlots_boisements!I58:L61,4)*Annexe_îlots_boisements!M58,0)+IFERROR(VLOOKUP(Annexe_îlots_boisements!A107,Annexe_îlots_boisements!I63:L66,4)*Annexe_îlots_boisements!M63,0)+IFERROR(VLOOKUP(Annexe_îlots_boisements!A107,Annexe_îlots_boisements!I68:L71,4)*Annexe_îlots_boisements!M68,0)+IFERROR(VLOOKUP(Annexe_îlots_boisements!A107,Annexe_îlots_boisements!I73:L76,4)*Annexe_îlots_boisements!M73,0)+IFERROR(VLOOKUP(Annexe_îlots_boisements!A107,Annexe_îlots_boisements!I78:L81,4)*Annexe_îlots_boisements!M78,0)+IFERROR(VLOOKUP(Annexe_îlots_boisements!A107,Annexe_îlots_boisements!I83:L86,4)*Annexe_îlots_boisements!M83,0)+IFERROR(VLOOKUP(Annexe_îlots_boisements!A107,Annexe_îlots_boisements!I88:L91,4)*Annexe_îlots_boisements!M88,0)+IFERROR(VLOOKUP(Annexe_îlots_boisements!A107,Annexe_îlots_boisements!I93:L96,4)*Annexe_îlots_boisements!M93,0))/Annexe_îlots_boisements!D107,0)</f>
        <v>0</v>
      </c>
      <c r="C11" s="61"/>
      <c r="D11" s="22">
        <v>5</v>
      </c>
      <c r="E11" s="22"/>
      <c r="F11" s="22"/>
      <c r="G11" s="25"/>
      <c r="H11" s="22"/>
      <c r="I11" s="141"/>
      <c r="J11" s="23"/>
      <c r="K11" s="21">
        <f t="shared" si="0"/>
        <v>0</v>
      </c>
      <c r="L11" s="28"/>
      <c r="M11" s="28"/>
      <c r="N11" s="58"/>
      <c r="O11" s="26"/>
      <c r="P11" s="26"/>
      <c r="Q11" s="26"/>
      <c r="R11" s="26"/>
      <c r="S11" s="26"/>
      <c r="T11" s="26"/>
      <c r="U11" s="26"/>
      <c r="V11" s="26"/>
      <c r="W11" s="26"/>
      <c r="X11" s="26"/>
    </row>
    <row r="12" spans="1:24" ht="16.149999999999999" customHeight="1" x14ac:dyDescent="0.3">
      <c r="A12" s="52" t="s">
        <v>238</v>
      </c>
      <c r="B12" s="62">
        <f>IFERROR((IFERROR(VLOOKUP(Annexe_îlots_boisements!A107,Annexe_îlots_boisements!I6:L9,4),0)*IFERROR(VLOOKUP(Annexe_îlots_boisements!A107,Annexe_îlots_boisements!I6:O9,6),0)+IFERROR(VLOOKUP(Annexe_îlots_boisements!A107,Annexe_îlots_boisements!I11:L14,4)*IFERROR(VLOOKUP(Annexe_îlots_boisements!A107,Annexe_îlots_boisements!I11:O14,6),0)+IFERROR(VLOOKUP(Annexe_îlots_boisements!A107,Annexe_îlots_boisements!I16:L19,4),0)*IFERROR(VLOOKUP(Annexe_îlots_boisements!A107,Annexe_îlots_boisements!I16:O19,6),0)+IFERROR(VLOOKUP(Annexe_îlots_boisements!A107,Annexe_îlots_boisements!I21:L24,4),0)*IFERROR(VLOOKUP(Annexe_îlots_boisements!A107,Annexe_îlots_boisements!I21:O24,6),0)+IFERROR(VLOOKUP(Annexe_îlots_boisements!A107,Annexe_îlots_boisements!I26:L29,4),0)*IFERROR(VLOOKUP(Annexe_îlots_boisements!A107,Annexe_îlots_boisements!I26:O29,6),0)+IFERROR(VLOOKUP(Annexe_îlots_boisements!A107,Annexe_îlots_boisements!I31:L34,4),0)*IFERROR(VLOOKUP(Annexe_îlots_boisements!A107,Annexe_îlots_boisements!I31:O34,6),0)+IFERROR(VLOOKUP(Annexe_îlots_boisements!A107,Annexe_îlots_boisements!I36:L39,4),0)*IFERROR(VLOOKUP(Annexe_îlots_boisements!A107,Annexe_îlots_boisements!I36:O39,6),0)+IFERROR(VLOOKUP(Annexe_îlots_boisements!A107,Annexe_îlots_boisements!I41:L44,4),0)*IFERROR(VLOOKUP(Annexe_îlots_boisements!A107,Annexe_îlots_boisements!I41:O44,6),0)+IFERROR(VLOOKUP(Annexe_îlots_boisements!A107,Annexe_îlots_boisements!I46:L49,4),0)*IFERROR(VLOOKUP(Annexe_îlots_boisements!A107,Annexe_îlots_boisements!I46:O49,6),0)+IFERROR(VLOOKUP(Annexe_îlots_boisements!A107,Annexe_îlots_boisements!I51:L54,4),0)*IFERROR(VLOOKUP(Annexe_îlots_boisements!A107,Annexe_îlots_boisements!I51:O54,6),0)+IFERROR(VLOOKUP(Annexe_îlots_boisements!A107,Annexe_îlots_boisements!I56:L59,4),0)*VLOOKUP(Annexe_îlots_boisements!A107,Annexe_îlots_boisements!I56:O59,6),0)+IFERROR(VLOOKUP(Annexe_îlots_boisements!A107,Annexe_îlots_boisements!I61:L64,4),0)*IFERROR(VLOOKUP(Annexe_îlots_boisements!A107,Annexe_îlots_boisements!I61:O64,6),0)+IFERROR(VLOOKUP(Annexe_îlots_boisements!A107,Annexe_îlots_boisements!I66:L69,4),0)*IFERROR(VLOOKUP(Annexe_îlots_boisements!A107,Annexe_îlots_boisements!I66:O69,6),0)+IFERROR(VLOOKUP(Annexe_îlots_boisements!A107,Annexe_îlots_boisements!I71:L74,4),0)*IFERROR(VLOOKUP(Annexe_îlots_boisements!A107,Annexe_îlots_boisements!I71:O74,6),0)+IFERROR(VLOOKUP(Annexe_îlots_boisements!A107,Annexe_îlots_boisements!I76:L79,4),0)*IFERROR(VLOOKUP(Annexe_îlots_boisements!A107,Annexe_îlots_boisements!I76:O79,6),0)+IFERROR(VLOOKUP(Annexe_îlots_boisements!A107,Annexe_îlots_boisements!I81:L84,4),0)*IFERROR(VLOOKUP(Annexe_îlots_boisements!A107,Annexe_îlots_boisements!I81:O84,6),0)+IFERROR(VLOOKUP(Annexe_îlots_boisements!A107,Annexe_îlots_boisements!I86:L89,4),0)*IFERROR(VLOOKUP(Annexe_îlots_boisements!A107,Annexe_îlots_boisements!I86:O89,6),0)+IFERROR(VLOOKUP(Annexe_îlots_boisements!A107,Annexe_îlots_boisements!I91:L94,4),0)*IFERROR(VLOOKUP(Annexe_îlots_boisements!A107,Annexe_îlots_boisements!I91:O94,6),0))/Annexe_îlots_boisements!D107,0)</f>
        <v>0</v>
      </c>
      <c r="C12" s="60"/>
      <c r="D12" s="22">
        <v>6</v>
      </c>
      <c r="E12" s="22"/>
      <c r="F12" s="22"/>
      <c r="G12" s="25"/>
      <c r="H12" s="22"/>
      <c r="I12" s="141"/>
      <c r="J12" s="23"/>
      <c r="K12" s="21">
        <f>J12/(1+B11)^D12</f>
        <v>0</v>
      </c>
      <c r="L12" s="28"/>
      <c r="M12" s="28"/>
      <c r="N12" s="58"/>
      <c r="O12" s="26"/>
      <c r="P12" s="26"/>
      <c r="Q12" s="26"/>
      <c r="R12" s="26"/>
      <c r="S12" s="26"/>
      <c r="T12" s="26"/>
      <c r="U12" s="26"/>
      <c r="V12" s="26"/>
      <c r="W12" s="26"/>
      <c r="X12" s="26"/>
    </row>
    <row r="13" spans="1:24" ht="18.75" x14ac:dyDescent="0.3">
      <c r="A13" s="52" t="s">
        <v>239</v>
      </c>
      <c r="B13" s="55">
        <f>IFERROR((IFERROR(VLOOKUP(Annexe_îlots_boisements!A107,Annexe_îlots_boisements!I6:L9,4),0)*IFERROR(VLOOKUP(Annexe_îlots_boisements!A107,Annexe_îlots_boisements!I6:O9,7),0)+IFERROR(VLOOKUP(Annexe_îlots_boisements!A107,Annexe_îlots_boisements!I11:L14,4)*IFERROR(VLOOKUP(Annexe_îlots_boisements!A107,Annexe_îlots_boisements!I11:O14,7),0)+IFERROR(VLOOKUP(Annexe_îlots_boisements!A107,Annexe_îlots_boisements!I16:L19,4),0)*IFERROR(VLOOKUP(Annexe_îlots_boisements!A107,Annexe_îlots_boisements!I16:O19,7),0)+IFERROR(VLOOKUP(Annexe_îlots_boisements!A107,Annexe_îlots_boisements!I21:L24,4),0)*IFERROR(VLOOKUP(Annexe_îlots_boisements!A107,Annexe_îlots_boisements!I21:O24,7),0)+IFERROR(VLOOKUP(Annexe_îlots_boisements!A107,Annexe_îlots_boisements!I26:L29,4),0)*IFERROR(VLOOKUP(Annexe_îlots_boisements!A107,Annexe_îlots_boisements!I26:O29,7),0)+IFERROR(VLOOKUP(Annexe_îlots_boisements!A107,Annexe_îlots_boisements!I31:L34,4),0)*IFERROR(VLOOKUP(Annexe_îlots_boisements!A107,Annexe_îlots_boisements!I31:O34,7),0)+IFERROR(VLOOKUP(Annexe_îlots_boisements!A107,Annexe_îlots_boisements!I36:L39,4),0)*IFERROR(VLOOKUP(Annexe_îlots_boisements!A107,Annexe_îlots_boisements!I36:O39,7),0)+IFERROR(VLOOKUP(Annexe_îlots_boisements!A107,Annexe_îlots_boisements!I41:L44,4),0)*IFERROR(VLOOKUP(Annexe_îlots_boisements!A107,Annexe_îlots_boisements!I41:O44,7),0)+IFERROR(VLOOKUP(Annexe_îlots_boisements!A107,Annexe_îlots_boisements!I46:L49,4),0)*IFERROR(VLOOKUP(Annexe_îlots_boisements!A107,Annexe_îlots_boisements!I46:O49,7),0)+IFERROR(VLOOKUP(Annexe_îlots_boisements!A107,Annexe_îlots_boisements!I51:L54,4),0)*IFERROR(VLOOKUP(Annexe_îlots_boisements!A107,Annexe_îlots_boisements!I51:O54,7),0)+IFERROR(VLOOKUP(Annexe_îlots_boisements!A107,Annexe_îlots_boisements!I56:L59,4),0)*VLOOKUP(Annexe_îlots_boisements!A107,Annexe_îlots_boisements!I56:O59,7),0)+IFERROR(VLOOKUP(Annexe_îlots_boisements!A107,Annexe_îlots_boisements!I61:L64,4),0)*IFERROR(VLOOKUP(Annexe_îlots_boisements!A107,Annexe_îlots_boisements!I61:O64,7),0)+IFERROR(VLOOKUP(Annexe_îlots_boisements!A107,Annexe_îlots_boisements!I66:L69,4),0)*IFERROR(VLOOKUP(Annexe_îlots_boisements!A107,Annexe_îlots_boisements!I66:O69,7),0)+IFERROR(VLOOKUP(Annexe_îlots_boisements!A107,Annexe_îlots_boisements!I71:L74,4),0)*IFERROR(VLOOKUP(Annexe_îlots_boisements!A107,Annexe_îlots_boisements!I71:O74,7),0)+IFERROR(VLOOKUP(Annexe_îlots_boisements!A107,Annexe_îlots_boisements!I76:L79,4),0)*IFERROR(VLOOKUP(Annexe_îlots_boisements!A107,Annexe_îlots_boisements!I76:O79,7),0)+IFERROR(VLOOKUP(Annexe_îlots_boisements!A107,Annexe_îlots_boisements!I81:L84,4),0)*IFERROR(VLOOKUP(Annexe_îlots_boisements!A107,Annexe_îlots_boisements!I81:O84,7),0)+IFERROR(VLOOKUP(Annexe_îlots_boisements!A107,Annexe_îlots_boisements!I86:L89,4),0)*IFERROR(VLOOKUP(Annexe_îlots_boisements!A107,Annexe_îlots_boisements!I86:O89,7),0)+IFERROR(VLOOKUP(Annexe_îlots_boisements!A107,Annexe_îlots_boisements!I91:L94,4),0)*IFERROR(VLOOKUP(Annexe_îlots_boisements!A107,Annexe_îlots_boisements!I91:O94,7),0))/Annexe_îlots_boisements!D107,0)</f>
        <v>0</v>
      </c>
      <c r="C13" s="63"/>
      <c r="D13" s="22">
        <v>7</v>
      </c>
      <c r="E13" s="22"/>
      <c r="F13" s="22"/>
      <c r="G13" s="25"/>
      <c r="H13" s="22"/>
      <c r="I13" s="141"/>
      <c r="J13" s="23"/>
      <c r="K13" s="21">
        <f t="shared" si="0"/>
        <v>0</v>
      </c>
      <c r="L13" s="28"/>
      <c r="M13" s="28"/>
      <c r="O13" s="26"/>
      <c r="P13" s="26"/>
      <c r="Q13" s="26"/>
      <c r="R13" s="26"/>
      <c r="S13" s="26"/>
      <c r="T13" s="26"/>
      <c r="U13" s="26"/>
      <c r="V13" s="26"/>
      <c r="W13" s="26"/>
      <c r="X13" s="26"/>
    </row>
    <row r="14" spans="1:24" ht="18.75" x14ac:dyDescent="0.3">
      <c r="A14" s="52" t="s">
        <v>242</v>
      </c>
      <c r="B14" s="94">
        <f>IFERROR((IFERROR(VLOOKUP(Annexe_îlots_boisements!A107,Annexe_îlots_boisements!I8:L11,4)*Annexe_îlots_boisements!P8,0)+IFERROR(VLOOKUP(Annexe_îlots_boisements!A107,Annexe_îlots_boisements!I13:L16,4)*Annexe_îlots_boisements!P13,0)+IFERROR(VLOOKUP(Annexe_îlots_boisements!A107,Annexe_îlots_boisements!I18:L21,4)*Annexe_îlots_boisements!P18,0)+IFERROR(VLOOKUP(Annexe_îlots_boisements!A107,Annexe_îlots_boisements!I23:L26,4)*Annexe_îlots_boisements!P23,0)+IFERROR(VLOOKUP(Annexe_îlots_boisements!A107,Annexe_îlots_boisements!I28:L31,4)*Annexe_îlots_boisements!P28,0)+IFERROR(VLOOKUP(Annexe_îlots_boisements!A107,Annexe_îlots_boisements!I33:L36,4)*Annexe_îlots_boisements!P33,0)+IFERROR(VLOOKUP(Annexe_îlots_boisements!A107,Annexe_îlots_boisements!I38:L41,4)*Annexe_îlots_boisements!P38,0)+IFERROR(VLOOKUP(Annexe_îlots_boisements!A107,Annexe_îlots_boisements!I43:L46,4)*Annexe_îlots_boisements!P43,0)+IFERROR(VLOOKUP(Annexe_îlots_boisements!A107,Annexe_îlots_boisements!I48:L51,4)*Annexe_îlots_boisements!P48,0)+IFERROR(VLOOKUP(Annexe_îlots_boisements!A107,Annexe_îlots_boisements!I53:L56,4)*Annexe_îlots_boisements!P53,0)+IFERROR(VLOOKUP(Annexe_îlots_boisements!A107,Annexe_îlots_boisements!I58:L61,4)*Annexe_îlots_boisements!P58,0)+IFERROR(VLOOKUP(Annexe_îlots_boisements!A107,Annexe_îlots_boisements!I63:L66,4)*Annexe_îlots_boisements!P63,0)+IFERROR(VLOOKUP(Annexe_îlots_boisements!A107,Annexe_îlots_boisements!I68:L71,4)*Annexe_îlots_boisements!P68,0)+IFERROR(VLOOKUP(Annexe_îlots_boisements!A107,Annexe_îlots_boisements!I73:L76,4)*Annexe_îlots_boisements!P73,0)+IFERROR(VLOOKUP(Annexe_îlots_boisements!A107,Annexe_îlots_boisements!I78:L81,4)*Annexe_îlots_boisements!P78,0)+IFERROR(VLOOKUP(Annexe_îlots_boisements!A107,Annexe_îlots_boisements!I83:L86,4)*Annexe_îlots_boisements!P83,0)+IFERROR(VLOOKUP(Annexe_îlots_boisements!A107,Annexe_îlots_boisements!I88:L91,4)*Annexe_îlots_boisements!P88,0)+IFERROR(VLOOKUP(Annexe_îlots_boisements!A107,Annexe_îlots_boisements!I93:L96,4)*Annexe_îlots_boisements!P93,0))/Annexe_îlots_boisements!D107,0)</f>
        <v>0</v>
      </c>
      <c r="C14" s="61"/>
      <c r="D14" s="22">
        <v>8</v>
      </c>
      <c r="E14" s="22"/>
      <c r="F14" s="22" t="s">
        <v>194</v>
      </c>
      <c r="G14" s="25">
        <v>100</v>
      </c>
      <c r="H14" s="22"/>
      <c r="I14" s="141"/>
      <c r="J14" s="23"/>
      <c r="K14" s="21">
        <f t="shared" si="0"/>
        <v>0</v>
      </c>
      <c r="S14" s="30"/>
      <c r="W14" s="26"/>
      <c r="X14" s="26"/>
    </row>
    <row r="15" spans="1:24" ht="18.75" x14ac:dyDescent="0.3">
      <c r="A15" s="52" t="s">
        <v>214</v>
      </c>
      <c r="B15" s="51">
        <f>IFERROR(AVERAGE(Annexe_îlots_boisements!Q8,Annexe_îlots_boisements!Q13,Annexe_îlots_boisements!Q18,Annexe_îlots_boisements!Q23,Annexe_îlots_boisements!Q28,Annexe_îlots_boisements!Q33,Annexe_îlots_boisements!Q38,Annexe_îlots_boisements!Q43),0)</f>
        <v>0.12</v>
      </c>
      <c r="C15" s="60"/>
      <c r="D15" s="22">
        <v>9</v>
      </c>
      <c r="E15" s="22"/>
      <c r="F15" s="22" t="s">
        <v>194</v>
      </c>
      <c r="G15" s="25">
        <v>100</v>
      </c>
      <c r="H15" s="22"/>
      <c r="I15" s="141"/>
      <c r="J15" s="23"/>
      <c r="K15" s="21">
        <f t="shared" si="0"/>
        <v>0</v>
      </c>
      <c r="L15" s="64"/>
      <c r="N15" s="29"/>
      <c r="O15" s="64"/>
      <c r="P15" s="64"/>
      <c r="Q15" s="64"/>
      <c r="R15" s="64"/>
      <c r="S15" s="64"/>
      <c r="T15" s="64"/>
      <c r="U15" s="64"/>
      <c r="V15" s="64"/>
      <c r="W15" s="26"/>
      <c r="X15" s="26"/>
    </row>
    <row r="16" spans="1:24" ht="19.5" thickBot="1" x14ac:dyDescent="0.35">
      <c r="A16" s="96" t="s">
        <v>243</v>
      </c>
      <c r="B16" s="139"/>
      <c r="C16" s="63"/>
      <c r="D16" s="22">
        <v>10</v>
      </c>
      <c r="E16" s="22"/>
      <c r="F16" s="22" t="s">
        <v>194</v>
      </c>
      <c r="G16" s="25">
        <v>100</v>
      </c>
      <c r="H16" s="22"/>
      <c r="I16" s="141"/>
      <c r="J16" s="23"/>
      <c r="K16" s="21">
        <f t="shared" si="0"/>
        <v>0</v>
      </c>
      <c r="L16" s="28"/>
      <c r="N16" s="58"/>
      <c r="O16" s="26"/>
      <c r="P16" s="26"/>
      <c r="Q16" s="26"/>
      <c r="R16" s="26"/>
      <c r="S16" s="26"/>
      <c r="T16" s="26"/>
      <c r="U16" s="26"/>
      <c r="V16" s="26"/>
      <c r="W16" s="26"/>
      <c r="X16" s="26"/>
    </row>
    <row r="17" spans="1:24" ht="19.5" thickBot="1" x14ac:dyDescent="0.35">
      <c r="A17" s="48" t="s">
        <v>213</v>
      </c>
      <c r="B17" s="48"/>
      <c r="C17" s="61"/>
      <c r="D17" s="22">
        <v>11</v>
      </c>
      <c r="E17" s="22"/>
      <c r="F17" s="22" t="s">
        <v>194</v>
      </c>
      <c r="G17" s="25">
        <v>100</v>
      </c>
      <c r="H17" s="22"/>
      <c r="I17" s="141"/>
      <c r="J17" s="23"/>
      <c r="K17" s="21">
        <f t="shared" si="0"/>
        <v>0</v>
      </c>
      <c r="L17" s="28"/>
      <c r="N17" s="58"/>
      <c r="O17" s="26"/>
      <c r="P17" s="26"/>
      <c r="Q17" s="26"/>
      <c r="R17" s="26"/>
      <c r="S17" s="26"/>
      <c r="T17" s="26"/>
      <c r="U17" s="26"/>
      <c r="V17" s="26"/>
      <c r="W17" s="26"/>
      <c r="X17" s="26"/>
    </row>
    <row r="18" spans="1:24" ht="18.75" x14ac:dyDescent="0.3">
      <c r="A18" s="47" t="s">
        <v>212</v>
      </c>
      <c r="B18" s="46">
        <v>30</v>
      </c>
      <c r="C18" s="60"/>
      <c r="D18" s="22">
        <v>12</v>
      </c>
      <c r="E18" s="22"/>
      <c r="F18" s="22"/>
      <c r="G18" s="25"/>
      <c r="H18" s="22"/>
      <c r="I18" s="141"/>
      <c r="J18" s="23"/>
      <c r="K18" s="21">
        <f t="shared" si="0"/>
        <v>0</v>
      </c>
      <c r="L18" s="28"/>
      <c r="N18" s="58"/>
      <c r="O18" s="26"/>
      <c r="P18" s="26"/>
      <c r="Q18" s="26"/>
      <c r="R18" s="26"/>
      <c r="S18" s="26"/>
      <c r="T18" s="26"/>
      <c r="U18" s="26"/>
      <c r="V18" s="26"/>
    </row>
    <row r="19" spans="1:24" ht="18.75" x14ac:dyDescent="0.3">
      <c r="A19" s="45" t="s">
        <v>211</v>
      </c>
      <c r="B19" s="46">
        <v>60</v>
      </c>
      <c r="D19" s="22">
        <v>13</v>
      </c>
      <c r="E19" s="22"/>
      <c r="F19" s="22" t="s">
        <v>194</v>
      </c>
      <c r="G19" s="25">
        <v>100</v>
      </c>
      <c r="H19" s="22"/>
      <c r="I19" s="141"/>
      <c r="J19" s="23"/>
      <c r="K19" s="21">
        <f t="shared" si="0"/>
        <v>0</v>
      </c>
      <c r="L19" s="28"/>
      <c r="N19" s="58"/>
      <c r="O19" s="26"/>
      <c r="P19" s="26"/>
      <c r="Q19" s="26"/>
      <c r="R19" s="26"/>
      <c r="S19" s="26"/>
      <c r="T19" s="26"/>
      <c r="U19" s="26"/>
      <c r="V19" s="26"/>
    </row>
    <row r="20" spans="1:24" ht="18.75" x14ac:dyDescent="0.3">
      <c r="A20" s="45" t="s">
        <v>210</v>
      </c>
      <c r="B20" s="46">
        <v>70</v>
      </c>
      <c r="C20" s="59"/>
      <c r="D20" s="22">
        <v>14</v>
      </c>
      <c r="E20" s="22"/>
      <c r="F20" s="22" t="s">
        <v>194</v>
      </c>
      <c r="G20" s="25">
        <v>100</v>
      </c>
      <c r="H20" s="22"/>
      <c r="I20" s="141"/>
      <c r="J20" s="23"/>
      <c r="K20" s="21">
        <f t="shared" si="0"/>
        <v>0</v>
      </c>
      <c r="N20" s="58"/>
    </row>
    <row r="21" spans="1:24" ht="18.75" x14ac:dyDescent="0.3">
      <c r="A21" s="47" t="s">
        <v>269</v>
      </c>
      <c r="B21" s="46">
        <v>70</v>
      </c>
      <c r="C21" s="57"/>
      <c r="D21" s="22">
        <v>15</v>
      </c>
      <c r="E21" s="22"/>
      <c r="F21" s="22" t="s">
        <v>194</v>
      </c>
      <c r="G21" s="25">
        <v>100</v>
      </c>
      <c r="H21" s="22"/>
      <c r="I21" s="141"/>
      <c r="J21" s="23"/>
      <c r="K21" s="21">
        <f t="shared" si="0"/>
        <v>0</v>
      </c>
      <c r="S21" s="30"/>
    </row>
    <row r="22" spans="1:24" ht="18.75" x14ac:dyDescent="0.3">
      <c r="A22" s="45"/>
      <c r="B22" s="46"/>
      <c r="C22" s="57"/>
      <c r="D22" s="22">
        <v>16</v>
      </c>
      <c r="E22" s="22"/>
      <c r="F22" s="22" t="s">
        <v>194</v>
      </c>
      <c r="G22" s="25">
        <v>100</v>
      </c>
      <c r="H22" s="22"/>
      <c r="I22" s="141"/>
      <c r="J22" s="23"/>
      <c r="K22" s="21">
        <f t="shared" si="0"/>
        <v>0</v>
      </c>
      <c r="L22" s="33"/>
      <c r="N22" s="29"/>
      <c r="O22" s="33"/>
      <c r="P22" s="33"/>
      <c r="Q22" s="33"/>
      <c r="R22" s="33"/>
      <c r="S22" s="33"/>
      <c r="T22" s="33"/>
      <c r="U22" s="33"/>
      <c r="V22" s="33"/>
      <c r="W22" s="33"/>
    </row>
    <row r="23" spans="1:24" ht="18.75" x14ac:dyDescent="0.3">
      <c r="A23" s="45"/>
      <c r="B23" s="46"/>
      <c r="C23" s="57"/>
      <c r="D23" s="22">
        <v>17</v>
      </c>
      <c r="E23" s="22"/>
      <c r="F23" s="22" t="s">
        <v>194</v>
      </c>
      <c r="G23" s="25">
        <v>100</v>
      </c>
      <c r="H23" s="22"/>
      <c r="I23" s="141"/>
      <c r="J23" s="23"/>
      <c r="K23" s="21">
        <f t="shared" si="0"/>
        <v>0</v>
      </c>
      <c r="L23" s="34"/>
      <c r="O23" s="26"/>
      <c r="P23" s="26"/>
      <c r="Q23" s="26"/>
      <c r="R23" s="26"/>
      <c r="S23" s="26"/>
      <c r="T23" s="26"/>
      <c r="U23" s="26"/>
      <c r="V23" s="26"/>
      <c r="W23" s="26"/>
    </row>
    <row r="24" spans="1:24" ht="18.75" x14ac:dyDescent="0.3">
      <c r="A24" s="45"/>
      <c r="B24" s="46"/>
      <c r="C24" s="33"/>
      <c r="D24" s="22">
        <v>18</v>
      </c>
      <c r="E24" s="22"/>
      <c r="F24" s="22" t="s">
        <v>192</v>
      </c>
      <c r="G24" s="25">
        <v>100</v>
      </c>
      <c r="H24" s="24" t="e">
        <f>#REF!*#REF!*#REF!</f>
        <v>#REF!</v>
      </c>
      <c r="I24" s="141">
        <v>18</v>
      </c>
      <c r="J24" s="23"/>
      <c r="K24" s="21">
        <f t="shared" si="0"/>
        <v>0</v>
      </c>
      <c r="L24" s="34"/>
      <c r="O24" s="26"/>
      <c r="P24" s="26"/>
      <c r="Q24" s="26"/>
      <c r="R24" s="26"/>
      <c r="S24" s="26"/>
      <c r="T24" s="26"/>
      <c r="U24" s="26"/>
      <c r="V24" s="26"/>
      <c r="W24" s="26"/>
    </row>
    <row r="25" spans="1:24" ht="18.75" x14ac:dyDescent="0.3">
      <c r="A25" s="47" t="s">
        <v>205</v>
      </c>
      <c r="B25" s="46">
        <v>300</v>
      </c>
      <c r="D25" s="22">
        <v>19</v>
      </c>
      <c r="E25" s="22"/>
      <c r="F25" s="22" t="s">
        <v>194</v>
      </c>
      <c r="G25" s="25">
        <v>100</v>
      </c>
      <c r="H25" s="22"/>
      <c r="I25" s="141"/>
      <c r="J25" s="23"/>
      <c r="K25" s="21">
        <f t="shared" si="0"/>
        <v>0</v>
      </c>
      <c r="L25" s="34"/>
      <c r="O25" s="26"/>
      <c r="P25" s="26"/>
      <c r="Q25" s="26"/>
      <c r="R25" s="26"/>
      <c r="S25" s="26"/>
      <c r="T25" s="26"/>
      <c r="U25" s="26"/>
      <c r="V25" s="26"/>
      <c r="W25" s="26"/>
    </row>
    <row r="26" spans="1:24" ht="19.5" thickBot="1" x14ac:dyDescent="0.35">
      <c r="A26" s="45" t="s">
        <v>204</v>
      </c>
      <c r="B26" s="44">
        <v>0</v>
      </c>
      <c r="D26" s="22">
        <v>20</v>
      </c>
      <c r="E26" s="22" t="s">
        <v>247</v>
      </c>
      <c r="F26" s="22" t="s">
        <v>194</v>
      </c>
      <c r="G26" s="25">
        <v>101</v>
      </c>
      <c r="H26" s="22"/>
      <c r="I26" s="141"/>
      <c r="J26" s="23">
        <f>(B28*B18)*B9</f>
        <v>0</v>
      </c>
      <c r="K26" s="21">
        <f t="shared" si="0"/>
        <v>0</v>
      </c>
      <c r="L26" s="34"/>
      <c r="O26" s="26"/>
      <c r="P26" s="26"/>
      <c r="Q26" s="26"/>
      <c r="R26" s="26"/>
      <c r="S26" s="26"/>
      <c r="T26" s="26"/>
      <c r="U26" s="26"/>
      <c r="V26" s="26"/>
      <c r="W26" s="26"/>
    </row>
    <row r="27" spans="1:24" ht="19.5" thickBot="1" x14ac:dyDescent="0.35">
      <c r="A27" s="43" t="s">
        <v>203</v>
      </c>
      <c r="B27" s="42"/>
      <c r="D27" s="22">
        <v>21</v>
      </c>
      <c r="E27" s="22"/>
      <c r="F27" s="22" t="s">
        <v>194</v>
      </c>
      <c r="G27" s="25">
        <v>100</v>
      </c>
      <c r="H27" s="22"/>
      <c r="I27" s="141"/>
      <c r="J27" s="23"/>
      <c r="K27" s="21">
        <f t="shared" si="0"/>
        <v>0</v>
      </c>
      <c r="L27" s="34"/>
      <c r="N27" s="56"/>
      <c r="O27" s="26"/>
      <c r="P27" s="26"/>
      <c r="Q27" s="26"/>
      <c r="R27" s="26"/>
      <c r="S27" s="26"/>
      <c r="T27" s="26"/>
      <c r="U27" s="26"/>
      <c r="V27" s="26"/>
      <c r="W27" s="26"/>
    </row>
    <row r="28" spans="1:24" ht="18.75" x14ac:dyDescent="0.3">
      <c r="A28" s="41" t="s">
        <v>202</v>
      </c>
      <c r="B28" s="40">
        <v>10</v>
      </c>
      <c r="D28" s="22">
        <v>22</v>
      </c>
      <c r="J28" s="20"/>
      <c r="K28" s="21">
        <f t="shared" si="0"/>
        <v>0</v>
      </c>
      <c r="L28" s="34"/>
      <c r="O28" s="26"/>
      <c r="P28" s="26"/>
      <c r="Q28" s="26"/>
      <c r="R28" s="26"/>
      <c r="S28" s="26"/>
      <c r="T28" s="26"/>
      <c r="U28" s="26"/>
      <c r="V28" s="26"/>
      <c r="W28" s="26"/>
    </row>
    <row r="29" spans="1:24" ht="18.75" x14ac:dyDescent="0.3">
      <c r="A29" s="38" t="s">
        <v>201</v>
      </c>
      <c r="B29" s="35">
        <v>30</v>
      </c>
      <c r="D29" s="22">
        <v>23</v>
      </c>
      <c r="E29" s="22"/>
      <c r="F29" s="22" t="s">
        <v>194</v>
      </c>
      <c r="G29" s="25">
        <v>100</v>
      </c>
      <c r="H29" s="22"/>
      <c r="I29" s="141"/>
      <c r="J29" s="23"/>
      <c r="K29" s="21">
        <f t="shared" si="0"/>
        <v>0</v>
      </c>
      <c r="L29" s="34"/>
      <c r="O29" s="26"/>
      <c r="P29" s="26"/>
      <c r="Q29" s="26"/>
      <c r="R29" s="26"/>
      <c r="S29" s="26"/>
      <c r="T29" s="26"/>
      <c r="U29" s="26"/>
      <c r="V29" s="26"/>
      <c r="W29" s="26"/>
    </row>
    <row r="30" spans="1:24" ht="18.75" x14ac:dyDescent="0.3">
      <c r="A30" s="36" t="s">
        <v>270</v>
      </c>
      <c r="B30" s="35">
        <v>38</v>
      </c>
      <c r="D30" s="22">
        <v>24</v>
      </c>
      <c r="E30" s="22"/>
      <c r="F30" s="22" t="s">
        <v>194</v>
      </c>
      <c r="G30" s="25">
        <v>100</v>
      </c>
      <c r="H30" s="22"/>
      <c r="I30" s="141"/>
      <c r="J30" s="23"/>
      <c r="K30" s="21">
        <f t="shared" si="0"/>
        <v>0</v>
      </c>
      <c r="L30" s="34"/>
      <c r="O30" s="26"/>
      <c r="P30" s="26"/>
      <c r="Q30" s="26"/>
      <c r="R30" s="26"/>
      <c r="S30" s="26"/>
      <c r="T30" s="26"/>
      <c r="U30" s="26"/>
      <c r="V30" s="26"/>
      <c r="W30" s="26"/>
    </row>
    <row r="31" spans="1:24" ht="18.75" x14ac:dyDescent="0.3">
      <c r="A31" s="38" t="s">
        <v>271</v>
      </c>
      <c r="B31" s="35">
        <v>38</v>
      </c>
      <c r="D31" s="22">
        <v>25</v>
      </c>
      <c r="E31" s="22"/>
      <c r="F31" s="22" t="s">
        <v>194</v>
      </c>
      <c r="G31" s="25">
        <v>101</v>
      </c>
      <c r="H31" s="22"/>
      <c r="I31" s="141"/>
      <c r="J31" s="23"/>
      <c r="K31" s="21">
        <f t="shared" si="0"/>
        <v>0</v>
      </c>
      <c r="L31" s="34"/>
      <c r="O31" s="26"/>
      <c r="P31" s="26"/>
      <c r="Q31" s="26"/>
      <c r="R31" s="26"/>
      <c r="S31" s="26"/>
      <c r="T31" s="26"/>
      <c r="U31" s="26"/>
      <c r="V31" s="26"/>
      <c r="W31" s="26"/>
    </row>
    <row r="32" spans="1:24" ht="18.75" x14ac:dyDescent="0.3">
      <c r="A32" s="36"/>
      <c r="B32" s="35"/>
      <c r="D32" s="22">
        <v>26</v>
      </c>
      <c r="E32" s="22"/>
      <c r="F32" s="22" t="s">
        <v>192</v>
      </c>
      <c r="G32" s="25">
        <v>100</v>
      </c>
      <c r="H32" s="24" t="e">
        <f>#REF!*#REF!*#REF!</f>
        <v>#REF!</v>
      </c>
      <c r="I32" s="141">
        <v>20</v>
      </c>
      <c r="J32" s="23"/>
      <c r="K32" s="21">
        <f t="shared" si="0"/>
        <v>0</v>
      </c>
    </row>
    <row r="33" spans="1:24" ht="18.75" x14ac:dyDescent="0.3">
      <c r="A33" s="38"/>
      <c r="B33" s="35"/>
      <c r="D33" s="22">
        <v>27</v>
      </c>
      <c r="E33" s="22"/>
      <c r="F33" s="22" t="s">
        <v>194</v>
      </c>
      <c r="G33" s="25">
        <v>100</v>
      </c>
      <c r="H33" s="22"/>
      <c r="I33" s="141"/>
      <c r="J33" s="23"/>
      <c r="K33" s="21">
        <f t="shared" si="0"/>
        <v>0</v>
      </c>
      <c r="S33" s="30"/>
    </row>
    <row r="34" spans="1:24" ht="18.75" x14ac:dyDescent="0.3">
      <c r="A34" s="36"/>
      <c r="B34" s="35"/>
      <c r="D34" s="22">
        <v>28</v>
      </c>
      <c r="E34" s="22" t="s">
        <v>259</v>
      </c>
      <c r="F34" s="22" t="s">
        <v>192</v>
      </c>
      <c r="G34" s="25">
        <v>100</v>
      </c>
      <c r="H34" s="24" t="e">
        <f>#REF!*#REF!*#REF!</f>
        <v>#REF!</v>
      </c>
      <c r="I34" s="141">
        <v>30</v>
      </c>
      <c r="J34" s="23">
        <f>J42</f>
        <v>0</v>
      </c>
      <c r="K34" s="21">
        <f t="shared" si="0"/>
        <v>0</v>
      </c>
      <c r="N34" s="29"/>
    </row>
    <row r="35" spans="1:24" ht="19.5" thickBot="1" x14ac:dyDescent="0.35">
      <c r="A35" s="32" t="s">
        <v>195</v>
      </c>
      <c r="B35" s="31">
        <v>50</v>
      </c>
      <c r="D35" s="22">
        <v>29</v>
      </c>
      <c r="E35" s="22"/>
      <c r="F35" s="22" t="s">
        <v>194</v>
      </c>
      <c r="G35" s="25">
        <v>100</v>
      </c>
      <c r="H35" s="22"/>
      <c r="I35" s="141"/>
      <c r="J35" s="23"/>
      <c r="K35" s="21">
        <f t="shared" si="0"/>
        <v>0</v>
      </c>
      <c r="L35" s="28"/>
      <c r="M35" s="28"/>
      <c r="N35" s="27"/>
      <c r="O35" s="26"/>
      <c r="P35" s="26"/>
      <c r="Q35" s="26"/>
      <c r="R35" s="26"/>
      <c r="S35" s="26"/>
      <c r="T35" s="26"/>
      <c r="U35" s="26"/>
      <c r="V35" s="26"/>
      <c r="W35" s="26"/>
      <c r="X35" s="26"/>
    </row>
    <row r="36" spans="1:24" ht="18.75" x14ac:dyDescent="0.3">
      <c r="A36" s="52"/>
      <c r="B36" s="51"/>
      <c r="D36" s="22">
        <v>30</v>
      </c>
      <c r="J36" s="20"/>
      <c r="K36" s="21">
        <f t="shared" si="0"/>
        <v>0</v>
      </c>
      <c r="L36" s="28"/>
      <c r="M36" s="28"/>
      <c r="N36" s="27"/>
      <c r="O36" s="26"/>
      <c r="P36" s="26"/>
      <c r="Q36" s="26"/>
      <c r="R36" s="26"/>
      <c r="S36" s="26"/>
      <c r="T36" s="26"/>
      <c r="U36" s="26"/>
      <c r="V36" s="26"/>
      <c r="W36" s="26"/>
      <c r="X36" s="26"/>
    </row>
    <row r="37" spans="1:24" ht="19.5" thickBot="1" x14ac:dyDescent="0.35">
      <c r="A37" s="50"/>
      <c r="B37" s="49"/>
      <c r="D37" s="22">
        <v>31</v>
      </c>
      <c r="E37" s="22"/>
      <c r="F37" s="22"/>
      <c r="G37" s="25"/>
      <c r="H37" s="22"/>
      <c r="I37" s="141"/>
      <c r="J37" s="23"/>
      <c r="K37" s="21">
        <f t="shared" si="0"/>
        <v>0</v>
      </c>
    </row>
    <row r="38" spans="1:24" ht="18.75" x14ac:dyDescent="0.3">
      <c r="A38" s="54"/>
      <c r="B38" s="53"/>
      <c r="D38" s="22">
        <v>32</v>
      </c>
      <c r="E38" s="22"/>
      <c r="F38" s="22"/>
      <c r="G38" s="25"/>
      <c r="H38" s="22"/>
      <c r="I38" s="141"/>
      <c r="J38" s="23"/>
      <c r="K38" s="21">
        <f t="shared" si="0"/>
        <v>0</v>
      </c>
    </row>
    <row r="39" spans="1:24" ht="18.75" x14ac:dyDescent="0.3">
      <c r="A39" s="52"/>
      <c r="B39" s="51"/>
      <c r="D39" s="22">
        <v>33</v>
      </c>
      <c r="E39" s="22"/>
      <c r="F39" s="22"/>
      <c r="G39" s="25"/>
      <c r="H39" s="22"/>
      <c r="I39" s="141"/>
      <c r="J39" s="23"/>
      <c r="K39" s="21">
        <f t="shared" si="0"/>
        <v>0</v>
      </c>
      <c r="S39" s="30"/>
    </row>
    <row r="40" spans="1:24" ht="19.5" thickBot="1" x14ac:dyDescent="0.35">
      <c r="A40" s="50"/>
      <c r="B40" s="49"/>
      <c r="D40" s="22">
        <v>34</v>
      </c>
      <c r="E40" s="22"/>
      <c r="F40" s="22"/>
      <c r="G40" s="25"/>
      <c r="H40" s="22"/>
      <c r="I40" s="141"/>
      <c r="J40" s="23"/>
      <c r="K40" s="21">
        <f t="shared" si="0"/>
        <v>0</v>
      </c>
      <c r="N40" s="29"/>
    </row>
    <row r="41" spans="1:24" x14ac:dyDescent="0.25">
      <c r="D41" s="22">
        <v>35</v>
      </c>
      <c r="E41" s="22"/>
      <c r="F41" s="22"/>
      <c r="G41" s="25"/>
      <c r="H41" s="22"/>
      <c r="I41" s="141"/>
      <c r="J41" s="23"/>
      <c r="K41" s="21">
        <f t="shared" si="0"/>
        <v>0</v>
      </c>
      <c r="L41" s="28"/>
      <c r="N41" s="27"/>
      <c r="O41" s="26"/>
      <c r="P41" s="26"/>
      <c r="Q41" s="26"/>
      <c r="R41" s="26"/>
      <c r="S41" s="26"/>
      <c r="T41" s="26"/>
      <c r="U41" s="26"/>
      <c r="V41" s="33"/>
      <c r="W41" s="33"/>
    </row>
    <row r="42" spans="1:24" x14ac:dyDescent="0.25">
      <c r="D42" s="22">
        <v>36</v>
      </c>
      <c r="E42" s="22" t="s">
        <v>245</v>
      </c>
      <c r="F42" s="22" t="s">
        <v>192</v>
      </c>
      <c r="G42" s="25">
        <v>100</v>
      </c>
      <c r="H42" s="24" t="e">
        <f>B21*#REF!*#REF!</f>
        <v>#REF!</v>
      </c>
      <c r="I42" s="141">
        <v>30</v>
      </c>
      <c r="J42" s="23">
        <f>(B20*B30)*B9</f>
        <v>0</v>
      </c>
      <c r="K42" s="21">
        <f t="shared" si="0"/>
        <v>0</v>
      </c>
      <c r="L42" s="28"/>
      <c r="N42" s="27"/>
      <c r="O42" s="26"/>
      <c r="P42" s="26"/>
      <c r="Q42" s="26"/>
      <c r="R42" s="26"/>
      <c r="S42" s="26"/>
      <c r="T42" s="26"/>
      <c r="U42" s="26"/>
      <c r="V42" s="33"/>
      <c r="W42" s="33"/>
    </row>
    <row r="43" spans="1:24" x14ac:dyDescent="0.25">
      <c r="D43" s="22">
        <v>37</v>
      </c>
      <c r="E43" s="22"/>
      <c r="F43" s="22"/>
      <c r="G43" s="25"/>
      <c r="H43" s="22"/>
      <c r="I43" s="141"/>
      <c r="J43" s="23"/>
      <c r="K43" s="21">
        <f t="shared" si="0"/>
        <v>0</v>
      </c>
      <c r="L43" s="28"/>
      <c r="N43" s="27"/>
      <c r="O43" s="26"/>
      <c r="P43" s="26"/>
      <c r="Q43" s="26"/>
      <c r="R43" s="26"/>
      <c r="S43" s="26"/>
      <c r="T43" s="26"/>
      <c r="U43" s="26"/>
      <c r="V43" s="33"/>
      <c r="W43" s="33"/>
    </row>
    <row r="44" spans="1:24" x14ac:dyDescent="0.25">
      <c r="D44" s="22">
        <v>38</v>
      </c>
      <c r="J44" s="20"/>
      <c r="K44" s="21">
        <f t="shared" si="0"/>
        <v>0</v>
      </c>
      <c r="L44" s="28"/>
      <c r="N44" s="27"/>
      <c r="O44" s="26"/>
      <c r="P44" s="26"/>
      <c r="Q44" s="26"/>
      <c r="R44" s="26"/>
      <c r="S44" s="26"/>
      <c r="T44" s="26"/>
      <c r="U44" s="26"/>
      <c r="V44" s="33"/>
      <c r="W44" s="33"/>
    </row>
    <row r="45" spans="1:24" x14ac:dyDescent="0.25">
      <c r="D45" s="22">
        <v>39</v>
      </c>
      <c r="E45" s="22"/>
      <c r="F45" s="22"/>
      <c r="G45" s="25"/>
      <c r="H45" s="22"/>
      <c r="I45" s="141"/>
      <c r="J45" s="23"/>
      <c r="K45" s="21">
        <f t="shared" si="0"/>
        <v>0</v>
      </c>
      <c r="L45" s="28"/>
      <c r="N45" s="27"/>
      <c r="O45" s="26"/>
      <c r="P45" s="26"/>
      <c r="Q45" s="26"/>
      <c r="R45" s="26"/>
      <c r="S45" s="26"/>
      <c r="T45" s="26"/>
      <c r="U45" s="26"/>
      <c r="V45" s="33"/>
      <c r="W45" s="33"/>
    </row>
    <row r="46" spans="1:24" x14ac:dyDescent="0.25">
      <c r="D46" s="22">
        <v>40</v>
      </c>
      <c r="E46" s="22"/>
      <c r="F46" s="22"/>
      <c r="G46" s="25"/>
      <c r="H46" s="22"/>
      <c r="I46" s="141"/>
      <c r="J46" s="23"/>
      <c r="K46" s="21">
        <f t="shared" si="0"/>
        <v>0</v>
      </c>
      <c r="L46" s="28"/>
      <c r="N46" s="27"/>
      <c r="O46" s="26"/>
      <c r="P46" s="26"/>
      <c r="Q46" s="26"/>
      <c r="R46" s="26"/>
      <c r="S46" s="26"/>
      <c r="T46" s="26"/>
      <c r="U46" s="26"/>
      <c r="V46" s="33"/>
      <c r="W46" s="33"/>
    </row>
    <row r="47" spans="1:24" x14ac:dyDescent="0.25">
      <c r="D47" s="22">
        <v>41</v>
      </c>
      <c r="E47" s="22"/>
      <c r="F47" s="22"/>
      <c r="G47" s="25"/>
      <c r="H47" s="22"/>
      <c r="I47" s="141"/>
      <c r="J47" s="23"/>
      <c r="K47" s="21">
        <f t="shared" si="0"/>
        <v>0</v>
      </c>
      <c r="L47" s="28"/>
      <c r="N47" s="27"/>
      <c r="O47" s="26"/>
      <c r="P47" s="26"/>
      <c r="Q47" s="26"/>
      <c r="R47" s="26"/>
      <c r="S47" s="26"/>
      <c r="T47" s="26"/>
      <c r="U47" s="26"/>
      <c r="V47" s="33"/>
      <c r="W47" s="33"/>
    </row>
    <row r="48" spans="1:24" x14ac:dyDescent="0.25">
      <c r="D48" s="22">
        <v>42</v>
      </c>
      <c r="E48" s="22"/>
      <c r="F48" s="22"/>
      <c r="G48" s="25"/>
      <c r="H48" s="22"/>
      <c r="I48" s="141"/>
      <c r="J48" s="23"/>
      <c r="K48" s="21">
        <f t="shared" si="0"/>
        <v>0</v>
      </c>
      <c r="N48" s="26"/>
      <c r="O48" s="26"/>
      <c r="P48" s="26"/>
      <c r="Q48" s="26"/>
      <c r="R48" s="26"/>
      <c r="S48" s="26"/>
      <c r="T48" s="26"/>
    </row>
    <row r="49" spans="4:23" x14ac:dyDescent="0.25">
      <c r="D49" s="22">
        <v>43</v>
      </c>
      <c r="E49" s="22"/>
      <c r="F49" s="22"/>
      <c r="G49" s="25"/>
      <c r="H49" s="22"/>
      <c r="I49" s="141"/>
      <c r="J49" s="23"/>
      <c r="K49" s="21">
        <f t="shared" si="0"/>
        <v>0</v>
      </c>
      <c r="S49" s="30"/>
    </row>
    <row r="50" spans="4:23" x14ac:dyDescent="0.25">
      <c r="D50" s="22">
        <v>44</v>
      </c>
      <c r="E50" s="22" t="s">
        <v>268</v>
      </c>
      <c r="F50" s="22" t="s">
        <v>192</v>
      </c>
      <c r="G50" s="25">
        <v>100</v>
      </c>
      <c r="H50" s="24" t="e">
        <f>B31*#REF!*#REF!</f>
        <v>#REF!</v>
      </c>
      <c r="I50" s="141">
        <v>30</v>
      </c>
      <c r="J50" s="23">
        <f>(B21*B31)*B9</f>
        <v>0</v>
      </c>
      <c r="K50" s="21">
        <f t="shared" si="0"/>
        <v>0</v>
      </c>
      <c r="N50" s="29"/>
    </row>
    <row r="51" spans="4:23" x14ac:dyDescent="0.25">
      <c r="D51" s="22">
        <v>45</v>
      </c>
      <c r="E51" s="22"/>
      <c r="F51" s="22"/>
      <c r="G51" s="25"/>
      <c r="H51" s="22"/>
      <c r="I51" s="141"/>
      <c r="J51" s="23"/>
      <c r="K51" s="21">
        <f t="shared" si="0"/>
        <v>0</v>
      </c>
      <c r="L51" s="28"/>
      <c r="N51" s="37"/>
      <c r="O51" s="26"/>
      <c r="P51" s="26"/>
      <c r="Q51" s="26"/>
      <c r="R51" s="26"/>
      <c r="S51" s="26"/>
      <c r="T51" s="26"/>
      <c r="U51" s="26"/>
      <c r="V51" s="33"/>
      <c r="W51" s="33"/>
    </row>
    <row r="52" spans="4:23" x14ac:dyDescent="0.25">
      <c r="D52" s="22">
        <v>46</v>
      </c>
      <c r="J52" s="20"/>
      <c r="K52" s="21">
        <f t="shared" si="0"/>
        <v>0</v>
      </c>
      <c r="L52" s="28"/>
      <c r="N52" s="37"/>
      <c r="O52" s="26"/>
      <c r="P52" s="26"/>
      <c r="Q52" s="26"/>
      <c r="R52" s="26"/>
      <c r="S52" s="26"/>
      <c r="T52" s="26"/>
      <c r="U52" s="26"/>
      <c r="V52" s="33"/>
      <c r="W52" s="33"/>
    </row>
    <row r="53" spans="4:23" x14ac:dyDescent="0.25">
      <c r="D53" s="22">
        <v>47</v>
      </c>
      <c r="E53" s="22"/>
      <c r="F53" s="22"/>
      <c r="G53" s="25"/>
      <c r="H53" s="22"/>
      <c r="I53" s="141"/>
      <c r="J53" s="23"/>
      <c r="K53" s="21">
        <f t="shared" si="0"/>
        <v>0</v>
      </c>
      <c r="L53" s="28"/>
      <c r="N53" s="37"/>
      <c r="O53" s="26"/>
      <c r="P53" s="26"/>
      <c r="Q53" s="26"/>
      <c r="R53" s="26"/>
      <c r="S53" s="26"/>
      <c r="T53" s="26"/>
      <c r="U53" s="26"/>
      <c r="V53" s="33"/>
      <c r="W53" s="33"/>
    </row>
    <row r="54" spans="4:23" x14ac:dyDescent="0.25">
      <c r="D54" s="22">
        <v>48</v>
      </c>
      <c r="E54" s="22"/>
      <c r="F54" s="22"/>
      <c r="G54" s="25"/>
      <c r="H54" s="22"/>
      <c r="I54" s="141"/>
      <c r="J54" s="22"/>
      <c r="K54" s="21">
        <f t="shared" si="0"/>
        <v>0</v>
      </c>
      <c r="L54" s="28"/>
      <c r="N54" s="37"/>
      <c r="O54" s="26"/>
      <c r="P54" s="26"/>
      <c r="Q54" s="26"/>
      <c r="R54" s="26"/>
      <c r="S54" s="26"/>
      <c r="T54" s="26"/>
      <c r="U54" s="26"/>
      <c r="V54" s="33"/>
      <c r="W54" s="33"/>
    </row>
    <row r="55" spans="4:23" x14ac:dyDescent="0.25">
      <c r="D55" s="22">
        <v>49</v>
      </c>
      <c r="E55" s="22"/>
      <c r="F55" s="22"/>
      <c r="G55" s="25"/>
      <c r="H55" s="22"/>
      <c r="I55" s="141"/>
      <c r="J55" s="23"/>
      <c r="K55" s="21">
        <f t="shared" si="0"/>
        <v>0</v>
      </c>
    </row>
    <row r="56" spans="4:23" x14ac:dyDescent="0.25">
      <c r="D56" s="22">
        <v>50</v>
      </c>
      <c r="E56" s="22"/>
      <c r="F56" s="22"/>
      <c r="G56" s="25"/>
      <c r="H56" s="22"/>
      <c r="I56" s="141"/>
      <c r="J56" s="23"/>
      <c r="K56" s="21">
        <f t="shared" si="0"/>
        <v>0</v>
      </c>
    </row>
    <row r="57" spans="4:23" x14ac:dyDescent="0.25">
      <c r="D57" s="22">
        <v>51</v>
      </c>
      <c r="E57" s="22"/>
      <c r="F57" s="22"/>
      <c r="G57" s="25"/>
      <c r="H57" s="22"/>
      <c r="I57" s="141"/>
      <c r="J57" s="23"/>
      <c r="K57" s="21">
        <f t="shared" si="0"/>
        <v>0</v>
      </c>
      <c r="S57" s="30"/>
    </row>
    <row r="58" spans="4:23" x14ac:dyDescent="0.25">
      <c r="D58" s="22">
        <v>52</v>
      </c>
      <c r="E58" s="22"/>
      <c r="F58" s="22"/>
      <c r="G58" s="25"/>
      <c r="H58" s="22"/>
      <c r="I58" s="141"/>
      <c r="J58" s="23"/>
      <c r="K58" s="21">
        <f t="shared" si="0"/>
        <v>0</v>
      </c>
      <c r="N58" s="29"/>
    </row>
    <row r="59" spans="4:23" x14ac:dyDescent="0.25">
      <c r="D59" s="22">
        <v>53</v>
      </c>
      <c r="E59" s="22"/>
      <c r="F59" s="22"/>
      <c r="G59" s="25"/>
      <c r="H59" s="22"/>
      <c r="I59" s="141"/>
      <c r="J59" s="23"/>
      <c r="K59" s="21">
        <f t="shared" si="0"/>
        <v>0</v>
      </c>
      <c r="L59" s="28"/>
      <c r="N59" s="37"/>
      <c r="O59" s="26"/>
      <c r="P59" s="26"/>
      <c r="Q59" s="26"/>
      <c r="R59" s="26"/>
      <c r="S59" s="26"/>
      <c r="T59" s="26"/>
      <c r="U59" s="26"/>
      <c r="V59" s="26"/>
      <c r="W59" s="26"/>
    </row>
    <row r="60" spans="4:23" x14ac:dyDescent="0.25">
      <c r="D60" s="22">
        <v>54</v>
      </c>
      <c r="E60" s="22"/>
      <c r="F60" s="22"/>
      <c r="G60" s="25"/>
      <c r="H60" s="24"/>
      <c r="I60" s="141"/>
      <c r="J60" s="23"/>
      <c r="K60" s="21">
        <f t="shared" si="0"/>
        <v>0</v>
      </c>
      <c r="L60" s="28"/>
      <c r="N60" s="37"/>
      <c r="O60" s="26"/>
      <c r="P60" s="26"/>
      <c r="Q60" s="26"/>
      <c r="R60" s="26"/>
      <c r="S60" s="26"/>
      <c r="T60" s="26"/>
      <c r="U60" s="26"/>
      <c r="V60" s="26"/>
      <c r="W60" s="26"/>
    </row>
    <row r="61" spans="4:23" x14ac:dyDescent="0.25">
      <c r="D61" s="22">
        <v>55</v>
      </c>
      <c r="E61" s="22" t="s">
        <v>261</v>
      </c>
      <c r="F61" s="22" t="s">
        <v>192</v>
      </c>
      <c r="G61" s="25">
        <v>100</v>
      </c>
      <c r="H61" s="24" t="e">
        <f>#REF!*#REF!*#REF!</f>
        <v>#REF!</v>
      </c>
      <c r="I61" s="141">
        <v>30</v>
      </c>
      <c r="J61" s="23">
        <f>(B35*B35)*B9</f>
        <v>0</v>
      </c>
      <c r="K61" s="21">
        <f t="shared" si="0"/>
        <v>0</v>
      </c>
      <c r="L61" s="28"/>
      <c r="N61" s="37"/>
      <c r="O61" s="26"/>
      <c r="P61" s="26"/>
      <c r="Q61" s="26"/>
      <c r="R61" s="26"/>
      <c r="S61" s="26"/>
      <c r="T61" s="26"/>
      <c r="U61" s="26"/>
      <c r="V61" s="26"/>
      <c r="W61" s="26"/>
    </row>
  </sheetData>
  <sheetProtection algorithmName="SHA-512" hashValue="3TdwVNtQiiPg6gE41Cw5yLrlfr9LjFA20Yt9w1QmMXLjIqkGCz5eEg+Ht+wJIzGg0vROMWo+QCOZjb3mPSf3SA==" saltValue="mgAz2qh/F/gpzaheQWm1bQ==" spinCount="100000" sheet="1" objects="1" scenarios="1" selectLockedCells="1"/>
  <mergeCells count="1">
    <mergeCell ref="D1:J1"/>
  </mergeCells>
  <conditionalFormatting sqref="L9:L13">
    <cfRule type="colorScale" priority="27">
      <colorScale>
        <cfvo type="min"/>
        <cfvo type="percentile" val="50"/>
        <cfvo type="max"/>
        <color rgb="FFF8696B"/>
        <color rgb="FFFCFCFF"/>
        <color rgb="FF63BE7B"/>
      </colorScale>
    </cfRule>
  </conditionalFormatting>
  <conditionalFormatting sqref="L9:M13">
    <cfRule type="colorScale" priority="26">
      <colorScale>
        <cfvo type="min"/>
        <cfvo type="percentile" val="50"/>
        <cfvo type="max"/>
        <color rgb="FFF8696B"/>
        <color rgb="FFFCFCFF"/>
        <color rgb="FF63BE7B"/>
      </colorScale>
    </cfRule>
  </conditionalFormatting>
  <conditionalFormatting sqref="O9:W13 W14:W17">
    <cfRule type="colorScale" priority="25">
      <colorScale>
        <cfvo type="min"/>
        <cfvo type="percentile" val="50"/>
        <cfvo type="max"/>
        <color rgb="FFF8696B"/>
        <color rgb="FFFCFCFF"/>
        <color rgb="FF63BE7B"/>
      </colorScale>
    </cfRule>
  </conditionalFormatting>
  <conditionalFormatting sqref="O9:X13 W14:X17">
    <cfRule type="colorScale" priority="24">
      <colorScale>
        <cfvo type="min"/>
        <cfvo type="percentile" val="50"/>
        <cfvo type="max"/>
        <color rgb="FFF8696B"/>
        <color rgb="FFFCFCFF"/>
        <color rgb="FF63BE7B"/>
      </colorScale>
    </cfRule>
  </conditionalFormatting>
  <conditionalFormatting sqref="O23:U31">
    <cfRule type="colorScale" priority="23">
      <colorScale>
        <cfvo type="min"/>
        <cfvo type="percentile" val="50"/>
        <cfvo type="max"/>
        <color rgb="FFF8696B"/>
        <color rgb="FFFCFCFF"/>
        <color rgb="FF63BE7B"/>
      </colorScale>
    </cfRule>
  </conditionalFormatting>
  <conditionalFormatting sqref="O23:V31">
    <cfRule type="colorScale" priority="22">
      <colorScale>
        <cfvo type="min"/>
        <cfvo type="percentile" val="50"/>
        <cfvo type="max"/>
        <color rgb="FFF8696B"/>
        <color rgb="FFFCFCFF"/>
        <color rgb="FF63BE7B"/>
      </colorScale>
    </cfRule>
  </conditionalFormatting>
  <conditionalFormatting sqref="O16:V19">
    <cfRule type="colorScale" priority="21">
      <colorScale>
        <cfvo type="min"/>
        <cfvo type="percentile" val="50"/>
        <cfvo type="max"/>
        <color rgb="FFF8696B"/>
        <color rgb="FFFCFCFF"/>
        <color rgb="FF63BE7B"/>
      </colorScale>
    </cfRule>
  </conditionalFormatting>
  <conditionalFormatting sqref="O16:V19">
    <cfRule type="colorScale" priority="20">
      <colorScale>
        <cfvo type="min"/>
        <cfvo type="percentile" val="50"/>
        <cfvo type="max"/>
        <color rgb="FFF8696B"/>
        <color rgb="FFFCFCFF"/>
        <color rgb="FF63BE7B"/>
      </colorScale>
    </cfRule>
  </conditionalFormatting>
  <conditionalFormatting sqref="O35:W36">
    <cfRule type="colorScale" priority="19">
      <colorScale>
        <cfvo type="min"/>
        <cfvo type="percentile" val="50"/>
        <cfvo type="max"/>
        <color rgb="FFF8696B"/>
        <color rgb="FFFCFCFF"/>
        <color rgb="FF63BE7B"/>
      </colorScale>
    </cfRule>
  </conditionalFormatting>
  <conditionalFormatting sqref="O35:X36">
    <cfRule type="colorScale" priority="18">
      <colorScale>
        <cfvo type="min"/>
        <cfvo type="percentile" val="50"/>
        <cfvo type="max"/>
        <color rgb="FFF8696B"/>
        <color rgb="FFFCFCFF"/>
        <color rgb="FF63BE7B"/>
      </colorScale>
    </cfRule>
  </conditionalFormatting>
  <conditionalFormatting sqref="L16:L19">
    <cfRule type="colorScale" priority="28">
      <colorScale>
        <cfvo type="min"/>
        <cfvo type="percentile" val="50"/>
        <cfvo type="max"/>
        <color rgb="FFF8696B"/>
        <color rgb="FFFCFCFF"/>
        <color rgb="FF63BE7B"/>
      </colorScale>
    </cfRule>
  </conditionalFormatting>
  <conditionalFormatting sqref="L16:L19">
    <cfRule type="colorScale" priority="29">
      <colorScale>
        <cfvo type="min"/>
        <cfvo type="percentile" val="50"/>
        <cfvo type="max"/>
        <color rgb="FFF8696B"/>
        <color rgb="FFFCFCFF"/>
        <color rgb="FF63BE7B"/>
      </colorScale>
    </cfRule>
  </conditionalFormatting>
  <conditionalFormatting sqref="N48:T48 O41:U47">
    <cfRule type="colorScale" priority="17">
      <colorScale>
        <cfvo type="min"/>
        <cfvo type="percentile" val="50"/>
        <cfvo type="max"/>
        <color rgb="FFF8696B"/>
        <color rgb="FFFCFCFF"/>
        <color rgb="FF63BE7B"/>
      </colorScale>
    </cfRule>
  </conditionalFormatting>
  <conditionalFormatting sqref="O41:W47">
    <cfRule type="colorScale" priority="16">
      <colorScale>
        <cfvo type="min"/>
        <cfvo type="percentile" val="50"/>
        <cfvo type="max"/>
        <color rgb="FFF8696B"/>
        <color rgb="FFFCFCFF"/>
        <color rgb="FF63BE7B"/>
      </colorScale>
    </cfRule>
  </conditionalFormatting>
  <conditionalFormatting sqref="O51:U54">
    <cfRule type="colorScale" priority="15">
      <colorScale>
        <cfvo type="min"/>
        <cfvo type="percentile" val="50"/>
        <cfvo type="max"/>
        <color rgb="FFF8696B"/>
        <color rgb="FFFCFCFF"/>
        <color rgb="FF63BE7B"/>
      </colorScale>
    </cfRule>
  </conditionalFormatting>
  <conditionalFormatting sqref="O51:W54">
    <cfRule type="colorScale" priority="14">
      <colorScale>
        <cfvo type="min"/>
        <cfvo type="percentile" val="50"/>
        <cfvo type="max"/>
        <color rgb="FFF8696B"/>
        <color rgb="FFFCFCFF"/>
        <color rgb="FF63BE7B"/>
      </colorScale>
    </cfRule>
  </conditionalFormatting>
  <conditionalFormatting sqref="O23:W31">
    <cfRule type="colorScale" priority="1">
      <colorScale>
        <cfvo type="min"/>
        <cfvo type="percentile" val="50"/>
        <cfvo type="max"/>
        <color rgb="FFF8696B"/>
        <color rgb="FFFCFCFF"/>
        <color rgb="FF63BE7B"/>
      </colorScale>
    </cfRule>
  </conditionalFormatting>
  <conditionalFormatting sqref="L35:L36">
    <cfRule type="colorScale" priority="30">
      <colorScale>
        <cfvo type="min"/>
        <cfvo type="percentile" val="50"/>
        <cfvo type="max"/>
        <color rgb="FFF8696B"/>
        <color rgb="FFFCFCFF"/>
        <color rgb="FF63BE7B"/>
      </colorScale>
    </cfRule>
  </conditionalFormatting>
  <conditionalFormatting sqref="L35:M36">
    <cfRule type="colorScale" priority="31">
      <colorScale>
        <cfvo type="min"/>
        <cfvo type="percentile" val="50"/>
        <cfvo type="max"/>
        <color rgb="FFF8696B"/>
        <color rgb="FFFCFCFF"/>
        <color rgb="FF63BE7B"/>
      </colorScale>
    </cfRule>
  </conditionalFormatting>
  <conditionalFormatting sqref="L41:L47">
    <cfRule type="colorScale" priority="32">
      <colorScale>
        <cfvo type="min"/>
        <cfvo type="percentile" val="50"/>
        <cfvo type="max"/>
        <color rgb="FFF8696B"/>
        <color rgb="FFFCFCFF"/>
        <color rgb="FF63BE7B"/>
      </colorScale>
    </cfRule>
  </conditionalFormatting>
  <conditionalFormatting sqref="L51:L54">
    <cfRule type="colorScale" priority="33">
      <colorScale>
        <cfvo type="min"/>
        <cfvo type="percentile" val="50"/>
        <cfvo type="max"/>
        <color rgb="FFF8696B"/>
        <color rgb="FFFCFCFF"/>
        <color rgb="FF63BE7B"/>
      </colorScale>
    </cfRule>
  </conditionalFormatting>
  <conditionalFormatting sqref="L23:L31">
    <cfRule type="colorScale" priority="40">
      <colorScale>
        <cfvo type="min"/>
        <cfvo type="percentile" val="50"/>
        <cfvo type="max"/>
        <color rgb="FFF8696B"/>
        <color rgb="FFFCFCFF"/>
        <color rgb="FF63BE7B"/>
      </colorScale>
    </cfRule>
  </conditionalFormatting>
  <conditionalFormatting sqref="L2:L5">
    <cfRule type="colorScale" priority="41">
      <colorScale>
        <cfvo type="min"/>
        <cfvo type="percentile" val="50"/>
        <cfvo type="max"/>
        <color rgb="FFF8696B"/>
        <color rgb="FFFCFCFF"/>
        <color rgb="FF63BE7B"/>
      </colorScale>
    </cfRule>
  </conditionalFormatting>
  <conditionalFormatting sqref="O2:W5">
    <cfRule type="colorScale" priority="42">
      <colorScale>
        <cfvo type="min"/>
        <cfvo type="percentile" val="50"/>
        <cfvo type="max"/>
        <color rgb="FFF8696B"/>
        <color rgb="FFFCFCFF"/>
        <color rgb="FF63BE7B"/>
      </colorScale>
    </cfRule>
  </conditionalFormatting>
  <conditionalFormatting sqref="O59:U61">
    <cfRule type="colorScale" priority="122">
      <colorScale>
        <cfvo type="min"/>
        <cfvo type="percentile" val="50"/>
        <cfvo type="max"/>
        <color rgb="FFF8696B"/>
        <color rgb="FFFCFCFF"/>
        <color rgb="FF63BE7B"/>
      </colorScale>
    </cfRule>
  </conditionalFormatting>
  <conditionalFormatting sqref="O59:W61">
    <cfRule type="colorScale" priority="124">
      <colorScale>
        <cfvo type="min"/>
        <cfvo type="percentile" val="50"/>
        <cfvo type="max"/>
        <color rgb="FFF8696B"/>
        <color rgb="FFFCFCFF"/>
        <color rgb="FF63BE7B"/>
      </colorScale>
    </cfRule>
  </conditionalFormatting>
  <conditionalFormatting sqref="L59:L61">
    <cfRule type="colorScale" priority="126">
      <colorScale>
        <cfvo type="min"/>
        <cfvo type="percentile" val="50"/>
        <cfvo type="max"/>
        <color rgb="FFF8696B"/>
        <color rgb="FFFCFCFF"/>
        <color rgb="FF63BE7B"/>
      </colorScale>
    </cfRule>
  </conditionalFormatting>
  <dataValidations count="1">
    <dataValidation type="list" allowBlank="1" showInputMessage="1" showErrorMessage="1" sqref="B17" xr:uid="{2D772DF6-6CD8-415D-9314-B941054A71B8}">
      <formula1>"1100,1330,1660,2000"</formula1>
    </dataValidation>
  </dataValidations>
  <pageMargins left="0.7" right="0.7" top="0.75" bottom="0.75" header="0.3" footer="0.3"/>
  <pageSetup paperSize="9"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4AA3DF1B-B8FA-4670-98F3-66C7AABC78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11</vt:i4>
      </vt:variant>
    </vt:vector>
  </HeadingPairs>
  <TitlesOfParts>
    <vt:vector size="34" baseType="lpstr">
      <vt:lpstr>Fiche_signalétique_projet</vt:lpstr>
      <vt:lpstr>Annexe_îlots_boisements</vt:lpstr>
      <vt:lpstr>listes déroulantes</vt:lpstr>
      <vt:lpstr>VAN_PROJET</vt:lpstr>
      <vt:lpstr>VAN_Accrus</vt:lpstr>
      <vt:lpstr>Chêne Rouge</vt:lpstr>
      <vt:lpstr>Chêne</vt:lpstr>
      <vt:lpstr>Peuplier</vt:lpstr>
      <vt:lpstr>Mélèze</vt:lpstr>
      <vt:lpstr>Cèdre</vt:lpstr>
      <vt:lpstr>Douglas</vt:lpstr>
      <vt:lpstr>Pin laricio</vt:lpstr>
      <vt:lpstr>Pin maritime</vt:lpstr>
      <vt:lpstr>Sapin</vt:lpstr>
      <vt:lpstr>Recapitulatif REE</vt:lpstr>
      <vt:lpstr>REE Chêne sessile</vt:lpstr>
      <vt:lpstr>table Chêne sessile</vt:lpstr>
      <vt:lpstr>REE Tilleul</vt:lpstr>
      <vt:lpstr>table Tilleul</vt:lpstr>
      <vt:lpstr>REE Chêne rouge</vt:lpstr>
      <vt:lpstr>table Chêne rouge</vt:lpstr>
      <vt:lpstr>REE peuliers Koster</vt:lpstr>
      <vt:lpstr>table peuplier Koster</vt:lpstr>
      <vt:lpstr>Annexe_îlots_boisements!Criteres</vt:lpstr>
      <vt:lpstr>distance</vt:lpstr>
      <vt:lpstr>essences</vt:lpstr>
      <vt:lpstr>essences_projets</vt:lpstr>
      <vt:lpstr>incendie</vt:lpstr>
      <vt:lpstr>methode_LBC</vt:lpstr>
      <vt:lpstr>oui_non</vt:lpstr>
      <vt:lpstr>sol</vt:lpstr>
      <vt:lpstr>surface</vt:lpstr>
      <vt:lpstr>Annexe_îlots_boisements!Zone_d_impression</vt:lpstr>
      <vt:lpstr>Fiche_signalétique_projet!Zone_d_impression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Brice</dc:creator>
  <cp:lastModifiedBy>Cécile de Coincy</cp:lastModifiedBy>
  <cp:lastPrinted>2020-10-07T12:10:18Z</cp:lastPrinted>
  <dcterms:created xsi:type="dcterms:W3CDTF">2020-08-31T15:30:10Z</dcterms:created>
  <dcterms:modified xsi:type="dcterms:W3CDTF">2021-05-25T15:28:22Z</dcterms:modified>
</cp:coreProperties>
</file>