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intempsdesterresfr.sharepoint.com/sites/PrintempsdesTerres/Documents partages/i. Portefeuille/70-001 MINIERES/g. Carbone - LBC/2. Dossier Ministère - Minieres/1. 5e dossier -  juil22/"/>
    </mc:Choice>
  </mc:AlternateContent>
  <xr:revisionPtr revIDLastSave="102" documentId="8_{7FB692F6-C4B1-644D-91F1-2962B19A3B8E}" xr6:coauthVersionLast="47" xr6:coauthVersionMax="47" xr10:uidLastSave="{DC849028-1EDD-F344-8D73-635622C2852B}"/>
  <bookViews>
    <workbookView minimized="1" xWindow="12660" yWindow="500" windowWidth="16140" windowHeight="158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8" i="1"/>
  <c r="P66" i="6" l="1"/>
  <c r="H18" i="2"/>
  <c r="D19" i="2"/>
  <c r="G19" i="2" s="1"/>
  <c r="P39" i="6"/>
  <c r="B15" i="4"/>
  <c r="U19" i="6"/>
  <c r="V19" i="6" s="1"/>
  <c r="P67" i="6" l="1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R4" i="2"/>
  <c r="EC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W7" i="2"/>
  <c r="HI7" i="2"/>
  <c r="EA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FS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FS20" i="2"/>
  <c r="HH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W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HH22" i="2"/>
  <c r="EA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B28" i="2"/>
  <c r="EV28" i="2"/>
  <c r="FS28" i="2"/>
  <c r="HG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GS33" i="2"/>
  <c r="FP33" i="2"/>
  <c r="GG33" i="2"/>
  <c r="FX33" i="2"/>
  <c r="EQ33" i="2"/>
  <c r="EH33" i="2"/>
  <c r="CJ33" i="2"/>
  <c r="FB33" i="2"/>
  <c r="ER33" i="2"/>
  <c r="DV33" i="2"/>
  <c r="DM33" i="2"/>
  <c r="DA33" i="2"/>
  <c r="GH33" i="2"/>
  <c r="FL33" i="2"/>
  <c r="FC33" i="2"/>
  <c r="EU33" i="2"/>
  <c r="EG33" i="2"/>
  <c r="DW33" i="2"/>
  <c r="DB33" i="2"/>
  <c r="DL33" i="2"/>
  <c r="CQ33" i="2"/>
  <c r="DZ33" i="2"/>
  <c r="CG33" i="2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AG33" i="2"/>
  <c r="Y33" i="2"/>
  <c r="U33" i="2"/>
  <c r="A34" i="2"/>
  <c r="V33" i="2"/>
  <c r="AX29" i="2"/>
  <c r="Z32" i="2"/>
  <c r="AC31" i="2"/>
  <c r="EB33" i="2" l="1"/>
  <c r="EA33" i="2"/>
  <c r="EW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CN33" i="2"/>
  <c r="FT33" i="2"/>
  <c r="ED33" i="2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J33" i="2"/>
  <c r="H15" i="4" s="1"/>
  <c r="I15" i="4" s="1"/>
  <c r="GO33" i="2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H35" i="2" l="1"/>
  <c r="CM35" i="2"/>
  <c r="EB35" i="2"/>
  <c r="EA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X38" i="2"/>
  <c r="HH38" i="2"/>
  <c r="FS38" i="2"/>
  <c r="HI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HG44" i="2"/>
  <c r="EW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HI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EC78" i="2"/>
  <c r="HI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HH85" i="2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G87" i="2"/>
  <c r="EX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V105" i="2"/>
  <c r="EB105" i="2"/>
  <c r="EA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HI113" i="2"/>
  <c r="EB113" i="2"/>
  <c r="FS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X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HI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EB130" i="2"/>
  <c r="HI130" i="2"/>
  <c r="EW130" i="2"/>
  <c r="EX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A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FS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FR144" i="2"/>
  <c r="EX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FR145" i="2"/>
  <c r="EX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S146" i="2"/>
  <c r="HH146" i="2"/>
  <c r="HG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HI150" i="2"/>
  <c r="HG150" i="2"/>
  <c r="HH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H155" i="2"/>
  <c r="EX155" i="2"/>
  <c r="AC154" i="2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HH156" i="2"/>
  <c r="EX156" i="2"/>
  <c r="EB156" i="2"/>
  <c r="DH156" i="2"/>
  <c r="FS156" i="2"/>
  <c r="HG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A157" i="2"/>
  <c r="HG157" i="2"/>
  <c r="EX157" i="2"/>
  <c r="EC157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EC160" i="2"/>
  <c r="EY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HH161" i="2"/>
  <c r="HG161" i="2"/>
  <c r="FS161" i="2"/>
  <c r="EX161" i="2"/>
  <c r="AB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W162" i="2"/>
  <c r="EC162" i="2"/>
  <c r="DI161" i="2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G163" i="2"/>
  <c r="HH163" i="2"/>
  <c r="EB163" i="2"/>
  <c r="ED162" i="2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A164" i="2"/>
  <c r="FR164" i="2"/>
  <c r="EV164" i="2"/>
  <c r="ED163" i="2"/>
  <c r="FS164" i="2"/>
  <c r="HH164" i="2"/>
  <c r="HG164" i="2"/>
  <c r="EX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G165" i="2"/>
  <c r="HH165" i="2"/>
  <c r="EX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FR167" i="2"/>
  <c r="DG167" i="2"/>
  <c r="EA167" i="2"/>
  <c r="HH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B168" i="2"/>
  <c r="DI167" i="2"/>
  <c r="EW168" i="2"/>
  <c r="EV168" i="2"/>
  <c r="EC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HG172" i="2"/>
  <c r="HI172" i="2"/>
  <c r="EV172" i="2"/>
  <c r="EA172" i="2"/>
  <c r="EW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B173" i="2"/>
  <c r="ED172" i="2"/>
  <c r="HH173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A175" i="2" l="1"/>
  <c r="EW175" i="2"/>
  <c r="ED174" i="2"/>
  <c r="FS175" i="2"/>
  <c r="HI175" i="2"/>
  <c r="EB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Q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FS178" i="2"/>
  <c r="ED177" i="2"/>
  <c r="EB178" i="2"/>
  <c r="EW178" i="2"/>
  <c r="FQ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HG179" i="2"/>
  <c r="EB179" i="2"/>
  <c r="EV179" i="2"/>
  <c r="DF179" i="2"/>
  <c r="EA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Y184" i="2"/>
  <c r="EW185" i="2"/>
  <c r="ED184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G186" i="2"/>
  <c r="HH186" i="2"/>
  <c r="EW186" i="2"/>
  <c r="EA186" i="2"/>
  <c r="ED185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ED187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V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Y189" i="2"/>
  <c r="ED189" i="2"/>
  <c r="EB190" i="2"/>
  <c r="HG190" i="2"/>
  <c r="HH190" i="2"/>
  <c r="EW190" i="2"/>
  <c r="EV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A192" i="2"/>
  <c r="EV192" i="2"/>
  <c r="HH192" i="2"/>
  <c r="EB192" i="2"/>
  <c r="EC192" i="2"/>
  <c r="EW192" i="2"/>
  <c r="HI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B193" i="2" l="1"/>
  <c r="EY192" i="2"/>
  <c r="ED192" i="2"/>
  <c r="DI192" i="2"/>
  <c r="EX193" i="2"/>
  <c r="FQ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HG194" i="2"/>
  <c r="HI194" i="2"/>
  <c r="FQ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EY194" i="2"/>
  <c r="EB195" i="2"/>
  <c r="HI195" i="2"/>
  <c r="FQ195" i="2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Y196" i="2"/>
  <c r="HH197" i="2"/>
  <c r="FS197" i="2"/>
  <c r="EC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EB199" i="2"/>
  <c r="HH199" i="2"/>
  <c r="FS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B201" i="2"/>
  <c r="DI200" i="2"/>
  <c r="HJ200" i="2"/>
  <c r="FS201" i="2"/>
  <c r="EY200" i="2"/>
  <c r="EA201" i="2"/>
  <c r="ED201" i="2" s="1"/>
  <c r="HH201" i="2"/>
  <c r="HG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FS202" i="2"/>
  <c r="HH202" i="2"/>
  <c r="HI202" i="2"/>
  <c r="HG202" i="2"/>
  <c r="FZ6" i="2"/>
  <c r="EW202" i="2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90" i="2" a="1"/>
  <c r="FY90" i="2" s="1"/>
  <c r="FY140" i="2" a="1"/>
  <c r="FY140" i="2" s="1"/>
  <c r="FY133" i="2" a="1"/>
  <c r="FY133" i="2" s="1"/>
  <c r="FY18" i="2" a="1"/>
  <c r="FY18" i="2" s="1"/>
  <c r="FY71" i="2" a="1"/>
  <c r="FY71" i="2" s="1"/>
  <c r="FY153" i="2" a="1"/>
  <c r="FY153" i="2" s="1"/>
  <c r="FY110" i="2" a="1"/>
  <c r="FY110" i="2" s="1"/>
  <c r="FY191" i="2" a="1"/>
  <c r="FY191" i="2" s="1"/>
  <c r="FY143" i="2" a="1"/>
  <c r="FY143" i="2" s="1"/>
  <c r="FY186" i="2" a="1"/>
  <c r="FY186" i="2" s="1"/>
  <c r="FY73" i="2" a="1"/>
  <c r="FY73" i="2" s="1"/>
  <c r="FY111" i="2" a="1"/>
  <c r="FY111" i="2" s="1"/>
  <c r="FY92" i="2" a="1"/>
  <c r="FY92" i="2" s="1"/>
  <c r="FY116" i="2" a="1"/>
  <c r="FY116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59" i="2" a="1"/>
  <c r="FD59" i="2" s="1"/>
  <c r="BC34" i="2" a="1"/>
  <c r="BC34" i="2" s="1"/>
  <c r="BC58" i="2" a="1"/>
  <c r="BC58" i="2" s="1"/>
  <c r="BC68" i="2" a="1"/>
  <c r="BC68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52" i="2" a="1"/>
  <c r="GT152" i="2" s="1"/>
  <c r="EI198" i="2" a="1"/>
  <c r="EI198" i="2" s="1"/>
  <c r="EI166" i="2" a="1"/>
  <c r="EI166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CS129" i="2" a="1"/>
  <c r="CS129" i="2" s="1"/>
  <c r="DN137" i="2" a="1"/>
  <c r="DN137" i="2" s="1"/>
  <c r="DN43" i="2" a="1"/>
  <c r="DN43" i="2" s="1"/>
  <c r="DN41" i="2" a="1"/>
  <c r="DN41" i="2" s="1"/>
  <c r="DN29" i="2" a="1"/>
  <c r="DN29" i="2" s="1"/>
  <c r="DN152" i="2" a="1"/>
  <c r="DN152" i="2" s="1"/>
  <c r="DN25" i="2" a="1"/>
  <c r="DN25" i="2" s="1"/>
  <c r="DN113" i="2" a="1"/>
  <c r="DN113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DN50" i="2" l="1" a="1"/>
  <c r="DN50" i="2" s="1"/>
  <c r="FY99" i="2" a="1"/>
  <c r="FY99" i="2" s="1"/>
  <c r="FY159" i="2" a="1"/>
  <c r="FY159" i="2" s="1"/>
  <c r="FY120" i="2" a="1"/>
  <c r="FY120" i="2" s="1"/>
  <c r="FY146" i="2" a="1"/>
  <c r="FY146" i="2" s="1"/>
  <c r="FY32" i="2" a="1"/>
  <c r="FY32" i="2" s="1"/>
  <c r="FY22" i="2" a="1"/>
  <c r="FY22" i="2" s="1"/>
  <c r="FY50" i="2" a="1"/>
  <c r="FY50" i="2" s="1"/>
  <c r="FY152" i="2" a="1"/>
  <c r="FY152" i="2" s="1"/>
  <c r="FY102" i="2" a="1"/>
  <c r="FY102" i="2" s="1"/>
  <c r="FY29" i="2" a="1"/>
  <c r="FY29" i="2" s="1"/>
  <c r="FY109" i="2" a="1"/>
  <c r="FY109" i="2" s="1"/>
  <c r="FY69" i="2" a="1"/>
  <c r="FY69" i="2" s="1"/>
  <c r="FY35" i="2" a="1"/>
  <c r="FY35" i="2" s="1"/>
  <c r="FY47" i="2" a="1"/>
  <c r="FY47" i="2" s="1"/>
  <c r="FY174" i="2" a="1"/>
  <c r="FY174" i="2" s="1"/>
  <c r="FY173" i="2" a="1"/>
  <c r="FY173" i="2" s="1"/>
  <c r="FY66" i="2" a="1"/>
  <c r="FY66" i="2" s="1"/>
  <c r="FY165" i="2" a="1"/>
  <c r="FY165" i="2" s="1"/>
  <c r="FD107" i="2" a="1"/>
  <c r="FD107" i="2" s="1"/>
  <c r="FD44" i="2" a="1"/>
  <c r="FD44" i="2" s="1"/>
  <c r="FD188" i="2" a="1"/>
  <c r="FD188" i="2" s="1"/>
  <c r="EI29" i="2" a="1"/>
  <c r="EI29" i="2" s="1"/>
  <c r="EI106" i="2" a="1"/>
  <c r="EI106" i="2" s="1"/>
  <c r="EI153" i="2" a="1"/>
  <c r="EI153" i="2" s="1"/>
  <c r="EY202" i="2"/>
  <c r="GT21" i="2" a="1"/>
  <c r="GT21" i="2" s="1"/>
  <c r="GT190" i="2" a="1"/>
  <c r="GT190" i="2" s="1"/>
  <c r="GT191" i="2" a="1"/>
  <c r="GT191" i="2" s="1"/>
  <c r="GT133" i="2" a="1"/>
  <c r="GT133" i="2" s="1"/>
  <c r="GT178" i="2" a="1"/>
  <c r="GT178" i="2" s="1"/>
  <c r="GT174" i="2" a="1"/>
  <c r="GT174" i="2" s="1"/>
  <c r="GT198" i="2" a="1"/>
  <c r="GT198" i="2" s="1"/>
  <c r="GT147" i="2" a="1"/>
  <c r="GT147" i="2" s="1"/>
  <c r="GT184" i="2" a="1"/>
  <c r="GT184" i="2" s="1"/>
  <c r="GT12" i="2" a="1"/>
  <c r="GT12" i="2" s="1"/>
  <c r="GT126" i="2" a="1"/>
  <c r="GT126" i="2" s="1"/>
  <c r="GT15" i="2" a="1"/>
  <c r="GT15" i="2" s="1"/>
  <c r="GT74" i="2" a="1"/>
  <c r="GT74" i="2" s="1"/>
  <c r="GT122" i="2" a="1"/>
  <c r="GT122" i="2" s="1"/>
  <c r="HG203" i="2"/>
  <c r="GT33" i="2" a="1"/>
  <c r="GT33" i="2" s="1"/>
  <c r="GT121" i="2" a="1"/>
  <c r="GT121" i="2" s="1"/>
  <c r="GT11" i="2" a="1"/>
  <c r="GT11" i="2" s="1"/>
  <c r="GT51" i="2" a="1"/>
  <c r="GT51" i="2" s="1"/>
  <c r="GT38" i="2" a="1"/>
  <c r="GT38" i="2" s="1"/>
  <c r="GT138" i="2" a="1"/>
  <c r="GT138" i="2" s="1"/>
  <c r="GT107" i="2" a="1"/>
  <c r="GT107" i="2" s="1"/>
  <c r="GT189" i="2" a="1"/>
  <c r="GT189" i="2" s="1"/>
  <c r="GT102" i="2" a="1"/>
  <c r="GT102" i="2" s="1"/>
  <c r="GT68" i="2" a="1"/>
  <c r="GT68" i="2" s="1"/>
  <c r="GT181" i="2" a="1"/>
  <c r="GT181" i="2" s="1"/>
  <c r="FY79" i="2" a="1"/>
  <c r="FY79" i="2" s="1"/>
  <c r="FD144" i="2" a="1"/>
  <c r="FD144" i="2" s="1"/>
  <c r="DN186" i="2" a="1"/>
  <c r="DN186" i="2" s="1"/>
  <c r="DN184" i="2" a="1"/>
  <c r="DN184" i="2" s="1"/>
  <c r="DN124" i="2" a="1"/>
  <c r="DN124" i="2" s="1"/>
  <c r="BC47" i="2" a="1"/>
  <c r="BC47" i="2" s="1"/>
  <c r="FR203" i="2"/>
  <c r="AH166" i="2" a="1"/>
  <c r="AH166" i="2" s="1"/>
  <c r="CS52" i="2" a="1"/>
  <c r="CS52" i="2" s="1"/>
  <c r="FY57" i="2" a="1"/>
  <c r="FY57" i="2" s="1"/>
  <c r="AH19" i="2" a="1"/>
  <c r="AH1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EJ34" i="2"/>
  <c r="EK33" i="2"/>
  <c r="EL33" i="2" s="1"/>
  <c r="EM33" i="2" s="1"/>
  <c r="EN33" i="2" s="1"/>
  <c r="EP3" i="2" s="1"/>
  <c r="DO34" i="2"/>
  <c r="DP33" i="2"/>
  <c r="DQ33" i="2" s="1"/>
  <c r="DR33" i="2" s="1"/>
  <c r="DS33" i="2" s="1"/>
  <c r="DU3" i="2" s="1"/>
  <c r="CT34" i="2"/>
  <c r="CU33" i="2"/>
  <c r="CV33" i="2" s="1"/>
  <c r="CW33" i="2" s="1"/>
  <c r="CX33" i="2" s="1"/>
  <c r="CZ3" i="2" s="1"/>
  <c r="BY34" i="2"/>
  <c r="BZ33" i="2"/>
  <c r="CA33" i="2" s="1"/>
  <c r="CB33" i="2" s="1"/>
  <c r="CC33" i="2" s="1"/>
  <c r="CE3" i="2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GZ96" i="2" l="1"/>
  <c r="GZ182" i="2"/>
  <c r="GZ143" i="2"/>
  <c r="GZ5" i="2"/>
  <c r="GZ15" i="2"/>
  <c r="GZ51" i="2"/>
  <c r="GZ68" i="2"/>
  <c r="GZ10" i="2"/>
  <c r="GZ176" i="2"/>
  <c r="GZ121" i="2"/>
  <c r="GZ21" i="2"/>
  <c r="GZ180" i="2"/>
  <c r="GZ117" i="2"/>
  <c r="GZ145" i="2"/>
  <c r="GZ33" i="2"/>
  <c r="GZ131" i="2"/>
  <c r="GZ193" i="2"/>
  <c r="GZ129" i="2"/>
  <c r="GZ146" i="2"/>
  <c r="GZ187" i="2"/>
  <c r="GZ113" i="2"/>
  <c r="GZ101" i="2"/>
  <c r="GZ53" i="2"/>
  <c r="GZ133" i="2"/>
  <c r="GZ58" i="2"/>
  <c r="GZ100" i="2"/>
  <c r="GZ186" i="2"/>
  <c r="GZ62" i="2"/>
  <c r="GZ23" i="2"/>
  <c r="GZ195" i="2"/>
  <c r="GZ188" i="2"/>
  <c r="GZ111" i="2"/>
  <c r="GZ155" i="2"/>
  <c r="GZ168" i="2"/>
  <c r="GZ76" i="2"/>
  <c r="GZ147" i="2"/>
  <c r="GZ167" i="2"/>
  <c r="GZ72" i="2"/>
  <c r="GZ163" i="2"/>
  <c r="GZ196" i="2"/>
  <c r="GZ34" i="2"/>
  <c r="GZ175" i="2"/>
  <c r="GZ190" i="2"/>
  <c r="GZ173" i="2"/>
  <c r="GZ95" i="2"/>
  <c r="GZ161" i="2"/>
  <c r="GZ202" i="2"/>
  <c r="GZ203" i="2"/>
  <c r="GZ55" i="2"/>
  <c r="GZ98" i="2"/>
  <c r="GZ141" i="2"/>
  <c r="GZ165" i="2"/>
  <c r="GZ104" i="2"/>
  <c r="GZ27" i="2"/>
  <c r="GZ70" i="2"/>
  <c r="GZ9" i="2"/>
  <c r="GZ44" i="2"/>
  <c r="GZ128" i="2"/>
  <c r="GZ119" i="2"/>
  <c r="GZ172" i="2"/>
  <c r="GZ157" i="2"/>
  <c r="GZ60" i="2"/>
  <c r="GZ28" i="2"/>
  <c r="GZ148" i="2"/>
  <c r="GZ90" i="2"/>
  <c r="GZ183" i="2"/>
  <c r="GZ124" i="2"/>
  <c r="GZ106" i="2"/>
  <c r="GZ164" i="2"/>
  <c r="GZ156" i="2"/>
  <c r="GZ83" i="2"/>
  <c r="GZ57" i="2"/>
  <c r="GZ174" i="2"/>
  <c r="GZ73" i="2"/>
  <c r="GZ59" i="2"/>
  <c r="GZ52" i="2"/>
  <c r="GZ184" i="2"/>
  <c r="GZ24" i="2"/>
  <c r="GZ108" i="2"/>
  <c r="GZ159" i="2"/>
  <c r="GZ105" i="2"/>
  <c r="GZ185" i="2"/>
  <c r="GZ116" i="2"/>
  <c r="GZ39" i="2"/>
  <c r="GZ123" i="2"/>
  <c r="GZ4" i="2"/>
  <c r="GZ79" i="2"/>
  <c r="GZ41" i="2"/>
  <c r="GZ110" i="2"/>
  <c r="GZ150" i="2"/>
  <c r="GZ177" i="2"/>
  <c r="GZ38" i="2"/>
  <c r="GZ109" i="2"/>
  <c r="GZ93" i="2"/>
  <c r="GZ66" i="2"/>
  <c r="GZ191" i="2"/>
  <c r="GZ142" i="2"/>
  <c r="GZ91" i="2"/>
  <c r="GZ136" i="2"/>
  <c r="GZ198" i="2"/>
  <c r="GZ137" i="2"/>
  <c r="GZ12" i="2"/>
  <c r="GZ16" i="2"/>
  <c r="GZ40" i="2"/>
  <c r="GZ153" i="2"/>
  <c r="GZ99" i="2"/>
  <c r="GZ26" i="2"/>
  <c r="GZ43" i="2"/>
  <c r="GZ35" i="2"/>
  <c r="GZ37" i="2"/>
  <c r="GZ20" i="2"/>
  <c r="GZ77" i="2"/>
  <c r="GZ87" i="2"/>
  <c r="GZ74" i="2"/>
  <c r="GZ50" i="2"/>
  <c r="GZ97" i="2"/>
  <c r="GZ179" i="2"/>
  <c r="GZ138" i="2"/>
  <c r="GZ144" i="2"/>
  <c r="GZ49" i="2"/>
  <c r="GZ114" i="2"/>
  <c r="GZ200" i="2"/>
  <c r="GZ56" i="2"/>
  <c r="GZ192" i="2"/>
  <c r="GZ130" i="2"/>
  <c r="GZ194" i="2"/>
  <c r="GZ42" i="2"/>
  <c r="GZ54" i="2"/>
  <c r="GZ7" i="2"/>
  <c r="GZ112" i="2"/>
  <c r="GZ201" i="2"/>
  <c r="GZ67" i="2"/>
  <c r="GZ19" i="2"/>
  <c r="GZ13" i="2"/>
  <c r="GZ94" i="2"/>
  <c r="GZ169" i="2"/>
  <c r="GZ64" i="2"/>
  <c r="GZ125" i="2"/>
  <c r="GZ8" i="2"/>
  <c r="GZ166" i="2"/>
  <c r="GZ151" i="2"/>
  <c r="GZ30" i="2"/>
  <c r="GZ81" i="2"/>
  <c r="GZ69" i="2"/>
  <c r="GZ171" i="2"/>
  <c r="GZ102" i="2"/>
  <c r="GZ11" i="2"/>
  <c r="GZ152" i="2"/>
  <c r="GZ61" i="2"/>
  <c r="GZ48" i="2"/>
  <c r="GZ158" i="2"/>
  <c r="GZ85" i="2"/>
  <c r="GZ92" i="2"/>
  <c r="GZ181" i="2"/>
  <c r="GZ29" i="2"/>
  <c r="GZ36" i="2"/>
  <c r="GZ178" i="2"/>
  <c r="GZ197" i="2"/>
  <c r="GZ115" i="2"/>
  <c r="GZ6" i="2"/>
  <c r="GZ47" i="2"/>
  <c r="GZ22" i="2"/>
  <c r="GZ14" i="2"/>
  <c r="GZ122" i="2"/>
  <c r="GZ160" i="2"/>
  <c r="GZ31" i="2"/>
  <c r="GZ103" i="2"/>
  <c r="GZ80" i="2"/>
  <c r="GZ17" i="2"/>
  <c r="GZ86" i="2"/>
  <c r="GZ189" i="2"/>
  <c r="GZ45" i="2"/>
  <c r="GZ132" i="2"/>
  <c r="GZ84" i="2"/>
  <c r="GZ25" i="2"/>
  <c r="GZ140" i="2"/>
  <c r="GZ135" i="2"/>
  <c r="GZ89" i="2"/>
  <c r="GZ170" i="2"/>
  <c r="GZ139" i="2"/>
  <c r="GZ199" i="2"/>
  <c r="GZ134" i="2"/>
  <c r="GZ75" i="2"/>
  <c r="GZ63" i="2"/>
  <c r="GZ107" i="2"/>
  <c r="GZ127" i="2"/>
  <c r="GZ46" i="2"/>
  <c r="GZ71" i="2"/>
  <c r="GZ88" i="2"/>
  <c r="GZ154" i="2"/>
  <c r="GZ32" i="2"/>
  <c r="GZ120" i="2"/>
  <c r="GZ65" i="2"/>
  <c r="GZ118" i="2"/>
  <c r="GZ78" i="2"/>
  <c r="GZ18" i="2"/>
  <c r="GZ126" i="2"/>
  <c r="GZ82" i="2"/>
  <c r="GZ162" i="2"/>
  <c r="GZ149" i="2"/>
  <c r="GZ3" i="2"/>
  <c r="C15" i="4" s="1"/>
  <c r="E15" i="4" s="1"/>
  <c r="F15" i="4" s="1"/>
  <c r="G15" i="4" s="1"/>
  <c r="L15" i="4" s="1"/>
  <c r="FE80" i="2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BF34" i="2"/>
  <c r="BG34" i="2" s="1"/>
  <c r="BH34" i="2" s="1"/>
  <c r="BE35" i="2"/>
  <c r="BS33" i="2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DT10" i="2" l="1"/>
  <c r="DT153" i="2"/>
  <c r="DT144" i="2"/>
  <c r="DT148" i="2"/>
  <c r="DT37" i="2"/>
  <c r="DT182" i="2"/>
  <c r="DT151" i="2"/>
  <c r="DT123" i="2"/>
  <c r="DT107" i="2"/>
  <c r="DT186" i="2"/>
  <c r="DT13" i="2"/>
  <c r="DT74" i="2"/>
  <c r="DT26" i="2"/>
  <c r="DT121" i="2"/>
  <c r="DT116" i="2"/>
  <c r="DT145" i="2"/>
  <c r="DT180" i="2"/>
  <c r="DT194" i="2"/>
  <c r="DT24" i="2"/>
  <c r="DT77" i="2"/>
  <c r="DT92" i="2"/>
  <c r="DT28" i="2"/>
  <c r="DT50" i="2"/>
  <c r="DT35" i="2"/>
  <c r="DT54" i="2"/>
  <c r="DT4" i="2"/>
  <c r="DT128" i="2"/>
  <c r="DT27" i="2"/>
  <c r="DT164" i="2"/>
  <c r="DT40" i="2"/>
  <c r="DT199" i="2"/>
  <c r="DT137" i="2"/>
  <c r="DT30" i="2"/>
  <c r="DT48" i="2"/>
  <c r="DT32" i="2"/>
  <c r="DT79" i="2"/>
  <c r="DT156" i="2"/>
  <c r="DT23" i="2"/>
  <c r="DT91" i="2"/>
  <c r="DT69" i="2"/>
  <c r="DT21" i="2"/>
  <c r="DT202" i="2"/>
  <c r="DT78" i="2"/>
  <c r="DT52" i="2"/>
  <c r="DT104" i="2"/>
  <c r="DT71" i="2"/>
  <c r="DT88" i="2"/>
  <c r="DT25" i="2"/>
  <c r="DT19" i="2"/>
  <c r="DT161" i="2"/>
  <c r="DT141" i="2"/>
  <c r="DT76" i="2"/>
  <c r="DT33" i="2"/>
  <c r="DT96" i="2"/>
  <c r="DT176" i="2"/>
  <c r="DT169" i="2"/>
  <c r="DT109" i="2"/>
  <c r="DT80" i="2"/>
  <c r="DT150" i="2"/>
  <c r="DT63" i="2"/>
  <c r="DT12" i="2"/>
  <c r="DT165" i="2"/>
  <c r="DT75" i="2"/>
  <c r="DT61" i="2"/>
  <c r="DT138" i="2"/>
  <c r="DT130" i="2"/>
  <c r="DT34" i="2"/>
  <c r="DT102" i="2"/>
  <c r="DT124" i="2"/>
  <c r="DT87" i="2"/>
  <c r="DT6" i="2"/>
  <c r="DT143" i="2"/>
  <c r="DT179" i="2"/>
  <c r="DT172" i="2"/>
  <c r="DT173" i="2"/>
  <c r="DT70" i="2"/>
  <c r="DT120" i="2"/>
  <c r="DT42" i="2"/>
  <c r="DT134" i="2"/>
  <c r="DT97" i="2"/>
  <c r="DT53" i="2"/>
  <c r="DT146" i="2"/>
  <c r="DT16" i="2"/>
  <c r="DT171" i="2"/>
  <c r="DT7" i="2"/>
  <c r="DT118" i="2"/>
  <c r="DT198" i="2"/>
  <c r="DT83" i="2"/>
  <c r="DT105" i="2"/>
  <c r="DT49" i="2"/>
  <c r="DT197" i="2"/>
  <c r="DT201" i="2"/>
  <c r="DT100" i="2"/>
  <c r="DT155" i="2"/>
  <c r="DT95" i="2"/>
  <c r="DT38" i="2"/>
  <c r="DT114" i="2"/>
  <c r="DT31" i="2"/>
  <c r="DT158" i="2"/>
  <c r="DT64" i="2"/>
  <c r="DT9" i="2"/>
  <c r="DT126" i="2"/>
  <c r="DT58" i="2"/>
  <c r="DT29" i="2"/>
  <c r="DT51" i="2"/>
  <c r="DT187" i="2"/>
  <c r="DT119" i="2"/>
  <c r="DT125" i="2"/>
  <c r="DT135" i="2"/>
  <c r="DT142" i="2"/>
  <c r="DT18" i="2"/>
  <c r="DT36" i="2"/>
  <c r="DT106" i="2"/>
  <c r="DT68" i="2"/>
  <c r="DT5" i="2"/>
  <c r="DT177" i="2"/>
  <c r="DT57" i="2"/>
  <c r="DT122" i="2"/>
  <c r="DT47" i="2"/>
  <c r="DT183" i="2"/>
  <c r="DT108" i="2"/>
  <c r="DT152" i="2"/>
  <c r="DT192" i="2"/>
  <c r="DT11" i="2"/>
  <c r="DT132" i="2"/>
  <c r="DT191" i="2"/>
  <c r="DT167" i="2"/>
  <c r="DT189" i="2"/>
  <c r="DT67" i="2"/>
  <c r="DT140" i="2"/>
  <c r="DT101" i="2"/>
  <c r="DT45" i="2"/>
  <c r="DT41" i="2"/>
  <c r="DT175" i="2"/>
  <c r="DT8" i="2"/>
  <c r="DT72" i="2"/>
  <c r="DT185" i="2"/>
  <c r="DT127" i="2"/>
  <c r="DT188" i="2"/>
  <c r="DT195" i="2"/>
  <c r="DT162" i="2"/>
  <c r="DT86" i="2"/>
  <c r="DT43" i="2"/>
  <c r="DT166" i="2"/>
  <c r="DT73" i="2"/>
  <c r="DT196" i="2"/>
  <c r="DT149" i="2"/>
  <c r="DT147" i="2"/>
  <c r="DT181" i="2"/>
  <c r="DT178" i="2"/>
  <c r="DT99" i="2"/>
  <c r="DT154" i="2"/>
  <c r="DT22" i="2"/>
  <c r="DT59" i="2"/>
  <c r="DT157" i="2"/>
  <c r="DT174" i="2"/>
  <c r="DT66" i="2"/>
  <c r="DT110" i="2"/>
  <c r="DT20" i="2"/>
  <c r="DT190" i="2"/>
  <c r="DT60" i="2"/>
  <c r="DT17" i="2"/>
  <c r="DT89" i="2"/>
  <c r="DT168" i="2"/>
  <c r="DT163" i="2"/>
  <c r="DT39" i="2"/>
  <c r="DT90" i="2"/>
  <c r="DT46" i="2"/>
  <c r="DT160" i="2"/>
  <c r="DT55" i="2"/>
  <c r="DT62" i="2"/>
  <c r="DT103" i="2"/>
  <c r="DT94" i="2"/>
  <c r="DT193" i="2"/>
  <c r="DT113" i="2"/>
  <c r="DT112" i="2"/>
  <c r="DT111" i="2"/>
  <c r="DT203" i="2"/>
  <c r="DT44" i="2"/>
  <c r="DT133" i="2"/>
  <c r="DT115" i="2"/>
  <c r="DT184" i="2"/>
  <c r="DT131" i="2"/>
  <c r="DT159" i="2"/>
  <c r="DT56" i="2"/>
  <c r="DT65" i="2"/>
  <c r="DT82" i="2"/>
  <c r="DT200" i="2"/>
  <c r="DT93" i="2"/>
  <c r="DT129" i="2"/>
  <c r="DT136" i="2"/>
  <c r="DT85" i="2"/>
  <c r="DT139" i="2"/>
  <c r="DT117" i="2"/>
  <c r="DT14" i="2"/>
  <c r="DT3" i="2"/>
  <c r="DT15" i="2"/>
  <c r="DT98" i="2"/>
  <c r="DT81" i="2"/>
  <c r="DT170" i="2"/>
  <c r="DT84" i="2"/>
  <c r="CY202" i="2"/>
  <c r="CY24" i="2"/>
  <c r="CY76" i="2"/>
  <c r="CY164" i="2"/>
  <c r="CY154" i="2"/>
  <c r="CY23" i="2"/>
  <c r="CY19" i="2"/>
  <c r="CY87" i="2"/>
  <c r="CY40" i="2"/>
  <c r="CY121" i="2"/>
  <c r="CY30" i="2"/>
  <c r="CY162" i="2"/>
  <c r="CY175" i="2"/>
  <c r="CY37" i="2"/>
  <c r="CY131" i="2"/>
  <c r="CY199" i="2"/>
  <c r="CY55" i="2"/>
  <c r="CY27" i="2"/>
  <c r="CY135" i="2"/>
  <c r="CY3" i="2"/>
  <c r="CY56" i="2"/>
  <c r="CY41" i="2"/>
  <c r="CY90" i="2"/>
  <c r="CY147" i="2"/>
  <c r="CY128" i="2"/>
  <c r="CY170" i="2"/>
  <c r="CY97" i="2"/>
  <c r="CY196" i="2"/>
  <c r="CY105" i="2"/>
  <c r="CY39" i="2"/>
  <c r="CY115" i="2"/>
  <c r="CY171" i="2"/>
  <c r="CY5" i="2"/>
  <c r="CY15" i="2"/>
  <c r="CY151" i="2"/>
  <c r="CY28" i="2"/>
  <c r="CY95" i="2"/>
  <c r="CY34" i="2"/>
  <c r="CY85" i="2"/>
  <c r="CY69" i="2"/>
  <c r="CY6" i="2"/>
  <c r="CY20" i="2"/>
  <c r="CY119" i="2"/>
  <c r="CY18" i="2"/>
  <c r="CY159" i="2"/>
  <c r="CY17" i="2"/>
  <c r="CY200" i="2"/>
  <c r="CY67" i="2"/>
  <c r="CY45" i="2"/>
  <c r="CY92" i="2"/>
  <c r="CY155" i="2"/>
  <c r="CY86" i="2"/>
  <c r="CY201" i="2"/>
  <c r="CY106" i="2"/>
  <c r="CY193" i="2"/>
  <c r="CY124" i="2"/>
  <c r="CY26" i="2"/>
  <c r="CY186" i="2"/>
  <c r="CY141" i="2"/>
  <c r="CY144" i="2"/>
  <c r="CY187" i="2"/>
  <c r="CY150" i="2"/>
  <c r="CY182" i="2"/>
  <c r="CY176" i="2"/>
  <c r="CY161" i="2"/>
  <c r="CY13" i="2"/>
  <c r="CY60" i="2"/>
  <c r="CY48" i="2"/>
  <c r="CY178" i="2"/>
  <c r="CY194" i="2"/>
  <c r="CY62" i="2"/>
  <c r="CY137" i="2"/>
  <c r="CY169" i="2"/>
  <c r="CY9" i="2"/>
  <c r="CY84" i="2"/>
  <c r="CY180" i="2"/>
  <c r="CY61" i="2"/>
  <c r="CY75" i="2"/>
  <c r="CY136" i="2"/>
  <c r="CY88" i="2"/>
  <c r="CY134" i="2"/>
  <c r="CY83" i="2"/>
  <c r="CY142" i="2"/>
  <c r="CY153" i="2"/>
  <c r="CY184" i="2"/>
  <c r="CY59" i="2"/>
  <c r="CY140" i="2"/>
  <c r="CY191" i="2"/>
  <c r="CY197" i="2"/>
  <c r="CY181" i="2"/>
  <c r="CY11" i="2"/>
  <c r="CY108" i="2"/>
  <c r="CY126" i="2"/>
  <c r="CY89" i="2"/>
  <c r="CY25" i="2"/>
  <c r="CY51" i="2"/>
  <c r="CY73" i="2"/>
  <c r="CY139" i="2"/>
  <c r="CY77" i="2"/>
  <c r="CY71" i="2"/>
  <c r="CY160" i="2"/>
  <c r="CY98" i="2"/>
  <c r="CY113" i="2"/>
  <c r="CY79" i="2"/>
  <c r="CY190" i="2"/>
  <c r="CY172" i="2"/>
  <c r="CY52" i="2"/>
  <c r="CY38" i="2"/>
  <c r="CY104" i="2"/>
  <c r="CY203" i="2"/>
  <c r="CY58" i="2"/>
  <c r="CY94" i="2"/>
  <c r="CY102" i="2"/>
  <c r="CY35" i="2"/>
  <c r="CY64" i="2"/>
  <c r="CY183" i="2"/>
  <c r="CY167" i="2"/>
  <c r="CY43" i="2"/>
  <c r="CY143" i="2"/>
  <c r="CY65" i="2"/>
  <c r="CY132" i="2"/>
  <c r="CY114" i="2"/>
  <c r="CY101" i="2"/>
  <c r="CY32" i="2"/>
  <c r="CY93" i="2"/>
  <c r="CY122" i="2"/>
  <c r="CY46" i="2"/>
  <c r="CY50" i="2"/>
  <c r="CY173" i="2"/>
  <c r="CY70" i="2"/>
  <c r="CY53" i="2"/>
  <c r="CY107" i="2"/>
  <c r="CY133" i="2"/>
  <c r="CY10" i="2"/>
  <c r="CY157" i="2"/>
  <c r="CY103" i="2"/>
  <c r="CY195" i="2"/>
  <c r="CY66" i="2"/>
  <c r="CY22" i="2"/>
  <c r="CY174" i="2"/>
  <c r="CY152" i="2"/>
  <c r="CY110" i="2"/>
  <c r="CY148" i="2"/>
  <c r="CY168" i="2"/>
  <c r="CY163" i="2"/>
  <c r="CY100" i="2"/>
  <c r="CY12" i="2"/>
  <c r="CY127" i="2"/>
  <c r="CY112" i="2"/>
  <c r="CY129" i="2"/>
  <c r="CY130" i="2"/>
  <c r="CY78" i="2"/>
  <c r="CY74" i="2"/>
  <c r="CY138" i="2"/>
  <c r="CY81" i="2"/>
  <c r="CY177" i="2"/>
  <c r="CY165" i="2"/>
  <c r="CY145" i="2"/>
  <c r="CY57" i="2"/>
  <c r="CY111" i="2"/>
  <c r="CY118" i="2"/>
  <c r="CY31" i="2"/>
  <c r="CY117" i="2"/>
  <c r="CY14" i="2"/>
  <c r="CY8" i="2"/>
  <c r="CY198" i="2"/>
  <c r="CY82" i="2"/>
  <c r="CY116" i="2"/>
  <c r="CY192" i="2"/>
  <c r="CY179" i="2"/>
  <c r="CY36" i="2"/>
  <c r="CY54" i="2"/>
  <c r="CY68" i="2"/>
  <c r="CY185" i="2"/>
  <c r="CY125" i="2"/>
  <c r="CY149" i="2"/>
  <c r="CY123" i="2"/>
  <c r="CY146" i="2"/>
  <c r="CY44" i="2"/>
  <c r="CY91" i="2"/>
  <c r="CY47" i="2"/>
  <c r="CY158" i="2"/>
  <c r="CY4" i="2"/>
  <c r="CY99" i="2"/>
  <c r="CY49" i="2"/>
  <c r="CY189" i="2"/>
  <c r="CY16" i="2"/>
  <c r="CY63" i="2"/>
  <c r="CY7" i="2"/>
  <c r="CY120" i="2"/>
  <c r="CY42" i="2"/>
  <c r="CY96" i="2"/>
  <c r="CY33" i="2"/>
  <c r="CY80" i="2"/>
  <c r="CY29" i="2"/>
  <c r="CY166" i="2"/>
  <c r="CY109" i="2"/>
  <c r="CY188" i="2"/>
  <c r="CY72" i="2"/>
  <c r="CY21" i="2"/>
  <c r="CY156" i="2"/>
  <c r="CD64" i="2"/>
  <c r="CD93" i="2"/>
  <c r="CD120" i="2"/>
  <c r="CD102" i="2"/>
  <c r="CD69" i="2"/>
  <c r="CD148" i="2"/>
  <c r="CD176" i="2"/>
  <c r="CD183" i="2"/>
  <c r="CD165" i="2"/>
  <c r="CD68" i="2"/>
  <c r="CD21" i="2"/>
  <c r="CD37" i="2"/>
  <c r="CD50" i="2"/>
  <c r="CD79" i="2"/>
  <c r="CD108" i="2"/>
  <c r="CD11" i="2"/>
  <c r="CD16" i="2"/>
  <c r="CD114" i="2"/>
  <c r="CD105" i="2"/>
  <c r="CD17" i="2"/>
  <c r="CD19" i="2"/>
  <c r="CD103" i="2"/>
  <c r="CD174" i="2"/>
  <c r="CD40" i="2"/>
  <c r="CD85" i="2"/>
  <c r="CD109" i="2"/>
  <c r="CD134" i="2"/>
  <c r="CD139" i="2"/>
  <c r="CD98" i="2"/>
  <c r="CD97" i="2"/>
  <c r="CD163" i="2"/>
  <c r="CD116" i="2"/>
  <c r="CD74" i="2"/>
  <c r="CD137" i="2"/>
  <c r="CD15" i="2"/>
  <c r="CD62" i="2"/>
  <c r="CD84" i="2"/>
  <c r="CD189" i="2"/>
  <c r="CD190" i="2"/>
  <c r="CD34" i="2"/>
  <c r="CD92" i="2"/>
  <c r="CD151" i="2"/>
  <c r="CD158" i="2"/>
  <c r="CD140" i="2"/>
  <c r="CD115" i="2"/>
  <c r="CD198" i="2"/>
  <c r="CD100" i="2"/>
  <c r="CD39" i="2"/>
  <c r="CD169" i="2"/>
  <c r="CD10" i="2"/>
  <c r="CD196" i="2"/>
  <c r="CD182" i="2"/>
  <c r="CD28" i="2"/>
  <c r="CD44" i="2"/>
  <c r="CD128" i="2"/>
  <c r="CD180" i="2"/>
  <c r="CD111" i="2"/>
  <c r="CD83" i="2"/>
  <c r="CD166" i="2"/>
  <c r="CD95" i="2"/>
  <c r="CD106" i="2"/>
  <c r="CD23" i="2"/>
  <c r="CD155" i="2"/>
  <c r="CD117" i="2"/>
  <c r="CD12" i="2"/>
  <c r="CD30" i="2"/>
  <c r="CD51" i="2"/>
  <c r="CD179" i="2"/>
  <c r="CD160" i="2"/>
  <c r="CD191" i="2"/>
  <c r="CD4" i="2"/>
  <c r="CD82" i="2"/>
  <c r="CD110" i="2"/>
  <c r="CD161" i="2"/>
  <c r="CD141" i="2"/>
  <c r="CD60" i="2"/>
  <c r="CD9" i="2"/>
  <c r="CD188" i="2"/>
  <c r="CD49" i="2"/>
  <c r="CD31" i="2"/>
  <c r="CD113" i="2"/>
  <c r="CD143" i="2"/>
  <c r="CD36" i="2"/>
  <c r="CD20" i="2"/>
  <c r="CD7" i="2"/>
  <c r="CD135" i="2"/>
  <c r="CD130" i="2"/>
  <c r="CD173" i="2"/>
  <c r="CD118" i="2"/>
  <c r="CD187" i="2"/>
  <c r="CD193" i="2"/>
  <c r="CD107" i="2"/>
  <c r="CD126" i="2"/>
  <c r="CD195" i="2"/>
  <c r="CD26" i="2"/>
  <c r="CD63" i="2"/>
  <c r="CD80" i="2"/>
  <c r="CD146" i="2"/>
  <c r="CD159" i="2"/>
  <c r="CD6" i="2"/>
  <c r="CD119" i="2"/>
  <c r="CD52" i="2"/>
  <c r="CD75" i="2"/>
  <c r="CD170" i="2"/>
  <c r="CD76" i="2"/>
  <c r="CD181" i="2"/>
  <c r="CD132" i="2"/>
  <c r="CD154" i="2"/>
  <c r="CD55" i="2"/>
  <c r="CD177" i="2"/>
  <c r="CD66" i="2"/>
  <c r="CD138" i="2"/>
  <c r="CD14" i="2"/>
  <c r="CD72" i="2"/>
  <c r="CD91" i="2"/>
  <c r="CD164" i="2"/>
  <c r="CD78" i="2"/>
  <c r="CD88" i="2"/>
  <c r="CD197" i="2"/>
  <c r="CD42" i="2"/>
  <c r="CD201" i="2"/>
  <c r="CD5" i="2"/>
  <c r="CD96" i="2"/>
  <c r="CD71" i="2"/>
  <c r="CD150" i="2"/>
  <c r="CD86" i="2"/>
  <c r="CD203" i="2"/>
  <c r="CD65" i="2"/>
  <c r="CD45" i="2"/>
  <c r="CD152" i="2"/>
  <c r="CD24" i="2"/>
  <c r="CD29" i="2"/>
  <c r="CD123" i="2"/>
  <c r="CD133" i="2"/>
  <c r="CD129" i="2"/>
  <c r="CD171" i="2"/>
  <c r="CD153" i="2"/>
  <c r="CD99" i="2"/>
  <c r="CD38" i="2"/>
  <c r="CD22" i="2"/>
  <c r="CD199" i="2"/>
  <c r="CD127" i="2"/>
  <c r="CD131" i="2"/>
  <c r="CD175" i="2"/>
  <c r="CD47" i="2"/>
  <c r="CD61" i="2"/>
  <c r="CD94" i="2"/>
  <c r="CD156" i="2"/>
  <c r="CD101" i="2"/>
  <c r="CD73" i="2"/>
  <c r="CD18" i="2"/>
  <c r="CD202" i="2"/>
  <c r="CD122" i="2"/>
  <c r="CD8" i="2"/>
  <c r="CD77" i="2"/>
  <c r="CD57" i="2"/>
  <c r="CD27" i="2"/>
  <c r="CD167" i="2"/>
  <c r="CD3" i="2"/>
  <c r="CD125" i="2"/>
  <c r="CD43" i="2"/>
  <c r="CD184" i="2"/>
  <c r="CD58" i="2"/>
  <c r="CD124" i="2"/>
  <c r="CD46" i="2"/>
  <c r="CD53" i="2"/>
  <c r="CD185" i="2"/>
  <c r="CD192" i="2"/>
  <c r="CD172" i="2"/>
  <c r="CD87" i="2"/>
  <c r="CD178" i="2"/>
  <c r="CD144" i="2"/>
  <c r="CD70" i="2"/>
  <c r="CD90" i="2"/>
  <c r="CD142" i="2"/>
  <c r="CD33" i="2"/>
  <c r="CD121" i="2"/>
  <c r="CD147" i="2"/>
  <c r="CD81" i="2"/>
  <c r="CD54" i="2"/>
  <c r="CD200" i="2"/>
  <c r="CD48" i="2"/>
  <c r="CD59" i="2"/>
  <c r="CD168" i="2"/>
  <c r="CD25" i="2"/>
  <c r="CD56" i="2"/>
  <c r="CD112" i="2"/>
  <c r="CD67" i="2"/>
  <c r="CD32" i="2"/>
  <c r="CD145" i="2"/>
  <c r="CD136" i="2"/>
  <c r="CD35" i="2"/>
  <c r="CD157" i="2"/>
  <c r="CD13" i="2"/>
  <c r="CD162" i="2"/>
  <c r="CD186" i="2"/>
  <c r="CD149" i="2"/>
  <c r="CD104" i="2"/>
  <c r="CD194" i="2"/>
  <c r="CD89" i="2"/>
  <c r="CD41" i="2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BS158" i="2" l="1"/>
  <c r="BS159" i="2" l="1"/>
  <c r="BS160" i="2" l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J7" i="4"/>
  <c r="K7" i="4" s="1"/>
  <c r="H7" i="4"/>
  <c r="I7" i="4" s="1"/>
  <c r="C14" i="4"/>
  <c r="C7" i="4"/>
  <c r="E7" i="4" s="1"/>
  <c r="F7" i="4" s="1"/>
  <c r="G7" i="4" s="1"/>
  <c r="J12" i="4"/>
  <c r="K12" i="4" s="1"/>
  <c r="C9" i="4"/>
  <c r="D7" i="4"/>
  <c r="C8" i="4"/>
  <c r="C6" i="4"/>
  <c r="E6" i="4" s="1"/>
  <c r="F6" i="4" s="1"/>
  <c r="H6" i="4"/>
  <c r="H13" i="4"/>
  <c r="I13" i="4" s="1"/>
  <c r="D13" i="4"/>
  <c r="D6" i="4"/>
  <c r="C12" i="4"/>
  <c r="C10" i="4"/>
  <c r="E10" i="4" s="1"/>
  <c r="H12" i="4"/>
  <c r="I12" i="4" s="1"/>
  <c r="D10" i="4"/>
  <c r="C11" i="4"/>
  <c r="D11" i="4"/>
  <c r="D14" i="4"/>
  <c r="D12" i="4"/>
  <c r="C19" i="1"/>
  <c r="C20" i="1"/>
  <c r="J8" i="4"/>
  <c r="K8" i="4" s="1"/>
  <c r="D9" i="4"/>
  <c r="D8" i="4"/>
  <c r="C13" i="4"/>
  <c r="E13" i="4" s="1"/>
  <c r="D11" i="1"/>
  <c r="U12" i="6" s="1"/>
  <c r="V12" i="6" s="1"/>
  <c r="B8" i="4"/>
  <c r="H8" i="4" s="1"/>
  <c r="I8" i="4" s="1"/>
  <c r="D16" i="1"/>
  <c r="U17" i="6" s="1"/>
  <c r="V17" i="6" s="1"/>
  <c r="B13" i="4"/>
  <c r="J13" i="4" s="1"/>
  <c r="K13" i="4" s="1"/>
  <c r="D13" i="1"/>
  <c r="U14" i="6" s="1"/>
  <c r="V14" i="6" s="1"/>
  <c r="D12" i="1"/>
  <c r="U13" i="6" s="1"/>
  <c r="V13" i="6" s="1"/>
  <c r="D10" i="1"/>
  <c r="U11" i="6" s="1"/>
  <c r="V11" i="6" s="1"/>
  <c r="B7" i="4"/>
  <c r="D15" i="1"/>
  <c r="U16" i="6" s="1"/>
  <c r="V16" i="6" s="1"/>
  <c r="B12" i="4"/>
  <c r="D14" i="1"/>
  <c r="U15" i="6" s="1"/>
  <c r="V15" i="6" s="1"/>
  <c r="D17" i="1"/>
  <c r="U18" i="6" s="1"/>
  <c r="V18" i="6" s="1"/>
  <c r="B14" i="4"/>
  <c r="J14" i="4" s="1"/>
  <c r="K14" i="4" s="1"/>
  <c r="D9" i="1"/>
  <c r="U10" i="6" s="1"/>
  <c r="V10" i="6" s="1"/>
  <c r="B6" i="4"/>
  <c r="J6" i="4" s="1"/>
  <c r="E12" i="4" l="1"/>
  <c r="F12" i="4" s="1"/>
  <c r="G12" i="4" s="1"/>
  <c r="L12" i="4" s="1"/>
  <c r="E11" i="4"/>
  <c r="K6" i="4"/>
  <c r="F13" i="4"/>
  <c r="G13" i="4" s="1"/>
  <c r="L13" i="4" s="1"/>
  <c r="B9" i="4"/>
  <c r="H14" i="4"/>
  <c r="I14" i="4" s="1"/>
  <c r="E9" i="4"/>
  <c r="E8" i="4"/>
  <c r="F8" i="4" s="1"/>
  <c r="G8" i="4" s="1"/>
  <c r="L8" i="4" s="1"/>
  <c r="L7" i="4"/>
  <c r="E14" i="4"/>
  <c r="F14" i="4" s="1"/>
  <c r="G14" i="4" s="1"/>
  <c r="T23" i="6"/>
  <c r="T25" i="6" s="1"/>
  <c r="T26" i="6" s="1"/>
  <c r="G6" i="4"/>
  <c r="B11" i="4"/>
  <c r="B10" i="4"/>
  <c r="D19" i="1"/>
  <c r="I6" i="4"/>
  <c r="H9" i="4" l="1"/>
  <c r="J9" i="4"/>
  <c r="F10" i="4"/>
  <c r="G10" i="4" s="1"/>
  <c r="J10" i="4"/>
  <c r="K10" i="4" s="1"/>
  <c r="H10" i="4"/>
  <c r="I10" i="4" s="1"/>
  <c r="L14" i="4"/>
  <c r="F11" i="4"/>
  <c r="G11" i="4" s="1"/>
  <c r="J11" i="4"/>
  <c r="K11" i="4" s="1"/>
  <c r="H11" i="4"/>
  <c r="I11" i="4" s="1"/>
  <c r="F9" i="4"/>
  <c r="G9" i="4" s="1"/>
  <c r="L6" i="4"/>
  <c r="L11" i="4" l="1"/>
  <c r="G16" i="4"/>
  <c r="L10" i="4"/>
  <c r="K9" i="4"/>
  <c r="K16" i="4" s="1"/>
  <c r="J16" i="4"/>
  <c r="I9" i="4"/>
  <c r="I16" i="4" s="1"/>
  <c r="H16" i="4"/>
  <c r="F16" i="4"/>
  <c r="L9" i="4" l="1"/>
  <c r="L16" i="4" s="1"/>
</calcChain>
</file>

<file path=xl/sharedStrings.xml><?xml version="1.0" encoding="utf-8"?>
<sst xmlns="http://schemas.openxmlformats.org/spreadsheetml/2006/main" count="1133" uniqueCount="325">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</sst>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333F4F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8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" xfId="3" applyBorder="1" applyProtection="1">
      <protection locked="0"/>
    </xf>
    <xf numFmtId="0" fontId="4" fillId="0" borderId="0" xfId="3" applyProtection="1">
      <protection locked="0"/>
    </xf>
    <xf numFmtId="0" fontId="4" fillId="0" borderId="1" xfId="3" applyBorder="1" applyAlignment="1" applyProtection="1">
      <alignment horizontal="center"/>
      <protection locked="0"/>
    </xf>
    <xf numFmtId="9" fontId="32" fillId="21" borderId="1" xfId="4" applyFont="1" applyFill="1" applyBorder="1" applyAlignment="1" applyProtection="1">
      <alignment horizontal="center"/>
      <protection locked="0" hidden="1"/>
    </xf>
    <xf numFmtId="0" fontId="32" fillId="21" borderId="1" xfId="3" applyFont="1" applyFill="1" applyBorder="1" applyAlignment="1" applyProtection="1">
      <alignment horizontal="center"/>
      <protection locked="0"/>
    </xf>
    <xf numFmtId="0" fontId="4" fillId="0" borderId="39" xfId="3" applyBorder="1" applyAlignment="1" applyProtection="1">
      <alignment horizontal="center" vertical="center"/>
      <protection locked="0"/>
    </xf>
    <xf numFmtId="0" fontId="32" fillId="21" borderId="1" xfId="3" applyFont="1" applyFill="1" applyBorder="1" applyAlignment="1" applyProtection="1">
      <alignment horizontal="center" vertical="center"/>
      <protection locked="0"/>
    </xf>
    <xf numFmtId="0" fontId="33" fillId="0" borderId="1" xfId="0" applyFont="1" applyBorder="1" applyProtection="1">
      <protection locked="0"/>
    </xf>
    <xf numFmtId="0" fontId="33" fillId="0" borderId="6" xfId="0" applyFont="1" applyBorder="1" applyProtection="1">
      <protection locked="0"/>
    </xf>
    <xf numFmtId="0" fontId="33" fillId="0" borderId="39" xfId="0" applyFont="1" applyBorder="1" applyAlignment="1" applyProtection="1">
      <alignment horizontal="center" vertical="center"/>
      <protection locked="0"/>
    </xf>
    <xf numFmtId="9" fontId="34" fillId="22" borderId="6" xfId="0" applyNumberFormat="1" applyFont="1" applyFill="1" applyBorder="1" applyAlignment="1" applyProtection="1">
      <alignment horizontal="center"/>
      <protection locked="0" hidden="1"/>
    </xf>
    <xf numFmtId="0" fontId="33" fillId="0" borderId="10" xfId="0" applyFont="1" applyBorder="1" applyProtection="1">
      <protection locked="0"/>
    </xf>
    <xf numFmtId="0" fontId="33" fillId="0" borderId="31" xfId="0" applyFont="1" applyBorder="1" applyProtection="1">
      <protection locked="0"/>
    </xf>
    <xf numFmtId="0" fontId="34" fillId="22" borderId="6" xfId="0" applyFont="1" applyFill="1" applyBorder="1" applyAlignment="1" applyProtection="1">
      <alignment horizontal="center" vertical="center"/>
      <protection locked="0"/>
    </xf>
    <xf numFmtId="9" fontId="34" fillId="22" borderId="31" xfId="0" applyNumberFormat="1" applyFont="1" applyFill="1" applyBorder="1" applyAlignment="1" applyProtection="1">
      <alignment horizontal="center"/>
      <protection locked="0" hidden="1"/>
    </xf>
    <xf numFmtId="0" fontId="34" fillId="22" borderId="31" xfId="0" applyFont="1" applyFill="1" applyBorder="1" applyAlignment="1" applyProtection="1">
      <alignment horizontal="center" vertical="center"/>
      <protection locked="0"/>
    </xf>
    <xf numFmtId="0" fontId="35" fillId="22" borderId="1" xfId="0" applyFont="1" applyFill="1" applyBorder="1" applyAlignment="1" applyProtection="1">
      <alignment horizontal="center"/>
      <protection locked="0" hidden="1"/>
    </xf>
    <xf numFmtId="0" fontId="36" fillId="0" borderId="6" xfId="0" applyFont="1" applyBorder="1" applyAlignment="1" applyProtection="1">
      <alignment horizontal="center"/>
      <protection locked="0" hidden="1"/>
    </xf>
    <xf numFmtId="0" fontId="35" fillId="22" borderId="6" xfId="0" applyFont="1" applyFill="1" applyBorder="1" applyAlignment="1" applyProtection="1">
      <alignment horizontal="center"/>
      <protection locked="0"/>
    </xf>
    <xf numFmtId="9" fontId="35" fillId="22" borderId="6" xfId="0" applyNumberFormat="1" applyFont="1" applyFill="1" applyBorder="1" applyAlignment="1" applyProtection="1">
      <alignment horizontal="center"/>
      <protection locked="0" hidden="1"/>
    </xf>
    <xf numFmtId="0" fontId="35" fillId="22" borderId="10" xfId="0" applyFont="1" applyFill="1" applyBorder="1" applyAlignment="1" applyProtection="1">
      <alignment horizontal="center"/>
      <protection locked="0" hidden="1"/>
    </xf>
    <xf numFmtId="0" fontId="36" fillId="0" borderId="31" xfId="0" applyFont="1" applyBorder="1" applyAlignment="1" applyProtection="1">
      <alignment horizontal="center"/>
      <protection locked="0" hidden="1"/>
    </xf>
    <xf numFmtId="0" fontId="35" fillId="22" borderId="31" xfId="0" applyFont="1" applyFill="1" applyBorder="1" applyAlignment="1" applyProtection="1">
      <alignment horizontal="center"/>
      <protection locked="0"/>
    </xf>
    <xf numFmtId="9" fontId="35" fillId="22" borderId="31" xfId="0" applyNumberFormat="1" applyFont="1" applyFill="1" applyBorder="1" applyAlignment="1" applyProtection="1">
      <alignment horizontal="center"/>
      <protection locked="0" hidden="1"/>
    </xf>
    <xf numFmtId="1" fontId="4" fillId="0" borderId="1" xfId="3" applyNumberFormat="1" applyBorder="1" applyProtection="1">
      <protection locked="0"/>
    </xf>
    <xf numFmtId="0" fontId="9" fillId="23" borderId="1" xfId="0" applyFont="1" applyFill="1" applyBorder="1" applyAlignment="1" applyProtection="1">
      <alignment horizontal="center"/>
      <protection locked="0" hidden="1"/>
    </xf>
    <xf numFmtId="0" fontId="9" fillId="23" borderId="6" xfId="0" applyFont="1" applyFill="1" applyBorder="1" applyAlignment="1" applyProtection="1">
      <alignment horizontal="center"/>
      <protection locked="0"/>
    </xf>
    <xf numFmtId="0" fontId="9" fillId="23" borderId="6" xfId="0" applyFont="1" applyFill="1" applyBorder="1" applyAlignment="1" applyProtection="1">
      <alignment horizontal="center"/>
      <protection locked="0" hidden="1"/>
    </xf>
    <xf numFmtId="9" fontId="9" fillId="23" borderId="6" xfId="0" applyNumberFormat="1" applyFont="1" applyFill="1" applyBorder="1" applyAlignment="1" applyProtection="1">
      <alignment horizontal="center"/>
      <protection locked="0" hidden="1"/>
    </xf>
    <xf numFmtId="0" fontId="9" fillId="23" borderId="10" xfId="0" applyFont="1" applyFill="1" applyBorder="1" applyAlignment="1" applyProtection="1">
      <alignment horizontal="center"/>
      <protection locked="0" hidden="1"/>
    </xf>
    <xf numFmtId="0" fontId="9" fillId="23" borderId="31" xfId="0" applyFont="1" applyFill="1" applyBorder="1" applyAlignment="1" applyProtection="1">
      <alignment horizontal="center"/>
      <protection locked="0"/>
    </xf>
    <xf numFmtId="0" fontId="9" fillId="23" borderId="31" xfId="0" applyFont="1" applyFill="1" applyBorder="1" applyAlignment="1" applyProtection="1">
      <alignment horizontal="center"/>
      <protection locked="0" hidden="1"/>
    </xf>
    <xf numFmtId="9" fontId="9" fillId="23" borderId="31" xfId="0" applyNumberFormat="1" applyFont="1" applyFill="1" applyBorder="1" applyAlignment="1" applyProtection="1">
      <alignment horizontal="center"/>
      <protection locked="0" hidden="1"/>
    </xf>
    <xf numFmtId="9" fontId="9" fillId="23" borderId="31" xfId="0" applyNumberFormat="1" applyFont="1" applyFill="1" applyBorder="1" applyAlignment="1" applyProtection="1">
      <alignment horizontal="center" vertical="center"/>
      <protection locked="0" hidden="1"/>
    </xf>
    <xf numFmtId="0" fontId="9" fillId="23" borderId="10" xfId="0" applyFont="1" applyFill="1" applyBorder="1" applyAlignment="1" applyProtection="1">
      <alignment horizontal="center" vertical="center"/>
      <protection locked="0" hidden="1"/>
    </xf>
    <xf numFmtId="0" fontId="9" fillId="23" borderId="31" xfId="0" applyFont="1" applyFill="1" applyBorder="1" applyAlignment="1" applyProtection="1">
      <alignment horizontal="center" vertical="center"/>
      <protection locked="0" hidden="1"/>
    </xf>
    <xf numFmtId="168" fontId="33" fillId="23" borderId="1" xfId="0" applyNumberFormat="1" applyFont="1" applyFill="1" applyBorder="1" applyAlignment="1" applyProtection="1">
      <alignment horizontal="center"/>
      <protection locked="0"/>
    </xf>
    <xf numFmtId="168" fontId="33" fillId="23" borderId="10" xfId="0" applyNumberFormat="1" applyFont="1" applyFill="1" applyBorder="1" applyAlignment="1" applyProtection="1">
      <alignment horizontal="center"/>
      <protection locked="0"/>
    </xf>
    <xf numFmtId="168" fontId="37" fillId="23" borderId="1" xfId="0" applyNumberFormat="1" applyFont="1" applyFill="1" applyBorder="1" applyAlignment="1" applyProtection="1">
      <alignment horizontal="center"/>
      <protection locked="0"/>
    </xf>
    <xf numFmtId="168" fontId="37" fillId="23" borderId="10" xfId="0" applyNumberFormat="1" applyFont="1" applyFill="1" applyBorder="1" applyAlignment="1" applyProtection="1">
      <alignment horizontal="center"/>
      <protection locked="0"/>
    </xf>
    <xf numFmtId="0" fontId="32" fillId="21" borderId="1" xfId="3" applyFont="1" applyFill="1" applyBorder="1" applyAlignment="1" applyProtection="1">
      <alignment horizontal="center"/>
      <protection locked="0" hidden="1"/>
    </xf>
    <xf numFmtId="0" fontId="32" fillId="0" borderId="1" xfId="3" applyFont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5">
    <cellStyle name="Lien hypertexte" xfId="2" builtinId="8"/>
    <cellStyle name="Normal" xfId="0" builtinId="0"/>
    <cellStyle name="Normal 2 2" xfId="3" xr:uid="{85BA707F-CB36-364A-87FE-C720C632BAC9}"/>
    <cellStyle name="Pourcentage" xfId="1" builtinId="5"/>
    <cellStyle name="Pourcentage 2" xfId="4" xr:uid="{CCE34FBB-7B34-0D45-B041-64A81FBCA53A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2.3434489087347408</c:v>
                </c:pt>
                <c:pt idx="2">
                  <c:v>3.4000497694030201</c:v>
                </c:pt>
                <c:pt idx="3">
                  <c:v>4.93516998481409</c:v>
                </c:pt>
                <c:pt idx="4">
                  <c:v>7.1664278733973825</c:v>
                </c:pt>
                <c:pt idx="5">
                  <c:v>10.410791617490402</c:v>
                </c:pt>
                <c:pt idx="6">
                  <c:v>15.130097046784146</c:v>
                </c:pt>
                <c:pt idx="7">
                  <c:v>21.997487446391844</c:v>
                </c:pt>
                <c:pt idx="8">
                  <c:v>31.994420451966377</c:v>
                </c:pt>
                <c:pt idx="9">
                  <c:v>46.552345301455006</c:v>
                </c:pt>
                <c:pt idx="10">
                  <c:v>67.759677543529421</c:v>
                </c:pt>
                <c:pt idx="11">
                  <c:v>98.664246863659471</c:v>
                </c:pt>
                <c:pt idx="12">
                  <c:v>143.71537226328297</c:v>
                </c:pt>
                <c:pt idx="13">
                  <c:v>179.64007820340888</c:v>
                </c:pt>
                <c:pt idx="14">
                  <c:v>215.39584283593408</c:v>
                </c:pt>
                <c:pt idx="15">
                  <c:v>251.01473072466717</c:v>
                </c:pt>
                <c:pt idx="16">
                  <c:v>286.51891307475506</c:v>
                </c:pt>
                <c:pt idx="17">
                  <c:v>321.92460060215132</c:v>
                </c:pt>
                <c:pt idx="18">
                  <c:v>357.24414130207202</c:v>
                </c:pt>
                <c:pt idx="19">
                  <c:v>392.93009822200844</c:v>
                </c:pt>
                <c:pt idx="20">
                  <c:v>428.54578454775537</c:v>
                </c:pt>
                <c:pt idx="21">
                  <c:v>464.0978527922727</c:v>
                </c:pt>
                <c:pt idx="22">
                  <c:v>499.59185381999487</c:v>
                </c:pt>
                <c:pt idx="23">
                  <c:v>535.0324861894976</c:v>
                </c:pt>
                <c:pt idx="24">
                  <c:v>570.42377594938648</c:v>
                </c:pt>
                <c:pt idx="25">
                  <c:v>605.54980770315581</c:v>
                </c:pt>
                <c:pt idx="26">
                  <c:v>640.63354316768266</c:v>
                </c:pt>
                <c:pt idx="27">
                  <c:v>675.67762008263787</c:v>
                </c:pt>
                <c:pt idx="28">
                  <c:v>710.68438071077901</c:v>
                </c:pt>
                <c:pt idx="29">
                  <c:v>745.65591814463266</c:v>
                </c:pt>
                <c:pt idx="30">
                  <c:v>780.59411348307503</c:v>
                </c:pt>
                <c:pt idx="31">
                  <c:v>671.9559975046767</c:v>
                </c:pt>
                <c:pt idx="32">
                  <c:v>703.68591015453387</c:v>
                </c:pt>
                <c:pt idx="33">
                  <c:v>735.38656805371522</c:v>
                </c:pt>
                <c:pt idx="34">
                  <c:v>767.05940745274086</c:v>
                </c:pt>
                <c:pt idx="35">
                  <c:v>798.70573652474422</c:v>
                </c:pt>
                <c:pt idx="36">
                  <c:v>830.32675150748025</c:v>
                </c:pt>
                <c:pt idx="37">
                  <c:v>699.09239084190824</c:v>
                </c:pt>
                <c:pt idx="38">
                  <c:v>723.80272964590631</c:v>
                </c:pt>
                <c:pt idx="39">
                  <c:v>748.49586702387558</c:v>
                </c:pt>
                <c:pt idx="40">
                  <c:v>773.1724495278487</c:v>
                </c:pt>
                <c:pt idx="41">
                  <c:v>797.83307913277804</c:v>
                </c:pt>
                <c:pt idx="42">
                  <c:v>822.47831762002932</c:v>
                </c:pt>
                <c:pt idx="43">
                  <c:v>687.05880434588732</c:v>
                </c:pt>
                <c:pt idx="44">
                  <c:v>710.24701772271976</c:v>
                </c:pt>
                <c:pt idx="45">
                  <c:v>733.41976488307193</c:v>
                </c:pt>
                <c:pt idx="46">
                  <c:v>756.57760263872979</c:v>
                </c:pt>
                <c:pt idx="47">
                  <c:v>779.72105098068926</c:v>
                </c:pt>
                <c:pt idx="48">
                  <c:v>802.85059655638725</c:v>
                </c:pt>
                <c:pt idx="49">
                  <c:v>662.54058417706869</c:v>
                </c:pt>
                <c:pt idx="50">
                  <c:v>683.55731657128399</c:v>
                </c:pt>
                <c:pt idx="51">
                  <c:v>704.5607965314897</c:v>
                </c:pt>
                <c:pt idx="52">
                  <c:v>725.55147429600538</c:v>
                </c:pt>
                <c:pt idx="53">
                  <c:v>746.52977195775156</c:v>
                </c:pt>
                <c:pt idx="54">
                  <c:v>767.49608598100974</c:v>
                </c:pt>
                <c:pt idx="55">
                  <c:v>628.79734099509483</c:v>
                </c:pt>
                <c:pt idx="56">
                  <c:v>646.33083923518518</c:v>
                </c:pt>
                <c:pt idx="57">
                  <c:v>663.85452714710436</c:v>
                </c:pt>
                <c:pt idx="58">
                  <c:v>681.36869994686231</c:v>
                </c:pt>
                <c:pt idx="59">
                  <c:v>698.87363644948789</c:v>
                </c:pt>
                <c:pt idx="60">
                  <c:v>716.36960037654308</c:v>
                </c:pt>
                <c:pt idx="61">
                  <c:v>586.67500447098337</c:v>
                </c:pt>
                <c:pt idx="62">
                  <c:v>604.23336233410805</c:v>
                </c:pt>
                <c:pt idx="63">
                  <c:v>621.78112531404111</c:v>
                </c:pt>
                <c:pt idx="64">
                  <c:v>639.31863429406792</c:v>
                </c:pt>
                <c:pt idx="65">
                  <c:v>656.8462099455628</c:v>
                </c:pt>
                <c:pt idx="66">
                  <c:v>674.36415444477132</c:v>
                </c:pt>
                <c:pt idx="67">
                  <c:v>546.24855583469991</c:v>
                </c:pt>
                <c:pt idx="68">
                  <c:v>561.63531739671441</c:v>
                </c:pt>
                <c:pt idx="69">
                  <c:v>577.01326101134919</c:v>
                </c:pt>
                <c:pt idx="70">
                  <c:v>592.38265466360133</c:v>
                </c:pt>
                <c:pt idx="71">
                  <c:v>607.74375130653345</c:v>
                </c:pt>
                <c:pt idx="72">
                  <c:v>623.09679007092416</c:v>
                </c:pt>
                <c:pt idx="73">
                  <c:v>503.99723200983721</c:v>
                </c:pt>
                <c:pt idx="74">
                  <c:v>518.08900823898523</c:v>
                </c:pt>
                <c:pt idx="75">
                  <c:v>532.17270152227161</c:v>
                </c:pt>
                <c:pt idx="76">
                  <c:v>546.24855583470014</c:v>
                </c:pt>
                <c:pt idx="77">
                  <c:v>560.31680155687127</c:v>
                </c:pt>
                <c:pt idx="78">
                  <c:v>574.37765656188174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2.0607196240867185</c:v>
                </c:pt>
                <c:pt idx="2">
                  <c:v>2.9893948055540753</c:v>
                </c:pt>
                <c:pt idx="3">
                  <c:v>4.3384621350851766</c:v>
                </c:pt>
                <c:pt idx="4">
                  <c:v>6.2990240910460562</c:v>
                </c:pt>
                <c:pt idx="5">
                  <c:v>9.1493934850154712</c:v>
                </c:pt>
                <c:pt idx="6">
                  <c:v>13.29503508330191</c:v>
                </c:pt>
                <c:pt idx="7">
                  <c:v>19.326860189100952</c:v>
                </c:pt>
                <c:pt idx="8">
                  <c:v>28.106332401580133</c:v>
                </c:pt>
                <c:pt idx="9">
                  <c:v>40.889751340617188</c:v>
                </c:pt>
                <c:pt idx="10">
                  <c:v>59.509800226654647</c:v>
                </c:pt>
                <c:pt idx="11">
                  <c:v>86.640813317060122</c:v>
                </c:pt>
                <c:pt idx="12">
                  <c:v>126.18647172443542</c:v>
                </c:pt>
                <c:pt idx="13">
                  <c:v>157.71824086556347</c:v>
                </c:pt>
                <c:pt idx="14">
                  <c:v>189.09987078266829</c:v>
                </c:pt>
                <c:pt idx="15">
                  <c:v>220.35985745933877</c:v>
                </c:pt>
                <c:pt idx="16">
                  <c:v>251.51790458784345</c:v>
                </c:pt>
                <c:pt idx="17">
                  <c:v>282.58841873546118</c:v>
                </c:pt>
                <c:pt idx="18">
                  <c:v>313.5823736447677</c:v>
                </c:pt>
                <c:pt idx="19">
                  <c:v>344.89699962209301</c:v>
                </c:pt>
                <c:pt idx="20">
                  <c:v>376.14917567149308</c:v>
                </c:pt>
                <c:pt idx="21">
                  <c:v>407.34481392391916</c:v>
                </c:pt>
                <c:pt idx="22">
                  <c:v>438.48884746820949</c:v>
                </c:pt>
                <c:pt idx="23">
                  <c:v>469.58545194351694</c:v>
                </c:pt>
                <c:pt idx="24">
                  <c:v>500.63820532506946</c:v>
                </c:pt>
                <c:pt idx="25">
                  <c:v>531.45770490349082</c:v>
                </c:pt>
                <c:pt idx="26">
                  <c:v>562.23961549828152</c:v>
                </c:pt>
                <c:pt idx="27">
                  <c:v>592.98628128561154</c:v>
                </c:pt>
                <c:pt idx="28">
                  <c:v>623.69978384942158</c:v>
                </c:pt>
                <c:pt idx="29">
                  <c:v>654.38198333446974</c:v>
                </c:pt>
                <c:pt idx="30">
                  <c:v>685.03455148539751</c:v>
                </c:pt>
                <c:pt idx="31">
                  <c:v>589.72105713243729</c:v>
                </c:pt>
                <c:pt idx="32">
                  <c:v>617.55964420585894</c:v>
                </c:pt>
                <c:pt idx="33">
                  <c:v>645.37223239465152</c:v>
                </c:pt>
                <c:pt idx="34">
                  <c:v>673.16009810386652</c:v>
                </c:pt>
                <c:pt idx="35">
                  <c:v>700.9244039153624</c:v>
                </c:pt>
                <c:pt idx="36">
                  <c:v>728.66621293330593</c:v>
                </c:pt>
                <c:pt idx="37">
                  <c:v>613.52949058574461</c:v>
                </c:pt>
                <c:pt idx="38">
                  <c:v>635.20918338672129</c:v>
                </c:pt>
                <c:pt idx="39">
                  <c:v>656.87358917001859</c:v>
                </c:pt>
                <c:pt idx="40">
                  <c:v>678.52328253057647</c:v>
                </c:pt>
                <c:pt idx="41">
                  <c:v>700.15879844739709</c:v>
                </c:pt>
                <c:pt idx="42">
                  <c:v>721.78063617918542</c:v>
                </c:pt>
                <c:pt idx="43">
                  <c:v>602.97171294385669</c:v>
                </c:pt>
                <c:pt idx="44">
                  <c:v>623.31606193343498</c:v>
                </c:pt>
                <c:pt idx="45">
                  <c:v>643.64666599719283</c:v>
                </c:pt>
                <c:pt idx="46">
                  <c:v>663.96401997733767</c:v>
                </c:pt>
                <c:pt idx="47">
                  <c:v>684.26858599320337</c:v>
                </c:pt>
                <c:pt idx="48">
                  <c:v>704.56079653148981</c:v>
                </c:pt>
                <c:pt idx="49">
                  <c:v>581.46027451778127</c:v>
                </c:pt>
                <c:pt idx="50">
                  <c:v>599.89964131400052</c:v>
                </c:pt>
                <c:pt idx="51">
                  <c:v>618.32723058708575</c:v>
                </c:pt>
                <c:pt idx="52">
                  <c:v>636.74344246671978</c:v>
                </c:pt>
                <c:pt idx="53">
                  <c:v>655.14865206958962</c:v>
                </c:pt>
                <c:pt idx="54">
                  <c:v>673.54321173604603</c:v>
                </c:pt>
                <c:pt idx="55">
                  <c:v>551.85477188223149</c:v>
                </c:pt>
                <c:pt idx="56">
                  <c:v>567.23828915823242</c:v>
                </c:pt>
                <c:pt idx="57">
                  <c:v>582.61308793264277</c:v>
                </c:pt>
                <c:pt idx="58">
                  <c:v>597.97943056582483</c:v>
                </c:pt>
                <c:pt idx="59">
                  <c:v>613.33756484248352</c:v>
                </c:pt>
                <c:pt idx="60">
                  <c:v>628.68772513366332</c:v>
                </c:pt>
                <c:pt idx="61">
                  <c:v>514.89705740807574</c:v>
                </c:pt>
                <c:pt idx="62">
                  <c:v>530.3026675905711</c:v>
                </c:pt>
                <c:pt idx="63">
                  <c:v>545.6988620323956</c:v>
                </c:pt>
                <c:pt idx="64">
                  <c:v>561.08594367871183</c:v>
                </c:pt>
                <c:pt idx="65">
                  <c:v>576.46419751222754</c:v>
                </c:pt>
                <c:pt idx="66">
                  <c:v>591.83389207891116</c:v>
                </c:pt>
                <c:pt idx="67">
                  <c:v>479.4266278701495</c:v>
                </c:pt>
                <c:pt idx="68">
                  <c:v>492.92715337500175</c:v>
                </c:pt>
                <c:pt idx="69">
                  <c:v>506.41984231344003</c:v>
                </c:pt>
                <c:pt idx="70">
                  <c:v>519.90493284545062</c:v>
                </c:pt>
                <c:pt idx="71">
                  <c:v>533.38264977204346</c:v>
                </c:pt>
                <c:pt idx="72">
                  <c:v>546.85320561027572</c:v>
                </c:pt>
                <c:pt idx="73">
                  <c:v>442.35428155420988</c:v>
                </c:pt>
                <c:pt idx="74">
                  <c:v>454.71884141798836</c:v>
                </c:pt>
                <c:pt idx="75">
                  <c:v>467.07621791591777</c:v>
                </c:pt>
                <c:pt idx="76">
                  <c:v>479.4266278701495</c:v>
                </c:pt>
                <c:pt idx="77">
                  <c:v>491.77027602140174</c:v>
                </c:pt>
                <c:pt idx="78">
                  <c:v>504.10735599489294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6.00148160343565</c:v>
                </c:pt>
                <c:pt idx="2">
                  <c:v>11.729857801718786</c:v>
                </c:pt>
                <c:pt idx="3">
                  <c:v>17.370034663171413</c:v>
                </c:pt>
                <c:pt idx="4">
                  <c:v>22.955843401229529</c:v>
                </c:pt>
                <c:pt idx="5">
                  <c:v>28.502617430882832</c:v>
                </c:pt>
                <c:pt idx="6">
                  <c:v>34.019103572229398</c:v>
                </c:pt>
                <c:pt idx="7">
                  <c:v>39.510940561985755</c:v>
                </c:pt>
                <c:pt idx="8">
                  <c:v>44.982056002892115</c:v>
                </c:pt>
                <c:pt idx="9">
                  <c:v>50.435336732925691</c:v>
                </c:pt>
                <c:pt idx="10">
                  <c:v>55.872990435685118</c:v>
                </c:pt>
                <c:pt idx="11">
                  <c:v>61.296757707499445</c:v>
                </c:pt>
                <c:pt idx="12">
                  <c:v>66.708044520841597</c:v>
                </c:pt>
                <c:pt idx="13">
                  <c:v>72.108009157025222</c:v>
                </c:pt>
                <c:pt idx="14">
                  <c:v>77.497621577495494</c:v>
                </c:pt>
                <c:pt idx="15">
                  <c:v>82.877705325978226</c:v>
                </c:pt>
                <c:pt idx="16">
                  <c:v>88.248967928146428</c:v>
                </c:pt>
                <c:pt idx="17">
                  <c:v>93.61202347027897</c:v>
                </c:pt>
                <c:pt idx="18">
                  <c:v>98.96740971201227</c:v>
                </c:pt>
                <c:pt idx="19">
                  <c:v>104.31560128723459</c:v>
                </c:pt>
                <c:pt idx="20">
                  <c:v>109.65702004656204</c:v>
                </c:pt>
                <c:pt idx="21">
                  <c:v>114.99204327253635</c:v>
                </c:pt>
                <c:pt idx="22">
                  <c:v>120.32101028568674</c:v>
                </c:pt>
                <c:pt idx="23">
                  <c:v>125.64422781553765</c:v>
                </c:pt>
                <c:pt idx="24">
                  <c:v>130.9619744111707</c:v>
                </c:pt>
                <c:pt idx="25">
                  <c:v>136.27450409597938</c:v>
                </c:pt>
                <c:pt idx="26">
                  <c:v>141.58204942120318</c:v>
                </c:pt>
                <c:pt idx="27">
                  <c:v>146.88482403647276</c:v>
                </c:pt>
                <c:pt idx="28">
                  <c:v>152.18302486882931</c:v>
                </c:pt>
                <c:pt idx="29">
                  <c:v>157.47683398170673</c:v>
                </c:pt>
                <c:pt idx="30">
                  <c:v>162.76642017029977</c:v>
                </c:pt>
                <c:pt idx="31">
                  <c:v>168.05194033823986</c:v>
                </c:pt>
                <c:pt idx="32">
                  <c:v>173.33354069164636</c:v>
                </c:pt>
                <c:pt idx="33">
                  <c:v>178.6113577797278</c:v>
                </c:pt>
                <c:pt idx="34">
                  <c:v>183.88551940570605</c:v>
                </c:pt>
                <c:pt idx="35">
                  <c:v>189.1561454275616</c:v>
                </c:pt>
                <c:pt idx="36">
                  <c:v>194.42334846469248</c:v>
                </c:pt>
                <c:pt idx="37">
                  <c:v>199.68723452384862</c:v>
                </c:pt>
                <c:pt idx="38">
                  <c:v>204.94790355549432</c:v>
                </c:pt>
                <c:pt idx="39">
                  <c:v>210.20544994995885</c:v>
                </c:pt>
                <c:pt idx="40">
                  <c:v>215.45996298126826</c:v>
                </c:pt>
                <c:pt idx="41">
                  <c:v>220.71152720534405</c:v>
                </c:pt>
                <c:pt idx="42">
                  <c:v>225.96022281826015</c:v>
                </c:pt>
                <c:pt idx="43">
                  <c:v>179.35836102345846</c:v>
                </c:pt>
                <c:pt idx="44">
                  <c:v>191.44056779171277</c:v>
                </c:pt>
                <c:pt idx="45">
                  <c:v>203.5050258813136</c:v>
                </c:pt>
                <c:pt idx="46">
                  <c:v>215.55293641173822</c:v>
                </c:pt>
                <c:pt idx="47">
                  <c:v>227.5853551413918</c:v>
                </c:pt>
                <c:pt idx="48">
                  <c:v>239.60321698163887</c:v>
                </c:pt>
                <c:pt idx="49">
                  <c:v>196.17057600271923</c:v>
                </c:pt>
                <c:pt idx="50">
                  <c:v>207.41421566911529</c:v>
                </c:pt>
                <c:pt idx="51">
                  <c:v>218.64378008490459</c:v>
                </c:pt>
                <c:pt idx="52">
                  <c:v>229.86009453547467</c:v>
                </c:pt>
                <c:pt idx="53">
                  <c:v>241.06389711567908</c:v>
                </c:pt>
                <c:pt idx="54">
                  <c:v>252.25585165357404</c:v>
                </c:pt>
                <c:pt idx="55">
                  <c:v>263.43655821796295</c:v>
                </c:pt>
                <c:pt idx="56">
                  <c:v>274.60656174697812</c:v>
                </c:pt>
                <c:pt idx="57">
                  <c:v>217.42383107628061</c:v>
                </c:pt>
                <c:pt idx="58">
                  <c:v>230.34747151073736</c:v>
                </c:pt>
                <c:pt idx="59">
                  <c:v>243.2545399668592</c:v>
                </c:pt>
                <c:pt idx="60">
                  <c:v>256.14603997721747</c:v>
                </c:pt>
                <c:pt idx="61">
                  <c:v>269.02286575262457</c:v>
                </c:pt>
                <c:pt idx="62">
                  <c:v>281.88581886622069</c:v>
                </c:pt>
                <c:pt idx="63">
                  <c:v>294.73562173020292</c:v>
                </c:pt>
                <c:pt idx="64">
                  <c:v>307.57292859760338</c:v>
                </c:pt>
                <c:pt idx="65">
                  <c:v>239.11627858664042</c:v>
                </c:pt>
                <c:pt idx="66">
                  <c:v>250.3102488763225</c:v>
                </c:pt>
                <c:pt idx="67">
                  <c:v>261.49287101457111</c:v>
                </c:pt>
                <c:pt idx="68">
                  <c:v>272.6646989766358</c:v>
                </c:pt>
                <c:pt idx="69">
                  <c:v>283.82623760553963</c:v>
                </c:pt>
                <c:pt idx="70">
                  <c:v>294.97794877206235</c:v>
                </c:pt>
                <c:pt idx="71">
                  <c:v>306.12025655381473</c:v>
                </c:pt>
                <c:pt idx="72">
                  <c:v>317.25355162035777</c:v>
                </c:pt>
                <c:pt idx="73">
                  <c:v>264.89411110617533</c:v>
                </c:pt>
                <c:pt idx="74">
                  <c:v>274.60656174697812</c:v>
                </c:pt>
                <c:pt idx="75">
                  <c:v>284.31129577048597</c:v>
                </c:pt>
                <c:pt idx="76">
                  <c:v>294.00861390700948</c:v>
                </c:pt>
                <c:pt idx="77">
                  <c:v>303.69879541443919</c:v>
                </c:pt>
                <c:pt idx="78">
                  <c:v>313.38210026249629</c:v>
                </c:pt>
                <c:pt idx="79">
                  <c:v>323.0587710327315</c:v>
                </c:pt>
                <c:pt idx="80">
                  <c:v>332.72903457884451</c:v>
                </c:pt>
                <c:pt idx="81">
                  <c:v>342.393103483792</c:v>
                </c:pt>
                <c:pt idx="82">
                  <c:v>291.42337137490063</c:v>
                </c:pt>
                <c:pt idx="83">
                  <c:v>300.46951144831678</c:v>
                </c:pt>
                <c:pt idx="84">
                  <c:v>309.50958762804527</c:v>
                </c:pt>
                <c:pt idx="85">
                  <c:v>318.54380213639161</c:v>
                </c:pt>
                <c:pt idx="86">
                  <c:v>327.57234478031751</c:v>
                </c:pt>
                <c:pt idx="87">
                  <c:v>336.59539404232521</c:v>
                </c:pt>
                <c:pt idx="88">
                  <c:v>345.61311804819155</c:v>
                </c:pt>
                <c:pt idx="89">
                  <c:v>354.62567542837041</c:v>
                </c:pt>
                <c:pt idx="90">
                  <c:v>363.63321608721009</c:v>
                </c:pt>
                <c:pt idx="91">
                  <c:v>314.83401808651024</c:v>
                </c:pt>
                <c:pt idx="92">
                  <c:v>324.02608209744523</c:v>
                </c:pt>
                <c:pt idx="93">
                  <c:v>333.21238343704937</c:v>
                </c:pt>
                <c:pt idx="94">
                  <c:v>342.39310348379189</c:v>
                </c:pt>
                <c:pt idx="95">
                  <c:v>351.56841308920212</c:v>
                </c:pt>
                <c:pt idx="96">
                  <c:v>360.73847345360628</c:v>
                </c:pt>
                <c:pt idx="97">
                  <c:v>369.90343690812443</c:v>
                </c:pt>
                <c:pt idx="98">
                  <c:v>379.06344761508899</c:v>
                </c:pt>
                <c:pt idx="99">
                  <c:v>388.21864219719714</c:v>
                </c:pt>
                <c:pt idx="100">
                  <c:v>397.36915030419732</c:v>
                </c:pt>
                <c:pt idx="101">
                  <c:v>406.51509512463485</c:v>
                </c:pt>
                <c:pt idx="102">
                  <c:v>415.65659384912652</c:v>
                </c:pt>
                <c:pt idx="103">
                  <c:v>345.45213302786465</c:v>
                </c:pt>
                <c:pt idx="104">
                  <c:v>354.30388563085967</c:v>
                </c:pt>
                <c:pt idx="105">
                  <c:v>363.15079407733782</c:v>
                </c:pt>
                <c:pt idx="106">
                  <c:v>371.99299309375618</c:v>
                </c:pt>
                <c:pt idx="107">
                  <c:v>380.83061047520181</c:v>
                </c:pt>
                <c:pt idx="108">
                  <c:v>389.66376759807389</c:v>
                </c:pt>
                <c:pt idx="109">
                  <c:v>398.49257988383368</c:v>
                </c:pt>
                <c:pt idx="110">
                  <c:v>407.31715721949678</c:v>
                </c:pt>
                <c:pt idx="111">
                  <c:v>416.13760433977217</c:v>
                </c:pt>
                <c:pt idx="112">
                  <c:v>424.95402117510031</c:v>
                </c:pt>
                <c:pt idx="113">
                  <c:v>433.76650316929613</c:v>
                </c:pt>
                <c:pt idx="114">
                  <c:v>442.57514157002373</c:v>
                </c:pt>
                <c:pt idx="115">
                  <c:v>380.34867469944055</c:v>
                </c:pt>
                <c:pt idx="116">
                  <c:v>389.34263869060379</c:v>
                </c:pt>
                <c:pt idx="117">
                  <c:v>398.33209414857441</c:v>
                </c:pt>
                <c:pt idx="118">
                  <c:v>407.31715721949678</c:v>
                </c:pt>
                <c:pt idx="119">
                  <c:v>416.29793850480019</c:v>
                </c:pt>
                <c:pt idx="120">
                  <c:v>425.27454344239959</c:v>
                </c:pt>
                <c:pt idx="121">
                  <c:v>434.24707265402532</c:v>
                </c:pt>
                <c:pt idx="122">
                  <c:v>443.21562226234187</c:v>
                </c:pt>
                <c:pt idx="123">
                  <c:v>452.18028418105376</c:v>
                </c:pt>
                <c:pt idx="124">
                  <c:v>461.141146380804</c:v>
                </c:pt>
                <c:pt idx="125">
                  <c:v>470.09829313332102</c:v>
                </c:pt>
                <c:pt idx="126">
                  <c:v>479.05180523598892</c:v>
                </c:pt>
                <c:pt idx="127">
                  <c:v>415.01522785001202</c:v>
                </c:pt>
                <c:pt idx="128">
                  <c:v>423.99242313943387</c:v>
                </c:pt>
                <c:pt idx="129">
                  <c:v>432.96552861089202</c:v>
                </c:pt>
                <c:pt idx="130">
                  <c:v>441.93464101141507</c:v>
                </c:pt>
                <c:pt idx="131">
                  <c:v>450.89985283917173</c:v>
                </c:pt>
                <c:pt idx="132">
                  <c:v>459.86125261266903</c:v>
                </c:pt>
                <c:pt idx="133">
                  <c:v>468.81892511786805</c:v>
                </c:pt>
                <c:pt idx="134">
                  <c:v>477.77295163542721</c:v>
                </c:pt>
                <c:pt idx="135">
                  <c:v>486.72341015001888</c:v>
                </c:pt>
                <c:pt idx="136">
                  <c:v>495.67037554344796</c:v>
                </c:pt>
                <c:pt idx="137">
                  <c:v>504.61391977309603</c:v>
                </c:pt>
                <c:pt idx="138">
                  <c:v>513.55411203705899</c:v>
                </c:pt>
                <c:pt idx="139">
                  <c:v>448.08262970670484</c:v>
                </c:pt>
                <c:pt idx="140">
                  <c:v>457.42924470500947</c:v>
                </c:pt>
                <c:pt idx="141">
                  <c:v>466.77178143935333</c:v>
                </c:pt>
                <c:pt idx="142">
                  <c:v>476.11033306856461</c:v>
                </c:pt>
                <c:pt idx="143">
                  <c:v>485.44498879797288</c:v>
                </c:pt>
                <c:pt idx="144">
                  <c:v>494.77583412162261</c:v>
                </c:pt>
                <c:pt idx="145">
                  <c:v>504.10295104526296</c:v>
                </c:pt>
                <c:pt idx="146">
                  <c:v>513.42641829197305</c:v>
                </c:pt>
                <c:pt idx="147">
                  <c:v>522.74631149207403</c:v>
                </c:pt>
                <c:pt idx="148">
                  <c:v>532.06270335879162</c:v>
                </c:pt>
                <c:pt idx="149">
                  <c:v>541.37566385097568</c:v>
                </c:pt>
                <c:pt idx="150">
                  <c:v>550.68526032404009</c:v>
                </c:pt>
                <c:pt idx="151">
                  <c:v>559.99155767016589</c:v>
                </c:pt>
                <c:pt idx="152">
                  <c:v>569.29461844870013</c:v>
                </c:pt>
                <c:pt idx="153">
                  <c:v>578.5945030075876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6.6997860972548038</c:v>
                </c:pt>
                <c:pt idx="2">
                  <c:v>13.097538383622366</c:v>
                </c:pt>
                <c:pt idx="3">
                  <c:v>19.397748910222237</c:v>
                </c:pt>
                <c:pt idx="4">
                  <c:v>25.637832426554898</c:v>
                </c:pt>
                <c:pt idx="5">
                  <c:v>31.834746523630582</c:v>
                </c:pt>
                <c:pt idx="6">
                  <c:v>37.998164519360706</c:v>
                </c:pt>
                <c:pt idx="7">
                  <c:v>44.134322427778478</c:v>
                </c:pt>
                <c:pt idx="8">
                  <c:v>50.247563878855722</c:v>
                </c:pt>
                <c:pt idx="9">
                  <c:v>56.341081495877127</c:v>
                </c:pt>
                <c:pt idx="10">
                  <c:v>62.417316809028286</c:v>
                </c:pt>
                <c:pt idx="11">
                  <c:v>68.478194785492434</c:v>
                </c:pt>
                <c:pt idx="12">
                  <c:v>74.525270323913048</c:v>
                </c:pt>
                <c:pt idx="13">
                  <c:v>80.559824395346126</c:v>
                </c:pt>
                <c:pt idx="14">
                  <c:v>86.582929703393233</c:v>
                </c:pt>
                <c:pt idx="15">
                  <c:v>92.595497024791982</c:v>
                </c:pt>
                <c:pt idx="16">
                  <c:v>98.598308829135718</c:v>
                </c:pt>
                <c:pt idx="17">
                  <c:v>104.59204424915316</c:v>
                </c:pt>
                <c:pt idx="18">
                  <c:v>110.57729800611047</c:v>
                </c:pt>
                <c:pt idx="19">
                  <c:v>116.55459500899632</c:v>
                </c:pt>
                <c:pt idx="20">
                  <c:v>122.52440179251424</c:v>
                </c:pt>
                <c:pt idx="21">
                  <c:v>128.48713560246634</c:v>
                </c:pt>
                <c:pt idx="22">
                  <c:v>134.44317170155583</c:v>
                </c:pt>
                <c:pt idx="23">
                  <c:v>140.39284930931262</c:v>
                </c:pt>
                <c:pt idx="24">
                  <c:v>146.33647647983977</c:v>
                </c:pt>
                <c:pt idx="25">
                  <c:v>152.27433414369443</c:v>
                </c:pt>
                <c:pt idx="26">
                  <c:v>158.20667948486386</c:v>
                </c:pt>
                <c:pt idx="27">
                  <c:v>164.1337487835936</c:v>
                </c:pt>
                <c:pt idx="28">
                  <c:v>170.05575982621656</c:v>
                </c:pt>
                <c:pt idx="29">
                  <c:v>175.97291396104652</c:v>
                </c:pt>
                <c:pt idx="30">
                  <c:v>181.88539786273327</c:v>
                </c:pt>
                <c:pt idx="31">
                  <c:v>187.79338505476224</c:v>
                </c:pt>
                <c:pt idx="32">
                  <c:v>193.69703722998369</c:v>
                </c:pt>
                <c:pt idx="33">
                  <c:v>199.59650540143889</c:v>
                </c:pt>
                <c:pt idx="34">
                  <c:v>205.49193090977312</c:v>
                </c:pt>
                <c:pt idx="35">
                  <c:v>211.38344630879848</c:v>
                </c:pt>
                <c:pt idx="36">
                  <c:v>217.27117614700566</c:v>
                </c:pt>
                <c:pt idx="37">
                  <c:v>223.15523765979904</c:v>
                </c:pt>
                <c:pt idx="38">
                  <c:v>229.03574138479192</c:v>
                </c:pt>
                <c:pt idx="39">
                  <c:v>234.9127917105111</c:v>
                </c:pt>
                <c:pt idx="40">
                  <c:v>240.78648736724048</c:v>
                </c:pt>
                <c:pt idx="41">
                  <c:v>246.65692186739997</c:v>
                </c:pt>
                <c:pt idx="42">
                  <c:v>252.52418390174861</c:v>
                </c:pt>
                <c:pt idx="43">
                  <c:v>200.43149844135633</c:v>
                </c:pt>
                <c:pt idx="44">
                  <c:v>213.93699051541526</c:v>
                </c:pt>
                <c:pt idx="45">
                  <c:v>227.42285390051089</c:v>
                </c:pt>
                <c:pt idx="46">
                  <c:v>240.89041694345076</c:v>
                </c:pt>
                <c:pt idx="47">
                  <c:v>254.34084723275001</c:v>
                </c:pt>
                <c:pt idx="48">
                  <c:v>267.77517870928637</c:v>
                </c:pt>
                <c:pt idx="49">
                  <c:v>219.22425254131755</c:v>
                </c:pt>
                <c:pt idx="50">
                  <c:v>231.79265788705015</c:v>
                </c:pt>
                <c:pt idx="51">
                  <c:v>244.34549707590796</c:v>
                </c:pt>
                <c:pt idx="52">
                  <c:v>256.88368281077419</c:v>
                </c:pt>
                <c:pt idx="53">
                  <c:v>269.40803136843112</c:v>
                </c:pt>
                <c:pt idx="54">
                  <c:v>281.91927689223098</c:v>
                </c:pt>
                <c:pt idx="55">
                  <c:v>294.41808301264047</c:v>
                </c:pt>
                <c:pt idx="56">
                  <c:v>306.90505238979614</c:v>
                </c:pt>
                <c:pt idx="57">
                  <c:v>242.98178331978389</c:v>
                </c:pt>
                <c:pt idx="58">
                  <c:v>257.42850185227354</c:v>
                </c:pt>
                <c:pt idx="59">
                  <c:v>271.85689303687468</c:v>
                </c:pt>
                <c:pt idx="60">
                  <c:v>286.26806670430182</c:v>
                </c:pt>
                <c:pt idx="61">
                  <c:v>300.66301178371663</c:v>
                </c:pt>
                <c:pt idx="62">
                  <c:v>315.04261475405968</c:v>
                </c:pt>
                <c:pt idx="63">
                  <c:v>329.40767454828807</c:v>
                </c:pt>
                <c:pt idx="64">
                  <c:v>343.75891472050535</c:v>
                </c:pt>
                <c:pt idx="65">
                  <c:v>267.23084470420918</c:v>
                </c:pt>
                <c:pt idx="66">
                  <c:v>279.74431949620583</c:v>
                </c:pt>
                <c:pt idx="67">
                  <c:v>292.24524409564179</c:v>
                </c:pt>
                <c:pt idx="68">
                  <c:v>304.73423115701871</c:v>
                </c:pt>
                <c:pt idx="69">
                  <c:v>317.21183899833085</c:v>
                </c:pt>
                <c:pt idx="70">
                  <c:v>329.6785784135397</c:v>
                </c:pt>
                <c:pt idx="71">
                  <c:v>342.13491840023556</c:v>
                </c:pt>
                <c:pt idx="72">
                  <c:v>354.58129100924572</c:v>
                </c:pt>
                <c:pt idx="73">
                  <c:v>296.04747717569848</c:v>
                </c:pt>
                <c:pt idx="74">
                  <c:v>306.90505238979614</c:v>
                </c:pt>
                <c:pt idx="75">
                  <c:v>317.75409361194505</c:v>
                </c:pt>
                <c:pt idx="76">
                  <c:v>328.59493342700091</c:v>
                </c:pt>
                <c:pt idx="77">
                  <c:v>339.42788067295515</c:v>
                </c:pt>
                <c:pt idx="78">
                  <c:v>350.25322285655176</c:v>
                </c:pt>
                <c:pt idx="79">
                  <c:v>361.07122825453939</c:v>
                </c:pt>
                <c:pt idx="80">
                  <c:v>371.88214774985948</c:v>
                </c:pt>
                <c:pt idx="81">
                  <c:v>382.68621644309741</c:v>
                </c:pt>
                <c:pt idx="82">
                  <c:v>325.70482687762802</c:v>
                </c:pt>
                <c:pt idx="83">
                  <c:v>335.81775704779619</c:v>
                </c:pt>
                <c:pt idx="84">
                  <c:v>345.92398101265053</c:v>
                </c:pt>
                <c:pt idx="85">
                  <c:v>356.02372241468356</c:v>
                </c:pt>
                <c:pt idx="86">
                  <c:v>366.11719116596186</c:v>
                </c:pt>
                <c:pt idx="87">
                  <c:v>376.20458465456113</c:v>
                </c:pt>
                <c:pt idx="88">
                  <c:v>386.28608881480568</c:v>
                </c:pt>
                <c:pt idx="89">
                  <c:v>396.36187907991547</c:v>
                </c:pt>
                <c:pt idx="90">
                  <c:v>406.43212123270069</c:v>
                </c:pt>
                <c:pt idx="91">
                  <c:v>351.87638506710238</c:v>
                </c:pt>
                <c:pt idx="92">
                  <c:v>362.15263507179503</c:v>
                </c:pt>
                <c:pt idx="93">
                  <c:v>372.42251200019501</c:v>
                </c:pt>
                <c:pt idx="94">
                  <c:v>382.68621644309718</c:v>
                </c:pt>
                <c:pt idx="95">
                  <c:v>392.94393734930151</c:v>
                </c:pt>
                <c:pt idx="96">
                  <c:v>403.19585299411045</c:v>
                </c:pt>
                <c:pt idx="97">
                  <c:v>413.44213184415986</c:v>
                </c:pt>
                <c:pt idx="98">
                  <c:v>423.68293333202678</c:v>
                </c:pt>
                <c:pt idx="99">
                  <c:v>433.91840855202554</c:v>
                </c:pt>
                <c:pt idx="100">
                  <c:v>444.14870088691924</c:v>
                </c:pt>
                <c:pt idx="101">
                  <c:v>454.37394657387154</c:v>
                </c:pt>
                <c:pt idx="102">
                  <c:v>464.59427521679351</c:v>
                </c:pt>
                <c:pt idx="103">
                  <c:v>386.10611256795556</c:v>
                </c:pt>
                <c:pt idx="104">
                  <c:v>396.00212592142566</c:v>
                </c:pt>
                <c:pt idx="105">
                  <c:v>405.89278200614257</c:v>
                </c:pt>
                <c:pt idx="106">
                  <c:v>415.77822981932314</c:v>
                </c:pt>
                <c:pt idx="107">
                  <c:v>425.65861069261609</c:v>
                </c:pt>
                <c:pt idx="108">
                  <c:v>435.53405885908927</c:v>
                </c:pt>
                <c:pt idx="109">
                  <c:v>445.40470196610204</c:v>
                </c:pt>
                <c:pt idx="110">
                  <c:v>455.2706615403377</c:v>
                </c:pt>
                <c:pt idx="111">
                  <c:v>465.13205341042038</c:v>
                </c:pt>
                <c:pt idx="112">
                  <c:v>474.98898809181838</c:v>
                </c:pt>
                <c:pt idx="113">
                  <c:v>484.84157113813313</c:v>
                </c:pt>
                <c:pt idx="114">
                  <c:v>494.68990346234324</c:v>
                </c:pt>
                <c:pt idx="115">
                  <c:v>425.11980920401083</c:v>
                </c:pt>
                <c:pt idx="116">
                  <c:v>435.17503659472953</c:v>
                </c:pt>
                <c:pt idx="117">
                  <c:v>445.22527789057045</c:v>
                </c:pt>
                <c:pt idx="118">
                  <c:v>455.2706615403377</c:v>
                </c:pt>
                <c:pt idx="119">
                  <c:v>465.31130986080166</c:v>
                </c:pt>
                <c:pt idx="120">
                  <c:v>475.34733945827867</c:v>
                </c:pt>
                <c:pt idx="121">
                  <c:v>485.37886161275105</c:v>
                </c:pt>
                <c:pt idx="122">
                  <c:v>495.40598262857651</c:v>
                </c:pt>
                <c:pt idx="123">
                  <c:v>505.42880415532323</c:v>
                </c:pt>
                <c:pt idx="124">
                  <c:v>515.44742348183274</c:v>
                </c:pt>
                <c:pt idx="125">
                  <c:v>525.46193380622901</c:v>
                </c:pt>
                <c:pt idx="126">
                  <c:v>535.47242448427392</c:v>
                </c:pt>
                <c:pt idx="127">
                  <c:v>463.87721696856289</c:v>
                </c:pt>
                <c:pt idx="128">
                  <c:v>473.91389945026441</c:v>
                </c:pt>
                <c:pt idx="129">
                  <c:v>483.94605890429222</c:v>
                </c:pt>
                <c:pt idx="130">
                  <c:v>493.97380232550273</c:v>
                </c:pt>
                <c:pt idx="131">
                  <c:v>503.99723200983732</c:v>
                </c:pt>
                <c:pt idx="132">
                  <c:v>514.01644585203348</c:v>
                </c:pt>
                <c:pt idx="133">
                  <c:v>524.03153761891701</c:v>
                </c:pt>
                <c:pt idx="134">
                  <c:v>534.04259720071548</c:v>
                </c:pt>
                <c:pt idx="135">
                  <c:v>544.04971084254646</c:v>
                </c:pt>
                <c:pt idx="136">
                  <c:v>554.05296135799176</c:v>
                </c:pt>
                <c:pt idx="137">
                  <c:v>564.05242832644456</c:v>
                </c:pt>
                <c:pt idx="138">
                  <c:v>574.04818827573615</c:v>
                </c:pt>
                <c:pt idx="139">
                  <c:v>500.84747006717635</c:v>
                </c:pt>
                <c:pt idx="140">
                  <c:v>511.29735638985153</c:v>
                </c:pt>
                <c:pt idx="141">
                  <c:v>521.74273246270184</c:v>
                </c:pt>
                <c:pt idx="142">
                  <c:v>532.18370131230654</c:v>
                </c:pt>
                <c:pt idx="143">
                  <c:v>542.62036159297747</c:v>
                </c:pt>
                <c:pt idx="144">
                  <c:v>553.05280785462651</c:v>
                </c:pt>
                <c:pt idx="145">
                  <c:v>563.48113078937661</c:v>
                </c:pt>
                <c:pt idx="146">
                  <c:v>573.90541745896667</c:v>
                </c:pt>
                <c:pt idx="147">
                  <c:v>584.32575150478135</c:v>
                </c:pt>
                <c:pt idx="148">
                  <c:v>594.74221334211904</c:v>
                </c:pt>
                <c:pt idx="149">
                  <c:v>605.15488034014766</c:v>
                </c:pt>
                <c:pt idx="150">
                  <c:v>615.56382698883351</c:v>
                </c:pt>
                <c:pt idx="151">
                  <c:v>625.96912505399405</c:v>
                </c:pt>
                <c:pt idx="152">
                  <c:v>636.37084372151037</c:v>
                </c:pt>
                <c:pt idx="153">
                  <c:v>646.76904973162038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4.8069161586966169</c:v>
                </c:pt>
                <c:pt idx="2">
                  <c:v>9.3909294363728524</c:v>
                </c:pt>
                <c:pt idx="3">
                  <c:v>13.902956272504184</c:v>
                </c:pt>
                <c:pt idx="4">
                  <c:v>18.370608991127515</c:v>
                </c:pt>
                <c:pt idx="5">
                  <c:v>22.806402402688196</c:v>
                </c:pt>
                <c:pt idx="6">
                  <c:v>27.217475477572183</c:v>
                </c:pt>
                <c:pt idx="7">
                  <c:v>31.608430433955011</c:v>
                </c:pt>
                <c:pt idx="8">
                  <c:v>35.982472898491373</c:v>
                </c:pt>
                <c:pt idx="9">
                  <c:v>40.341959047551335</c:v>
                </c:pt>
                <c:pt idx="10">
                  <c:v>44.688690746001846</c:v>
                </c:pt>
                <c:pt idx="11">
                  <c:v>49.024088631915667</c:v>
                </c:pt>
                <c:pt idx="12">
                  <c:v>53.349300230420219</c:v>
                </c:pt>
                <c:pt idx="13">
                  <c:v>57.665270906334314</c:v>
                </c:pt>
                <c:pt idx="14">
                  <c:v>61.972792321765382</c:v>
                </c:pt>
                <c:pt idx="15">
                  <c:v>66.272536635761469</c:v>
                </c:pt>
                <c:pt idx="16">
                  <c:v>70.565081315878771</c:v>
                </c:pt>
                <c:pt idx="17">
                  <c:v>74.85092756640752</c:v>
                </c:pt>
                <c:pt idx="18">
                  <c:v>79.130514295439681</c:v>
                </c:pt>
                <c:pt idx="19">
                  <c:v>83.40422888916062</c:v>
                </c:pt>
                <c:pt idx="20">
                  <c:v>87.672415653160499</c:v>
                </c:pt>
                <c:pt idx="21">
                  <c:v>91.935382517505545</c:v>
                </c:pt>
                <c:pt idx="22">
                  <c:v>96.193406428466858</c:v>
                </c:pt>
                <c:pt idx="23">
                  <c:v>100.44673773222355</c:v>
                </c:pt>
                <c:pt idx="24">
                  <c:v>104.69560377467076</c:v>
                </c:pt>
                <c:pt idx="25">
                  <c:v>108.9402118843535</c:v>
                </c:pt>
                <c:pt idx="26">
                  <c:v>113.1807518646965</c:v>
                </c:pt>
                <c:pt idx="27">
                  <c:v>117.41739809202976</c:v>
                </c:pt>
                <c:pt idx="28">
                  <c:v>121.65031129405757</c:v>
                </c:pt>
                <c:pt idx="29">
                  <c:v>125.87964006712117</c:v>
                </c:pt>
                <c:pt idx="30">
                  <c:v>130.10552217830414</c:v>
                </c:pt>
                <c:pt idx="31">
                  <c:v>134.32808568904667</c:v>
                </c:pt>
                <c:pt idx="32">
                  <c:v>138.5474499297047</c:v>
                </c:pt>
                <c:pt idx="33">
                  <c:v>142.7637263488671</c:v>
                </c:pt>
                <c:pt idx="34">
                  <c:v>146.97701925683234</c:v>
                </c:pt>
                <c:pt idx="35">
                  <c:v>151.18742647916039</c:v>
                </c:pt>
                <c:pt idx="36">
                  <c:v>155.39503993343254</c:v>
                </c:pt>
                <c:pt idx="37">
                  <c:v>159.59994614012589</c:v>
                </c:pt>
                <c:pt idx="38">
                  <c:v>163.80222667670475</c:v>
                </c:pt>
                <c:pt idx="39">
                  <c:v>168.00195858256848</c:v>
                </c:pt>
                <c:pt idx="40">
                  <c:v>172.19921472129715</c:v>
                </c:pt>
                <c:pt idx="41">
                  <c:v>176.39406410565365</c:v>
                </c:pt>
                <c:pt idx="42">
                  <c:v>180.58657218998462</c:v>
                </c:pt>
                <c:pt idx="43">
                  <c:v>184.77680113399015</c:v>
                </c:pt>
                <c:pt idx="44">
                  <c:v>188.96481004126463</c:v>
                </c:pt>
                <c:pt idx="45">
                  <c:v>193.15065517554152</c:v>
                </c:pt>
                <c:pt idx="46">
                  <c:v>197.3343901571734</c:v>
                </c:pt>
                <c:pt idx="47">
                  <c:v>201.51606614204613</c:v>
                </c:pt>
                <c:pt idx="48">
                  <c:v>205.69573198483519</c:v>
                </c:pt>
                <c:pt idx="49">
                  <c:v>209.87343438827483</c:v>
                </c:pt>
                <c:pt idx="50">
                  <c:v>214.04921803989632</c:v>
                </c:pt>
                <c:pt idx="51">
                  <c:v>218.22312573751947</c:v>
                </c:pt>
                <c:pt idx="52">
                  <c:v>222.3951985046227</c:v>
                </c:pt>
                <c:pt idx="53">
                  <c:v>226.56547569658815</c:v>
                </c:pt>
                <c:pt idx="54">
                  <c:v>230.73399509870114</c:v>
                </c:pt>
                <c:pt idx="55">
                  <c:v>234.90079301668541</c:v>
                </c:pt>
                <c:pt idx="56">
                  <c:v>239.06590436046736</c:v>
                </c:pt>
                <c:pt idx="57">
                  <c:v>180.58657218998462</c:v>
                </c:pt>
                <c:pt idx="58">
                  <c:v>191.05799966897897</c:v>
                </c:pt>
                <c:pt idx="59">
                  <c:v>201.51606614204613</c:v>
                </c:pt>
                <c:pt idx="60">
                  <c:v>211.96156334030786</c:v>
                </c:pt>
                <c:pt idx="61">
                  <c:v>222.3951985046227</c:v>
                </c:pt>
                <c:pt idx="62">
                  <c:v>232.81760702956308</c:v>
                </c:pt>
                <c:pt idx="63">
                  <c:v>243.22936272178819</c:v>
                </c:pt>
                <c:pt idx="64">
                  <c:v>253.6309862079039</c:v>
                </c:pt>
                <c:pt idx="65">
                  <c:v>191.31961067974876</c:v>
                </c:pt>
                <c:pt idx="66">
                  <c:v>199.94817578683191</c:v>
                </c:pt>
                <c:pt idx="67">
                  <c:v>208.56811056472677</c:v>
                </c:pt>
                <c:pt idx="68">
                  <c:v>217.17982241103536</c:v>
                </c:pt>
                <c:pt idx="69">
                  <c:v>225.78368373578596</c:v>
                </c:pt>
                <c:pt idx="70">
                  <c:v>234.38003621441283</c:v>
                </c:pt>
                <c:pt idx="71">
                  <c:v>242.9691943833584</c:v>
                </c:pt>
                <c:pt idx="72">
                  <c:v>251.55144870004528</c:v>
                </c:pt>
                <c:pt idx="73">
                  <c:v>200.5869802134653</c:v>
                </c:pt>
                <c:pt idx="74">
                  <c:v>208.01691725873741</c:v>
                </c:pt>
                <c:pt idx="75">
                  <c:v>215.44072698380123</c:v>
                </c:pt>
                <c:pt idx="76">
                  <c:v>222.85865060313355</c:v>
                </c:pt>
                <c:pt idx="77">
                  <c:v>230.27091193948434</c:v>
                </c:pt>
                <c:pt idx="78">
                  <c:v>237.67771920979916</c:v>
                </c:pt>
                <c:pt idx="79">
                  <c:v>245.07926657659041</c:v>
                </c:pt>
                <c:pt idx="80">
                  <c:v>252.47573550186789</c:v>
                </c:pt>
                <c:pt idx="81">
                  <c:v>259.86729593392823</c:v>
                </c:pt>
                <c:pt idx="82">
                  <c:v>212.42552740358917</c:v>
                </c:pt>
                <c:pt idx="83">
                  <c:v>219.15041018231875</c:v>
                </c:pt>
                <c:pt idx="84">
                  <c:v>225.87055256832153</c:v>
                </c:pt>
                <c:pt idx="85">
                  <c:v>232.5861157068949</c:v>
                </c:pt>
                <c:pt idx="86">
                  <c:v>239.29725066400815</c:v>
                </c:pt>
                <c:pt idx="87">
                  <c:v>246.00409932809728</c:v>
                </c:pt>
                <c:pt idx="88">
                  <c:v>252.70679520824922</c:v>
                </c:pt>
                <c:pt idx="89">
                  <c:v>259.4054641431697</c:v>
                </c:pt>
                <c:pt idx="90">
                  <c:v>266.1002249330042</c:v>
                </c:pt>
                <c:pt idx="91">
                  <c:v>226.77394310656038</c:v>
                </c:pt>
                <c:pt idx="92">
                  <c:v>233.23427816301742</c:v>
                </c:pt>
                <c:pt idx="93">
                  <c:v>239.69052768810448</c:v>
                </c:pt>
                <c:pt idx="94">
                  <c:v>246.14281741922991</c:v>
                </c:pt>
                <c:pt idx="95">
                  <c:v>252.59126595382</c:v>
                </c:pt>
                <c:pt idx="96">
                  <c:v>259.03598533079622</c:v>
                </c:pt>
                <c:pt idx="97">
                  <c:v>265.47708155108842</c:v>
                </c:pt>
                <c:pt idx="98">
                  <c:v>271.91465504493254</c:v>
                </c:pt>
                <c:pt idx="99">
                  <c:v>278.3488010925501</c:v>
                </c:pt>
                <c:pt idx="100">
                  <c:v>284.77961020385538</c:v>
                </c:pt>
                <c:pt idx="101">
                  <c:v>246.1428174192298</c:v>
                </c:pt>
                <c:pt idx="102">
                  <c:v>253.21510971702926</c:v>
                </c:pt>
                <c:pt idx="103">
                  <c:v>260.28292868621469</c:v>
                </c:pt>
                <c:pt idx="104">
                  <c:v>267.34641308822592</c:v>
                </c:pt>
                <c:pt idx="105">
                  <c:v>274.40569374429157</c:v>
                </c:pt>
                <c:pt idx="106">
                  <c:v>281.46089418692526</c:v>
                </c:pt>
                <c:pt idx="107">
                  <c:v>288.51213124261687</c:v>
                </c:pt>
                <c:pt idx="108">
                  <c:v>295.5595155545272</c:v>
                </c:pt>
                <c:pt idx="109">
                  <c:v>302.60315205267653</c:v>
                </c:pt>
                <c:pt idx="110">
                  <c:v>309.64314037802734</c:v>
                </c:pt>
                <c:pt idx="111">
                  <c:v>266.27331447457539</c:v>
                </c:pt>
                <c:pt idx="112">
                  <c:v>272.67585999391065</c:v>
                </c:pt>
                <c:pt idx="113">
                  <c:v>279.07502565621894</c:v>
                </c:pt>
                <c:pt idx="114">
                  <c:v>285.47089999883349</c:v>
                </c:pt>
                <c:pt idx="115">
                  <c:v>291.86356726277734</c:v>
                </c:pt>
                <c:pt idx="116">
                  <c:v>298.25310769289422</c:v>
                </c:pt>
                <c:pt idx="117">
                  <c:v>304.63959781088852</c:v>
                </c:pt>
                <c:pt idx="118">
                  <c:v>311.02311066425153</c:v>
                </c:pt>
                <c:pt idx="119">
                  <c:v>317.40371605366448</c:v>
                </c:pt>
                <c:pt idx="120">
                  <c:v>323.78148074114341</c:v>
                </c:pt>
                <c:pt idx="121">
                  <c:v>330.15646864091303</c:v>
                </c:pt>
                <c:pt idx="122">
                  <c:v>336.52874099475559</c:v>
                </c:pt>
                <c:pt idx="123">
                  <c:v>291.17262024160237</c:v>
                </c:pt>
                <c:pt idx="124">
                  <c:v>297.56249495454671</c:v>
                </c:pt>
                <c:pt idx="125">
                  <c:v>303.94931125448761</c:v>
                </c:pt>
                <c:pt idx="126">
                  <c:v>310.33314255318101</c:v>
                </c:pt>
                <c:pt idx="127">
                  <c:v>316.71405899195429</c:v>
                </c:pt>
                <c:pt idx="128">
                  <c:v>323.09212765183378</c:v>
                </c:pt>
                <c:pt idx="129">
                  <c:v>329.467412746197</c:v>
                </c:pt>
                <c:pt idx="130">
                  <c:v>335.83997579772279</c:v>
                </c:pt>
                <c:pt idx="131">
                  <c:v>342.20987580119686</c:v>
                </c:pt>
                <c:pt idx="132">
                  <c:v>348.57716937355411</c:v>
                </c:pt>
                <c:pt idx="133">
                  <c:v>354.94191089237592</c:v>
                </c:pt>
                <c:pt idx="134">
                  <c:v>361.30415262392626</c:v>
                </c:pt>
                <c:pt idx="135">
                  <c:v>314.07827648023607</c:v>
                </c:pt>
                <c:pt idx="136">
                  <c:v>320.58063713875373</c:v>
                </c:pt>
                <c:pt idx="137">
                  <c:v>327.0800797805428</c:v>
                </c:pt>
                <c:pt idx="138">
                  <c:v>333.57667063500168</c:v>
                </c:pt>
                <c:pt idx="139">
                  <c:v>340.07047313848307</c:v>
                </c:pt>
                <c:pt idx="140">
                  <c:v>346.5615481043597</c:v>
                </c:pt>
                <c:pt idx="141">
                  <c:v>353.04995387967455</c:v>
                </c:pt>
                <c:pt idx="142">
                  <c:v>359.53574648966406</c:v>
                </c:pt>
                <c:pt idx="143">
                  <c:v>366.01897977130176</c:v>
                </c:pt>
                <c:pt idx="144">
                  <c:v>372.49970549687851</c:v>
                </c:pt>
                <c:pt idx="145">
                  <c:v>378.97797348852964</c:v>
                </c:pt>
                <c:pt idx="146">
                  <c:v>385.45383172451437</c:v>
                </c:pt>
                <c:pt idx="147">
                  <c:v>391.92732643797893</c:v>
                </c:pt>
                <c:pt idx="148">
                  <c:v>398.39850220884705</c:v>
                </c:pt>
                <c:pt idx="149">
                  <c:v>344.34898438921306</c:v>
                </c:pt>
                <c:pt idx="150">
                  <c:v>352.16532637466679</c:v>
                </c:pt>
                <c:pt idx="151">
                  <c:v>359.97786582688428</c:v>
                </c:pt>
                <c:pt idx="152">
                  <c:v>367.78669697625583</c:v>
                </c:pt>
                <c:pt idx="153">
                  <c:v>375.59190972220972</c:v>
                </c:pt>
                <c:pt idx="154">
                  <c:v>383.39358992011427</c:v>
                </c:pt>
                <c:pt idx="155">
                  <c:v>391.19181964359683</c:v>
                </c:pt>
                <c:pt idx="156">
                  <c:v>398.98667742484344</c:v>
                </c:pt>
                <c:pt idx="157">
                  <c:v>406.77823847513173</c:v>
                </c:pt>
                <c:pt idx="158">
                  <c:v>414.56657488757895</c:v>
                </c:pt>
                <c:pt idx="159">
                  <c:v>422.35175582385244</c:v>
                </c:pt>
                <c:pt idx="160">
                  <c:v>430.13384768639088</c:v>
                </c:pt>
                <c:pt idx="161">
                  <c:v>437.91291427750656</c:v>
                </c:pt>
                <c:pt idx="162">
                  <c:v>445.6890169465907</c:v>
                </c:pt>
                <c:pt idx="163">
                  <c:v>377.11326663454633</c:v>
                </c:pt>
                <c:pt idx="164">
                  <c:v>384.66900599643856</c:v>
                </c:pt>
                <c:pt idx="165">
                  <c:v>392.22152076799506</c:v>
                </c:pt>
                <c:pt idx="166">
                  <c:v>399.77088184353784</c:v>
                </c:pt>
                <c:pt idx="167">
                  <c:v>407.31715721949718</c:v>
                </c:pt>
                <c:pt idx="168">
                  <c:v>414.86041216554048</c:v>
                </c:pt>
                <c:pt idx="169">
                  <c:v>422.40070938260163</c:v>
                </c:pt>
                <c:pt idx="170">
                  <c:v>429.93810914903224</c:v>
                </c:pt>
                <c:pt idx="171">
                  <c:v>437.47266945596539</c:v>
                </c:pt>
                <c:pt idx="172">
                  <c:v>445.00444613286504</c:v>
                </c:pt>
                <c:pt idx="173">
                  <c:v>452.53349296412881</c:v>
                </c:pt>
                <c:pt idx="174">
                  <c:v>460.05986179752421</c:v>
                </c:pt>
                <c:pt idx="175">
                  <c:v>467.58360264515659</c:v>
                </c:pt>
                <c:pt idx="176">
                  <c:v>475.10476377759954</c:v>
                </c:pt>
                <c:pt idx="177">
                  <c:v>482.62339181174951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2.2968493907960883</c:v>
                </c:pt>
                <c:pt idx="2">
                  <c:v>3.0460985772796825</c:v>
                </c:pt>
                <c:pt idx="3">
                  <c:v>4.0407653018897332</c:v>
                </c:pt>
                <c:pt idx="4">
                  <c:v>5.3615470481186875</c:v>
                </c:pt>
                <c:pt idx="5">
                  <c:v>7.1157714588558214</c:v>
                </c:pt>
                <c:pt idx="6">
                  <c:v>9.4462134984446582</c:v>
                </c:pt>
                <c:pt idx="7">
                  <c:v>12.542840858315394</c:v>
                </c:pt>
                <c:pt idx="8">
                  <c:v>16.658462805085517</c:v>
                </c:pt>
                <c:pt idx="9">
                  <c:v>22.129583263073584</c:v>
                </c:pt>
                <c:pt idx="10">
                  <c:v>29.404193471083619</c:v>
                </c:pt>
                <c:pt idx="11">
                  <c:v>39.078819590955874</c:v>
                </c:pt>
                <c:pt idx="12">
                  <c:v>51.947914981001276</c:v>
                </c:pt>
                <c:pt idx="13">
                  <c:v>69.069720692517336</c:v>
                </c:pt>
                <c:pt idx="14">
                  <c:v>91.854098238288529</c:v>
                </c:pt>
                <c:pt idx="15">
                  <c:v>122.17968226184944</c:v>
                </c:pt>
                <c:pt idx="16">
                  <c:v>113.95272160800296</c:v>
                </c:pt>
                <c:pt idx="17">
                  <c:v>125.56970461952518</c:v>
                </c:pt>
                <c:pt idx="18">
                  <c:v>137.16061188422088</c:v>
                </c:pt>
                <c:pt idx="19">
                  <c:v>148.72795998116825</c:v>
                </c:pt>
                <c:pt idx="20">
                  <c:v>160.27384127523817</c:v>
                </c:pt>
                <c:pt idx="21">
                  <c:v>171.80002152912917</c:v>
                </c:pt>
                <c:pt idx="22">
                  <c:v>183.30800986705376</c:v>
                </c:pt>
                <c:pt idx="23">
                  <c:v>194.79911020309638</c:v>
                </c:pt>
                <c:pt idx="24">
                  <c:v>206.27445987190004</c:v>
                </c:pt>
                <c:pt idx="25">
                  <c:v>217.73505919620777</c:v>
                </c:pt>
                <c:pt idx="26">
                  <c:v>196.67646968355916</c:v>
                </c:pt>
                <c:pt idx="27">
                  <c:v>211.05488839971338</c:v>
                </c:pt>
                <c:pt idx="28">
                  <c:v>225.4107247130687</c:v>
                </c:pt>
                <c:pt idx="29">
                  <c:v>239.74561981136495</c:v>
                </c:pt>
                <c:pt idx="30">
                  <c:v>254.06100246527566</c:v>
                </c:pt>
                <c:pt idx="31">
                  <c:v>268.35812719850861</c:v>
                </c:pt>
                <c:pt idx="32">
                  <c:v>282.63810388797543</c:v>
                </c:pt>
                <c:pt idx="33">
                  <c:v>296.90192106282717</c:v>
                </c:pt>
                <c:pt idx="34">
                  <c:v>311.15046448818856</c:v>
                </c:pt>
                <c:pt idx="35">
                  <c:v>325.38453216451211</c:v>
                </c:pt>
                <c:pt idx="36">
                  <c:v>289.50463952496187</c:v>
                </c:pt>
                <c:pt idx="37">
                  <c:v>306.6419109634727</c:v>
                </c:pt>
                <c:pt idx="38">
                  <c:v>323.75790382676848</c:v>
                </c:pt>
                <c:pt idx="39">
                  <c:v>340.85390113822956</c:v>
                </c:pt>
                <c:pt idx="40">
                  <c:v>357.93104672133722</c:v>
                </c:pt>
                <c:pt idx="41">
                  <c:v>374.99036636130859</c:v>
                </c:pt>
                <c:pt idx="42">
                  <c:v>392.03278491364375</c:v>
                </c:pt>
                <c:pt idx="43">
                  <c:v>409.05914028184338</c:v>
                </c:pt>
                <c:pt idx="44">
                  <c:v>426.07019494630009</c:v>
                </c:pt>
                <c:pt idx="45">
                  <c:v>443.06664555597359</c:v>
                </c:pt>
                <c:pt idx="46">
                  <c:v>390.7088728727893</c:v>
                </c:pt>
                <c:pt idx="47">
                  <c:v>410.59890468820385</c:v>
                </c:pt>
                <c:pt idx="48">
                  <c:v>430.4681427246212</c:v>
                </c:pt>
                <c:pt idx="49">
                  <c:v>450.31768121347403</c:v>
                </c:pt>
                <c:pt idx="50">
                  <c:v>470.14851010697026</c:v>
                </c:pt>
                <c:pt idx="51">
                  <c:v>489.96152908493178</c:v>
                </c:pt>
                <c:pt idx="52">
                  <c:v>509.75755917856105</c:v>
                </c:pt>
                <c:pt idx="53">
                  <c:v>529.53735249520003</c:v>
                </c:pt>
                <c:pt idx="54">
                  <c:v>549.30160041505997</c:v>
                </c:pt>
                <c:pt idx="55">
                  <c:v>569.05094054742926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2.6559686006165286</c:v>
                </c:pt>
                <c:pt idx="2">
                  <c:v>3.5228183692380757</c:v>
                </c:pt>
                <c:pt idx="3">
                  <c:v>4.6737457320492632</c:v>
                </c:pt>
                <c:pt idx="4">
                  <c:v>6.2022032235038056</c:v>
                </c:pt>
                <c:pt idx="5">
                  <c:v>8.2324958522027192</c:v>
                </c:pt>
                <c:pt idx="6">
                  <c:v>10.930000268264477</c:v>
                </c:pt>
                <c:pt idx="7">
                  <c:v>14.514779009337742</c:v>
                </c:pt>
                <c:pt idx="8">
                  <c:v>19.279720864549112</c:v>
                </c:pt>
                <c:pt idx="9">
                  <c:v>25.614716131327707</c:v>
                </c:pt>
                <c:pt idx="10">
                  <c:v>34.038879712946077</c:v>
                </c:pt>
                <c:pt idx="11">
                  <c:v>45.243508021961873</c:v>
                </c:pt>
                <c:pt idx="12">
                  <c:v>60.14935417289346</c:v>
                </c:pt>
                <c:pt idx="13">
                  <c:v>79.983005667485884</c:v>
                </c:pt>
                <c:pt idx="14">
                  <c:v>106.37875085541208</c:v>
                </c:pt>
                <c:pt idx="15">
                  <c:v>141.51446007981312</c:v>
                </c:pt>
                <c:pt idx="16">
                  <c:v>131.98224110908654</c:v>
                </c:pt>
                <c:pt idx="17">
                  <c:v>145.44239465566071</c:v>
                </c:pt>
                <c:pt idx="18">
                  <c:v>158.87275522366392</c:v>
                </c:pt>
                <c:pt idx="19">
                  <c:v>172.2761981434578</c:v>
                </c:pt>
                <c:pt idx="20">
                  <c:v>185.65511405728057</c:v>
                </c:pt>
                <c:pt idx="21">
                  <c:v>199.01152044637979</c:v>
                </c:pt>
                <c:pt idx="22">
                  <c:v>212.34714156838172</c:v>
                </c:pt>
                <c:pt idx="23">
                  <c:v>225.66346721702587</c:v>
                </c:pt>
                <c:pt idx="24">
                  <c:v>238.96179685985467</c:v>
                </c:pt>
                <c:pt idx="25">
                  <c:v>252.24327342076018</c:v>
                </c:pt>
                <c:pt idx="26">
                  <c:v>227.83904788851888</c:v>
                </c:pt>
                <c:pt idx="27">
                  <c:v>244.50171865047852</c:v>
                </c:pt>
                <c:pt idx="28">
                  <c:v>261.13858777204251</c:v>
                </c:pt>
                <c:pt idx="29">
                  <c:v>277.75153040069887</c:v>
                </c:pt>
                <c:pt idx="30">
                  <c:v>294.34217898572484</c:v>
                </c:pt>
                <c:pt idx="31">
                  <c:v>310.9119668896314</c:v>
                </c:pt>
                <c:pt idx="32">
                  <c:v>327.46216220798863</c:v>
                </c:pt>
                <c:pt idx="33">
                  <c:v>343.99389438985958</c:v>
                </c:pt>
                <c:pt idx="34">
                  <c:v>360.50817547074013</c:v>
                </c:pt>
                <c:pt idx="35">
                  <c:v>377.00591721014985</c:v>
                </c:pt>
                <c:pt idx="36">
                  <c:v>335.42042941092188</c:v>
                </c:pt>
                <c:pt idx="37">
                  <c:v>355.28266618859101</c:v>
                </c:pt>
                <c:pt idx="38">
                  <c:v>375.12059102077257</c:v>
                </c:pt>
                <c:pt idx="39">
                  <c:v>394.93566983242437</c:v>
                </c:pt>
                <c:pt idx="40">
                  <c:v>414.72920950494455</c:v>
                </c:pt>
                <c:pt idx="41">
                  <c:v>434.50238205450586</c:v>
                </c:pt>
                <c:pt idx="42">
                  <c:v>454.25624417951332</c:v>
                </c:pt>
                <c:pt idx="43">
                  <c:v>473.99175323091896</c:v>
                </c:pt>
                <c:pt idx="44">
                  <c:v>493.7097803846147</c:v>
                </c:pt>
                <c:pt idx="45">
                  <c:v>513.4111216004502</c:v>
                </c:pt>
                <c:pt idx="46">
                  <c:v>452.7216884436105</c:v>
                </c:pt>
                <c:pt idx="47">
                  <c:v>475.77653039637636</c:v>
                </c:pt>
                <c:pt idx="48">
                  <c:v>498.80761431006545</c:v>
                </c:pt>
                <c:pt idx="49">
                  <c:v>521.81619040442502</c:v>
                </c:pt>
                <c:pt idx="50">
                  <c:v>544.80338975443931</c:v>
                </c:pt>
                <c:pt idx="51">
                  <c:v>567.77024029391271</c:v>
                </c:pt>
                <c:pt idx="52">
                  <c:v>590.71768009626624</c:v>
                </c:pt>
                <c:pt idx="53">
                  <c:v>613.64656848560969</c:v>
                </c:pt>
                <c:pt idx="54">
                  <c:v>636.55769540195661</c:v>
                </c:pt>
                <c:pt idx="55">
                  <c:v>659.45178934907756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2.7071273091464456</c:v>
                </c:pt>
                <c:pt idx="2">
                  <c:v>3.5907345905459116</c:v>
                </c:pt>
                <c:pt idx="3">
                  <c:v>4.7639297494251158</c:v>
                </c:pt>
                <c:pt idx="4">
                  <c:v>6.3219837517512856</c:v>
                </c:pt>
                <c:pt idx="5">
                  <c:v>8.3916221264050499</c:v>
                </c:pt>
                <c:pt idx="6">
                  <c:v>11.14144409419327</c:v>
                </c:pt>
                <c:pt idx="7">
                  <c:v>14.795803370223254</c:v>
                </c:pt>
                <c:pt idx="8">
                  <c:v>19.65330391347036</c:v>
                </c:pt>
                <c:pt idx="9">
                  <c:v>26.111449073576356</c:v>
                </c:pt>
                <c:pt idx="10">
                  <c:v>34.699496693375536</c:v>
                </c:pt>
                <c:pt idx="11">
                  <c:v>46.122259011729206</c:v>
                </c:pt>
                <c:pt idx="12">
                  <c:v>61.318502451523329</c:v>
                </c:pt>
                <c:pt idx="13">
                  <c:v>81.538825770500992</c:v>
                </c:pt>
                <c:pt idx="14">
                  <c:v>108.44952875702209</c:v>
                </c:pt>
                <c:pt idx="15">
                  <c:v>144.27116553212878</c:v>
                </c:pt>
                <c:pt idx="16">
                  <c:v>134.55281242220951</c:v>
                </c:pt>
                <c:pt idx="17">
                  <c:v>148.27580880488168</c:v>
                </c:pt>
                <c:pt idx="18">
                  <c:v>161.96848631579994</c:v>
                </c:pt>
                <c:pt idx="19">
                  <c:v>175.63377103945319</c:v>
                </c:pt>
                <c:pt idx="20">
                  <c:v>189.27409581669576</c:v>
                </c:pt>
                <c:pt idx="21">
                  <c:v>202.8915137405094</c:v>
                </c:pt>
                <c:pt idx="22">
                  <c:v>216.4877795043939</c:v>
                </c:pt>
                <c:pt idx="23">
                  <c:v>230.06440919930415</c:v>
                </c:pt>
                <c:pt idx="24">
                  <c:v>243.62272523043964</c:v>
                </c:pt>
                <c:pt idx="25">
                  <c:v>257.16389069610608</c:v>
                </c:pt>
                <c:pt idx="26">
                  <c:v>232.28252085863505</c:v>
                </c:pt>
                <c:pt idx="27">
                  <c:v>249.27096374524822</c:v>
                </c:pt>
                <c:pt idx="28">
                  <c:v>266.23314955171287</c:v>
                </c:pt>
                <c:pt idx="29">
                  <c:v>283.17098652483548</c:v>
                </c:pt>
                <c:pt idx="30">
                  <c:v>300.08613592920426</c:v>
                </c:pt>
                <c:pt idx="31">
                  <c:v>316.98005642844515</c:v>
                </c:pt>
                <c:pt idx="32">
                  <c:v>333.85403850202016</c:v>
                </c:pt>
                <c:pt idx="33">
                  <c:v>350.70923153555435</c:v>
                </c:pt>
                <c:pt idx="34">
                  <c:v>367.54666542857058</c:v>
                </c:pt>
                <c:pt idx="35">
                  <c:v>384.36726803458515</c:v>
                </c:pt>
                <c:pt idx="36">
                  <c:v>341.96801334477124</c:v>
                </c:pt>
                <c:pt idx="37">
                  <c:v>362.21889944230844</c:v>
                </c:pt>
                <c:pt idx="38">
                  <c:v>382.44504445007607</c:v>
                </c:pt>
                <c:pt idx="39">
                  <c:v>402.64794016892546</c:v>
                </c:pt>
                <c:pt idx="40">
                  <c:v>422.8289165487779</c:v>
                </c:pt>
                <c:pt idx="41">
                  <c:v>442.9891662937448</c:v>
                </c:pt>
                <c:pt idx="42">
                  <c:v>463.12976475462921</c:v>
                </c:pt>
                <c:pt idx="43">
                  <c:v>483.25168618114122</c:v>
                </c:pt>
                <c:pt idx="44">
                  <c:v>503.35581712680488</c:v>
                </c:pt>
                <c:pt idx="45">
                  <c:v>523.44296760141981</c:v>
                </c:pt>
                <c:pt idx="46">
                  <c:v>461.5651645680062</c:v>
                </c:pt>
                <c:pt idx="47">
                  <c:v>485.07141016601082</c:v>
                </c:pt>
                <c:pt idx="48">
                  <c:v>508.55347835798051</c:v>
                </c:pt>
                <c:pt idx="49">
                  <c:v>532.01264143201831</c:v>
                </c:pt>
                <c:pt idx="50">
                  <c:v>555.45005042837022</c:v>
                </c:pt>
                <c:pt idx="51">
                  <c:v>578.86675142549791</c:v>
                </c:pt>
                <c:pt idx="52">
                  <c:v>602.26369905530157</c:v>
                </c:pt>
                <c:pt idx="53">
                  <c:v>625.64176781032029</c:v>
                </c:pt>
                <c:pt idx="54">
                  <c:v>649.00176157425824</c:v>
                </c:pt>
                <c:pt idx="55">
                  <c:v>672.34442171012915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333" t="s">
        <v>291</v>
      </c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</row>
    <row r="13" spans="2:13" ht="15" customHeight="1" x14ac:dyDescent="0.2"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</row>
    <row r="14" spans="2:13" ht="15" customHeight="1" x14ac:dyDescent="0.2"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</row>
    <row r="15" spans="2:13" ht="18.75" customHeight="1" x14ac:dyDescent="0.2"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</row>
    <row r="16" spans="2:13" ht="18.75" customHeight="1" x14ac:dyDescent="0.2"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</row>
    <row r="18" spans="2:13" ht="12" customHeight="1" x14ac:dyDescent="0.2">
      <c r="B18" s="333" t="s">
        <v>292</v>
      </c>
      <c r="C18" s="333"/>
      <c r="D18" s="333"/>
      <c r="E18" s="333"/>
      <c r="F18" s="333"/>
      <c r="G18" s="333"/>
      <c r="H18" s="333"/>
      <c r="I18" s="333"/>
      <c r="J18" s="333"/>
      <c r="K18" s="333"/>
      <c r="L18" s="333"/>
      <c r="M18" s="333"/>
    </row>
    <row r="19" spans="2:13" ht="12" customHeight="1" x14ac:dyDescent="0.2">
      <c r="B19" s="333"/>
      <c r="C19" s="333"/>
      <c r="D19" s="333"/>
      <c r="E19" s="333"/>
      <c r="F19" s="333"/>
      <c r="G19" s="333"/>
      <c r="H19" s="333"/>
      <c r="I19" s="333"/>
      <c r="J19" s="333"/>
      <c r="K19" s="333"/>
      <c r="L19" s="333"/>
      <c r="M19" s="333"/>
    </row>
    <row r="20" spans="2:13" ht="12" customHeight="1" x14ac:dyDescent="0.2">
      <c r="B20" s="333"/>
      <c r="C20" s="333"/>
      <c r="D20" s="333"/>
      <c r="E20" s="333"/>
      <c r="F20" s="333"/>
      <c r="G20" s="333"/>
      <c r="H20" s="333"/>
      <c r="I20" s="333"/>
      <c r="J20" s="333"/>
      <c r="K20" s="333"/>
      <c r="L20" s="333"/>
      <c r="M20" s="333"/>
    </row>
    <row r="21" spans="2:13" ht="12" customHeight="1" x14ac:dyDescent="0.2">
      <c r="B21" s="333"/>
      <c r="C21" s="333"/>
      <c r="D21" s="333"/>
      <c r="E21" s="333"/>
      <c r="F21" s="333"/>
      <c r="G21" s="333"/>
      <c r="H21" s="333"/>
      <c r="I21" s="333"/>
      <c r="J21" s="333"/>
      <c r="K21" s="333"/>
      <c r="L21" s="333"/>
      <c r="M21" s="333"/>
    </row>
    <row r="22" spans="2:13" ht="12" customHeight="1" x14ac:dyDescent="0.2"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</row>
    <row r="23" spans="2:13" ht="12" customHeight="1" x14ac:dyDescent="0.2"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</row>
    <row r="24" spans="2:13" ht="12" customHeight="1" x14ac:dyDescent="0.2"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</row>
    <row r="25" spans="2:13" ht="12" customHeight="1" x14ac:dyDescent="0.2"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</row>
    <row r="26" spans="2:13" ht="12" customHeight="1" x14ac:dyDescent="0.2"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</row>
    <row r="27" spans="2:13" ht="12" customHeight="1" x14ac:dyDescent="0.2"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</row>
    <row r="28" spans="2:13" ht="12" customHeight="1" x14ac:dyDescent="0.2"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2:13" ht="12" customHeight="1" x14ac:dyDescent="0.2"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2:13" ht="12" customHeight="1" x14ac:dyDescent="0.2"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2:13" ht="12" customHeight="1" x14ac:dyDescent="0.2"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2" zoomScaleNormal="90" workbookViewId="0">
      <selection activeCell="C24" sqref="C24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338" t="s">
        <v>190</v>
      </c>
      <c r="D1" s="338"/>
      <c r="E1" s="33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339" t="s">
        <v>192</v>
      </c>
      <c r="C3" s="340"/>
      <c r="D3" s="340"/>
      <c r="E3" s="340"/>
      <c r="F3" s="341"/>
      <c r="G3" s="94"/>
      <c r="I3" s="227" t="s">
        <v>304</v>
      </c>
      <c r="J3" s="9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6"/>
      <c r="B4" s="96"/>
      <c r="C4" s="96"/>
      <c r="D4" s="96"/>
      <c r="E4" s="96"/>
      <c r="F4" s="96"/>
      <c r="G4" s="237"/>
      <c r="I4" s="227" t="s">
        <v>305</v>
      </c>
      <c r="J4" s="9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45" t="s">
        <v>231</v>
      </c>
      <c r="B5" s="345"/>
      <c r="C5" s="26">
        <v>8.4</v>
      </c>
      <c r="D5" s="346" t="s">
        <v>229</v>
      </c>
      <c r="E5" s="347"/>
      <c r="F5" s="96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7"/>
      <c r="B6" s="97"/>
      <c r="C6" s="98"/>
      <c r="D6" s="92"/>
      <c r="E6" s="92"/>
      <c r="F6" s="29"/>
      <c r="G6" s="239"/>
      <c r="H6" s="240"/>
      <c r="I6" s="240"/>
      <c r="J6" s="247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38" ht="26" x14ac:dyDescent="0.2">
      <c r="A7" s="343" t="s">
        <v>226</v>
      </c>
      <c r="B7" s="343"/>
      <c r="C7" s="96"/>
      <c r="D7" s="96"/>
      <c r="E7" s="5"/>
      <c r="F7" s="96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18</v>
      </c>
      <c r="C9" s="35">
        <v>0.53333333333333344</v>
      </c>
      <c r="D9" s="36">
        <f t="shared" ref="D9:D18" si="0">C9*$C$5</f>
        <v>4.4800000000000013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27</v>
      </c>
      <c r="C10" s="35">
        <v>0.1142857142857143</v>
      </c>
      <c r="D10" s="36">
        <f t="shared" si="0"/>
        <v>0.96000000000000008</v>
      </c>
      <c r="E10" s="37">
        <v>78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81</v>
      </c>
      <c r="C11" s="35">
        <v>0.1142857142857143</v>
      </c>
      <c r="D11" s="36">
        <f t="shared" si="0"/>
        <v>0.96000000000000008</v>
      </c>
      <c r="E11" s="37">
        <v>78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14</v>
      </c>
      <c r="C12" s="35">
        <v>3.5714285714285719E-2</v>
      </c>
      <c r="D12" s="36">
        <f t="shared" si="0"/>
        <v>0.30000000000000004</v>
      </c>
      <c r="E12" s="37">
        <v>153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12</v>
      </c>
      <c r="C13" s="35">
        <v>3.5714285714285719E-2</v>
      </c>
      <c r="D13" s="36">
        <f t="shared" si="0"/>
        <v>0.30000000000000004</v>
      </c>
      <c r="E13" s="37">
        <v>153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 t="s">
        <v>1</v>
      </c>
      <c r="C14" s="35">
        <v>7.1428571428571435E-3</v>
      </c>
      <c r="D14" s="36">
        <f t="shared" si="0"/>
        <v>6.0000000000000005E-2</v>
      </c>
      <c r="E14" s="37">
        <v>177</v>
      </c>
      <c r="F14" s="38" t="str">
        <f t="array" ref="F14">IF(E14="","",IF(INDEX(A:A,MAX(IF(ISNUMBER($A$166:$A$185),ROW($A$166:$A$185),"")))&lt;&gt;E14,"Corrigez : révolution incorrecte","OK"))</f>
        <v>OK</v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 t="s">
        <v>50</v>
      </c>
      <c r="C15" s="35">
        <v>3.5714285714285719E-2</v>
      </c>
      <c r="D15" s="36">
        <f t="shared" si="0"/>
        <v>0.30000000000000004</v>
      </c>
      <c r="E15" s="37">
        <v>55</v>
      </c>
      <c r="F15" s="38" t="str">
        <f t="array" ref="F15">IF(E15="","",IF(INDEX(A:A,MAX(IF(ISNUMBER($A$192:$A$211),ROW($A$192:$A$211),"")))&lt;&gt;E15,"Corrigez : révolution incorrecte","OK"))</f>
        <v>OK</v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 t="s">
        <v>29</v>
      </c>
      <c r="C16" s="35">
        <v>5.2380952380952382E-2</v>
      </c>
      <c r="D16" s="36">
        <f t="shared" si="0"/>
        <v>0.44</v>
      </c>
      <c r="E16" s="37">
        <v>55</v>
      </c>
      <c r="F16" s="38" t="str">
        <f t="array" ref="F16">IF(E16="","",IF(INDEX(A:A,MAX(IF(ISNUMBER($A$218:$A$237),ROW($A$218:$A$237),"")))&lt;&gt;E16,"Corrigez : révolution incorrecte","OK"))</f>
        <v>OK</v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 t="s">
        <v>23</v>
      </c>
      <c r="C17" s="35">
        <v>7.1428571428571452E-2</v>
      </c>
      <c r="D17" s="36">
        <f t="shared" si="0"/>
        <v>0.6000000000000002</v>
      </c>
      <c r="E17" s="37">
        <v>55</v>
      </c>
      <c r="F17" s="38" t="str">
        <f t="array" ref="F17">IF(E17="","",IF(INDEX(A:A,MAX(IF(ISNUMBER($A$244:$A$263),ROW($A$244:$A$263),"")))&lt;&gt;E17,"Corrigez : révolution incorrecte","OK"))</f>
        <v>OK</v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99"/>
      <c r="B19" s="39" t="s">
        <v>175</v>
      </c>
      <c r="C19" s="40">
        <f>SUM(C9:C18)</f>
        <v>1.0000000000000002</v>
      </c>
      <c r="D19" s="41">
        <f>SUM(D9:D18)</f>
        <v>8.4</v>
      </c>
      <c r="E19" s="5"/>
      <c r="F19" s="100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99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42" t="s">
        <v>232</v>
      </c>
      <c r="B22" s="342"/>
      <c r="C22" s="98"/>
      <c r="H22" s="229"/>
      <c r="I22" s="247"/>
      <c r="J22" s="247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0.2</v>
      </c>
      <c r="D24" s="47" t="s">
        <v>233</v>
      </c>
      <c r="E24" s="101"/>
      <c r="F24" s="101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2"/>
      <c r="E25" s="5"/>
      <c r="F25" s="102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1"/>
      <c r="F26" s="101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1"/>
      <c r="F27" s="101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44" t="s">
        <v>227</v>
      </c>
      <c r="B30" s="344"/>
      <c r="D30" s="249"/>
      <c r="H30" s="247"/>
      <c r="I30" s="247"/>
      <c r="J30" s="247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Douglas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334" t="s">
        <v>186</v>
      </c>
      <c r="D34" s="334"/>
      <c r="E34" s="335" t="s">
        <v>187</v>
      </c>
      <c r="F34" s="336"/>
      <c r="G34" s="336"/>
      <c r="H34" s="337"/>
      <c r="I34" s="103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291">
        <v>19</v>
      </c>
      <c r="B36" s="291">
        <v>162</v>
      </c>
      <c r="C36" s="292"/>
      <c r="D36" s="293">
        <v>0</v>
      </c>
      <c r="E36" s="294">
        <v>0</v>
      </c>
      <c r="F36" s="294">
        <v>0.56000000000000005</v>
      </c>
      <c r="G36" s="294">
        <v>0.44</v>
      </c>
      <c r="H36" s="294">
        <v>0</v>
      </c>
      <c r="I36" s="52">
        <f>IFERROR(B36/A36,"")</f>
        <v>8.526315789473685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291">
        <v>25</v>
      </c>
      <c r="B37" s="291">
        <v>335</v>
      </c>
      <c r="C37" s="295">
        <v>1</v>
      </c>
      <c r="D37" s="291">
        <v>54</v>
      </c>
      <c r="E37" s="294">
        <v>0</v>
      </c>
      <c r="F37" s="294">
        <v>0.56000000000000005</v>
      </c>
      <c r="G37" s="294">
        <v>0.44</v>
      </c>
      <c r="H37" s="294">
        <v>0</v>
      </c>
      <c r="I37" s="56">
        <f t="shared" ref="I37:I55" si="1">IF(A37&lt;&gt;0,(B37-(B36-D36))/(A37-A36),"")</f>
        <v>28.833333333333332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291">
        <v>30</v>
      </c>
      <c r="B38" s="291">
        <v>421</v>
      </c>
      <c r="C38" s="295">
        <v>2</v>
      </c>
      <c r="D38" s="291">
        <v>54</v>
      </c>
      <c r="E38" s="294">
        <v>0.7</v>
      </c>
      <c r="F38" s="294">
        <v>0.16800000000000001</v>
      </c>
      <c r="G38" s="294">
        <v>0.13200000000000001</v>
      </c>
      <c r="H38" s="294">
        <v>0</v>
      </c>
      <c r="I38" s="56">
        <f t="shared" si="1"/>
        <v>28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291">
        <v>35</v>
      </c>
      <c r="B39" s="291">
        <v>505</v>
      </c>
      <c r="C39" s="295">
        <v>3</v>
      </c>
      <c r="D39" s="291">
        <v>69</v>
      </c>
      <c r="E39" s="294">
        <v>0.7</v>
      </c>
      <c r="F39" s="294">
        <v>0.16800000000000001</v>
      </c>
      <c r="G39" s="294">
        <v>0.13200000000000001</v>
      </c>
      <c r="H39" s="294">
        <v>0</v>
      </c>
      <c r="I39" s="52">
        <f t="shared" si="1"/>
        <v>27.6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291">
        <v>40</v>
      </c>
      <c r="B40" s="291">
        <v>564</v>
      </c>
      <c r="C40" s="295">
        <v>4</v>
      </c>
      <c r="D40" s="291">
        <v>72</v>
      </c>
      <c r="E40" s="294">
        <v>0.7</v>
      </c>
      <c r="F40" s="294">
        <v>0.16800000000000001</v>
      </c>
      <c r="G40" s="294">
        <v>0.13200000000000001</v>
      </c>
      <c r="H40" s="294">
        <v>0</v>
      </c>
      <c r="I40" s="52">
        <f t="shared" si="1"/>
        <v>25.6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291">
        <v>45</v>
      </c>
      <c r="B41" s="291">
        <v>606</v>
      </c>
      <c r="C41" s="295">
        <v>5</v>
      </c>
      <c r="D41" s="291">
        <v>66</v>
      </c>
      <c r="E41" s="294">
        <v>0.7</v>
      </c>
      <c r="F41" s="294">
        <v>0.16800000000000001</v>
      </c>
      <c r="G41" s="294">
        <v>0.13200000000000001</v>
      </c>
      <c r="H41" s="294">
        <v>0</v>
      </c>
      <c r="I41" s="56">
        <f t="shared" si="1"/>
        <v>22.8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291">
        <v>50</v>
      </c>
      <c r="B42" s="291">
        <v>629</v>
      </c>
      <c r="C42" s="295">
        <v>6</v>
      </c>
      <c r="D42" s="291">
        <v>48</v>
      </c>
      <c r="E42" s="294">
        <v>0.7</v>
      </c>
      <c r="F42" s="294">
        <v>0.16800000000000001</v>
      </c>
      <c r="G42" s="294">
        <v>0.13200000000000001</v>
      </c>
      <c r="H42" s="294">
        <v>0</v>
      </c>
      <c r="I42" s="56">
        <f t="shared" si="1"/>
        <v>17.8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91">
        <v>55</v>
      </c>
      <c r="B43" s="291">
        <v>650</v>
      </c>
      <c r="C43" s="295">
        <v>7</v>
      </c>
      <c r="D43" s="291">
        <v>35</v>
      </c>
      <c r="E43" s="294">
        <v>0.7</v>
      </c>
      <c r="F43" s="294">
        <v>0.16800000000000001</v>
      </c>
      <c r="G43" s="294">
        <v>0.13200000000000001</v>
      </c>
      <c r="H43" s="294">
        <v>0</v>
      </c>
      <c r="I43" s="52">
        <f t="shared" si="1"/>
        <v>13.8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91">
        <v>60</v>
      </c>
      <c r="B44" s="291">
        <v>666</v>
      </c>
      <c r="C44" s="295" t="s">
        <v>324</v>
      </c>
      <c r="D44" s="291">
        <f>637+29</f>
        <v>666</v>
      </c>
      <c r="E44" s="294">
        <v>0.7</v>
      </c>
      <c r="F44" s="294">
        <v>0.16800000000000001</v>
      </c>
      <c r="G44" s="294">
        <v>0.13200000000000001</v>
      </c>
      <c r="H44" s="294">
        <v>0</v>
      </c>
      <c r="I44" s="52">
        <f t="shared" si="1"/>
        <v>10.199999999999999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Mélèze d'Europe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334" t="s">
        <v>186</v>
      </c>
      <c r="D60" s="334"/>
      <c r="E60" s="335" t="s">
        <v>187</v>
      </c>
      <c r="F60" s="336"/>
      <c r="G60" s="336"/>
      <c r="H60" s="337"/>
      <c r="I60" s="103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291">
        <v>12</v>
      </c>
      <c r="B62" s="291">
        <v>103</v>
      </c>
      <c r="C62" s="296">
        <v>0</v>
      </c>
      <c r="D62" s="291">
        <v>0</v>
      </c>
      <c r="E62" s="294">
        <v>0</v>
      </c>
      <c r="F62" s="294">
        <v>0.56000000000000005</v>
      </c>
      <c r="G62" s="294">
        <v>0.44</v>
      </c>
      <c r="H62" s="294">
        <v>0</v>
      </c>
      <c r="I62" s="56">
        <f>IFERROR(B62/A62,"")</f>
        <v>8.5833333333333339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291">
        <v>18</v>
      </c>
      <c r="B63" s="291">
        <v>262</v>
      </c>
      <c r="C63" s="297">
        <v>0</v>
      </c>
      <c r="D63" s="291">
        <v>0</v>
      </c>
      <c r="E63" s="294">
        <v>0</v>
      </c>
      <c r="F63" s="294">
        <v>0.56000000000000005</v>
      </c>
      <c r="G63" s="294">
        <v>0.44</v>
      </c>
      <c r="H63" s="294">
        <v>0</v>
      </c>
      <c r="I63" s="52">
        <f>IF(A63&lt;&gt;0,(B63-(B62-D62))/(A63-A62),"")</f>
        <v>26.5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291">
        <v>24</v>
      </c>
      <c r="B64" s="291">
        <v>423</v>
      </c>
      <c r="C64" s="297">
        <v>0</v>
      </c>
      <c r="D64" s="291">
        <v>0</v>
      </c>
      <c r="E64" s="294">
        <v>0.7</v>
      </c>
      <c r="F64" s="294">
        <v>0.16800000000000001</v>
      </c>
      <c r="G64" s="294">
        <v>0.13200000000000001</v>
      </c>
      <c r="H64" s="294">
        <v>0</v>
      </c>
      <c r="I64" s="52">
        <f>IF(A64&lt;&gt;0,(B64-(B63-D63))/(A64-A63),"")</f>
        <v>26.833333333333332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291">
        <v>30</v>
      </c>
      <c r="B65" s="291">
        <v>583</v>
      </c>
      <c r="C65" s="297">
        <v>1</v>
      </c>
      <c r="D65" s="291">
        <v>107</v>
      </c>
      <c r="E65" s="294">
        <v>0.7</v>
      </c>
      <c r="F65" s="294">
        <v>0.16800000000000001</v>
      </c>
      <c r="G65" s="294">
        <v>0.13200000000000001</v>
      </c>
      <c r="H65" s="294">
        <v>0</v>
      </c>
      <c r="I65" s="52">
        <f>IF(A65&lt;&gt;0,(B65-(B64-D64))/(A65-A64),"")</f>
        <v>26.666666666666668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291">
        <v>36</v>
      </c>
      <c r="B66" s="291">
        <v>621</v>
      </c>
      <c r="C66" s="297">
        <v>2</v>
      </c>
      <c r="D66" s="291">
        <v>119</v>
      </c>
      <c r="E66" s="294">
        <v>0.7</v>
      </c>
      <c r="F66" s="294">
        <v>0.16800000000000001</v>
      </c>
      <c r="G66" s="294">
        <v>0.13200000000000001</v>
      </c>
      <c r="H66" s="294">
        <v>0</v>
      </c>
      <c r="I66" s="52">
        <f t="shared" ref="I66:I81" si="2">IF(A66&lt;&gt;0,(B66-(B65-D65))/(A66-A65),"")</f>
        <v>24.166666666666668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291">
        <v>42</v>
      </c>
      <c r="B67" s="291">
        <v>615</v>
      </c>
      <c r="C67" s="297">
        <v>3</v>
      </c>
      <c r="D67" s="291">
        <v>121</v>
      </c>
      <c r="E67" s="294">
        <v>0.7</v>
      </c>
      <c r="F67" s="294">
        <v>0.16800000000000001</v>
      </c>
      <c r="G67" s="294">
        <v>0.13200000000000001</v>
      </c>
      <c r="H67" s="294">
        <v>0</v>
      </c>
      <c r="I67" s="52">
        <f t="shared" si="2"/>
        <v>18.833333333333332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291">
        <v>48</v>
      </c>
      <c r="B68" s="291">
        <v>600</v>
      </c>
      <c r="C68" s="297">
        <v>4</v>
      </c>
      <c r="D68" s="291">
        <v>123</v>
      </c>
      <c r="E68" s="294">
        <v>0.7</v>
      </c>
      <c r="F68" s="294">
        <v>0.16800000000000001</v>
      </c>
      <c r="G68" s="294">
        <v>0.13200000000000001</v>
      </c>
      <c r="H68" s="294">
        <v>0</v>
      </c>
      <c r="I68" s="52">
        <f t="shared" si="2"/>
        <v>17.666666666666668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291">
        <v>54</v>
      </c>
      <c r="B69" s="291">
        <v>573</v>
      </c>
      <c r="C69" s="297">
        <v>5</v>
      </c>
      <c r="D69" s="291">
        <v>119</v>
      </c>
      <c r="E69" s="294">
        <v>0.7</v>
      </c>
      <c r="F69" s="294">
        <v>0.16800000000000001</v>
      </c>
      <c r="G69" s="294">
        <v>0.13200000000000001</v>
      </c>
      <c r="H69" s="294">
        <v>0</v>
      </c>
      <c r="I69" s="52">
        <f t="shared" si="2"/>
        <v>16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291">
        <v>60</v>
      </c>
      <c r="B70" s="291">
        <v>534</v>
      </c>
      <c r="C70" s="297">
        <v>6</v>
      </c>
      <c r="D70" s="291">
        <v>112</v>
      </c>
      <c r="E70" s="294">
        <v>0.7</v>
      </c>
      <c r="F70" s="294">
        <v>0.16800000000000001</v>
      </c>
      <c r="G70" s="294">
        <v>0.13200000000000001</v>
      </c>
      <c r="H70" s="294">
        <v>0</v>
      </c>
      <c r="I70" s="52">
        <f t="shared" si="2"/>
        <v>13.333333333333334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291">
        <v>66</v>
      </c>
      <c r="B71" s="291">
        <v>502</v>
      </c>
      <c r="C71" s="297">
        <v>7</v>
      </c>
      <c r="D71" s="291">
        <v>109</v>
      </c>
      <c r="E71" s="294">
        <v>0.7</v>
      </c>
      <c r="F71" s="294">
        <v>0.16800000000000001</v>
      </c>
      <c r="G71" s="294">
        <v>0.13200000000000001</v>
      </c>
      <c r="H71" s="294">
        <v>0</v>
      </c>
      <c r="I71" s="52">
        <f t="shared" si="2"/>
        <v>13.333333333333334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291">
        <v>72</v>
      </c>
      <c r="B72" s="291">
        <v>463</v>
      </c>
      <c r="C72" s="297">
        <v>8</v>
      </c>
      <c r="D72" s="291">
        <v>101</v>
      </c>
      <c r="E72" s="294">
        <v>0.7</v>
      </c>
      <c r="F72" s="294">
        <v>0.16800000000000001</v>
      </c>
      <c r="G72" s="294">
        <v>0.13200000000000001</v>
      </c>
      <c r="H72" s="294">
        <v>0</v>
      </c>
      <c r="I72" s="52">
        <f t="shared" si="2"/>
        <v>11.666666666666666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291">
        <v>78</v>
      </c>
      <c r="B73" s="291">
        <v>426</v>
      </c>
      <c r="C73" s="297" t="s">
        <v>324</v>
      </c>
      <c r="D73" s="291">
        <v>426</v>
      </c>
      <c r="E73" s="294">
        <v>0.7</v>
      </c>
      <c r="F73" s="294">
        <v>0.16800000000000001</v>
      </c>
      <c r="G73" s="294">
        <v>0.13200000000000001</v>
      </c>
      <c r="H73" s="294">
        <v>0</v>
      </c>
      <c r="I73" s="52">
        <f t="shared" si="2"/>
        <v>10.666666666666666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Mélèze hybride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334" t="s">
        <v>186</v>
      </c>
      <c r="D86" s="334"/>
      <c r="E86" s="335" t="s">
        <v>187</v>
      </c>
      <c r="F86" s="336"/>
      <c r="G86" s="336"/>
      <c r="H86" s="337"/>
      <c r="I86" s="10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298">
        <v>12</v>
      </c>
      <c r="B88" s="299">
        <v>103</v>
      </c>
      <c r="C88" s="300">
        <v>0</v>
      </c>
      <c r="D88" s="299">
        <v>0</v>
      </c>
      <c r="E88" s="301">
        <v>0</v>
      </c>
      <c r="F88" s="301">
        <v>0.56000000000000005</v>
      </c>
      <c r="G88" s="301">
        <v>0.44</v>
      </c>
      <c r="H88" s="301">
        <v>0</v>
      </c>
      <c r="I88" s="56">
        <f>IFERROR(B88/A88,"")</f>
        <v>8.5833333333333339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302">
        <v>18</v>
      </c>
      <c r="B89" s="303">
        <v>262</v>
      </c>
      <c r="C89" s="304">
        <v>0</v>
      </c>
      <c r="D89" s="303">
        <v>0</v>
      </c>
      <c r="E89" s="305">
        <v>0</v>
      </c>
      <c r="F89" s="305">
        <v>0.56000000000000005</v>
      </c>
      <c r="G89" s="305">
        <v>0.44</v>
      </c>
      <c r="H89" s="305">
        <v>0</v>
      </c>
      <c r="I89" s="56">
        <f t="shared" ref="I89:I107" si="3">IF(A89&lt;&gt;0,(B89-(B88-D88))/(A89-A88),"")</f>
        <v>26.5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302">
        <v>24</v>
      </c>
      <c r="B90" s="303">
        <v>423</v>
      </c>
      <c r="C90" s="306">
        <v>0</v>
      </c>
      <c r="D90" s="303">
        <v>0</v>
      </c>
      <c r="E90" s="305">
        <v>0.7</v>
      </c>
      <c r="F90" s="305">
        <v>0.17</v>
      </c>
      <c r="G90" s="305">
        <v>0.13</v>
      </c>
      <c r="H90" s="305">
        <v>0</v>
      </c>
      <c r="I90" s="56">
        <f t="shared" si="3"/>
        <v>26.833333333333332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302">
        <v>30</v>
      </c>
      <c r="B91" s="303">
        <v>583</v>
      </c>
      <c r="C91" s="306">
        <v>1</v>
      </c>
      <c r="D91" s="303">
        <v>107</v>
      </c>
      <c r="E91" s="305">
        <v>0.7</v>
      </c>
      <c r="F91" s="305">
        <v>0.17</v>
      </c>
      <c r="G91" s="305">
        <v>0.13</v>
      </c>
      <c r="H91" s="305">
        <v>0</v>
      </c>
      <c r="I91" s="56">
        <f t="shared" si="3"/>
        <v>26.666666666666668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302">
        <v>36</v>
      </c>
      <c r="B92" s="303">
        <v>621</v>
      </c>
      <c r="C92" s="306">
        <v>2</v>
      </c>
      <c r="D92" s="303">
        <v>119</v>
      </c>
      <c r="E92" s="305">
        <v>0.7</v>
      </c>
      <c r="F92" s="305">
        <v>0.17</v>
      </c>
      <c r="G92" s="305">
        <v>0.13</v>
      </c>
      <c r="H92" s="305">
        <v>0</v>
      </c>
      <c r="I92" s="56">
        <f t="shared" si="3"/>
        <v>24.166666666666668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302">
        <v>42</v>
      </c>
      <c r="B93" s="303">
        <v>615</v>
      </c>
      <c r="C93" s="306">
        <v>3</v>
      </c>
      <c r="D93" s="303">
        <v>121</v>
      </c>
      <c r="E93" s="305">
        <v>0.7</v>
      </c>
      <c r="F93" s="305">
        <v>0.17</v>
      </c>
      <c r="G93" s="305">
        <v>0.13</v>
      </c>
      <c r="H93" s="305">
        <v>0</v>
      </c>
      <c r="I93" s="56">
        <f t="shared" si="3"/>
        <v>18.833333333333332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302">
        <v>48</v>
      </c>
      <c r="B94" s="303">
        <v>600</v>
      </c>
      <c r="C94" s="306">
        <v>4</v>
      </c>
      <c r="D94" s="303">
        <v>123</v>
      </c>
      <c r="E94" s="305">
        <v>0.7</v>
      </c>
      <c r="F94" s="305">
        <v>0.17</v>
      </c>
      <c r="G94" s="305">
        <v>0.13</v>
      </c>
      <c r="H94" s="305">
        <v>0</v>
      </c>
      <c r="I94" s="56">
        <f t="shared" si="3"/>
        <v>17.666666666666668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302">
        <v>54</v>
      </c>
      <c r="B95" s="303">
        <v>573</v>
      </c>
      <c r="C95" s="306">
        <v>5</v>
      </c>
      <c r="D95" s="303">
        <v>119</v>
      </c>
      <c r="E95" s="305">
        <v>0.7</v>
      </c>
      <c r="F95" s="305">
        <v>0.17</v>
      </c>
      <c r="G95" s="305">
        <v>0.13</v>
      </c>
      <c r="H95" s="305">
        <v>0</v>
      </c>
      <c r="I95" s="56">
        <f t="shared" si="3"/>
        <v>16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302">
        <v>60</v>
      </c>
      <c r="B96" s="303">
        <v>534</v>
      </c>
      <c r="C96" s="306">
        <v>6</v>
      </c>
      <c r="D96" s="303">
        <v>112</v>
      </c>
      <c r="E96" s="305">
        <v>0.7</v>
      </c>
      <c r="F96" s="305">
        <v>0.17</v>
      </c>
      <c r="G96" s="305">
        <v>0.13</v>
      </c>
      <c r="H96" s="305">
        <v>0</v>
      </c>
      <c r="I96" s="56">
        <f t="shared" si="3"/>
        <v>13.333333333333334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302">
        <v>66</v>
      </c>
      <c r="B97" s="303">
        <v>502</v>
      </c>
      <c r="C97" s="306">
        <v>7</v>
      </c>
      <c r="D97" s="303">
        <v>109</v>
      </c>
      <c r="E97" s="305">
        <v>0.7</v>
      </c>
      <c r="F97" s="305">
        <v>0.17</v>
      </c>
      <c r="G97" s="305">
        <v>0.13</v>
      </c>
      <c r="H97" s="305">
        <v>0</v>
      </c>
      <c r="I97" s="56">
        <f t="shared" si="3"/>
        <v>13.333333333333334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302">
        <v>72</v>
      </c>
      <c r="B98" s="303">
        <v>463</v>
      </c>
      <c r="C98" s="306">
        <v>8</v>
      </c>
      <c r="D98" s="303">
        <v>101</v>
      </c>
      <c r="E98" s="305">
        <v>0.7</v>
      </c>
      <c r="F98" s="305">
        <v>0.17</v>
      </c>
      <c r="G98" s="305">
        <v>0.13</v>
      </c>
      <c r="H98" s="305">
        <v>0</v>
      </c>
      <c r="I98" s="56">
        <f t="shared" si="3"/>
        <v>11.666666666666666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302">
        <v>78</v>
      </c>
      <c r="B99" s="303">
        <v>426</v>
      </c>
      <c r="C99" s="306" t="s">
        <v>324</v>
      </c>
      <c r="D99" s="303">
        <v>426</v>
      </c>
      <c r="E99" s="305">
        <v>0.7</v>
      </c>
      <c r="F99" s="305">
        <v>0.17</v>
      </c>
      <c r="G99" s="305">
        <v>0.13</v>
      </c>
      <c r="H99" s="305">
        <v>0</v>
      </c>
      <c r="I99" s="56">
        <f t="shared" si="3"/>
        <v>10.666666666666666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Chêne sessile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4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334" t="s">
        <v>186</v>
      </c>
      <c r="D112" s="334"/>
      <c r="E112" s="335" t="s">
        <v>187</v>
      </c>
      <c r="F112" s="336"/>
      <c r="G112" s="336"/>
      <c r="H112" s="337"/>
      <c r="I112" s="103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307">
        <v>42</v>
      </c>
      <c r="B114" s="308">
        <v>113</v>
      </c>
      <c r="C114" s="309">
        <v>1</v>
      </c>
      <c r="D114" s="309">
        <v>30</v>
      </c>
      <c r="E114" s="310">
        <v>0</v>
      </c>
      <c r="F114" s="310">
        <v>0</v>
      </c>
      <c r="G114" s="310">
        <v>0</v>
      </c>
      <c r="H114" s="310">
        <v>1</v>
      </c>
      <c r="I114" s="56">
        <f>IFERROR(B114/A114,"")</f>
        <v>2.6904761904761907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311">
        <v>48</v>
      </c>
      <c r="B115" s="312">
        <v>120</v>
      </c>
      <c r="C115" s="313">
        <v>2</v>
      </c>
      <c r="D115" s="313">
        <v>28</v>
      </c>
      <c r="E115" s="314">
        <v>0</v>
      </c>
      <c r="F115" s="314">
        <v>0</v>
      </c>
      <c r="G115" s="314">
        <v>0</v>
      </c>
      <c r="H115" s="314">
        <v>1</v>
      </c>
      <c r="I115" s="56">
        <f t="shared" ref="I115:I133" si="4">IF(A115&lt;&gt;0,(B115-(B114-D114))/(A115-A114),"")</f>
        <v>6.166666666666667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311">
        <v>56</v>
      </c>
      <c r="B116" s="312">
        <v>138</v>
      </c>
      <c r="C116" s="313">
        <v>3</v>
      </c>
      <c r="D116" s="313">
        <v>36</v>
      </c>
      <c r="E116" s="314">
        <v>0</v>
      </c>
      <c r="F116" s="314">
        <v>0</v>
      </c>
      <c r="G116" s="314">
        <v>0</v>
      </c>
      <c r="H116" s="314">
        <v>1</v>
      </c>
      <c r="I116" s="56">
        <f t="shared" si="4"/>
        <v>5.75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311">
        <v>64</v>
      </c>
      <c r="B117" s="312">
        <v>155</v>
      </c>
      <c r="C117" s="313">
        <v>4</v>
      </c>
      <c r="D117" s="313">
        <v>41</v>
      </c>
      <c r="E117" s="314">
        <v>0.7</v>
      </c>
      <c r="F117" s="314">
        <v>0</v>
      </c>
      <c r="G117" s="314">
        <v>0</v>
      </c>
      <c r="H117" s="314">
        <v>0.3</v>
      </c>
      <c r="I117" s="56">
        <f t="shared" si="4"/>
        <v>6.625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311">
        <v>72</v>
      </c>
      <c r="B118" s="312">
        <v>160</v>
      </c>
      <c r="C118" s="313">
        <v>5</v>
      </c>
      <c r="D118" s="313">
        <v>32</v>
      </c>
      <c r="E118" s="314">
        <v>0.7</v>
      </c>
      <c r="F118" s="314">
        <v>0</v>
      </c>
      <c r="G118" s="314">
        <v>0</v>
      </c>
      <c r="H118" s="314">
        <v>0.3</v>
      </c>
      <c r="I118" s="56">
        <f t="shared" si="4"/>
        <v>5.75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311">
        <v>81</v>
      </c>
      <c r="B119" s="312">
        <v>173</v>
      </c>
      <c r="C119" s="313">
        <v>6</v>
      </c>
      <c r="D119" s="313">
        <v>31</v>
      </c>
      <c r="E119" s="314">
        <v>0.7</v>
      </c>
      <c r="F119" s="314">
        <v>0</v>
      </c>
      <c r="G119" s="314">
        <v>0</v>
      </c>
      <c r="H119" s="314">
        <v>0.3</v>
      </c>
      <c r="I119" s="56">
        <f t="shared" si="4"/>
        <v>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311">
        <v>90</v>
      </c>
      <c r="B120" s="312">
        <v>184</v>
      </c>
      <c r="C120" s="313">
        <v>7</v>
      </c>
      <c r="D120" s="313">
        <v>30</v>
      </c>
      <c r="E120" s="314">
        <v>0.7</v>
      </c>
      <c r="F120" s="314">
        <v>0</v>
      </c>
      <c r="G120" s="314">
        <v>0</v>
      </c>
      <c r="H120" s="314">
        <v>0.3</v>
      </c>
      <c r="I120" s="56">
        <f t="shared" si="4"/>
        <v>4.666666666666667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311">
        <v>102</v>
      </c>
      <c r="B121" s="312">
        <v>211</v>
      </c>
      <c r="C121" s="313">
        <v>8</v>
      </c>
      <c r="D121" s="313">
        <v>41</v>
      </c>
      <c r="E121" s="314">
        <v>0.9</v>
      </c>
      <c r="F121" s="314">
        <v>0</v>
      </c>
      <c r="G121" s="314">
        <v>0</v>
      </c>
      <c r="H121" s="314">
        <v>0.1</v>
      </c>
      <c r="I121" s="56">
        <f t="shared" si="4"/>
        <v>4.75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311">
        <v>114</v>
      </c>
      <c r="B122" s="312">
        <v>225</v>
      </c>
      <c r="C122" s="313">
        <v>9</v>
      </c>
      <c r="D122" s="313">
        <v>37</v>
      </c>
      <c r="E122" s="314">
        <v>0.9</v>
      </c>
      <c r="F122" s="314">
        <v>0</v>
      </c>
      <c r="G122" s="314">
        <v>0</v>
      </c>
      <c r="H122" s="314">
        <v>0.1</v>
      </c>
      <c r="I122" s="56">
        <f t="shared" si="4"/>
        <v>4.583333333333333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311">
        <v>126</v>
      </c>
      <c r="B123" s="312">
        <v>244</v>
      </c>
      <c r="C123" s="313">
        <v>10</v>
      </c>
      <c r="D123" s="313">
        <v>38</v>
      </c>
      <c r="E123" s="314">
        <v>0.9</v>
      </c>
      <c r="F123" s="314">
        <v>0</v>
      </c>
      <c r="G123" s="314">
        <v>0</v>
      </c>
      <c r="H123" s="314">
        <v>0.1</v>
      </c>
      <c r="I123" s="56">
        <f t="shared" si="4"/>
        <v>4.666666666666667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311">
        <v>138</v>
      </c>
      <c r="B124" s="312">
        <v>262</v>
      </c>
      <c r="C124" s="313">
        <v>11</v>
      </c>
      <c r="D124" s="313">
        <v>39</v>
      </c>
      <c r="E124" s="314">
        <v>0.9</v>
      </c>
      <c r="F124" s="314">
        <v>0</v>
      </c>
      <c r="G124" s="314">
        <v>0</v>
      </c>
      <c r="H124" s="314">
        <v>0.1</v>
      </c>
      <c r="I124" s="56">
        <f t="shared" si="4"/>
        <v>4.666666666666667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311">
        <v>153</v>
      </c>
      <c r="B125" s="312">
        <v>296</v>
      </c>
      <c r="C125" s="313" t="s">
        <v>324</v>
      </c>
      <c r="D125" s="313">
        <v>296</v>
      </c>
      <c r="E125" s="314">
        <v>0.9</v>
      </c>
      <c r="F125" s="314">
        <v>0</v>
      </c>
      <c r="G125" s="314">
        <v>0</v>
      </c>
      <c r="H125" s="314">
        <v>0.1</v>
      </c>
      <c r="I125" s="56">
        <f t="shared" si="4"/>
        <v>4.8666666666666663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Chêne pubescent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4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334" t="s">
        <v>186</v>
      </c>
      <c r="D138" s="334"/>
      <c r="E138" s="335" t="s">
        <v>187</v>
      </c>
      <c r="F138" s="336"/>
      <c r="G138" s="336"/>
      <c r="H138" s="337"/>
      <c r="I138" s="103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307">
        <v>42</v>
      </c>
      <c r="B140" s="308">
        <v>113</v>
      </c>
      <c r="C140" s="309">
        <v>1</v>
      </c>
      <c r="D140" s="309">
        <v>30</v>
      </c>
      <c r="E140" s="310">
        <v>0</v>
      </c>
      <c r="F140" s="310">
        <v>0</v>
      </c>
      <c r="G140" s="310">
        <v>0</v>
      </c>
      <c r="H140" s="310">
        <v>1</v>
      </c>
      <c r="I140" s="60">
        <f>IFERROR(B140/A140,"")</f>
        <v>2.6904761904761907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311">
        <v>48</v>
      </c>
      <c r="B141" s="312">
        <v>120</v>
      </c>
      <c r="C141" s="313">
        <v>2</v>
      </c>
      <c r="D141" s="313">
        <v>28</v>
      </c>
      <c r="E141" s="314">
        <v>0</v>
      </c>
      <c r="F141" s="314">
        <v>0</v>
      </c>
      <c r="G141" s="314">
        <v>0</v>
      </c>
      <c r="H141" s="314">
        <v>1</v>
      </c>
      <c r="I141" s="60">
        <f t="shared" ref="I141:I159" si="5">IF(A141&lt;&gt;0,(B141-(B140-D140))/(A141-A140),"")</f>
        <v>6.166666666666667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311">
        <v>56</v>
      </c>
      <c r="B142" s="312">
        <v>138</v>
      </c>
      <c r="C142" s="313">
        <v>3</v>
      </c>
      <c r="D142" s="313">
        <v>36</v>
      </c>
      <c r="E142" s="314">
        <v>0</v>
      </c>
      <c r="F142" s="314">
        <v>0</v>
      </c>
      <c r="G142" s="314">
        <v>0</v>
      </c>
      <c r="H142" s="314">
        <v>1</v>
      </c>
      <c r="I142" s="60">
        <f t="shared" si="5"/>
        <v>5.75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311">
        <v>64</v>
      </c>
      <c r="B143" s="312">
        <v>155</v>
      </c>
      <c r="C143" s="313">
        <v>4</v>
      </c>
      <c r="D143" s="313">
        <v>41</v>
      </c>
      <c r="E143" s="314">
        <v>0.7</v>
      </c>
      <c r="F143" s="314">
        <v>0</v>
      </c>
      <c r="G143" s="314">
        <v>0</v>
      </c>
      <c r="H143" s="314">
        <v>0.3</v>
      </c>
      <c r="I143" s="60">
        <f t="shared" si="5"/>
        <v>6.625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311">
        <v>72</v>
      </c>
      <c r="B144" s="312">
        <v>160</v>
      </c>
      <c r="C144" s="313">
        <v>5</v>
      </c>
      <c r="D144" s="313">
        <v>32</v>
      </c>
      <c r="E144" s="314">
        <v>0.7</v>
      </c>
      <c r="F144" s="314">
        <v>0</v>
      </c>
      <c r="G144" s="314">
        <v>0</v>
      </c>
      <c r="H144" s="314">
        <v>0.3</v>
      </c>
      <c r="I144" s="60">
        <f t="shared" si="5"/>
        <v>5.75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311">
        <v>81</v>
      </c>
      <c r="B145" s="312">
        <v>173</v>
      </c>
      <c r="C145" s="313">
        <v>6</v>
      </c>
      <c r="D145" s="313">
        <v>31</v>
      </c>
      <c r="E145" s="314">
        <v>0.7</v>
      </c>
      <c r="F145" s="314">
        <v>0</v>
      </c>
      <c r="G145" s="314">
        <v>0</v>
      </c>
      <c r="H145" s="314">
        <v>0.3</v>
      </c>
      <c r="I145" s="60">
        <f t="shared" si="5"/>
        <v>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311">
        <v>90</v>
      </c>
      <c r="B146" s="312">
        <v>184</v>
      </c>
      <c r="C146" s="313">
        <v>7</v>
      </c>
      <c r="D146" s="313">
        <v>30</v>
      </c>
      <c r="E146" s="314">
        <v>0.7</v>
      </c>
      <c r="F146" s="314">
        <v>0</v>
      </c>
      <c r="G146" s="314">
        <v>0</v>
      </c>
      <c r="H146" s="314">
        <v>0.3</v>
      </c>
      <c r="I146" s="60">
        <f t="shared" si="5"/>
        <v>4.666666666666667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311">
        <v>102</v>
      </c>
      <c r="B147" s="312">
        <v>211</v>
      </c>
      <c r="C147" s="313">
        <v>8</v>
      </c>
      <c r="D147" s="313">
        <v>41</v>
      </c>
      <c r="E147" s="314">
        <v>0.9</v>
      </c>
      <c r="F147" s="314">
        <v>0</v>
      </c>
      <c r="G147" s="314">
        <v>0</v>
      </c>
      <c r="H147" s="314">
        <v>0.1</v>
      </c>
      <c r="I147" s="60">
        <f>IF(A147&lt;&gt;0,(B147-(B146-D146))/(A147-A146),"")</f>
        <v>4.75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311">
        <v>114</v>
      </c>
      <c r="B148" s="312">
        <v>225</v>
      </c>
      <c r="C148" s="313">
        <v>9</v>
      </c>
      <c r="D148" s="313">
        <v>37</v>
      </c>
      <c r="E148" s="314">
        <v>0.9</v>
      </c>
      <c r="F148" s="314">
        <v>0</v>
      </c>
      <c r="G148" s="314">
        <v>0</v>
      </c>
      <c r="H148" s="314">
        <v>0.1</v>
      </c>
      <c r="I148" s="60">
        <f t="shared" si="5"/>
        <v>4.583333333333333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311">
        <v>126</v>
      </c>
      <c r="B149" s="312">
        <v>244</v>
      </c>
      <c r="C149" s="313">
        <v>10</v>
      </c>
      <c r="D149" s="313">
        <v>38</v>
      </c>
      <c r="E149" s="314">
        <v>0.9</v>
      </c>
      <c r="F149" s="314">
        <v>0</v>
      </c>
      <c r="G149" s="314">
        <v>0</v>
      </c>
      <c r="H149" s="314">
        <v>0.1</v>
      </c>
      <c r="I149" s="60">
        <f t="shared" si="5"/>
        <v>4.666666666666667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311">
        <v>138</v>
      </c>
      <c r="B150" s="312">
        <v>262</v>
      </c>
      <c r="C150" s="313">
        <v>11</v>
      </c>
      <c r="D150" s="313">
        <v>39</v>
      </c>
      <c r="E150" s="314">
        <v>0.9</v>
      </c>
      <c r="F150" s="314">
        <v>0</v>
      </c>
      <c r="G150" s="314">
        <v>0</v>
      </c>
      <c r="H150" s="314">
        <v>0.1</v>
      </c>
      <c r="I150" s="60">
        <f t="shared" si="5"/>
        <v>4.666666666666667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311">
        <v>153</v>
      </c>
      <c r="B151" s="312">
        <v>296</v>
      </c>
      <c r="C151" s="313" t="s">
        <v>324</v>
      </c>
      <c r="D151" s="313">
        <v>296</v>
      </c>
      <c r="E151" s="314">
        <v>0.9</v>
      </c>
      <c r="F151" s="314">
        <v>0</v>
      </c>
      <c r="G151" s="314">
        <v>0</v>
      </c>
      <c r="H151" s="314">
        <v>0.1</v>
      </c>
      <c r="I151" s="60">
        <f t="shared" si="5"/>
        <v>4.8666666666666663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>Alisier torminal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4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334" t="s">
        <v>186</v>
      </c>
      <c r="D164" s="334"/>
      <c r="E164" s="335" t="s">
        <v>187</v>
      </c>
      <c r="F164" s="336"/>
      <c r="G164" s="336"/>
      <c r="H164" s="337"/>
      <c r="I164" s="103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331">
        <v>56</v>
      </c>
      <c r="B166" s="331">
        <v>112</v>
      </c>
      <c r="C166" s="295">
        <v>1</v>
      </c>
      <c r="D166" s="295">
        <v>33</v>
      </c>
      <c r="E166" s="294">
        <v>0</v>
      </c>
      <c r="F166" s="294">
        <v>0</v>
      </c>
      <c r="G166" s="294">
        <v>0</v>
      </c>
      <c r="H166" s="294">
        <v>1</v>
      </c>
      <c r="I166" s="52">
        <f>IFERROR(B166/A166,"")</f>
        <v>2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331">
        <v>64</v>
      </c>
      <c r="B167" s="332">
        <v>119</v>
      </c>
      <c r="C167" s="295">
        <v>2</v>
      </c>
      <c r="D167" s="295">
        <v>34</v>
      </c>
      <c r="E167" s="294">
        <v>0</v>
      </c>
      <c r="F167" s="294">
        <v>0</v>
      </c>
      <c r="G167" s="294">
        <v>0</v>
      </c>
      <c r="H167" s="294">
        <v>1</v>
      </c>
      <c r="I167" s="52">
        <f t="shared" ref="I167:I185" si="6">IF(A167&lt;&gt;0,(B167-(B166-D166))/(A167-A166),"")</f>
        <v>5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331">
        <v>72</v>
      </c>
      <c r="B168" s="332">
        <v>118</v>
      </c>
      <c r="C168" s="295">
        <v>3</v>
      </c>
      <c r="D168" s="295">
        <v>28</v>
      </c>
      <c r="E168" s="294">
        <v>0</v>
      </c>
      <c r="F168" s="294">
        <v>0</v>
      </c>
      <c r="G168" s="294">
        <v>0</v>
      </c>
      <c r="H168" s="294">
        <v>1</v>
      </c>
      <c r="I168" s="52">
        <f t="shared" si="6"/>
        <v>4.125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331">
        <v>81</v>
      </c>
      <c r="B169" s="332">
        <v>122</v>
      </c>
      <c r="C169" s="295">
        <v>4</v>
      </c>
      <c r="D169" s="295">
        <v>26</v>
      </c>
      <c r="E169" s="294">
        <v>0.7</v>
      </c>
      <c r="F169" s="294">
        <v>0</v>
      </c>
      <c r="G169" s="294">
        <v>0</v>
      </c>
      <c r="H169" s="294">
        <v>0.3</v>
      </c>
      <c r="I169" s="52">
        <f t="shared" si="6"/>
        <v>3.5555555555555554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331">
        <v>90</v>
      </c>
      <c r="B170" s="332">
        <v>125</v>
      </c>
      <c r="C170" s="295">
        <v>5</v>
      </c>
      <c r="D170" s="295">
        <v>22</v>
      </c>
      <c r="E170" s="294">
        <v>0.7</v>
      </c>
      <c r="F170" s="294">
        <v>0</v>
      </c>
      <c r="G170" s="294">
        <v>0</v>
      </c>
      <c r="H170" s="294">
        <v>0.3</v>
      </c>
      <c r="I170" s="52">
        <f t="shared" si="6"/>
        <v>3.2222222222222223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331">
        <v>100</v>
      </c>
      <c r="B171" s="332">
        <v>134</v>
      </c>
      <c r="C171" s="295">
        <v>6</v>
      </c>
      <c r="D171" s="295">
        <v>22</v>
      </c>
      <c r="E171" s="294">
        <v>0.7</v>
      </c>
      <c r="F171" s="294">
        <v>0</v>
      </c>
      <c r="G171" s="294">
        <v>0</v>
      </c>
      <c r="H171" s="294">
        <v>0.3</v>
      </c>
      <c r="I171" s="52">
        <f t="shared" si="6"/>
        <v>3.1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331">
        <v>110</v>
      </c>
      <c r="B172" s="332">
        <v>146</v>
      </c>
      <c r="C172" s="295">
        <v>7</v>
      </c>
      <c r="D172" s="295">
        <v>24</v>
      </c>
      <c r="E172" s="294">
        <v>0.7</v>
      </c>
      <c r="F172" s="294">
        <v>0</v>
      </c>
      <c r="G172" s="294">
        <v>0</v>
      </c>
      <c r="H172" s="294">
        <v>0.3</v>
      </c>
      <c r="I172" s="52">
        <f t="shared" si="6"/>
        <v>3.4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331">
        <v>122</v>
      </c>
      <c r="B173" s="332">
        <v>159</v>
      </c>
      <c r="C173" s="295">
        <v>8</v>
      </c>
      <c r="D173" s="295">
        <v>25</v>
      </c>
      <c r="E173" s="294">
        <v>0.9</v>
      </c>
      <c r="F173" s="294">
        <v>0</v>
      </c>
      <c r="G173" s="294">
        <v>0</v>
      </c>
      <c r="H173" s="294">
        <v>0.1</v>
      </c>
      <c r="I173" s="52">
        <f t="shared" si="6"/>
        <v>3.0833333333333335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331">
        <v>134</v>
      </c>
      <c r="B174" s="331">
        <v>171</v>
      </c>
      <c r="C174" s="295">
        <v>9</v>
      </c>
      <c r="D174" s="295">
        <v>26</v>
      </c>
      <c r="E174" s="294">
        <v>0.9</v>
      </c>
      <c r="F174" s="294">
        <v>0</v>
      </c>
      <c r="G174" s="294">
        <v>0</v>
      </c>
      <c r="H174" s="294">
        <v>0.1</v>
      </c>
      <c r="I174" s="52">
        <f t="shared" si="6"/>
        <v>3.0833333333333335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331">
        <v>148</v>
      </c>
      <c r="B175" s="331">
        <v>189</v>
      </c>
      <c r="C175" s="295">
        <v>10</v>
      </c>
      <c r="D175" s="295">
        <v>30</v>
      </c>
      <c r="E175" s="294">
        <v>0.9</v>
      </c>
      <c r="F175" s="294">
        <v>0</v>
      </c>
      <c r="G175" s="294">
        <v>0</v>
      </c>
      <c r="H175" s="294">
        <v>0.1</v>
      </c>
      <c r="I175" s="52">
        <f t="shared" si="6"/>
        <v>3.1428571428571428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331">
        <v>162</v>
      </c>
      <c r="B176" s="331">
        <v>212</v>
      </c>
      <c r="C176" s="295">
        <v>11</v>
      </c>
      <c r="D176" s="295">
        <v>37</v>
      </c>
      <c r="E176" s="294">
        <v>0.9</v>
      </c>
      <c r="F176" s="294">
        <v>0</v>
      </c>
      <c r="G176" s="294">
        <v>0</v>
      </c>
      <c r="H176" s="294">
        <v>0.1</v>
      </c>
      <c r="I176" s="52">
        <f t="shared" si="6"/>
        <v>3.7857142857142856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331">
        <v>177</v>
      </c>
      <c r="B177" s="331">
        <v>230</v>
      </c>
      <c r="C177" s="295" t="s">
        <v>324</v>
      </c>
      <c r="D177" s="295">
        <v>230</v>
      </c>
      <c r="E177" s="294">
        <v>0.9</v>
      </c>
      <c r="F177" s="294">
        <v>0</v>
      </c>
      <c r="G177" s="294">
        <v>0</v>
      </c>
      <c r="H177" s="294">
        <v>0.1</v>
      </c>
      <c r="I177" s="52">
        <f t="shared" si="6"/>
        <v>3.6666666666666665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>Tilleul</v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4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334" t="s">
        <v>186</v>
      </c>
      <c r="D190" s="334"/>
      <c r="E190" s="335" t="s">
        <v>187</v>
      </c>
      <c r="F190" s="336"/>
      <c r="G190" s="336"/>
      <c r="H190" s="337"/>
      <c r="I190" s="103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291">
        <v>15</v>
      </c>
      <c r="B192" s="315">
        <v>81.10499999999999</v>
      </c>
      <c r="C192" s="295">
        <v>1</v>
      </c>
      <c r="D192" s="315">
        <v>13.517499999999998</v>
      </c>
      <c r="E192" s="294">
        <v>0</v>
      </c>
      <c r="F192" s="294">
        <v>0</v>
      </c>
      <c r="G192" s="294">
        <v>0</v>
      </c>
      <c r="H192" s="294">
        <v>1</v>
      </c>
      <c r="I192" s="52">
        <f>IFERROR(B192/A192,"")</f>
        <v>5.4069999999999991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291">
        <v>25</v>
      </c>
      <c r="B193" s="315">
        <v>146.73250000000002</v>
      </c>
      <c r="C193" s="295">
        <v>2</v>
      </c>
      <c r="D193" s="315">
        <v>24.455416666666672</v>
      </c>
      <c r="E193" s="294">
        <v>0.7</v>
      </c>
      <c r="F193" s="294">
        <v>0</v>
      </c>
      <c r="G193" s="294">
        <v>0</v>
      </c>
      <c r="H193" s="294">
        <v>0.3</v>
      </c>
      <c r="I193" s="52">
        <f t="shared" ref="I193:I211" si="7">IF(A193&lt;&gt;0,(B193-(B192-D192))/(A193-A192),"")</f>
        <v>7.9145000000000021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291">
        <v>35</v>
      </c>
      <c r="B194" s="315">
        <v>221.48208333333338</v>
      </c>
      <c r="C194" s="295">
        <v>3</v>
      </c>
      <c r="D194" s="315">
        <v>36.913680555555565</v>
      </c>
      <c r="E194" s="294">
        <v>0.7</v>
      </c>
      <c r="F194" s="294">
        <v>0</v>
      </c>
      <c r="G194" s="294">
        <v>0</v>
      </c>
      <c r="H194" s="294">
        <v>0.3</v>
      </c>
      <c r="I194" s="52">
        <f t="shared" si="7"/>
        <v>9.9205000000000041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291">
        <v>45</v>
      </c>
      <c r="B195" s="315">
        <v>303.83340277777774</v>
      </c>
      <c r="C195" s="295">
        <v>4</v>
      </c>
      <c r="D195" s="315">
        <v>50.638900462962958</v>
      </c>
      <c r="E195" s="294">
        <v>0.7</v>
      </c>
      <c r="F195" s="294">
        <v>0</v>
      </c>
      <c r="G195" s="294">
        <v>0</v>
      </c>
      <c r="H195" s="294">
        <v>0.3</v>
      </c>
      <c r="I195" s="52">
        <f t="shared" si="7"/>
        <v>11.926499999999994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291">
        <v>55</v>
      </c>
      <c r="B196" s="315">
        <v>392.51950231481487</v>
      </c>
      <c r="C196" s="295" t="s">
        <v>324</v>
      </c>
      <c r="D196" s="315">
        <v>392.51950231481487</v>
      </c>
      <c r="E196" s="294">
        <v>0.7</v>
      </c>
      <c r="F196" s="294">
        <v>0</v>
      </c>
      <c r="G196" s="294">
        <v>0</v>
      </c>
      <c r="H196" s="294">
        <v>0.3</v>
      </c>
      <c r="I196" s="52">
        <f t="shared" si="7"/>
        <v>13.93250000000001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>Merisier</v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4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334" t="s">
        <v>186</v>
      </c>
      <c r="D216" s="334"/>
      <c r="E216" s="335" t="s">
        <v>187</v>
      </c>
      <c r="F216" s="336"/>
      <c r="G216" s="336"/>
      <c r="H216" s="337"/>
      <c r="I216" s="103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291">
        <v>15</v>
      </c>
      <c r="B218" s="315">
        <v>81.10499999999999</v>
      </c>
      <c r="C218" s="295">
        <v>1</v>
      </c>
      <c r="D218" s="315">
        <v>13.517499999999998</v>
      </c>
      <c r="E218" s="294">
        <v>0</v>
      </c>
      <c r="F218" s="294">
        <v>0</v>
      </c>
      <c r="G218" s="294">
        <v>0</v>
      </c>
      <c r="H218" s="294">
        <v>1</v>
      </c>
      <c r="I218" s="56">
        <f>IFERROR(B218/A218,"")</f>
        <v>5.4069999999999991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291">
        <v>25</v>
      </c>
      <c r="B219" s="315">
        <v>146.73250000000002</v>
      </c>
      <c r="C219" s="295">
        <v>2</v>
      </c>
      <c r="D219" s="315">
        <v>24.455416666666672</v>
      </c>
      <c r="E219" s="294">
        <v>0.7</v>
      </c>
      <c r="F219" s="294">
        <v>0</v>
      </c>
      <c r="G219" s="294">
        <v>0</v>
      </c>
      <c r="H219" s="294">
        <v>0.3</v>
      </c>
      <c r="I219" s="56">
        <f t="shared" ref="I219:I237" si="8">IF(A219&lt;&gt;0,(B219-(B218-D218))/(A219-A218),"")</f>
        <v>7.9145000000000021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291">
        <v>35</v>
      </c>
      <c r="B220" s="315">
        <v>221.48208333333338</v>
      </c>
      <c r="C220" s="295">
        <v>3</v>
      </c>
      <c r="D220" s="315">
        <v>36.913680555555565</v>
      </c>
      <c r="E220" s="294">
        <v>0.7</v>
      </c>
      <c r="F220" s="294">
        <v>0</v>
      </c>
      <c r="G220" s="294">
        <v>0</v>
      </c>
      <c r="H220" s="294">
        <v>0.3</v>
      </c>
      <c r="I220" s="56">
        <f t="shared" si="8"/>
        <v>9.9205000000000041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291">
        <v>45</v>
      </c>
      <c r="B221" s="315">
        <v>303.83340277777774</v>
      </c>
      <c r="C221" s="295">
        <v>4</v>
      </c>
      <c r="D221" s="315">
        <v>50.638900462962958</v>
      </c>
      <c r="E221" s="294">
        <v>0.7</v>
      </c>
      <c r="F221" s="294">
        <v>0</v>
      </c>
      <c r="G221" s="294">
        <v>0</v>
      </c>
      <c r="H221" s="294">
        <v>0.3</v>
      </c>
      <c r="I221" s="56">
        <f t="shared" si="8"/>
        <v>11.926499999999994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291">
        <v>55</v>
      </c>
      <c r="B222" s="315">
        <v>392.51950231481487</v>
      </c>
      <c r="C222" s="295" t="s">
        <v>324</v>
      </c>
      <c r="D222" s="315">
        <v>392.51950231481487</v>
      </c>
      <c r="E222" s="294">
        <v>0.7</v>
      </c>
      <c r="F222" s="294">
        <v>0</v>
      </c>
      <c r="G222" s="294">
        <v>0</v>
      </c>
      <c r="H222" s="294">
        <v>0.3</v>
      </c>
      <c r="I222" s="56">
        <f t="shared" si="8"/>
        <v>13.93250000000001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3"/>
      <c r="B231" s="63"/>
      <c r="C231" s="93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>Erable sycomore</v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4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334" t="s">
        <v>186</v>
      </c>
      <c r="D242" s="334"/>
      <c r="E242" s="335" t="s">
        <v>187</v>
      </c>
      <c r="F242" s="336"/>
      <c r="G242" s="336"/>
      <c r="H242" s="337"/>
      <c r="I242" s="103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291">
        <v>15</v>
      </c>
      <c r="B244" s="315">
        <v>81.10499999999999</v>
      </c>
      <c r="C244" s="295">
        <v>1</v>
      </c>
      <c r="D244" s="315">
        <v>13.517499999999998</v>
      </c>
      <c r="E244" s="294">
        <v>0</v>
      </c>
      <c r="F244" s="294">
        <v>0</v>
      </c>
      <c r="G244" s="294">
        <v>0</v>
      </c>
      <c r="H244" s="294">
        <v>1</v>
      </c>
      <c r="I244" s="56">
        <f>IFERROR(B244/A244,"")</f>
        <v>5.4069999999999991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291">
        <v>25</v>
      </c>
      <c r="B245" s="315">
        <v>146.73250000000002</v>
      </c>
      <c r="C245" s="295">
        <v>2</v>
      </c>
      <c r="D245" s="315">
        <v>24.455416666666672</v>
      </c>
      <c r="E245" s="294">
        <v>0.7</v>
      </c>
      <c r="F245" s="294">
        <v>0</v>
      </c>
      <c r="G245" s="294">
        <v>0</v>
      </c>
      <c r="H245" s="294">
        <v>0.3</v>
      </c>
      <c r="I245" s="56">
        <f>IF(A245&lt;&gt;0,(B245-(B244-D244))/(A245-A244),"")</f>
        <v>7.9145000000000021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291">
        <v>35</v>
      </c>
      <c r="B246" s="315">
        <v>221.48208333333338</v>
      </c>
      <c r="C246" s="295">
        <v>3</v>
      </c>
      <c r="D246" s="315">
        <v>36.913680555555565</v>
      </c>
      <c r="E246" s="294">
        <v>0.7</v>
      </c>
      <c r="F246" s="294">
        <v>0</v>
      </c>
      <c r="G246" s="294">
        <v>0</v>
      </c>
      <c r="H246" s="294">
        <v>0.3</v>
      </c>
      <c r="I246" s="56">
        <f>IF(A246&lt;&gt;0,(B246-(B245-D245))/(A246-A245),"")</f>
        <v>9.9205000000000041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291">
        <v>45</v>
      </c>
      <c r="B247" s="315">
        <v>303.83340277777774</v>
      </c>
      <c r="C247" s="295">
        <v>4</v>
      </c>
      <c r="D247" s="315">
        <v>50.638900462962958</v>
      </c>
      <c r="E247" s="294">
        <v>0.7</v>
      </c>
      <c r="F247" s="294">
        <v>0</v>
      </c>
      <c r="G247" s="294">
        <v>0</v>
      </c>
      <c r="H247" s="294">
        <v>0.3</v>
      </c>
      <c r="I247" s="56">
        <f t="shared" ref="I247:I263" si="9">IF(A247&lt;&gt;0,(B247-(B246-D246))/(A247-A246),"")</f>
        <v>11.926499999999994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291">
        <v>55</v>
      </c>
      <c r="B248" s="315">
        <v>392.51950231481487</v>
      </c>
      <c r="C248" s="295" t="s">
        <v>324</v>
      </c>
      <c r="D248" s="315">
        <v>392.51950231481487</v>
      </c>
      <c r="E248" s="294">
        <v>0.7</v>
      </c>
      <c r="F248" s="294">
        <v>0</v>
      </c>
      <c r="G248" s="294">
        <v>0</v>
      </c>
      <c r="H248" s="294">
        <v>0.3</v>
      </c>
      <c r="I248" s="56">
        <f t="shared" si="9"/>
        <v>13.93250000000001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3"/>
      <c r="B257" s="63"/>
      <c r="C257" s="93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4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334" t="s">
        <v>186</v>
      </c>
      <c r="D268" s="334"/>
      <c r="E268" s="335" t="s">
        <v>187</v>
      </c>
      <c r="F268" s="336"/>
      <c r="G268" s="336"/>
      <c r="H268" s="337"/>
      <c r="I268" s="103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316"/>
      <c r="B270" s="317"/>
      <c r="C270" s="318"/>
      <c r="D270" s="317"/>
      <c r="E270" s="319"/>
      <c r="F270" s="319"/>
      <c r="G270" s="319"/>
      <c r="H270" s="319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320"/>
      <c r="B271" s="321"/>
      <c r="C271" s="322"/>
      <c r="D271" s="321"/>
      <c r="E271" s="323"/>
      <c r="F271" s="323"/>
      <c r="G271" s="323"/>
      <c r="H271" s="323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320"/>
      <c r="B272" s="321"/>
      <c r="C272" s="322"/>
      <c r="D272" s="321"/>
      <c r="E272" s="323"/>
      <c r="F272" s="323"/>
      <c r="G272" s="323"/>
      <c r="H272" s="323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320"/>
      <c r="B273" s="321"/>
      <c r="C273" s="322"/>
      <c r="D273" s="321"/>
      <c r="E273" s="323"/>
      <c r="F273" s="323"/>
      <c r="G273" s="323"/>
      <c r="H273" s="323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320"/>
      <c r="B274" s="321"/>
      <c r="C274" s="322"/>
      <c r="D274" s="321"/>
      <c r="E274" s="323"/>
      <c r="F274" s="323"/>
      <c r="G274" s="323"/>
      <c r="H274" s="323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320"/>
      <c r="B275" s="321"/>
      <c r="C275" s="322"/>
      <c r="D275" s="321"/>
      <c r="E275" s="324"/>
      <c r="F275" s="324"/>
      <c r="G275" s="324"/>
      <c r="H275" s="32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320"/>
      <c r="B276" s="321"/>
      <c r="C276" s="322"/>
      <c r="D276" s="321"/>
      <c r="E276" s="324"/>
      <c r="F276" s="324"/>
      <c r="G276" s="324"/>
      <c r="H276" s="32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325"/>
      <c r="B277" s="326"/>
      <c r="C277" s="322"/>
      <c r="D277" s="326"/>
      <c r="E277" s="324"/>
      <c r="F277" s="324"/>
      <c r="G277" s="324"/>
      <c r="H277" s="32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325"/>
      <c r="B278" s="326"/>
      <c r="C278" s="322"/>
      <c r="D278" s="326"/>
      <c r="E278" s="324"/>
      <c r="F278" s="324"/>
      <c r="G278" s="324"/>
      <c r="H278" s="32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325"/>
      <c r="B279" s="326"/>
      <c r="C279" s="322"/>
      <c r="D279" s="326"/>
      <c r="E279" s="324"/>
      <c r="F279" s="324"/>
      <c r="G279" s="324"/>
      <c r="H279" s="32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325"/>
      <c r="B280" s="326"/>
      <c r="C280" s="322"/>
      <c r="D280" s="326"/>
      <c r="E280" s="324"/>
      <c r="F280" s="324"/>
      <c r="G280" s="324"/>
      <c r="H280" s="32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3"/>
      <c r="B283" s="63"/>
      <c r="C283" s="93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5"/>
      <c r="K1" s="10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49" t="s">
        <v>191</v>
      </c>
      <c r="C2" s="350"/>
      <c r="D2" s="350"/>
      <c r="E2" s="350"/>
      <c r="F2" s="350"/>
      <c r="G2" s="35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48"/>
      <c r="C4" s="348"/>
      <c r="D4" s="348"/>
      <c r="E4" s="348"/>
      <c r="F4" s="348"/>
      <c r="G4" s="34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6" t="s">
        <v>296</v>
      </c>
      <c r="C5" s="106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7"/>
      <c r="B7" s="29" t="s">
        <v>295</v>
      </c>
      <c r="C7" s="108" t="s">
        <v>214</v>
      </c>
      <c r="D7" s="234"/>
      <c r="E7" s="109"/>
      <c r="F7" s="29" t="s">
        <v>295</v>
      </c>
      <c r="G7" s="108" t="s">
        <v>215</v>
      </c>
      <c r="H7" s="235"/>
      <c r="I7" s="235"/>
      <c r="J7" s="235"/>
      <c r="K7" s="235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</row>
    <row r="8" spans="1:38" ht="17.25" customHeight="1" x14ac:dyDescent="0.2">
      <c r="A8" s="113">
        <v>1</v>
      </c>
      <c r="B8" s="64">
        <v>0</v>
      </c>
      <c r="C8" s="52" t="s">
        <v>177</v>
      </c>
      <c r="D8" s="25"/>
      <c r="E8" s="113">
        <v>4</v>
      </c>
      <c r="F8" s="64">
        <v>1</v>
      </c>
      <c r="G8" s="110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3">
        <v>2</v>
      </c>
      <c r="B9" s="64">
        <v>0</v>
      </c>
      <c r="C9" s="116" t="s">
        <v>216</v>
      </c>
      <c r="D9" s="25"/>
      <c r="E9" s="113">
        <v>5</v>
      </c>
      <c r="F9" s="64">
        <v>0</v>
      </c>
      <c r="G9" s="111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3">
        <v>3</v>
      </c>
      <c r="B10" s="64">
        <v>0</v>
      </c>
      <c r="C10" s="117" t="s">
        <v>217</v>
      </c>
      <c r="D10" s="25"/>
      <c r="E10" s="5"/>
      <c r="F10" s="114">
        <f>SUM(F7:F9)</f>
        <v>1</v>
      </c>
      <c r="G10" s="112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4">
        <v>0</v>
      </c>
      <c r="C11" s="112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5"/>
      <c r="C13" s="106" t="s">
        <v>273</v>
      </c>
      <c r="D13" s="235"/>
      <c r="E13" s="107"/>
      <c r="F13" s="115"/>
      <c r="G13" s="106" t="s">
        <v>301</v>
      </c>
      <c r="H13" s="235"/>
      <c r="I13" s="235"/>
      <c r="J13" s="235"/>
      <c r="K13" s="235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</row>
    <row r="14" spans="1:38" s="4" customFormat="1" ht="21" customHeight="1" x14ac:dyDescent="0.2">
      <c r="A14" s="235"/>
      <c r="B14" s="115"/>
      <c r="C14" s="106" t="s">
        <v>309</v>
      </c>
      <c r="D14" s="235"/>
      <c r="E14" s="107"/>
      <c r="F14" s="115"/>
      <c r="G14" s="106" t="s">
        <v>294</v>
      </c>
      <c r="H14" s="235"/>
      <c r="I14" s="235"/>
      <c r="J14" s="235"/>
      <c r="K14" s="235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8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8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8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4">
        <f>SUM(B16:B18)</f>
        <v>0</v>
      </c>
      <c r="C19" s="112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8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8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55" t="s">
        <v>176</v>
      </c>
      <c r="C1" s="356"/>
      <c r="D1" s="356"/>
      <c r="E1" s="356"/>
      <c r="F1" s="356"/>
      <c r="G1" s="356"/>
      <c r="H1" s="357"/>
      <c r="I1" s="352" t="str">
        <f>IF('Données projet'!$B$9="","",'Données projet'!$B$9)</f>
        <v>Douglas</v>
      </c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  <c r="AC1" s="354"/>
      <c r="AD1" s="353" t="str">
        <f>IF('Données projet'!$B$10="","",'Données projet'!$B$10)</f>
        <v>Mélèze d'Europe</v>
      </c>
      <c r="AE1" s="353"/>
      <c r="AF1" s="353"/>
      <c r="AG1" s="353"/>
      <c r="AH1" s="353"/>
      <c r="AI1" s="353"/>
      <c r="AJ1" s="353"/>
      <c r="AK1" s="353"/>
      <c r="AL1" s="353"/>
      <c r="AM1" s="353"/>
      <c r="AN1" s="353"/>
      <c r="AO1" s="353"/>
      <c r="AP1" s="353"/>
      <c r="AQ1" s="353"/>
      <c r="AR1" s="353"/>
      <c r="AS1" s="353"/>
      <c r="AT1" s="353"/>
      <c r="AU1" s="353"/>
      <c r="AV1" s="353"/>
      <c r="AW1" s="353"/>
      <c r="AX1" s="354"/>
      <c r="AY1" s="352" t="str">
        <f>IF('Données projet'!$B$11="","",'Données projet'!$B$11)</f>
        <v>Mélèze hybride</v>
      </c>
      <c r="AZ1" s="353"/>
      <c r="BA1" s="353"/>
      <c r="BB1" s="353"/>
      <c r="BC1" s="353"/>
      <c r="BD1" s="353"/>
      <c r="BE1" s="353"/>
      <c r="BF1" s="353"/>
      <c r="BG1" s="353"/>
      <c r="BH1" s="353"/>
      <c r="BI1" s="353"/>
      <c r="BJ1" s="353"/>
      <c r="BK1" s="353"/>
      <c r="BL1" s="353"/>
      <c r="BM1" s="353"/>
      <c r="BN1" s="353"/>
      <c r="BO1" s="353"/>
      <c r="BP1" s="353"/>
      <c r="BQ1" s="353"/>
      <c r="BR1" s="353"/>
      <c r="BS1" s="354"/>
      <c r="BT1" s="352" t="str">
        <f>IF('Données projet'!$B$12="","",'Données projet'!$B$12)</f>
        <v>Chêne sessile</v>
      </c>
      <c r="BU1" s="353"/>
      <c r="BV1" s="353"/>
      <c r="BW1" s="353"/>
      <c r="BX1" s="353"/>
      <c r="BY1" s="353"/>
      <c r="BZ1" s="353"/>
      <c r="CA1" s="353"/>
      <c r="CB1" s="353"/>
      <c r="CC1" s="353"/>
      <c r="CD1" s="353"/>
      <c r="CE1" s="353"/>
      <c r="CF1" s="353"/>
      <c r="CG1" s="353"/>
      <c r="CH1" s="353"/>
      <c r="CI1" s="353"/>
      <c r="CJ1" s="353"/>
      <c r="CK1" s="353"/>
      <c r="CL1" s="353"/>
      <c r="CM1" s="353"/>
      <c r="CN1" s="354"/>
      <c r="CO1" s="352" t="str">
        <f>IF('Données projet'!$B$13="","",'Données projet'!$B$13)</f>
        <v>Chêne pubescent</v>
      </c>
      <c r="CP1" s="353"/>
      <c r="CQ1" s="353"/>
      <c r="CR1" s="353"/>
      <c r="CS1" s="353"/>
      <c r="CT1" s="353"/>
      <c r="CU1" s="353"/>
      <c r="CV1" s="353"/>
      <c r="CW1" s="353"/>
      <c r="CX1" s="353"/>
      <c r="CY1" s="353"/>
      <c r="CZ1" s="353"/>
      <c r="DA1" s="353"/>
      <c r="DB1" s="353"/>
      <c r="DC1" s="353"/>
      <c r="DD1" s="353"/>
      <c r="DE1" s="353"/>
      <c r="DF1" s="353"/>
      <c r="DG1" s="353"/>
      <c r="DH1" s="353"/>
      <c r="DI1" s="354"/>
      <c r="DJ1" s="352" t="str">
        <f>IF('Données projet'!$B$14="","",'Données projet'!$B$14)</f>
        <v>Alisier torminal</v>
      </c>
      <c r="DK1" s="353"/>
      <c r="DL1" s="353"/>
      <c r="DM1" s="353"/>
      <c r="DN1" s="353"/>
      <c r="DO1" s="353"/>
      <c r="DP1" s="353"/>
      <c r="DQ1" s="353"/>
      <c r="DR1" s="353"/>
      <c r="DS1" s="353"/>
      <c r="DT1" s="353"/>
      <c r="DU1" s="353"/>
      <c r="DV1" s="353"/>
      <c r="DW1" s="353"/>
      <c r="DX1" s="353"/>
      <c r="DY1" s="353"/>
      <c r="DZ1" s="353"/>
      <c r="EA1" s="353"/>
      <c r="EB1" s="353"/>
      <c r="EC1" s="353"/>
      <c r="ED1" s="354"/>
      <c r="EE1" s="352" t="str">
        <f>IF('Données projet'!$B$15="","",'Données projet'!$B$15)</f>
        <v>Tilleul</v>
      </c>
      <c r="EF1" s="353"/>
      <c r="EG1" s="353"/>
      <c r="EH1" s="353"/>
      <c r="EI1" s="353"/>
      <c r="EJ1" s="353"/>
      <c r="EK1" s="353"/>
      <c r="EL1" s="353"/>
      <c r="EM1" s="353"/>
      <c r="EN1" s="353"/>
      <c r="EO1" s="353"/>
      <c r="EP1" s="353"/>
      <c r="EQ1" s="353"/>
      <c r="ER1" s="353"/>
      <c r="ES1" s="353"/>
      <c r="ET1" s="353"/>
      <c r="EU1" s="353"/>
      <c r="EV1" s="353"/>
      <c r="EW1" s="353"/>
      <c r="EX1" s="353"/>
      <c r="EY1" s="354"/>
      <c r="EZ1" s="352" t="str">
        <f>IF('Données projet'!$B$16="","",'Données projet'!$B$16)</f>
        <v>Merisier</v>
      </c>
      <c r="FA1" s="353"/>
      <c r="FB1" s="353"/>
      <c r="FC1" s="353"/>
      <c r="FD1" s="353"/>
      <c r="FE1" s="353"/>
      <c r="FF1" s="353"/>
      <c r="FG1" s="353"/>
      <c r="FH1" s="353"/>
      <c r="FI1" s="353"/>
      <c r="FJ1" s="353"/>
      <c r="FK1" s="353"/>
      <c r="FL1" s="353"/>
      <c r="FM1" s="353"/>
      <c r="FN1" s="353"/>
      <c r="FO1" s="353"/>
      <c r="FP1" s="353"/>
      <c r="FQ1" s="353"/>
      <c r="FR1" s="353"/>
      <c r="FS1" s="353"/>
      <c r="FT1" s="354"/>
      <c r="FU1" s="352" t="str">
        <f>IF('Données projet'!$B$17="","",'Données projet'!$B$17)</f>
        <v>Erable sycomore</v>
      </c>
      <c r="FV1" s="353"/>
      <c r="FW1" s="353"/>
      <c r="FX1" s="353"/>
      <c r="FY1" s="353"/>
      <c r="FZ1" s="353"/>
      <c r="GA1" s="353"/>
      <c r="GB1" s="353"/>
      <c r="GC1" s="353"/>
      <c r="GD1" s="353"/>
      <c r="GE1" s="353"/>
      <c r="GF1" s="353"/>
      <c r="GG1" s="353"/>
      <c r="GH1" s="353"/>
      <c r="GI1" s="353"/>
      <c r="GJ1" s="353"/>
      <c r="GK1" s="353"/>
      <c r="GL1" s="353"/>
      <c r="GM1" s="353"/>
      <c r="GN1" s="353"/>
      <c r="GO1" s="354"/>
      <c r="GP1" s="352" t="str">
        <f>IF('Données projet'!$B$18="","",'Données projet'!$B$18)</f>
        <v/>
      </c>
      <c r="GQ1" s="353"/>
      <c r="GR1" s="353"/>
      <c r="GS1" s="353"/>
      <c r="GT1" s="353"/>
      <c r="GU1" s="353"/>
      <c r="GV1" s="353"/>
      <c r="GW1" s="353"/>
      <c r="GX1" s="353"/>
      <c r="GY1" s="353"/>
      <c r="GZ1" s="353"/>
      <c r="HA1" s="353"/>
      <c r="HB1" s="353"/>
      <c r="HC1" s="353"/>
      <c r="HD1" s="353"/>
      <c r="HE1" s="353"/>
      <c r="HF1" s="353"/>
      <c r="HG1" s="353"/>
      <c r="HH1" s="353"/>
      <c r="HI1" s="353"/>
      <c r="HJ1" s="354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382.55387448074327</v>
      </c>
      <c r="T3" s="62">
        <f>IF('Données projet'!E9&gt;30,$R$33-$H$33,LOOKUP('Données projet'!$E$9,$A$3:$A$203,R3:R203)-LOOKUP('Données projet'!$E$9,$A$3:$A$203,$H$3:$H$203))</f>
        <v>476.29465646955543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482.28841373508675</v>
      </c>
      <c r="AO3" s="62">
        <f>IF('Données projet'!E10&gt;30,$AM$33-$H$33,LOOKUP('Données projet'!$E$10,$A$3:$A$203,AM3:AM203)-LOOKUP('Données projet'!$E$10,$A$3:$A$203,$H$3:$H$203))</f>
        <v>746.97309214631684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417.99456559608217</v>
      </c>
      <c r="BJ3" s="62">
        <f>IF('Données projet'!E11&gt;30,$BH$33-$H$33,LOOKUP('Données projet'!$E$11,$A$3:$A$203,BH3:BH203)-LOOKUP('Données projet'!$E$11,$A$3:$A$203,$H$3:$H$203))</f>
        <v>651.41353014863932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213.07277043804817</v>
      </c>
      <c r="CE3" s="62">
        <f>IF('Données projet'!E12&gt;30,$CC$33-$H$33,LOOKUP('Données projet'!$E$12,$A$3:$A$203,CC3:CC203)-LOOKUP('Données projet'!$E$12,$A$3:$A$203,$H$3:$H$203))</f>
        <v>129.14539883354166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247.92503505485405</v>
      </c>
      <c r="CZ3" s="62">
        <f>IF('Données projet'!E13&gt;30,$CX$33-$H$33,LOOKUP('Données projet'!$E$13,$A$3:$A$203,CX3:CX203)-LOOKUP('Données projet'!$E$13,$A$3:$A$203,$H$3:$H$203))</f>
        <v>148.26437652597514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154.0837760161366</v>
      </c>
      <c r="DU3" s="62">
        <f>IF('Données projet'!E14&gt;30,$DS$33-$H$33,LOOKUP('Données projet'!$E$14,$A$3:$A$203,DS3:DS203)-LOOKUP('Données projet'!$E$14,$A$3:$A$203,$H$3:$H$203))</f>
        <v>96.484500841546037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293.33333333333331</v>
      </c>
      <c r="EO3" s="62">
        <f ca="1">AVERAGE(OFFSET($EN$3,0,0,'Données projet'!$E$15+1,1))-AVERAGE(OFFSET($H$3,0,0,'Données projet'!$E$15+1,1))</f>
        <v>205.35893113421139</v>
      </c>
      <c r="EP3" s="62">
        <f>IF('Données projet'!E15&gt;30,$EN$33-$H$33,LOOKUP('Données projet'!$E$15,$A$3:$A$203,EN3:EN203)-LOOKUP('Données projet'!$E$15,$A$3:$A$203,$H$3:$H$203))</f>
        <v>220.4399811285175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293.33333333333331</v>
      </c>
      <c r="FJ3" s="62">
        <f ca="1">AVERAGE(OFFSET($FI$3,0,0,'Données projet'!$E$16+1,1))-AVERAGE(OFFSET($H$3,0,0,'Données projet'!$E$16+1,1))</f>
        <v>242.81177364426878</v>
      </c>
      <c r="FK3" s="62">
        <f>IF('Données projet'!E16&gt;30,$FI$33-$H$33,LOOKUP('Données projet'!$E$16,$A$3:$A$203,FI3:FI203)-LOOKUP('Données projet'!$E$16,$A$3:$A$203,$H$3:$H$203))</f>
        <v>260.72115764896671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293.33333333333331</v>
      </c>
      <c r="GE3" s="62">
        <f ca="1">AVERAGE(OFFSET($GD$3,0,0,'Données projet'!$E$17+1,1))-AVERAGE(OFFSET($H$3,0,0,'Données projet'!$E$17+1,1))</f>
        <v>248.15263300983543</v>
      </c>
      <c r="GF3" s="62">
        <f>IF('Données projet'!E17&gt;30,$GD$33-$H$33,LOOKUP('Données projet'!$E$17,$A$3:$A$203,GD3:GD203)-LOOKUP('Données projet'!$E$17,$A$3:$A$203,$H$3:$H$203))</f>
        <v>266.46511459244618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8.526315789473685</v>
      </c>
      <c r="N4" s="14">
        <f>IF('Données projet'!$A$36&gt;35,N3+M4-V3,IF(A4&lt;'Données projet'!$A$36,$K$205^A4,IF(A4='Données projet'!$A$36,'Données projet'!$B$36,N3+M4-V3)))</f>
        <v>1.3070441688874561</v>
      </c>
      <c r="O4" s="14">
        <f>N4*VLOOKUP('Données projet'!$B$9,Paramètres!$A$1:$I$89,3,0)*VLOOKUP('Données projet'!$B$9,Paramètres!$A$1:$I$89,5,0)</f>
        <v>0.73063769040808801</v>
      </c>
      <c r="P4" s="14">
        <f>EXP(-1.0587+0.8836*LN(O4)+0.284)</f>
        <v>0.34923616900555043</v>
      </c>
      <c r="Q4" s="22">
        <f t="shared" ref="Q4:Q34" si="2">(O4+P4)*0.475*44/12</f>
        <v>1.8807803051454206</v>
      </c>
      <c r="R4" s="62">
        <f t="shared" si="0"/>
        <v>295.21411363847875</v>
      </c>
      <c r="S4" s="62">
        <f ca="1">AVERAGE(OFFSET($R$3,0,0,'Données projet'!$E$9+1,1))-AVERAGE(OFFSET($H$3,0,0,'Données projet'!$E$9+1,1))</f>
        <v>382.55387448074327</v>
      </c>
      <c r="T4" s="62">
        <f>$T$3</f>
        <v>476.29465646955543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8.5833333333333339</v>
      </c>
      <c r="AI4" s="14">
        <f>IF('Données projet'!$A$62&gt;35,AI3+AH4-AQ3,IF(A4&lt;'Données projet'!$A$62,$AF$205^A4,IF(A4='Données projet'!$A$62,'Données projet'!$B$62,AI3+AH4-AQ3)))</f>
        <v>1.4714192565876152</v>
      </c>
      <c r="AJ4" s="14">
        <f>AI4*VLOOKUP('Données projet'!$B$10,Paramètres!$A$1:$I$89,3,0)*VLOOKUP('Données projet'!$B$10,Paramètres!$A$1:$I$89,5,0)</f>
        <v>0.91816561611067193</v>
      </c>
      <c r="AK4" s="14">
        <f>EXP(-1.0587+0.8836*LN(AJ4)+0.284)</f>
        <v>0.42735528842602116</v>
      </c>
      <c r="AL4" s="22">
        <f t="shared" ref="AL4:AL67" si="4">(AJ4+AK4)*0.475*44/12</f>
        <v>2.3434489087347408</v>
      </c>
      <c r="AM4" s="62">
        <f t="shared" ref="AM4:AM67" si="5">AL4+(AD4+AE4)*44/12</f>
        <v>295.67678224206804</v>
      </c>
      <c r="AN4" s="62">
        <f ca="1">AVERAGE(OFFSET($AM$3,0,0,'Données projet'!$E$10+1,1))-AVERAGE(OFFSET($H$3,0,0,'Données projet'!$E$10+1,1))</f>
        <v>482.28841373508675</v>
      </c>
      <c r="AO4" s="62">
        <f>$AO$3</f>
        <v>746.97309214631684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8.5833333333333339</v>
      </c>
      <c r="BD4" s="13">
        <f>IF('Données projet'!$A$88&gt;35,BD3+BC4-BL3,IF(A4&lt;'Données projet'!$A$88,$BA$205^A4,IF(A4='Données projet'!$A$88,'Données projet'!$B$88,BD3+BC4-BL3)))</f>
        <v>1.4714192565876152</v>
      </c>
      <c r="BE4" s="14">
        <f>BD4*VLOOKUP('Données projet'!$B$11,Paramètres!$A$1:$I$89,3,0)*VLOOKUP('Données projet'!$B$11,Paramètres!$A$1:$I$89,5,0)</f>
        <v>0.80339491409683794</v>
      </c>
      <c r="BF4" s="14">
        <f>EXP(-1.0587+0.8836*LN(BE4)+0.284)</f>
        <v>0.37979338681419667</v>
      </c>
      <c r="BG4" s="22">
        <f t="shared" ref="BG4:BG67" si="7">(BE4+BF4)*0.475*44/12</f>
        <v>2.0607196240867185</v>
      </c>
      <c r="BH4" s="62">
        <f t="shared" ref="BH4:BH67" si="8">BG4+(AY4+AZ4)*44/12</f>
        <v>295.39405295742006</v>
      </c>
      <c r="BI4" s="62">
        <f ca="1">AVERAGE(OFFSET($BH$3,0,0,'Données projet'!$E$11+1,1))-AVERAGE(OFFSET($H$3,0,0,'Données projet'!$E$11+1,1))</f>
        <v>417.99456559608217</v>
      </c>
      <c r="BJ4" s="62">
        <f>$BJ$3</f>
        <v>651.41353014863932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2.6904761904761907</v>
      </c>
      <c r="BY4" s="13">
        <f>IF('Données projet'!$A$114&gt;35,BY3+BX4-CG3,IF(A4&lt;'Données projet'!$A$114,$BV$205^A4,IF(A4='Données projet'!$A$114,'Données projet'!$B$114,BY3+BX4-CG3)))</f>
        <v>2.6904761904761907</v>
      </c>
      <c r="BZ4" s="14">
        <f>BY4*VLOOKUP('Données projet'!$B$12,Paramètres!$A$1:$I$89,3,0)*VLOOKUP('Données projet'!$B$12,Paramètres!$A$1:$I$89,5,0)</f>
        <v>2.4343428571428576</v>
      </c>
      <c r="CA4" s="14">
        <f>EXP(-1.0587+0.8836*LN(BZ4)+0.284)</f>
        <v>1.0114839008106258</v>
      </c>
      <c r="CB4" s="22">
        <f t="shared" ref="CB4:CB67" si="10">(BZ4+CA4)*0.475*44/12</f>
        <v>6.00148160343565</v>
      </c>
      <c r="CC4" s="62">
        <f t="shared" ref="CC4:CC67" si="11">CB4+(BT4+BU4)*44/12</f>
        <v>299.33481493676896</v>
      </c>
      <c r="CD4" s="62">
        <f ca="1">AVERAGE(OFFSET($CC$3,0,0,'Données projet'!$E$12+1,1))-AVERAGE(OFFSET($H$3,0,0,'Données projet'!$E$12+1,1))</f>
        <v>213.07277043804817</v>
      </c>
      <c r="CE4" s="62">
        <f>$CE$3</f>
        <v>129.14539883354166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2.6904761904761907</v>
      </c>
      <c r="CT4" s="13">
        <f>IF('Données projet'!$A$140&gt;35,CT3+CS4-DB3,IF(A4&lt;'Données projet'!$A$140,$CQ$205^A4,IF(A4='Données projet'!$A$140,'Données projet'!$B$140,CT3+CS4-DB3)))</f>
        <v>2.6904761904761907</v>
      </c>
      <c r="CU4" s="18">
        <f>CT4*VLOOKUP('Données projet'!$B$13,Paramètres!$A$1:$I$89,3,0)*VLOOKUP('Données projet'!$B$13,Paramètres!$A$1:$I$89,5,0)</f>
        <v>2.7281428571428576</v>
      </c>
      <c r="CV4" s="14">
        <f>EXP(-1.0587+0.8836*LN(CU4)+0.284)</f>
        <v>1.1186242800369344</v>
      </c>
      <c r="CW4" s="22">
        <f t="shared" ref="CW4:CW67" si="13">(CU4+CV4)*0.475*44/12</f>
        <v>6.6997860972548038</v>
      </c>
      <c r="CX4" s="62">
        <f t="shared" ref="CX4:CX67" si="14">CW4+(CO4+CP4)*44/12</f>
        <v>300.0331194305881</v>
      </c>
      <c r="CY4" s="62">
        <f ca="1">AVERAGE(OFFSET($CX$3,0,0,'Données projet'!$E$13+1,1))-AVERAGE(OFFSET($H$3,0,0,'Données projet'!$E$13+1,1))</f>
        <v>247.92503505485405</v>
      </c>
      <c r="CZ4" s="62">
        <f>$CZ$3</f>
        <v>148.26437652597514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</v>
      </c>
      <c r="DO4" s="13">
        <f>IF('Données projet'!$A$166&gt;35,DO3+DN4-DW3,IF(A4&lt;'Données projet'!$A$166,$DL$205^A4,IF(A4='Données projet'!$A$166,'Données projet'!$B$166,DO3+DN4-DW3)))</f>
        <v>2</v>
      </c>
      <c r="DP4" s="18">
        <f>DO4*VLOOKUP('Données projet'!$B$14,Paramètres!$A$1:$I$89,3,0)*VLOOKUP('Données projet'!$B$14,Paramètres!$A$1:$I$89,5,0)</f>
        <v>1.9344000000000001</v>
      </c>
      <c r="DQ4" s="14">
        <f>EXP(-1.0587+0.8836*LN(DP4)+0.284)</f>
        <v>0.82555186145260351</v>
      </c>
      <c r="DR4" s="22">
        <f t="shared" ref="DR4:DR67" si="16">(DP4+DQ4)*0.475*44/12</f>
        <v>4.8069161586966169</v>
      </c>
      <c r="DS4" s="62">
        <f t="shared" ref="DS4:DS67" si="17">DR4+(DJ4+DK4)*44/12</f>
        <v>298.14024949202991</v>
      </c>
      <c r="DT4" s="62">
        <f ca="1">AVERAGE(OFFSET($DS$3,0,0,'Données projet'!$E$14+1,1))-AVERAGE(OFFSET($H$3,0,0,'Données projet'!$E$14+1,1))</f>
        <v>154.0837760161366</v>
      </c>
      <c r="DU4" s="62">
        <f>$DU$3</f>
        <v>96.484500841546037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5.4069999999999991</v>
      </c>
      <c r="EJ4" s="13">
        <f>IF('Données projet'!$A$192&gt;35,EJ3+EI4-ER3,IF(A4&lt;'Données projet'!$A$192,$EG$205^A4,IF(A4='Données projet'!$A$192,'Données projet'!$B$192,EJ3+EI4-ER3)))</f>
        <v>1.3405093326912476</v>
      </c>
      <c r="EK4" s="18">
        <f>EJ4*VLOOKUP('Données projet'!$B$15,Paramètres!$A$1:$I$89,3,0)*VLOOKUP('Données projet'!$B$15,Paramètres!$A$1:$I$89,5,0)</f>
        <v>0.89921366036928885</v>
      </c>
      <c r="EL4" s="14">
        <f>EXP(-1.0587+0.8836*LN(EK4)+0.284)</f>
        <v>0.41955154008779533</v>
      </c>
      <c r="EM4" s="22">
        <f t="shared" ref="EM4:EM67" si="19">(EK4+EL4)*0.475*44/12</f>
        <v>2.2968493907960883</v>
      </c>
      <c r="EN4" s="62">
        <f t="shared" ref="EN4:EN67" si="20">EM4+(EE4+EF4)*44/12</f>
        <v>295.63018272412938</v>
      </c>
      <c r="EO4" s="62">
        <f ca="1">AVERAGE(OFFSET($EN$3,0,0,'Données projet'!$E$15+1,1))-AVERAGE(OFFSET($H$3,0,0,'Données projet'!$E$15+1,1))</f>
        <v>205.35893113421139</v>
      </c>
      <c r="EP4" s="62">
        <f>$EP$3</f>
        <v>220.4399811285175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5.4069999999999991</v>
      </c>
      <c r="FE4" s="13">
        <f>IF('Données projet'!$A$218&gt;35,FE3+FD4-FM3,IF(A4&lt;'Données projet'!$A$218,$FB$205^A4,IF(A4='Données projet'!$A$218,'Données projet'!$B$218,FE3+FD4-FM3)))</f>
        <v>1.3405093326912476</v>
      </c>
      <c r="FF4" s="18">
        <f>FE4*VLOOKUP('Données projet'!$B$16,Paramètres!$A$1:$I$89,3,0)*VLOOKUP('Données projet'!$B$16,Paramètres!$A$1:$I$89,5,0)</f>
        <v>1.0455972794991732</v>
      </c>
      <c r="FG4" s="14">
        <f>EXP(-1.0587+0.8836*LN(FF4)+0.284)</f>
        <v>0.47936076870170446</v>
      </c>
      <c r="FH4" s="22">
        <f t="shared" ref="FH4:FH67" si="22">(FF4+FG4)*0.475*44/12</f>
        <v>2.6559686006165286</v>
      </c>
      <c r="FI4" s="62">
        <f t="shared" ref="FI4:FI67" si="23">FH4+(EZ4+FA4)*44/12</f>
        <v>295.98930193394983</v>
      </c>
      <c r="FJ4" s="62">
        <f ca="1">AVERAGE(OFFSET($FI$3,0,0,'Données projet'!$E$16+1,1))-AVERAGE(OFFSET($H$3,0,0,'Données projet'!$E$16+1,1))</f>
        <v>242.81177364426878</v>
      </c>
      <c r="FK4" s="62">
        <f>$FK$3</f>
        <v>260.72115764896671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5.4069999999999991</v>
      </c>
      <c r="FZ4" s="13">
        <f>IF('Données projet'!$A$244&gt;35,FZ3+FY4-GH3,IF(A4&lt;'Données projet'!$A$244,$FW$205^A4,IF(A4='Données projet'!$A$244,'Données projet'!$B$244,FZ3+FY4-GH3)))</f>
        <v>1.3405093326912476</v>
      </c>
      <c r="GA4" s="18">
        <f>FZ4*VLOOKUP('Données projet'!$B$17,Paramètres!$A$1:$I$89,3,0)*VLOOKUP('Données projet'!$B$17,Paramètres!$A$1:$I$89,5,0)</f>
        <v>1.0665092250891568</v>
      </c>
      <c r="GB4" s="14">
        <f>EXP(-1.0587+0.8836*LN(GA4)+0.284)</f>
        <v>0.48782224427722365</v>
      </c>
      <c r="GC4" s="22">
        <f t="shared" ref="GC4:GC67" si="25">(GA4+GB4)*0.475*44/12</f>
        <v>2.7071273091464456</v>
      </c>
      <c r="GD4" s="62">
        <f t="shared" ref="GD4:GD67" si="26">GC4+(FU4+FV4)*44/12</f>
        <v>296.04046064247979</v>
      </c>
      <c r="GE4" s="62">
        <f ca="1">AVERAGE(OFFSET($GD$3,0,0,'Données projet'!$E$17+1,1))-AVERAGE(OFFSET($H$3,0,0,'Données projet'!$E$17+1,1))</f>
        <v>248.15263300983543</v>
      </c>
      <c r="GF4" s="62">
        <f>$GF$3</f>
        <v>266.46511459244618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8.526315789473685</v>
      </c>
      <c r="N5" s="14">
        <f>IF('Données projet'!$A$36&gt;35,N4+M5-V4,IF(A5&lt;'Données projet'!$A$36,$K$205^A5,IF(A5='Données projet'!$A$36,'Données projet'!$B$36,N4+M5-V4)))</f>
        <v>1.708364459422701</v>
      </c>
      <c r="O5" s="14">
        <f>N5*VLOOKUP('Données projet'!$B$9,Paramètres!$A$1:$I$89,3,0)*VLOOKUP('Données projet'!$B$9,Paramètres!$A$1:$I$89,5,0)</f>
        <v>0.95497573281728976</v>
      </c>
      <c r="P5" s="14">
        <f t="shared" ref="P5:P68" si="33">EXP(-1.0587+0.8836*LN(O5)+0.284)</f>
        <v>0.44245926414263009</v>
      </c>
      <c r="Q5" s="22">
        <f t="shared" si="2"/>
        <v>2.4338659530385267</v>
      </c>
      <c r="R5" s="62">
        <f t="shared" si="0"/>
        <v>295.76719928637186</v>
      </c>
      <c r="S5" s="62">
        <f ca="1">AVERAGE(OFFSET($R$3,0,0,'Données projet'!$E$9+1,1))-AVERAGE(OFFSET($H$3,0,0,'Données projet'!$E$9+1,1))</f>
        <v>382.55387448074327</v>
      </c>
      <c r="T5" s="62">
        <f t="shared" ref="T5:T68" si="34">$T$3</f>
        <v>476.29465646955543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8.5833333333333339</v>
      </c>
      <c r="AI5" s="14">
        <f>IF('Données projet'!$A$62&gt;35,AI4+AH5-AQ4,IF(A5&lt;'Données projet'!$A$62,$AF$205^A5,IF(A5='Données projet'!$A$62,'Données projet'!$B$62,AI4+AH5-AQ4)))</f>
        <v>2.1650746286568503</v>
      </c>
      <c r="AJ5" s="14">
        <f>AI5*VLOOKUP('Données projet'!$B$10,Paramètres!$A$1:$I$89,3,0)*VLOOKUP('Données projet'!$B$10,Paramètres!$A$1:$I$89,5,0)</f>
        <v>1.3510065682818746</v>
      </c>
      <c r="AK5" s="14">
        <f t="shared" ref="AK5:AK68" si="35">EXP(-1.0587+0.8836*LN(AJ5)+0.284)</f>
        <v>0.60117511749976371</v>
      </c>
      <c r="AL5" s="22">
        <f t="shared" si="4"/>
        <v>3.4000497694030201</v>
      </c>
      <c r="AM5" s="62">
        <f t="shared" si="5"/>
        <v>296.73338310273635</v>
      </c>
      <c r="AN5" s="62">
        <f ca="1">AVERAGE(OFFSET($AM$3,0,0,'Données projet'!$E$10+1,1))-AVERAGE(OFFSET($H$3,0,0,'Données projet'!$E$10+1,1))</f>
        <v>482.28841373508675</v>
      </c>
      <c r="AO5" s="62">
        <f t="shared" ref="AO5:AO68" si="36">$AO$3</f>
        <v>746.97309214631684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8.5833333333333339</v>
      </c>
      <c r="BD5" s="13">
        <f>IF('Données projet'!$A$88&gt;35,BD4+BC5-BL4,IF(A5&lt;'Données projet'!$A$88,$BA$205^A5,IF(A5='Données projet'!$A$88,'Données projet'!$B$88,BD4+BC5-BL4)))</f>
        <v>2.1650746286568503</v>
      </c>
      <c r="BE5" s="14">
        <f>BD5*VLOOKUP('Données projet'!$B$11,Paramètres!$A$1:$I$89,3,0)*VLOOKUP('Données projet'!$B$11,Paramètres!$A$1:$I$89,5,0)</f>
        <v>1.1821307472466402</v>
      </c>
      <c r="BF5" s="14">
        <f t="shared" ref="BF5:BF68" si="37">EXP(-1.0587+0.8836*LN(BE5)+0.284)</f>
        <v>0.53426818417196775</v>
      </c>
      <c r="BG5" s="22">
        <f t="shared" si="7"/>
        <v>2.9893948055540753</v>
      </c>
      <c r="BH5" s="62">
        <f t="shared" si="8"/>
        <v>296.32272813888738</v>
      </c>
      <c r="BI5" s="62">
        <f ca="1">AVERAGE(OFFSET($BH$3,0,0,'Données projet'!$E$11+1,1))-AVERAGE(OFFSET($H$3,0,0,'Données projet'!$E$11+1,1))</f>
        <v>417.99456559608217</v>
      </c>
      <c r="BJ5" s="62">
        <f t="shared" ref="BJ5:BJ68" si="38">$BJ$3</f>
        <v>651.41353014863932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2.6904761904761907</v>
      </c>
      <c r="BY5" s="13">
        <f>IF('Données projet'!$A$114&gt;35,BY4+BX5-CG4,IF(A5&lt;'Données projet'!$A$114,$BV$205^A5,IF(A5='Données projet'!$A$114,'Données projet'!$B$114,BY4+BX5-CG4)))</f>
        <v>5.3809523809523814</v>
      </c>
      <c r="BZ5" s="14">
        <f>BY5*VLOOKUP('Données projet'!$B$12,Paramètres!$A$1:$I$89,3,0)*VLOOKUP('Données projet'!$B$12,Paramètres!$A$1:$I$89,5,0)</f>
        <v>4.8686857142857152</v>
      </c>
      <c r="CA5" s="14">
        <f t="shared" ref="CA5:CA68" si="39">EXP(-1.0587+0.8836*LN(BZ5)+0.284)</f>
        <v>1.8661608704332051</v>
      </c>
      <c r="CB5" s="22">
        <f t="shared" si="10"/>
        <v>11.729857801718786</v>
      </c>
      <c r="CC5" s="62">
        <f t="shared" si="11"/>
        <v>305.06319113505208</v>
      </c>
      <c r="CD5" s="62">
        <f ca="1">AVERAGE(OFFSET($CC$3,0,0,'Données projet'!$E$12+1,1))-AVERAGE(OFFSET($H$3,0,0,'Données projet'!$E$12+1,1))</f>
        <v>213.07277043804817</v>
      </c>
      <c r="CE5" s="62">
        <f t="shared" ref="CE5:CE68" si="40">$CE$3</f>
        <v>129.14539883354166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2.6904761904761907</v>
      </c>
      <c r="CT5" s="13">
        <f>IF('Données projet'!$A$140&gt;35,CT4+CS5-DB4,IF(A5&lt;'Données projet'!$A$140,$CQ$205^A5,IF(A5='Données projet'!$A$140,'Données projet'!$B$140,CT4+CS5-DB4)))</f>
        <v>5.3809523809523814</v>
      </c>
      <c r="CU5" s="18">
        <f>CT5*VLOOKUP('Données projet'!$B$13,Paramètres!$A$1:$I$89,3,0)*VLOOKUP('Données projet'!$B$13,Paramètres!$A$1:$I$89,5,0)</f>
        <v>5.4562857142857153</v>
      </c>
      <c r="CV5" s="14">
        <f t="shared" ref="CV5:CV68" si="41">EXP(-1.0587+0.8836*LN(CU5)+0.284)</f>
        <v>2.0638320179376533</v>
      </c>
      <c r="CW5" s="22">
        <f t="shared" si="13"/>
        <v>13.097538383622366</v>
      </c>
      <c r="CX5" s="62">
        <f t="shared" si="14"/>
        <v>306.43087171695566</v>
      </c>
      <c r="CY5" s="62">
        <f ca="1">AVERAGE(OFFSET($CX$3,0,0,'Données projet'!$E$13+1,1))-AVERAGE(OFFSET($H$3,0,0,'Données projet'!$E$13+1,1))</f>
        <v>247.92503505485405</v>
      </c>
      <c r="CZ5" s="62">
        <f t="shared" ref="CZ5:CZ68" si="42">$CZ$3</f>
        <v>148.26437652597514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</v>
      </c>
      <c r="DO5" s="13">
        <f>IF('Données projet'!$A$166&gt;35,DO4+DN5-DW4,IF(A5&lt;'Données projet'!$A$166,$DL$205^A5,IF(A5='Données projet'!$A$166,'Données projet'!$B$166,DO4+DN5-DW4)))</f>
        <v>4</v>
      </c>
      <c r="DP5" s="18">
        <f>DO5*VLOOKUP('Données projet'!$B$14,Paramètres!$A$1:$I$89,3,0)*VLOOKUP('Données projet'!$B$14,Paramètres!$A$1:$I$89,5,0)</f>
        <v>3.8688000000000002</v>
      </c>
      <c r="DQ5" s="14">
        <f t="shared" ref="DQ5:DQ68" si="43">EXP(-1.0587+0.8836*LN(DP5)+0.284)</f>
        <v>1.5231212074868044</v>
      </c>
      <c r="DR5" s="22">
        <f t="shared" si="16"/>
        <v>9.3909294363728524</v>
      </c>
      <c r="DS5" s="62">
        <f t="shared" si="17"/>
        <v>302.72426276970617</v>
      </c>
      <c r="DT5" s="62">
        <f ca="1">AVERAGE(OFFSET($DS$3,0,0,'Données projet'!$E$14+1,1))-AVERAGE(OFFSET($H$3,0,0,'Données projet'!$E$14+1,1))</f>
        <v>154.0837760161366</v>
      </c>
      <c r="DU5" s="62">
        <f t="shared" ref="DU5:DU68" si="44">$DU$3</f>
        <v>96.484500841546037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5.4069999999999991</v>
      </c>
      <c r="EJ5" s="13">
        <f>IF('Données projet'!$A$192&gt;35,EJ4+EI5-ER4,IF(A5&lt;'Données projet'!$A$192,$EG$205^A5,IF(A5='Données projet'!$A$192,'Données projet'!$B$192,EJ4+EI5-ER4)))</f>
        <v>1.7969652710323341</v>
      </c>
      <c r="EK5" s="18">
        <f>EJ5*VLOOKUP('Données projet'!$B$15,Paramètres!$A$1:$I$89,3,0)*VLOOKUP('Données projet'!$B$15,Paramètres!$A$1:$I$89,5,0)</f>
        <v>1.2054043038084896</v>
      </c>
      <c r="EL5" s="14">
        <f t="shared" ref="EL5:EL68" si="45">EXP(-1.0587+0.8836*LN(EK5)+0.284)</f>
        <v>0.54355181711764378</v>
      </c>
      <c r="EM5" s="22">
        <f t="shared" si="19"/>
        <v>3.0460985772796825</v>
      </c>
      <c r="EN5" s="62">
        <f t="shared" si="20"/>
        <v>296.37943191061299</v>
      </c>
      <c r="EO5" s="62">
        <f ca="1">AVERAGE(OFFSET($EN$3,0,0,'Données projet'!$E$15+1,1))-AVERAGE(OFFSET($H$3,0,0,'Données projet'!$E$15+1,1))</f>
        <v>205.35893113421139</v>
      </c>
      <c r="EP5" s="62">
        <f t="shared" ref="EP5:EP68" si="46">$EP$3</f>
        <v>220.4399811285175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5.4069999999999991</v>
      </c>
      <c r="FE5" s="13">
        <f>IF('Données projet'!$A$218&gt;35,FE4+FD5-FM4,IF(A5&lt;'Données projet'!$A$218,$FB$205^A5,IF(A5='Données projet'!$A$218,'Données projet'!$B$218,FE4+FD5-FM4)))</f>
        <v>1.7969652710323341</v>
      </c>
      <c r="FF5" s="18">
        <f>FE5*VLOOKUP('Données projet'!$B$16,Paramètres!$A$1:$I$89,3,0)*VLOOKUP('Données projet'!$B$16,Paramètres!$A$1:$I$89,5,0)</f>
        <v>1.4016329114052206</v>
      </c>
      <c r="FG5" s="14">
        <f t="shared" ref="FG5:FG68" si="47">EXP(-1.0587+0.8836*LN(FF5)+0.284)</f>
        <v>0.62103792260707169</v>
      </c>
      <c r="FH5" s="22">
        <f t="shared" si="22"/>
        <v>3.5228183692380757</v>
      </c>
      <c r="FI5" s="62">
        <f t="shared" si="23"/>
        <v>296.85615170257137</v>
      </c>
      <c r="FJ5" s="62">
        <f ca="1">AVERAGE(OFFSET($FI$3,0,0,'Données projet'!$E$16+1,1))-AVERAGE(OFFSET($H$3,0,0,'Données projet'!$E$16+1,1))</f>
        <v>242.81177364426878</v>
      </c>
      <c r="FK5" s="62">
        <f t="shared" ref="FK5:FK68" si="48">$FK$3</f>
        <v>260.72115764896671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5.4069999999999991</v>
      </c>
      <c r="FZ5" s="13">
        <f>IF('Données projet'!$A$244&gt;35,FZ4+FY5-GH4,IF(A5&lt;'Données projet'!$A$244,$FW$205^A5,IF(A5='Données projet'!$A$244,'Données projet'!$B$244,FZ4+FY5-GH4)))</f>
        <v>1.7969652710323341</v>
      </c>
      <c r="GA5" s="18">
        <f>FZ5*VLOOKUP('Données projet'!$B$17,Paramètres!$A$1:$I$89,3,0)*VLOOKUP('Données projet'!$B$17,Paramètres!$A$1:$I$89,5,0)</f>
        <v>1.4296655696333251</v>
      </c>
      <c r="GB5" s="14">
        <f t="shared" ref="GB5:GB68" si="49">EXP(-1.0587+0.8836*LN(GA5)+0.284)</f>
        <v>0.63200022398155253</v>
      </c>
      <c r="GC5" s="22">
        <f t="shared" si="25"/>
        <v>3.5907345905459116</v>
      </c>
      <c r="GD5" s="62">
        <f t="shared" si="26"/>
        <v>296.92406792387925</v>
      </c>
      <c r="GE5" s="62">
        <f ca="1">AVERAGE(OFFSET($GD$3,0,0,'Données projet'!$E$17+1,1))-AVERAGE(OFFSET($H$3,0,0,'Données projet'!$E$17+1,1))</f>
        <v>248.15263300983543</v>
      </c>
      <c r="GF5" s="62">
        <f t="shared" ref="GF5:GF68" si="50">$GF$3</f>
        <v>266.46511459244618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8.526315789473685</v>
      </c>
      <c r="N6" s="14">
        <f>IF('Données projet'!$A$36&gt;35,N5+M6-V5,IF(A6&lt;'Données projet'!$A$36,$K$205^A6,IF(A6='Données projet'!$A$36,'Données projet'!$B$36,N5+M6-V5)))</f>
        <v>2.2329078050230127</v>
      </c>
      <c r="O6" s="14">
        <f>N6*VLOOKUP('Données projet'!$B$9,Paramètres!$A$1:$I$89,3,0)*VLOOKUP('Données projet'!$B$9,Paramètres!$A$1:$I$89,5,0)</f>
        <v>1.248195463007864</v>
      </c>
      <c r="P6" s="14">
        <f t="shared" si="33"/>
        <v>0.56056679634040518</v>
      </c>
      <c r="Q6" s="22">
        <f t="shared" si="2"/>
        <v>3.1502609350315693</v>
      </c>
      <c r="R6" s="62">
        <f t="shared" si="0"/>
        <v>296.48359426836487</v>
      </c>
      <c r="S6" s="62">
        <f ca="1">AVERAGE(OFFSET($R$3,0,0,'Données projet'!$E$9+1,1))-AVERAGE(OFFSET($H$3,0,0,'Données projet'!$E$9+1,1))</f>
        <v>382.55387448074327</v>
      </c>
      <c r="T6" s="62">
        <f t="shared" si="34"/>
        <v>476.29465646955543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8.5833333333333339</v>
      </c>
      <c r="AI6" s="14">
        <f>IF('Données projet'!$A$62&gt;35,AI5+AH6-AQ5,IF(A6&lt;'Données projet'!$A$62,$AF$205^A6,IF(A6='Données projet'!$A$62,'Données projet'!$B$62,AI5+AH6-AQ5)))</f>
        <v>3.1857325005549697</v>
      </c>
      <c r="AJ6" s="14">
        <f>AI6*VLOOKUP('Données projet'!$B$10,Paramètres!$A$1:$I$89,3,0)*VLOOKUP('Données projet'!$B$10,Paramètres!$A$1:$I$89,5,0)</f>
        <v>1.9878970803463012</v>
      </c>
      <c r="AK6" s="14">
        <f t="shared" si="35"/>
        <v>0.84569334155652565</v>
      </c>
      <c r="AL6" s="22">
        <f t="shared" si="4"/>
        <v>4.93516998481409</v>
      </c>
      <c r="AM6" s="62">
        <f t="shared" si="5"/>
        <v>298.2685033181474</v>
      </c>
      <c r="AN6" s="62">
        <f ca="1">AVERAGE(OFFSET($AM$3,0,0,'Données projet'!$E$10+1,1))-AVERAGE(OFFSET($H$3,0,0,'Données projet'!$E$10+1,1))</f>
        <v>482.28841373508675</v>
      </c>
      <c r="AO6" s="62">
        <f t="shared" si="36"/>
        <v>746.97309214631684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8.5833333333333339</v>
      </c>
      <c r="BD6" s="13">
        <f>IF('Données projet'!$A$88&gt;35,BD5+BC6-BL5,IF(A6&lt;'Données projet'!$A$88,$BA$205^A6,IF(A6='Données projet'!$A$88,'Données projet'!$B$88,BD5+BC6-BL5)))</f>
        <v>3.1857325005549697</v>
      </c>
      <c r="BE6" s="14">
        <f>BD6*VLOOKUP('Données projet'!$B$11,Paramètres!$A$1:$I$89,3,0)*VLOOKUP('Données projet'!$B$11,Paramètres!$A$1:$I$89,5,0)</f>
        <v>1.7394099453030136</v>
      </c>
      <c r="BF6" s="14">
        <f t="shared" si="37"/>
        <v>0.75157309876503064</v>
      </c>
      <c r="BG6" s="22">
        <f t="shared" si="7"/>
        <v>4.3384621350851766</v>
      </c>
      <c r="BH6" s="62">
        <f t="shared" si="8"/>
        <v>297.67179546841851</v>
      </c>
      <c r="BI6" s="62">
        <f ca="1">AVERAGE(OFFSET($BH$3,0,0,'Données projet'!$E$11+1,1))-AVERAGE(OFFSET($H$3,0,0,'Données projet'!$E$11+1,1))</f>
        <v>417.99456559608217</v>
      </c>
      <c r="BJ6" s="62">
        <f t="shared" si="38"/>
        <v>651.41353014863932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2.6904761904761907</v>
      </c>
      <c r="BY6" s="13">
        <f>IF('Données projet'!$A$114&gt;35,BY5+BX6-CG5,IF(A6&lt;'Données projet'!$A$114,$BV$205^A6,IF(A6='Données projet'!$A$114,'Données projet'!$B$114,BY5+BX6-CG5)))</f>
        <v>8.071428571428573</v>
      </c>
      <c r="BZ6" s="14">
        <f>BY6*VLOOKUP('Données projet'!$B$12,Paramètres!$A$1:$I$89,3,0)*VLOOKUP('Données projet'!$B$12,Paramètres!$A$1:$I$89,5,0)</f>
        <v>7.3030285714285732</v>
      </c>
      <c r="CA6" s="14">
        <f t="shared" si="39"/>
        <v>2.6701970724975985</v>
      </c>
      <c r="CB6" s="22">
        <f t="shared" si="10"/>
        <v>17.370034663171413</v>
      </c>
      <c r="CC6" s="62">
        <f t="shared" si="11"/>
        <v>310.70336799650471</v>
      </c>
      <c r="CD6" s="62">
        <f ca="1">AVERAGE(OFFSET($CC$3,0,0,'Données projet'!$E$12+1,1))-AVERAGE(OFFSET($H$3,0,0,'Données projet'!$E$12+1,1))</f>
        <v>213.07277043804817</v>
      </c>
      <c r="CE6" s="62">
        <f t="shared" si="40"/>
        <v>129.14539883354166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2.6904761904761907</v>
      </c>
      <c r="CT6" s="13">
        <f>IF('Données projet'!$A$140&gt;35,CT5+CS6-DB5,IF(A6&lt;'Données projet'!$A$140,$CQ$205^A6,IF(A6='Données projet'!$A$140,'Données projet'!$B$140,CT5+CS6-DB5)))</f>
        <v>8.071428571428573</v>
      </c>
      <c r="CU6" s="18">
        <f>CT6*VLOOKUP('Données projet'!$B$13,Paramètres!$A$1:$I$89,3,0)*VLOOKUP('Données projet'!$B$13,Paramètres!$A$1:$I$89,5,0)</f>
        <v>8.1844285714285743</v>
      </c>
      <c r="CV6" s="14">
        <f t="shared" si="41"/>
        <v>2.9530349176942408</v>
      </c>
      <c r="CW6" s="22">
        <f t="shared" si="13"/>
        <v>19.397748910222237</v>
      </c>
      <c r="CX6" s="62">
        <f t="shared" si="14"/>
        <v>312.73108224355553</v>
      </c>
      <c r="CY6" s="62">
        <f ca="1">AVERAGE(OFFSET($CX$3,0,0,'Données projet'!$E$13+1,1))-AVERAGE(OFFSET($H$3,0,0,'Données projet'!$E$13+1,1))</f>
        <v>247.92503505485405</v>
      </c>
      <c r="CZ6" s="62">
        <f t="shared" si="42"/>
        <v>148.26437652597514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</v>
      </c>
      <c r="DO6" s="13">
        <f>IF('Données projet'!$A$166&gt;35,DO5+DN6-DW5,IF(A6&lt;'Données projet'!$A$166,$DL$205^A6,IF(A6='Données projet'!$A$166,'Données projet'!$B$166,DO5+DN6-DW5)))</f>
        <v>6</v>
      </c>
      <c r="DP6" s="18">
        <f>DO6*VLOOKUP('Données projet'!$B$14,Paramètres!$A$1:$I$89,3,0)*VLOOKUP('Données projet'!$B$14,Paramètres!$A$1:$I$89,5,0)</f>
        <v>5.8031999999999995</v>
      </c>
      <c r="DQ6" s="14">
        <f t="shared" si="43"/>
        <v>2.1793586253612545</v>
      </c>
      <c r="DR6" s="22">
        <f t="shared" si="16"/>
        <v>13.902956272504184</v>
      </c>
      <c r="DS6" s="62">
        <f t="shared" si="17"/>
        <v>307.2362896058375</v>
      </c>
      <c r="DT6" s="62">
        <f ca="1">AVERAGE(OFFSET($DS$3,0,0,'Données projet'!$E$14+1,1))-AVERAGE(OFFSET($H$3,0,0,'Données projet'!$E$14+1,1))</f>
        <v>154.0837760161366</v>
      </c>
      <c r="DU6" s="62">
        <f t="shared" si="44"/>
        <v>96.484500841546037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5.4069999999999991</v>
      </c>
      <c r="EJ6" s="13">
        <f>IF('Données projet'!$A$192&gt;35,EJ5+EI6-ER5,IF(A6&lt;'Données projet'!$A$192,$EG$205^A6,IF(A6='Données projet'!$A$192,'Données projet'!$B$192,EJ5+EI6-ER5)))</f>
        <v>2.4088487163409011</v>
      </c>
      <c r="EK6" s="18">
        <f>EJ6*VLOOKUP('Données projet'!$B$15,Paramètres!$A$1:$I$89,3,0)*VLOOKUP('Données projet'!$B$15,Paramètres!$A$1:$I$89,5,0)</f>
        <v>1.6158557189214764</v>
      </c>
      <c r="EL6" s="14">
        <f t="shared" si="45"/>
        <v>0.70420091374248528</v>
      </c>
      <c r="EM6" s="22">
        <f t="shared" si="19"/>
        <v>4.0407653018897332</v>
      </c>
      <c r="EN6" s="62">
        <f t="shared" si="20"/>
        <v>297.37409863522305</v>
      </c>
      <c r="EO6" s="62">
        <f ca="1">AVERAGE(OFFSET($EN$3,0,0,'Données projet'!$E$15+1,1))-AVERAGE(OFFSET($H$3,0,0,'Données projet'!$E$15+1,1))</f>
        <v>205.35893113421139</v>
      </c>
      <c r="EP6" s="62">
        <f t="shared" si="46"/>
        <v>220.4399811285175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5.4069999999999991</v>
      </c>
      <c r="FE6" s="13">
        <f>IF('Données projet'!$A$218&gt;35,FE5+FD6-FM5,IF(A6&lt;'Données projet'!$A$218,$FB$205^A6,IF(A6='Données projet'!$A$218,'Données projet'!$B$218,FE5+FD6-FM5)))</f>
        <v>2.4088487163409011</v>
      </c>
      <c r="FF6" s="18">
        <f>FE6*VLOOKUP('Données projet'!$B$16,Paramètres!$A$1:$I$89,3,0)*VLOOKUP('Données projet'!$B$16,Paramètres!$A$1:$I$89,5,0)</f>
        <v>1.878901998745903</v>
      </c>
      <c r="FG6" s="14">
        <f t="shared" si="47"/>
        <v>0.80458837372257364</v>
      </c>
      <c r="FH6" s="22">
        <f t="shared" si="22"/>
        <v>4.6737457320492632</v>
      </c>
      <c r="FI6" s="62">
        <f t="shared" si="23"/>
        <v>298.00707906538258</v>
      </c>
      <c r="FJ6" s="62">
        <f ca="1">AVERAGE(OFFSET($FI$3,0,0,'Données projet'!$E$16+1,1))-AVERAGE(OFFSET($H$3,0,0,'Données projet'!$E$16+1,1))</f>
        <v>242.81177364426878</v>
      </c>
      <c r="FK6" s="62">
        <f t="shared" si="48"/>
        <v>260.72115764896671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5.4069999999999991</v>
      </c>
      <c r="FZ6" s="13">
        <f>IF('Données projet'!$A$244&gt;35,FZ5+FY6-GH5,IF(A6&lt;'Données projet'!$A$244,$FW$205^A6,IF(A6='Données projet'!$A$244,'Données projet'!$B$244,FZ5+FY6-GH5)))</f>
        <v>2.4088487163409011</v>
      </c>
      <c r="GA6" s="18">
        <f>FZ6*VLOOKUP('Données projet'!$B$17,Paramètres!$A$1:$I$89,3,0)*VLOOKUP('Données projet'!$B$17,Paramètres!$A$1:$I$89,5,0)</f>
        <v>1.9164800387208212</v>
      </c>
      <c r="GB6" s="14">
        <f t="shared" si="49"/>
        <v>0.81879063080556136</v>
      </c>
      <c r="GC6" s="22">
        <f t="shared" si="25"/>
        <v>4.7639297494251158</v>
      </c>
      <c r="GD6" s="62">
        <f t="shared" si="26"/>
        <v>298.09726308275845</v>
      </c>
      <c r="GE6" s="62">
        <f ca="1">AVERAGE(OFFSET($GD$3,0,0,'Données projet'!$E$17+1,1))-AVERAGE(OFFSET($H$3,0,0,'Données projet'!$E$17+1,1))</f>
        <v>248.15263300983543</v>
      </c>
      <c r="GF6" s="62">
        <f t="shared" si="50"/>
        <v>266.46511459244618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8.526315789473685</v>
      </c>
      <c r="N7" s="14">
        <f>IF('Données projet'!$A$36&gt;35,N6+M7-V6,IF(A7&lt;'Données projet'!$A$36,$K$205^A7,IF(A7='Données projet'!$A$36,'Données projet'!$B$36,N6+M7-V6)))</f>
        <v>2.9185091262186176</v>
      </c>
      <c r="O7" s="14">
        <f>N7*VLOOKUP('Données projet'!$B$9,Paramètres!$A$1:$I$89,3,0)*VLOOKUP('Données projet'!$B$9,Paramètres!$A$1:$I$89,5,0)</f>
        <v>1.6314466015562072</v>
      </c>
      <c r="P7" s="14">
        <f t="shared" si="33"/>
        <v>0.71020127416305878</v>
      </c>
      <c r="Q7" s="22">
        <f t="shared" si="2"/>
        <v>4.0783700502110554</v>
      </c>
      <c r="R7" s="62">
        <f t="shared" si="0"/>
        <v>297.41170338354436</v>
      </c>
      <c r="S7" s="62">
        <f ca="1">AVERAGE(OFFSET($R$3,0,0,'Données projet'!$E$9+1,1))-AVERAGE(OFFSET($H$3,0,0,'Données projet'!$E$9+1,1))</f>
        <v>382.55387448074327</v>
      </c>
      <c r="T7" s="62">
        <f t="shared" si="34"/>
        <v>476.29465646955543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8.5833333333333339</v>
      </c>
      <c r="AI7" s="14">
        <f>IF('Données projet'!$A$62&gt;35,AI6+AH7-AQ6,IF(A7&lt;'Données projet'!$A$62,$AF$205^A7,IF(A7='Données projet'!$A$62,'Données projet'!$B$62,AI6+AH7-AQ6)))</f>
        <v>4.6875481476535983</v>
      </c>
      <c r="AJ7" s="14">
        <f>AI7*VLOOKUP('Données projet'!$B$10,Paramètres!$A$1:$I$89,3,0)*VLOOKUP('Données projet'!$B$10,Paramètres!$A$1:$I$89,5,0)</f>
        <v>2.9250300441358457</v>
      </c>
      <c r="AK7" s="14">
        <f t="shared" si="35"/>
        <v>1.1896653855660013</v>
      </c>
      <c r="AL7" s="22">
        <f t="shared" si="4"/>
        <v>7.1664278733973825</v>
      </c>
      <c r="AM7" s="62">
        <f t="shared" si="5"/>
        <v>300.49976120673068</v>
      </c>
      <c r="AN7" s="62">
        <f ca="1">AVERAGE(OFFSET($AM$3,0,0,'Données projet'!$E$10+1,1))-AVERAGE(OFFSET($H$3,0,0,'Données projet'!$E$10+1,1))</f>
        <v>482.28841373508675</v>
      </c>
      <c r="AO7" s="62">
        <f t="shared" si="36"/>
        <v>746.97309214631684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8.5833333333333339</v>
      </c>
      <c r="BD7" s="13">
        <f>IF('Données projet'!$A$88&gt;35,BD6+BC7-BL6,IF(A7&lt;'Données projet'!$A$88,$BA$205^A7,IF(A7='Données projet'!$A$88,'Données projet'!$B$88,BD6+BC7-BL6)))</f>
        <v>4.6875481476535983</v>
      </c>
      <c r="BE7" s="14">
        <f>BD7*VLOOKUP('Données projet'!$B$11,Paramètres!$A$1:$I$89,3,0)*VLOOKUP('Données projet'!$B$11,Paramètres!$A$1:$I$89,5,0)</f>
        <v>2.5594012886188646</v>
      </c>
      <c r="BF7" s="14">
        <f t="shared" si="37"/>
        <v>1.057263261264038</v>
      </c>
      <c r="BG7" s="22">
        <f t="shared" si="7"/>
        <v>6.2990240910460562</v>
      </c>
      <c r="BH7" s="62">
        <f t="shared" si="8"/>
        <v>299.63235742437939</v>
      </c>
      <c r="BI7" s="62">
        <f ca="1">AVERAGE(OFFSET($BH$3,0,0,'Données projet'!$E$11+1,1))-AVERAGE(OFFSET($H$3,0,0,'Données projet'!$E$11+1,1))</f>
        <v>417.99456559608217</v>
      </c>
      <c r="BJ7" s="62">
        <f t="shared" si="38"/>
        <v>651.41353014863932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2.6904761904761907</v>
      </c>
      <c r="BY7" s="13">
        <f>IF('Données projet'!$A$114&gt;35,BY6+BX7-CG6,IF(A7&lt;'Données projet'!$A$114,$BV$205^A7,IF(A7='Données projet'!$A$114,'Données projet'!$B$114,BY6+BX7-CG6)))</f>
        <v>10.761904761904763</v>
      </c>
      <c r="BZ7" s="14">
        <f>BY7*VLOOKUP('Données projet'!$B$12,Paramètres!$A$1:$I$89,3,0)*VLOOKUP('Données projet'!$B$12,Paramètres!$A$1:$I$89,5,0)</f>
        <v>9.7373714285714303</v>
      </c>
      <c r="CA7" s="14">
        <f t="shared" si="39"/>
        <v>3.443017127158444</v>
      </c>
      <c r="CB7" s="22">
        <f t="shared" si="10"/>
        <v>22.955843401229529</v>
      </c>
      <c r="CC7" s="62">
        <f t="shared" si="11"/>
        <v>316.28917673456283</v>
      </c>
      <c r="CD7" s="62">
        <f ca="1">AVERAGE(OFFSET($CC$3,0,0,'Données projet'!$E$12+1,1))-AVERAGE(OFFSET($H$3,0,0,'Données projet'!$E$12+1,1))</f>
        <v>213.07277043804817</v>
      </c>
      <c r="CE7" s="62">
        <f t="shared" si="40"/>
        <v>129.14539883354166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2.6904761904761907</v>
      </c>
      <c r="CT7" s="13">
        <f>IF('Données projet'!$A$140&gt;35,CT6+CS7-DB6,IF(A7&lt;'Données projet'!$A$140,$CQ$205^A7,IF(A7='Données projet'!$A$140,'Données projet'!$B$140,CT6+CS7-DB6)))</f>
        <v>10.761904761904763</v>
      </c>
      <c r="CU7" s="18">
        <f>CT7*VLOOKUP('Données projet'!$B$13,Paramètres!$A$1:$I$89,3,0)*VLOOKUP('Données projet'!$B$13,Paramètres!$A$1:$I$89,5,0)</f>
        <v>10.912571428571431</v>
      </c>
      <c r="CV7" s="14">
        <f t="shared" si="41"/>
        <v>3.8077151321299487</v>
      </c>
      <c r="CW7" s="22">
        <f t="shared" si="13"/>
        <v>25.637832426554898</v>
      </c>
      <c r="CX7" s="62">
        <f t="shared" si="14"/>
        <v>318.97116575988821</v>
      </c>
      <c r="CY7" s="62">
        <f ca="1">AVERAGE(OFFSET($CX$3,0,0,'Données projet'!$E$13+1,1))-AVERAGE(OFFSET($H$3,0,0,'Données projet'!$E$13+1,1))</f>
        <v>247.92503505485405</v>
      </c>
      <c r="CZ7" s="62">
        <f t="shared" si="42"/>
        <v>148.26437652597514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</v>
      </c>
      <c r="DO7" s="13">
        <f>IF('Données projet'!$A$166&gt;35,DO6+DN7-DW6,IF(A7&lt;'Données projet'!$A$166,$DL$205^A7,IF(A7='Données projet'!$A$166,'Données projet'!$B$166,DO6+DN7-DW6)))</f>
        <v>8</v>
      </c>
      <c r="DP7" s="18">
        <f>DO7*VLOOKUP('Données projet'!$B$14,Paramètres!$A$1:$I$89,3,0)*VLOOKUP('Données projet'!$B$14,Paramètres!$A$1:$I$89,5,0)</f>
        <v>7.7376000000000005</v>
      </c>
      <c r="DQ7" s="14">
        <f t="shared" si="43"/>
        <v>2.810118081030152</v>
      </c>
      <c r="DR7" s="22">
        <f t="shared" si="16"/>
        <v>18.370608991127515</v>
      </c>
      <c r="DS7" s="62">
        <f t="shared" si="17"/>
        <v>311.70394232446085</v>
      </c>
      <c r="DT7" s="62">
        <f ca="1">AVERAGE(OFFSET($DS$3,0,0,'Données projet'!$E$14+1,1))-AVERAGE(OFFSET($H$3,0,0,'Données projet'!$E$14+1,1))</f>
        <v>154.0837760161366</v>
      </c>
      <c r="DU7" s="62">
        <f t="shared" si="44"/>
        <v>96.484500841546037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5.4069999999999991</v>
      </c>
      <c r="EJ7" s="13">
        <f>IF('Données projet'!$A$192&gt;35,EJ6+EI7-ER6,IF(A7&lt;'Données projet'!$A$192,$EG$205^A7,IF(A7='Données projet'!$A$192,'Données projet'!$B$192,EJ6+EI7-ER6)))</f>
        <v>3.2290841852963097</v>
      </c>
      <c r="EK7" s="18">
        <f>EJ7*VLOOKUP('Données projet'!$B$15,Paramètres!$A$1:$I$89,3,0)*VLOOKUP('Données projet'!$B$15,Paramètres!$A$1:$I$89,5,0)</f>
        <v>2.1660696714967647</v>
      </c>
      <c r="EL7" s="14">
        <f t="shared" si="45"/>
        <v>0.91233054751874976</v>
      </c>
      <c r="EM7" s="22">
        <f t="shared" si="19"/>
        <v>5.3615470481186875</v>
      </c>
      <c r="EN7" s="62">
        <f t="shared" si="20"/>
        <v>298.69488038145198</v>
      </c>
      <c r="EO7" s="62">
        <f ca="1">AVERAGE(OFFSET($EN$3,0,0,'Données projet'!$E$15+1,1))-AVERAGE(OFFSET($H$3,0,0,'Données projet'!$E$15+1,1))</f>
        <v>205.35893113421139</v>
      </c>
      <c r="EP7" s="62">
        <f t="shared" si="46"/>
        <v>220.4399811285175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5.4069999999999991</v>
      </c>
      <c r="FE7" s="13">
        <f>IF('Données projet'!$A$218&gt;35,FE6+FD7-FM6,IF(A7&lt;'Données projet'!$A$218,$FB$205^A7,IF(A7='Données projet'!$A$218,'Données projet'!$B$218,FE6+FD7-FM6)))</f>
        <v>3.2290841852963097</v>
      </c>
      <c r="FF7" s="18">
        <f>FE7*VLOOKUP('Données projet'!$B$16,Paramètres!$A$1:$I$89,3,0)*VLOOKUP('Données projet'!$B$16,Paramètres!$A$1:$I$89,5,0)</f>
        <v>2.5186856645311217</v>
      </c>
      <c r="FG7" s="14">
        <f t="shared" si="47"/>
        <v>1.0423879566193892</v>
      </c>
      <c r="FH7" s="22">
        <f t="shared" si="22"/>
        <v>6.2022032235038056</v>
      </c>
      <c r="FI7" s="62">
        <f t="shared" si="23"/>
        <v>299.53553655683714</v>
      </c>
      <c r="FJ7" s="62">
        <f ca="1">AVERAGE(OFFSET($FI$3,0,0,'Données projet'!$E$16+1,1))-AVERAGE(OFFSET($H$3,0,0,'Données projet'!$E$16+1,1))</f>
        <v>242.81177364426878</v>
      </c>
      <c r="FK7" s="62">
        <f t="shared" si="48"/>
        <v>260.72115764896671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5.4069999999999991</v>
      </c>
      <c r="FZ7" s="13">
        <f>IF('Données projet'!$A$244&gt;35,FZ6+FY7-GH6,IF(A7&lt;'Données projet'!$A$244,$FW$205^A7,IF(A7='Données projet'!$A$244,'Données projet'!$B$244,FZ6+FY7-GH6)))</f>
        <v>3.2290841852963097</v>
      </c>
      <c r="GA7" s="18">
        <f>FZ7*VLOOKUP('Données projet'!$B$17,Paramètres!$A$1:$I$89,3,0)*VLOOKUP('Données projet'!$B$17,Paramètres!$A$1:$I$89,5,0)</f>
        <v>2.5690593778217439</v>
      </c>
      <c r="GB7" s="14">
        <f t="shared" si="49"/>
        <v>1.0607877523703817</v>
      </c>
      <c r="GC7" s="22">
        <f t="shared" si="25"/>
        <v>6.3219837517512856</v>
      </c>
      <c r="GD7" s="62">
        <f t="shared" si="26"/>
        <v>299.65531708508462</v>
      </c>
      <c r="GE7" s="62">
        <f ca="1">AVERAGE(OFFSET($GD$3,0,0,'Données projet'!$E$17+1,1))-AVERAGE(OFFSET($H$3,0,0,'Données projet'!$E$17+1,1))</f>
        <v>248.15263300983543</v>
      </c>
      <c r="GF7" s="62">
        <f t="shared" si="50"/>
        <v>266.46511459244618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8.526315789473685</v>
      </c>
      <c r="N8" s="14">
        <f>IF('Données projet'!$A$36&gt;35,N7+M8-V7,IF(A8&lt;'Données projet'!$A$36,$K$205^A8,IF(A8='Données projet'!$A$36,'Données projet'!$B$36,N7+M8-V7)))</f>
        <v>3.8146203352688688</v>
      </c>
      <c r="O8" s="14">
        <f>N8*VLOOKUP('Données projet'!$B$9,Paramètres!$A$1:$I$89,3,0)*VLOOKUP('Données projet'!$B$9,Paramètres!$A$1:$I$89,5,0)</f>
        <v>2.1323727674152977</v>
      </c>
      <c r="P8" s="14">
        <f t="shared" si="33"/>
        <v>0.89977831922200224</v>
      </c>
      <c r="Q8" s="22">
        <f t="shared" si="2"/>
        <v>5.2809964758932972</v>
      </c>
      <c r="R8" s="62">
        <f t="shared" si="0"/>
        <v>298.6143298092266</v>
      </c>
      <c r="S8" s="62">
        <f ca="1">AVERAGE(OFFSET($R$3,0,0,'Données projet'!$E$9+1,1))-AVERAGE(OFFSET($H$3,0,0,'Données projet'!$E$9+1,1))</f>
        <v>382.55387448074327</v>
      </c>
      <c r="T8" s="62">
        <f t="shared" si="34"/>
        <v>476.29465646955543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8.5833333333333339</v>
      </c>
      <c r="AI8" s="14">
        <f>IF('Données projet'!$A$62&gt;35,AI7+AH8-AQ7,IF(A8&lt;'Données projet'!$A$62,$AF$205^A8,IF(A8='Données projet'!$A$62,'Données projet'!$B$62,AI7+AH8-AQ7)))</f>
        <v>6.89734861063911</v>
      </c>
      <c r="AJ8" s="14">
        <f>AI8*VLOOKUP('Données projet'!$B$10,Paramètres!$A$1:$I$89,3,0)*VLOOKUP('Données projet'!$B$10,Paramètres!$A$1:$I$89,5,0)</f>
        <v>4.3039455330388048</v>
      </c>
      <c r="AK8" s="14">
        <f t="shared" si="35"/>
        <v>1.6735424770035323</v>
      </c>
      <c r="AL8" s="22">
        <f t="shared" si="4"/>
        <v>10.410791617490402</v>
      </c>
      <c r="AM8" s="62">
        <f t="shared" si="5"/>
        <v>303.74412495082373</v>
      </c>
      <c r="AN8" s="62">
        <f ca="1">AVERAGE(OFFSET($AM$3,0,0,'Données projet'!$E$10+1,1))-AVERAGE(OFFSET($H$3,0,0,'Données projet'!$E$10+1,1))</f>
        <v>482.28841373508675</v>
      </c>
      <c r="AO8" s="62">
        <f t="shared" si="36"/>
        <v>746.97309214631684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8.5833333333333339</v>
      </c>
      <c r="BD8" s="13">
        <f>IF('Données projet'!$A$88&gt;35,BD7+BC8-BL7,IF(A8&lt;'Données projet'!$A$88,$BA$205^A8,IF(A8='Données projet'!$A$88,'Données projet'!$B$88,BD7+BC8-BL7)))</f>
        <v>6.89734861063911</v>
      </c>
      <c r="BE8" s="14">
        <f>BD8*VLOOKUP('Données projet'!$B$11,Paramètres!$A$1:$I$89,3,0)*VLOOKUP('Données projet'!$B$11,Paramètres!$A$1:$I$89,5,0)</f>
        <v>3.7659523414089544</v>
      </c>
      <c r="BF8" s="14">
        <f t="shared" si="37"/>
        <v>1.487287937068829</v>
      </c>
      <c r="BG8" s="22">
        <f t="shared" si="7"/>
        <v>9.1493934850154712</v>
      </c>
      <c r="BH8" s="62">
        <f t="shared" si="8"/>
        <v>302.48272681834879</v>
      </c>
      <c r="BI8" s="62">
        <f ca="1">AVERAGE(OFFSET($BH$3,0,0,'Données projet'!$E$11+1,1))-AVERAGE(OFFSET($H$3,0,0,'Données projet'!$E$11+1,1))</f>
        <v>417.99456559608217</v>
      </c>
      <c r="BJ8" s="62">
        <f t="shared" si="38"/>
        <v>651.41353014863932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2.6904761904761907</v>
      </c>
      <c r="BY8" s="13">
        <f>IF('Données projet'!$A$114&gt;35,BY7+BX8-CG7,IF(A8&lt;'Données projet'!$A$114,$BV$205^A8,IF(A8='Données projet'!$A$114,'Données projet'!$B$114,BY7+BX8-CG7)))</f>
        <v>13.452380952380953</v>
      </c>
      <c r="BZ8" s="14">
        <f>BY8*VLOOKUP('Données projet'!$B$12,Paramètres!$A$1:$I$89,3,0)*VLOOKUP('Données projet'!$B$12,Paramètres!$A$1:$I$89,5,0)</f>
        <v>12.171714285714286</v>
      </c>
      <c r="CA8" s="14">
        <f t="shared" si="39"/>
        <v>4.1934249090509752</v>
      </c>
      <c r="CB8" s="22">
        <f t="shared" si="10"/>
        <v>28.502617430882832</v>
      </c>
      <c r="CC8" s="62">
        <f t="shared" si="11"/>
        <v>321.83595076421614</v>
      </c>
      <c r="CD8" s="62">
        <f ca="1">AVERAGE(OFFSET($CC$3,0,0,'Données projet'!$E$12+1,1))-AVERAGE(OFFSET($H$3,0,0,'Données projet'!$E$12+1,1))</f>
        <v>213.07277043804817</v>
      </c>
      <c r="CE8" s="62">
        <f t="shared" si="40"/>
        <v>129.14539883354166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2.6904761904761907</v>
      </c>
      <c r="CT8" s="13">
        <f>IF('Données projet'!$A$140&gt;35,CT7+CS8-DB7,IF(A8&lt;'Données projet'!$A$140,$CQ$205^A8,IF(A8='Données projet'!$A$140,'Données projet'!$B$140,CT7+CS8-DB7)))</f>
        <v>13.452380952380953</v>
      </c>
      <c r="CU8" s="18">
        <f>CT8*VLOOKUP('Données projet'!$B$13,Paramètres!$A$1:$I$89,3,0)*VLOOKUP('Données projet'!$B$13,Paramètres!$A$1:$I$89,5,0)</f>
        <v>13.640714285714285</v>
      </c>
      <c r="CV8" s="14">
        <f t="shared" si="41"/>
        <v>4.6376090771358101</v>
      </c>
      <c r="CW8" s="22">
        <f t="shared" si="13"/>
        <v>31.834746523630582</v>
      </c>
      <c r="CX8" s="62">
        <f t="shared" si="14"/>
        <v>325.16807985696391</v>
      </c>
      <c r="CY8" s="62">
        <f ca="1">AVERAGE(OFFSET($CX$3,0,0,'Données projet'!$E$13+1,1))-AVERAGE(OFFSET($H$3,0,0,'Données projet'!$E$13+1,1))</f>
        <v>247.92503505485405</v>
      </c>
      <c r="CZ8" s="62">
        <f t="shared" si="42"/>
        <v>148.26437652597514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</v>
      </c>
      <c r="DO8" s="13">
        <f>IF('Données projet'!$A$166&gt;35,DO7+DN8-DW7,IF(A8&lt;'Données projet'!$A$166,$DL$205^A8,IF(A8='Données projet'!$A$166,'Données projet'!$B$166,DO7+DN8-DW7)))</f>
        <v>10</v>
      </c>
      <c r="DP8" s="18">
        <f>DO8*VLOOKUP('Données projet'!$B$14,Paramètres!$A$1:$I$89,3,0)*VLOOKUP('Données projet'!$B$14,Paramètres!$A$1:$I$89,5,0)</f>
        <v>9.6720000000000006</v>
      </c>
      <c r="DQ8" s="14">
        <f t="shared" si="43"/>
        <v>3.4225851115913088</v>
      </c>
      <c r="DR8" s="22">
        <f t="shared" si="16"/>
        <v>22.806402402688196</v>
      </c>
      <c r="DS8" s="62">
        <f t="shared" si="17"/>
        <v>316.13973573602152</v>
      </c>
      <c r="DT8" s="62">
        <f ca="1">AVERAGE(OFFSET($DS$3,0,0,'Données projet'!$E$14+1,1))-AVERAGE(OFFSET($H$3,0,0,'Données projet'!$E$14+1,1))</f>
        <v>154.0837760161366</v>
      </c>
      <c r="DU8" s="62">
        <f t="shared" si="44"/>
        <v>96.484500841546037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5.4069999999999991</v>
      </c>
      <c r="EJ8" s="13">
        <f>IF('Données projet'!$A$192&gt;35,EJ7+EI8-ER7,IF(A8&lt;'Données projet'!$A$192,$EG$205^A8,IF(A8='Données projet'!$A$192,'Données projet'!$B$192,EJ7+EI8-ER7)))</f>
        <v>4.3286174864354168</v>
      </c>
      <c r="EK8" s="18">
        <f>EJ8*VLOOKUP('Données projet'!$B$15,Paramètres!$A$1:$I$89,3,0)*VLOOKUP('Données projet'!$B$15,Paramètres!$A$1:$I$89,5,0)</f>
        <v>2.9036366099008775</v>
      </c>
      <c r="EL8" s="14">
        <f t="shared" si="45"/>
        <v>1.1819737970976807</v>
      </c>
      <c r="EM8" s="22">
        <f t="shared" si="19"/>
        <v>7.1157714588558214</v>
      </c>
      <c r="EN8" s="62">
        <f t="shared" si="20"/>
        <v>300.44910479218913</v>
      </c>
      <c r="EO8" s="62">
        <f ca="1">AVERAGE(OFFSET($EN$3,0,0,'Données projet'!$E$15+1,1))-AVERAGE(OFFSET($H$3,0,0,'Données projet'!$E$15+1,1))</f>
        <v>205.35893113421139</v>
      </c>
      <c r="EP8" s="62">
        <f t="shared" si="46"/>
        <v>220.4399811285175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5.4069999999999991</v>
      </c>
      <c r="FE8" s="13">
        <f>IF('Données projet'!$A$218&gt;35,FE7+FD8-FM7,IF(A8&lt;'Données projet'!$A$218,$FB$205^A8,IF(A8='Données projet'!$A$218,'Données projet'!$B$218,FE7+FD8-FM7)))</f>
        <v>4.3286174864354168</v>
      </c>
      <c r="FF8" s="18">
        <f>FE8*VLOOKUP('Données projet'!$B$16,Paramètres!$A$1:$I$89,3,0)*VLOOKUP('Données projet'!$B$16,Paramètres!$A$1:$I$89,5,0)</f>
        <v>3.3763216394196252</v>
      </c>
      <c r="FG8" s="14">
        <f t="shared" si="47"/>
        <v>1.3504702374431794</v>
      </c>
      <c r="FH8" s="22">
        <f t="shared" si="22"/>
        <v>8.2324958522027192</v>
      </c>
      <c r="FI8" s="62">
        <f t="shared" si="23"/>
        <v>301.56582918553602</v>
      </c>
      <c r="FJ8" s="62">
        <f ca="1">AVERAGE(OFFSET($FI$3,0,0,'Données projet'!$E$16+1,1))-AVERAGE(OFFSET($H$3,0,0,'Données projet'!$E$16+1,1))</f>
        <v>242.81177364426878</v>
      </c>
      <c r="FK8" s="62">
        <f t="shared" si="48"/>
        <v>260.72115764896671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5.4069999999999991</v>
      </c>
      <c r="FZ8" s="13">
        <f>IF('Données projet'!$A$244&gt;35,FZ7+FY8-GH7,IF(A8&lt;'Données projet'!$A$244,$FW$205^A8,IF(A8='Données projet'!$A$244,'Données projet'!$B$244,FZ7+FY8-GH7)))</f>
        <v>4.3286174864354168</v>
      </c>
      <c r="GA8" s="18">
        <f>FZ8*VLOOKUP('Données projet'!$B$17,Paramètres!$A$1:$I$89,3,0)*VLOOKUP('Données projet'!$B$17,Paramètres!$A$1:$I$89,5,0)</f>
        <v>3.4438480722080178</v>
      </c>
      <c r="GB8" s="14">
        <f t="shared" si="49"/>
        <v>1.3743081726178488</v>
      </c>
      <c r="GC8" s="22">
        <f t="shared" si="25"/>
        <v>8.3916221264050499</v>
      </c>
      <c r="GD8" s="62">
        <f t="shared" si="26"/>
        <v>301.72495545973834</v>
      </c>
      <c r="GE8" s="62">
        <f ca="1">AVERAGE(OFFSET($GD$3,0,0,'Données projet'!$E$17+1,1))-AVERAGE(OFFSET($H$3,0,0,'Données projet'!$E$17+1,1))</f>
        <v>248.15263300983543</v>
      </c>
      <c r="GF8" s="62">
        <f t="shared" si="50"/>
        <v>266.46511459244618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8.526315789473685</v>
      </c>
      <c r="N9" s="14">
        <f>IF('Données projet'!$A$36&gt;35,N8+M9-V8,IF(A9&lt;'Données projet'!$A$36,$K$205^A9,IF(A9='Données projet'!$A$36,'Données projet'!$B$36,N8+M9-V8)))</f>
        <v>4.9858772657326877</v>
      </c>
      <c r="O9" s="14">
        <f>N9*VLOOKUP('Données projet'!$B$9,Paramètres!$A$1:$I$89,3,0)*VLOOKUP('Données projet'!$B$9,Paramètres!$A$1:$I$89,5,0)</f>
        <v>2.7871053915445723</v>
      </c>
      <c r="P9" s="14">
        <f t="shared" si="33"/>
        <v>1.1399599707787778</v>
      </c>
      <c r="Q9" s="22">
        <f t="shared" si="2"/>
        <v>6.839638839379834</v>
      </c>
      <c r="R9" s="62">
        <f t="shared" si="0"/>
        <v>300.17297217271317</v>
      </c>
      <c r="S9" s="62">
        <f ca="1">AVERAGE(OFFSET($R$3,0,0,'Données projet'!$E$9+1,1))-AVERAGE(OFFSET($H$3,0,0,'Données projet'!$E$9+1,1))</f>
        <v>382.55387448074327</v>
      </c>
      <c r="T9" s="62">
        <f t="shared" si="34"/>
        <v>476.29465646955543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8.5833333333333339</v>
      </c>
      <c r="AI9" s="14">
        <f>IF('Données projet'!$A$62&gt;35,AI8+AH9-AQ8,IF(A9&lt;'Données projet'!$A$62,$AF$205^A9,IF(A9='Données projet'!$A$62,'Données projet'!$B$62,AI8+AH9-AQ8)))</f>
        <v>10.148891565092221</v>
      </c>
      <c r="AJ9" s="14">
        <f>AI9*VLOOKUP('Données projet'!$B$10,Paramètres!$A$1:$I$89,3,0)*VLOOKUP('Données projet'!$B$10,Paramètres!$A$1:$I$89,5,0)</f>
        <v>6.3329083366175452</v>
      </c>
      <c r="AK9" s="14">
        <f t="shared" si="35"/>
        <v>2.3542287237369877</v>
      </c>
      <c r="AL9" s="22">
        <f t="shared" si="4"/>
        <v>15.130097046784146</v>
      </c>
      <c r="AM9" s="62">
        <f t="shared" si="5"/>
        <v>308.46343038011747</v>
      </c>
      <c r="AN9" s="62">
        <f ca="1">AVERAGE(OFFSET($AM$3,0,0,'Données projet'!$E$10+1,1))-AVERAGE(OFFSET($H$3,0,0,'Données projet'!$E$10+1,1))</f>
        <v>482.28841373508675</v>
      </c>
      <c r="AO9" s="62">
        <f t="shared" si="36"/>
        <v>746.97309214631684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8.5833333333333339</v>
      </c>
      <c r="BD9" s="13">
        <f>IF('Données projet'!$A$88&gt;35,BD8+BC9-BL8,IF(A9&lt;'Données projet'!$A$88,$BA$205^A9,IF(A9='Données projet'!$A$88,'Données projet'!$B$88,BD8+BC9-BL8)))</f>
        <v>10.148891565092221</v>
      </c>
      <c r="BE9" s="14">
        <f>BD9*VLOOKUP('Données projet'!$B$11,Paramètres!$A$1:$I$89,3,0)*VLOOKUP('Données projet'!$B$11,Paramètres!$A$1:$I$89,5,0)</f>
        <v>5.5412947945403523</v>
      </c>
      <c r="BF9" s="14">
        <f t="shared" si="37"/>
        <v>2.0922181719487822</v>
      </c>
      <c r="BG9" s="22">
        <f t="shared" si="7"/>
        <v>13.29503508330191</v>
      </c>
      <c r="BH9" s="62">
        <f t="shared" si="8"/>
        <v>306.62836841663523</v>
      </c>
      <c r="BI9" s="62">
        <f ca="1">AVERAGE(OFFSET($BH$3,0,0,'Données projet'!$E$11+1,1))-AVERAGE(OFFSET($H$3,0,0,'Données projet'!$E$11+1,1))</f>
        <v>417.99456559608217</v>
      </c>
      <c r="BJ9" s="62">
        <f t="shared" si="38"/>
        <v>651.41353014863932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2.6904761904761907</v>
      </c>
      <c r="BY9" s="13">
        <f>IF('Données projet'!$A$114&gt;35,BY8+BX9-CG8,IF(A9&lt;'Données projet'!$A$114,$BV$205^A9,IF(A9='Données projet'!$A$114,'Données projet'!$B$114,BY8+BX9-CG8)))</f>
        <v>16.142857142857142</v>
      </c>
      <c r="BZ9" s="14">
        <f>BY9*VLOOKUP('Données projet'!$B$12,Paramètres!$A$1:$I$89,3,0)*VLOOKUP('Données projet'!$B$12,Paramètres!$A$1:$I$89,5,0)</f>
        <v>14.606057142857141</v>
      </c>
      <c r="CA9" s="14">
        <f t="shared" si="39"/>
        <v>4.9264425158391649</v>
      </c>
      <c r="CB9" s="22">
        <f t="shared" si="10"/>
        <v>34.019103572229398</v>
      </c>
      <c r="CC9" s="62">
        <f t="shared" si="11"/>
        <v>327.35243690556274</v>
      </c>
      <c r="CD9" s="62">
        <f ca="1">AVERAGE(OFFSET($CC$3,0,0,'Données projet'!$E$12+1,1))-AVERAGE(OFFSET($H$3,0,0,'Données projet'!$E$12+1,1))</f>
        <v>213.07277043804817</v>
      </c>
      <c r="CE9" s="62">
        <f t="shared" si="40"/>
        <v>129.14539883354166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2.6904761904761907</v>
      </c>
      <c r="CT9" s="13">
        <f>IF('Données projet'!$A$140&gt;35,CT8+CS9-DB8,IF(A9&lt;'Données projet'!$A$140,$CQ$205^A9,IF(A9='Données projet'!$A$140,'Données projet'!$B$140,CT8+CS9-DB8)))</f>
        <v>16.142857142857142</v>
      </c>
      <c r="CU9" s="18">
        <f>CT9*VLOOKUP('Données projet'!$B$13,Paramètres!$A$1:$I$89,3,0)*VLOOKUP('Données projet'!$B$13,Paramètres!$A$1:$I$89,5,0)</f>
        <v>16.368857142857145</v>
      </c>
      <c r="CV9" s="14">
        <f t="shared" si="41"/>
        <v>5.4482708108427866</v>
      </c>
      <c r="CW9" s="22">
        <f t="shared" si="13"/>
        <v>37.998164519360706</v>
      </c>
      <c r="CX9" s="62">
        <f t="shared" si="14"/>
        <v>331.33149785269404</v>
      </c>
      <c r="CY9" s="62">
        <f ca="1">AVERAGE(OFFSET($CX$3,0,0,'Données projet'!$E$13+1,1))-AVERAGE(OFFSET($H$3,0,0,'Données projet'!$E$13+1,1))</f>
        <v>247.92503505485405</v>
      </c>
      <c r="CZ9" s="62">
        <f t="shared" si="42"/>
        <v>148.26437652597514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</v>
      </c>
      <c r="DO9" s="13">
        <f>IF('Données projet'!$A$166&gt;35,DO8+DN9-DW8,IF(A9&lt;'Données projet'!$A$166,$DL$205^A9,IF(A9='Données projet'!$A$166,'Données projet'!$B$166,DO8+DN9-DW8)))</f>
        <v>12</v>
      </c>
      <c r="DP9" s="18">
        <f>DO9*VLOOKUP('Données projet'!$B$14,Paramètres!$A$1:$I$89,3,0)*VLOOKUP('Données projet'!$B$14,Paramètres!$A$1:$I$89,5,0)</f>
        <v>11.606399999999999</v>
      </c>
      <c r="DQ9" s="14">
        <f t="shared" si="43"/>
        <v>4.0208586474098684</v>
      </c>
      <c r="DR9" s="22">
        <f t="shared" si="16"/>
        <v>27.217475477572183</v>
      </c>
      <c r="DS9" s="62">
        <f t="shared" si="17"/>
        <v>320.55080881090549</v>
      </c>
      <c r="DT9" s="62">
        <f ca="1">AVERAGE(OFFSET($DS$3,0,0,'Données projet'!$E$14+1,1))-AVERAGE(OFFSET($H$3,0,0,'Données projet'!$E$14+1,1))</f>
        <v>154.0837760161366</v>
      </c>
      <c r="DU9" s="62">
        <f t="shared" si="44"/>
        <v>96.484500841546037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5.4069999999999991</v>
      </c>
      <c r="EJ9" s="13">
        <f>IF('Données projet'!$A$192&gt;35,EJ8+EI9-ER8,IF(A9&lt;'Données projet'!$A$192,$EG$205^A9,IF(A9='Données projet'!$A$192,'Données projet'!$B$192,EJ8+EI9-ER8)))</f>
        <v>5.8025521382172069</v>
      </c>
      <c r="EK9" s="18">
        <f>EJ9*VLOOKUP('Données projet'!$B$15,Paramètres!$A$1:$I$89,3,0)*VLOOKUP('Données projet'!$B$15,Paramètres!$A$1:$I$89,5,0)</f>
        <v>3.8923519743161026</v>
      </c>
      <c r="EL9" s="14">
        <f t="shared" si="45"/>
        <v>1.5313112783793943</v>
      </c>
      <c r="EM9" s="22">
        <f t="shared" si="19"/>
        <v>9.4462134984446582</v>
      </c>
      <c r="EN9" s="62">
        <f t="shared" si="20"/>
        <v>302.77954683177796</v>
      </c>
      <c r="EO9" s="62">
        <f ca="1">AVERAGE(OFFSET($EN$3,0,0,'Données projet'!$E$15+1,1))-AVERAGE(OFFSET($H$3,0,0,'Données projet'!$E$15+1,1))</f>
        <v>205.35893113421139</v>
      </c>
      <c r="EP9" s="62">
        <f t="shared" si="46"/>
        <v>220.4399811285175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5.4069999999999991</v>
      </c>
      <c r="FE9" s="13">
        <f>IF('Données projet'!$A$218&gt;35,FE8+FD9-FM8,IF(A9&lt;'Données projet'!$A$218,$FB$205^A9,IF(A9='Données projet'!$A$218,'Données projet'!$B$218,FE8+FD9-FM8)))</f>
        <v>5.8025521382172069</v>
      </c>
      <c r="FF9" s="18">
        <f>FE9*VLOOKUP('Données projet'!$B$16,Paramètres!$A$1:$I$89,3,0)*VLOOKUP('Données projet'!$B$16,Paramètres!$A$1:$I$89,5,0)</f>
        <v>4.5259906678094213</v>
      </c>
      <c r="FG9" s="14">
        <f t="shared" si="47"/>
        <v>1.7496075723424316</v>
      </c>
      <c r="FH9" s="22">
        <f t="shared" si="22"/>
        <v>10.930000268264477</v>
      </c>
      <c r="FI9" s="62">
        <f t="shared" si="23"/>
        <v>304.26333360159776</v>
      </c>
      <c r="FJ9" s="62">
        <f ca="1">AVERAGE(OFFSET($FI$3,0,0,'Données projet'!$E$16+1,1))-AVERAGE(OFFSET($H$3,0,0,'Données projet'!$E$16+1,1))</f>
        <v>242.81177364426878</v>
      </c>
      <c r="FK9" s="62">
        <f t="shared" si="48"/>
        <v>260.72115764896671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5.4069999999999991</v>
      </c>
      <c r="FZ9" s="13">
        <f>IF('Données projet'!$A$244&gt;35,FZ8+FY9-GH8,IF(A9&lt;'Données projet'!$A$244,$FW$205^A9,IF(A9='Données projet'!$A$244,'Données projet'!$B$244,FZ8+FY9-GH8)))</f>
        <v>5.8025521382172069</v>
      </c>
      <c r="GA9" s="18">
        <f>FZ9*VLOOKUP('Données projet'!$B$17,Paramètres!$A$1:$I$89,3,0)*VLOOKUP('Données projet'!$B$17,Paramètres!$A$1:$I$89,5,0)</f>
        <v>4.6165104811656104</v>
      </c>
      <c r="GB9" s="14">
        <f t="shared" si="49"/>
        <v>1.7804909126295698</v>
      </c>
      <c r="GC9" s="22">
        <f t="shared" si="25"/>
        <v>11.14144409419327</v>
      </c>
      <c r="GD9" s="62">
        <f t="shared" si="26"/>
        <v>304.47477742752659</v>
      </c>
      <c r="GE9" s="62">
        <f ca="1">AVERAGE(OFFSET($GD$3,0,0,'Données projet'!$E$17+1,1))-AVERAGE(OFFSET($H$3,0,0,'Données projet'!$E$17+1,1))</f>
        <v>248.15263300983543</v>
      </c>
      <c r="GF9" s="62">
        <f t="shared" si="50"/>
        <v>266.46511459244618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8.526315789473685</v>
      </c>
      <c r="N10" s="14">
        <f>IF('Données projet'!$A$36&gt;35,N9+M10-V9,IF(A10&lt;'Données projet'!$A$36,$K$205^A10,IF(A10='Données projet'!$A$36,'Données projet'!$B$36,N9+M10-V9)))</f>
        <v>6.5167618069644444</v>
      </c>
      <c r="O10" s="14">
        <f>N10*VLOOKUP('Données projet'!$B$9,Paramètres!$A$1:$I$89,3,0)*VLOOKUP('Données projet'!$B$9,Paramètres!$A$1:$I$89,5,0)</f>
        <v>3.6428698500931249</v>
      </c>
      <c r="P10" s="14">
        <f t="shared" si="33"/>
        <v>1.4442543315575544</v>
      </c>
      <c r="Q10" s="22">
        <f t="shared" si="2"/>
        <v>8.8600746163749324</v>
      </c>
      <c r="R10" s="62">
        <f t="shared" si="0"/>
        <v>302.19340794970827</v>
      </c>
      <c r="S10" s="62">
        <f ca="1">AVERAGE(OFFSET($R$3,0,0,'Données projet'!$E$9+1,1))-AVERAGE(OFFSET($H$3,0,0,'Données projet'!$E$9+1,1))</f>
        <v>382.55387448074327</v>
      </c>
      <c r="T10" s="62">
        <f t="shared" si="34"/>
        <v>476.29465646955543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8.5833333333333339</v>
      </c>
      <c r="AI10" s="14">
        <f>IF('Données projet'!$A$62&gt;35,AI9+AH10-AQ9,IF(A10&lt;'Données projet'!$A$62,$AF$205^A10,IF(A10='Données projet'!$A$62,'Données projet'!$B$62,AI9+AH10-AQ9)))</f>
        <v>14.933274481896314</v>
      </c>
      <c r="AJ10" s="14">
        <f>AI10*VLOOKUP('Données projet'!$B$10,Paramètres!$A$1:$I$89,3,0)*VLOOKUP('Données projet'!$B$10,Paramètres!$A$1:$I$89,5,0)</f>
        <v>9.3183632767033</v>
      </c>
      <c r="AK10" s="14">
        <f t="shared" si="35"/>
        <v>3.3117730561532612</v>
      </c>
      <c r="AL10" s="22">
        <f t="shared" si="4"/>
        <v>21.997487446391844</v>
      </c>
      <c r="AM10" s="62">
        <f t="shared" si="5"/>
        <v>315.33082077972517</v>
      </c>
      <c r="AN10" s="62">
        <f ca="1">AVERAGE(OFFSET($AM$3,0,0,'Données projet'!$E$10+1,1))-AVERAGE(OFFSET($H$3,0,0,'Données projet'!$E$10+1,1))</f>
        <v>482.28841373508675</v>
      </c>
      <c r="AO10" s="62">
        <f t="shared" si="36"/>
        <v>746.97309214631684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8.5833333333333339</v>
      </c>
      <c r="BD10" s="13">
        <f>IF('Données projet'!$A$88&gt;35,BD9+BC10-BL9,IF(A10&lt;'Données projet'!$A$88,$BA$205^A10,IF(A10='Données projet'!$A$88,'Données projet'!$B$88,BD9+BC10-BL9)))</f>
        <v>14.933274481896314</v>
      </c>
      <c r="BE10" s="14">
        <f>BD10*VLOOKUP('Données projet'!$B$11,Paramètres!$A$1:$I$89,3,0)*VLOOKUP('Données projet'!$B$11,Paramètres!$A$1:$I$89,5,0)</f>
        <v>8.1535678671153864</v>
      </c>
      <c r="BF10" s="14">
        <f t="shared" si="37"/>
        <v>2.9431939639473623</v>
      </c>
      <c r="BG10" s="22">
        <f t="shared" si="7"/>
        <v>19.326860189100952</v>
      </c>
      <c r="BH10" s="62">
        <f t="shared" si="8"/>
        <v>312.66019352243427</v>
      </c>
      <c r="BI10" s="62">
        <f ca="1">AVERAGE(OFFSET($BH$3,0,0,'Données projet'!$E$11+1,1))-AVERAGE(OFFSET($H$3,0,0,'Données projet'!$E$11+1,1))</f>
        <v>417.99456559608217</v>
      </c>
      <c r="BJ10" s="62">
        <f t="shared" si="38"/>
        <v>651.41353014863932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2.6904761904761907</v>
      </c>
      <c r="BY10" s="13">
        <f>IF('Données projet'!$A$114&gt;35,BY9+BX10-CG9,IF(A10&lt;'Données projet'!$A$114,$BV$205^A10,IF(A10='Données projet'!$A$114,'Données projet'!$B$114,BY9+BX10-CG9)))</f>
        <v>18.833333333333332</v>
      </c>
      <c r="BZ10" s="14">
        <f>BY10*VLOOKUP('Données projet'!$B$12,Paramètres!$A$1:$I$89,3,0)*VLOOKUP('Données projet'!$B$12,Paramètres!$A$1:$I$89,5,0)</f>
        <v>17.040399999999998</v>
      </c>
      <c r="CA10" s="14">
        <f t="shared" si="39"/>
        <v>5.6453074997047406</v>
      </c>
      <c r="CB10" s="22">
        <f t="shared" si="10"/>
        <v>39.510940561985755</v>
      </c>
      <c r="CC10" s="62">
        <f t="shared" si="11"/>
        <v>332.84427389531908</v>
      </c>
      <c r="CD10" s="62">
        <f ca="1">AVERAGE(OFFSET($CC$3,0,0,'Données projet'!$E$12+1,1))-AVERAGE(OFFSET($H$3,0,0,'Données projet'!$E$12+1,1))</f>
        <v>213.07277043804817</v>
      </c>
      <c r="CE10" s="62">
        <f t="shared" si="40"/>
        <v>129.14539883354166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2.6904761904761907</v>
      </c>
      <c r="CT10" s="13">
        <f>IF('Données projet'!$A$140&gt;35,CT9+CS10-DB9,IF(A10&lt;'Données projet'!$A$140,$CQ$205^A10,IF(A10='Données projet'!$A$140,'Données projet'!$B$140,CT9+CS10-DB9)))</f>
        <v>18.833333333333332</v>
      </c>
      <c r="CU10" s="18">
        <f>CT10*VLOOKUP('Données projet'!$B$13,Paramètres!$A$1:$I$89,3,0)*VLOOKUP('Données projet'!$B$13,Paramètres!$A$1:$I$89,5,0)</f>
        <v>19.097000000000001</v>
      </c>
      <c r="CV10" s="14">
        <f t="shared" si="41"/>
        <v>6.2432808197771195</v>
      </c>
      <c r="CW10" s="22">
        <f t="shared" si="13"/>
        <v>44.134322427778478</v>
      </c>
      <c r="CX10" s="62">
        <f t="shared" si="14"/>
        <v>337.46765576111181</v>
      </c>
      <c r="CY10" s="62">
        <f ca="1">AVERAGE(OFFSET($CX$3,0,0,'Données projet'!$E$13+1,1))-AVERAGE(OFFSET($H$3,0,0,'Données projet'!$E$13+1,1))</f>
        <v>247.92503505485405</v>
      </c>
      <c r="CZ10" s="62">
        <f t="shared" si="42"/>
        <v>148.26437652597514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</v>
      </c>
      <c r="DO10" s="13">
        <f>IF('Données projet'!$A$166&gt;35,DO9+DN10-DW9,IF(A10&lt;'Données projet'!$A$166,$DL$205^A10,IF(A10='Données projet'!$A$166,'Données projet'!$B$166,DO9+DN10-DW9)))</f>
        <v>14</v>
      </c>
      <c r="DP10" s="18">
        <f>DO10*VLOOKUP('Données projet'!$B$14,Paramètres!$A$1:$I$89,3,0)*VLOOKUP('Données projet'!$B$14,Paramètres!$A$1:$I$89,5,0)</f>
        <v>13.540800000000001</v>
      </c>
      <c r="DQ10" s="14">
        <f t="shared" si="43"/>
        <v>4.6075811104047908</v>
      </c>
      <c r="DR10" s="22">
        <f t="shared" si="16"/>
        <v>31.608430433955011</v>
      </c>
      <c r="DS10" s="62">
        <f t="shared" si="17"/>
        <v>324.94176376728831</v>
      </c>
      <c r="DT10" s="62">
        <f ca="1">AVERAGE(OFFSET($DS$3,0,0,'Données projet'!$E$14+1,1))-AVERAGE(OFFSET($H$3,0,0,'Données projet'!$E$14+1,1))</f>
        <v>154.0837760161366</v>
      </c>
      <c r="DU10" s="62">
        <f t="shared" si="44"/>
        <v>96.484500841546037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5.4069999999999991</v>
      </c>
      <c r="EJ10" s="13">
        <f>IF('Données projet'!$A$192&gt;35,EJ9+EI10-ER9,IF(A10&lt;'Données projet'!$A$192,$EG$205^A10,IF(A10='Données projet'!$A$192,'Données projet'!$B$192,EJ9+EI10-ER9)))</f>
        <v>7.77837529470772</v>
      </c>
      <c r="EK10" s="18">
        <f>EJ10*VLOOKUP('Données projet'!$B$15,Paramètres!$A$1:$I$89,3,0)*VLOOKUP('Données projet'!$B$15,Paramètres!$A$1:$I$89,5,0)</f>
        <v>5.2177341476899386</v>
      </c>
      <c r="EL10" s="14">
        <f t="shared" si="45"/>
        <v>1.9838969671322977</v>
      </c>
      <c r="EM10" s="22">
        <f t="shared" si="19"/>
        <v>12.542840858315394</v>
      </c>
      <c r="EN10" s="62">
        <f t="shared" si="20"/>
        <v>305.87617419164872</v>
      </c>
      <c r="EO10" s="62">
        <f ca="1">AVERAGE(OFFSET($EN$3,0,0,'Données projet'!$E$15+1,1))-AVERAGE(OFFSET($H$3,0,0,'Données projet'!$E$15+1,1))</f>
        <v>205.35893113421139</v>
      </c>
      <c r="EP10" s="62">
        <f t="shared" si="46"/>
        <v>220.4399811285175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5.4069999999999991</v>
      </c>
      <c r="FE10" s="13">
        <f>IF('Données projet'!$A$218&gt;35,FE9+FD10-FM9,IF(A10&lt;'Données projet'!$A$218,$FB$205^A10,IF(A10='Données projet'!$A$218,'Données projet'!$B$218,FE9+FD10-FM9)))</f>
        <v>7.77837529470772</v>
      </c>
      <c r="FF10" s="18">
        <f>FE10*VLOOKUP('Données projet'!$B$16,Paramètres!$A$1:$I$89,3,0)*VLOOKUP('Données projet'!$B$16,Paramètres!$A$1:$I$89,5,0)</f>
        <v>6.0671327298720215</v>
      </c>
      <c r="FG10" s="14">
        <f t="shared" si="47"/>
        <v>2.2667116774032374</v>
      </c>
      <c r="FH10" s="22">
        <f t="shared" si="22"/>
        <v>14.514779009337742</v>
      </c>
      <c r="FI10" s="62">
        <f t="shared" si="23"/>
        <v>307.84811234267107</v>
      </c>
      <c r="FJ10" s="62">
        <f ca="1">AVERAGE(OFFSET($FI$3,0,0,'Données projet'!$E$16+1,1))-AVERAGE(OFFSET($H$3,0,0,'Données projet'!$E$16+1,1))</f>
        <v>242.81177364426878</v>
      </c>
      <c r="FK10" s="62">
        <f t="shared" si="48"/>
        <v>260.72115764896671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5.4069999999999991</v>
      </c>
      <c r="FZ10" s="13">
        <f>IF('Données projet'!$A$244&gt;35,FZ9+FY10-GH9,IF(A10&lt;'Données projet'!$A$244,$FW$205^A10,IF(A10='Données projet'!$A$244,'Données projet'!$B$244,FZ9+FY10-GH9)))</f>
        <v>7.77837529470772</v>
      </c>
      <c r="GA10" s="18">
        <f>FZ10*VLOOKUP('Données projet'!$B$17,Paramètres!$A$1:$I$89,3,0)*VLOOKUP('Données projet'!$B$17,Paramètres!$A$1:$I$89,5,0)</f>
        <v>6.188475384469462</v>
      </c>
      <c r="GB10" s="14">
        <f t="shared" si="49"/>
        <v>2.3067227228357567</v>
      </c>
      <c r="GC10" s="22">
        <f t="shared" si="25"/>
        <v>14.795803370223254</v>
      </c>
      <c r="GD10" s="62">
        <f t="shared" si="26"/>
        <v>308.12913670355658</v>
      </c>
      <c r="GE10" s="62">
        <f ca="1">AVERAGE(OFFSET($GD$3,0,0,'Données projet'!$E$17+1,1))-AVERAGE(OFFSET($H$3,0,0,'Données projet'!$E$17+1,1))</f>
        <v>248.15263300983543</v>
      </c>
      <c r="GF10" s="62">
        <f t="shared" si="50"/>
        <v>266.46511459244618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8.526315789473685</v>
      </c>
      <c r="N11" s="14">
        <f>IF('Données projet'!$A$36&gt;35,N10+M11-V10,IF(A11&lt;'Données projet'!$A$36,$K$205^A11,IF(A11='Données projet'!$A$36,'Données projet'!$B$36,N10+M11-V10)))</f>
        <v>8.5176955198213591</v>
      </c>
      <c r="O11" s="14">
        <f>N11*VLOOKUP('Données projet'!$B$9,Paramètres!$A$1:$I$89,3,0)*VLOOKUP('Données projet'!$B$9,Paramètres!$A$1:$I$89,5,0)</f>
        <v>4.7613917955801393</v>
      </c>
      <c r="P11" s="14">
        <f t="shared" si="33"/>
        <v>1.8297752795633417</v>
      </c>
      <c r="Q11" s="22">
        <f t="shared" si="2"/>
        <v>11.479615989208229</v>
      </c>
      <c r="R11" s="62">
        <f t="shared" si="0"/>
        <v>304.81294932254156</v>
      </c>
      <c r="S11" s="62">
        <f ca="1">AVERAGE(OFFSET($R$3,0,0,'Données projet'!$E$9+1,1))-AVERAGE(OFFSET($H$3,0,0,'Données projet'!$E$9+1,1))</f>
        <v>382.55387448074327</v>
      </c>
      <c r="T11" s="62">
        <f t="shared" si="34"/>
        <v>476.29465646955543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8.5833333333333339</v>
      </c>
      <c r="AI11" s="14">
        <f>IF('Données projet'!$A$62&gt;35,AI10+AH11-AQ10,IF(A11&lt;'Données projet'!$A$62,$AF$205^A11,IF(A11='Données projet'!$A$62,'Données projet'!$B$62,AI10+AH11-AQ10)))</f>
        <v>21.973107636570681</v>
      </c>
      <c r="AJ11" s="14">
        <f>AI11*VLOOKUP('Données projet'!$B$10,Paramètres!$A$1:$I$89,3,0)*VLOOKUP('Données projet'!$B$10,Paramètres!$A$1:$I$89,5,0)</f>
        <v>13.711219165220106</v>
      </c>
      <c r="AK11" s="14">
        <f t="shared" si="35"/>
        <v>4.6587830081577177</v>
      </c>
      <c r="AL11" s="22">
        <f t="shared" si="4"/>
        <v>31.994420451966377</v>
      </c>
      <c r="AM11" s="62">
        <f t="shared" si="5"/>
        <v>325.32775378529971</v>
      </c>
      <c r="AN11" s="62">
        <f ca="1">AVERAGE(OFFSET($AM$3,0,0,'Données projet'!$E$10+1,1))-AVERAGE(OFFSET($H$3,0,0,'Données projet'!$E$10+1,1))</f>
        <v>482.28841373508675</v>
      </c>
      <c r="AO11" s="62">
        <f t="shared" si="36"/>
        <v>746.97309214631684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8.5833333333333339</v>
      </c>
      <c r="BD11" s="13">
        <f>IF('Données projet'!$A$88&gt;35,BD10+BC11-BL10,IF(A11&lt;'Données projet'!$A$88,$BA$205^A11,IF(A11='Données projet'!$A$88,'Données projet'!$B$88,BD10+BC11-BL10)))</f>
        <v>21.973107636570681</v>
      </c>
      <c r="BE11" s="14">
        <f>BD11*VLOOKUP('Données projet'!$B$11,Paramètres!$A$1:$I$89,3,0)*VLOOKUP('Données projet'!$B$11,Paramètres!$A$1:$I$89,5,0)</f>
        <v>11.997316769567593</v>
      </c>
      <c r="BF11" s="14">
        <f t="shared" si="37"/>
        <v>4.1402903509568842</v>
      </c>
      <c r="BG11" s="22">
        <f t="shared" si="7"/>
        <v>28.106332401580133</v>
      </c>
      <c r="BH11" s="62">
        <f t="shared" si="8"/>
        <v>321.43966573491343</v>
      </c>
      <c r="BI11" s="62">
        <f ca="1">AVERAGE(OFFSET($BH$3,0,0,'Données projet'!$E$11+1,1))-AVERAGE(OFFSET($H$3,0,0,'Données projet'!$E$11+1,1))</f>
        <v>417.99456559608217</v>
      </c>
      <c r="BJ11" s="62">
        <f t="shared" si="38"/>
        <v>651.41353014863932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2.6904761904761907</v>
      </c>
      <c r="BY11" s="13">
        <f>IF('Données projet'!$A$114&gt;35,BY10+BX11-CG10,IF(A11&lt;'Données projet'!$A$114,$BV$205^A11,IF(A11='Données projet'!$A$114,'Données projet'!$B$114,BY10+BX11-CG10)))</f>
        <v>21.523809523809522</v>
      </c>
      <c r="BZ11" s="14">
        <f>BY11*VLOOKUP('Données projet'!$B$12,Paramètres!$A$1:$I$89,3,0)*VLOOKUP('Données projet'!$B$12,Paramètres!$A$1:$I$89,5,0)</f>
        <v>19.474742857142854</v>
      </c>
      <c r="CA11" s="14">
        <f t="shared" si="39"/>
        <v>6.3522749435607562</v>
      </c>
      <c r="CB11" s="22">
        <f t="shared" si="10"/>
        <v>44.982056002892115</v>
      </c>
      <c r="CC11" s="62">
        <f t="shared" si="11"/>
        <v>338.31538933622545</v>
      </c>
      <c r="CD11" s="62">
        <f ca="1">AVERAGE(OFFSET($CC$3,0,0,'Données projet'!$E$12+1,1))-AVERAGE(OFFSET($H$3,0,0,'Données projet'!$E$12+1,1))</f>
        <v>213.07277043804817</v>
      </c>
      <c r="CE11" s="62">
        <f t="shared" si="40"/>
        <v>129.14539883354166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2.6904761904761907</v>
      </c>
      <c r="CT11" s="13">
        <f>IF('Données projet'!$A$140&gt;35,CT10+CS11-DB10,IF(A11&lt;'Données projet'!$A$140,$CQ$205^A11,IF(A11='Données projet'!$A$140,'Données projet'!$B$140,CT10+CS11-DB10)))</f>
        <v>21.523809523809522</v>
      </c>
      <c r="CU11" s="18">
        <f>CT11*VLOOKUP('Données projet'!$B$13,Paramètres!$A$1:$I$89,3,0)*VLOOKUP('Données projet'!$B$13,Paramètres!$A$1:$I$89,5,0)</f>
        <v>21.825142857142858</v>
      </c>
      <c r="CV11" s="14">
        <f t="shared" si="41"/>
        <v>7.0251330541618673</v>
      </c>
      <c r="CW11" s="22">
        <f t="shared" si="13"/>
        <v>50.247563878855722</v>
      </c>
      <c r="CX11" s="62">
        <f t="shared" si="14"/>
        <v>343.58089721218903</v>
      </c>
      <c r="CY11" s="62">
        <f ca="1">AVERAGE(OFFSET($CX$3,0,0,'Données projet'!$E$13+1,1))-AVERAGE(OFFSET($H$3,0,0,'Données projet'!$E$13+1,1))</f>
        <v>247.92503505485405</v>
      </c>
      <c r="CZ11" s="62">
        <f t="shared" si="42"/>
        <v>148.26437652597514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</v>
      </c>
      <c r="DO11" s="13">
        <f>IF('Données projet'!$A$166&gt;35,DO10+DN11-DW10,IF(A11&lt;'Données projet'!$A$166,$DL$205^A11,IF(A11='Données projet'!$A$166,'Données projet'!$B$166,DO10+DN11-DW10)))</f>
        <v>16</v>
      </c>
      <c r="DP11" s="18">
        <f>DO11*VLOOKUP('Données projet'!$B$14,Paramètres!$A$1:$I$89,3,0)*VLOOKUP('Données projet'!$B$14,Paramètres!$A$1:$I$89,5,0)</f>
        <v>15.475200000000001</v>
      </c>
      <c r="DQ11" s="14">
        <f t="shared" si="43"/>
        <v>5.1845930517653818</v>
      </c>
      <c r="DR11" s="22">
        <f t="shared" si="16"/>
        <v>35.982472898491373</v>
      </c>
      <c r="DS11" s="62">
        <f t="shared" si="17"/>
        <v>329.31580623182469</v>
      </c>
      <c r="DT11" s="62">
        <f ca="1">AVERAGE(OFFSET($DS$3,0,0,'Données projet'!$E$14+1,1))-AVERAGE(OFFSET($H$3,0,0,'Données projet'!$E$14+1,1))</f>
        <v>154.0837760161366</v>
      </c>
      <c r="DU11" s="62">
        <f t="shared" si="44"/>
        <v>96.484500841546037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5.4069999999999991</v>
      </c>
      <c r="EJ11" s="13">
        <f>IF('Données projet'!$A$192&gt;35,EJ10+EI11-ER10,IF(A11&lt;'Données projet'!$A$192,$EG$205^A11,IF(A11='Données projet'!$A$192,'Données projet'!$B$192,EJ10+EI11-ER10)))</f>
        <v>10.426984675730733</v>
      </c>
      <c r="EK11" s="18">
        <f>EJ11*VLOOKUP('Données projet'!$B$15,Paramètres!$A$1:$I$89,3,0)*VLOOKUP('Données projet'!$B$15,Paramètres!$A$1:$I$89,5,0)</f>
        <v>6.9944213204801757</v>
      </c>
      <c r="EL11" s="14">
        <f t="shared" si="45"/>
        <v>2.5702463188033748</v>
      </c>
      <c r="EM11" s="22">
        <f t="shared" si="19"/>
        <v>16.658462805085517</v>
      </c>
      <c r="EN11" s="62">
        <f t="shared" si="20"/>
        <v>309.99179613841881</v>
      </c>
      <c r="EO11" s="62">
        <f ca="1">AVERAGE(OFFSET($EN$3,0,0,'Données projet'!$E$15+1,1))-AVERAGE(OFFSET($H$3,0,0,'Données projet'!$E$15+1,1))</f>
        <v>205.35893113421139</v>
      </c>
      <c r="EP11" s="62">
        <f t="shared" si="46"/>
        <v>220.4399811285175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5.4069999999999991</v>
      </c>
      <c r="FE11" s="13">
        <f>IF('Données projet'!$A$218&gt;35,FE10+FD11-FM10,IF(A11&lt;'Données projet'!$A$218,$FB$205^A11,IF(A11='Données projet'!$A$218,'Données projet'!$B$218,FE10+FD11-FM10)))</f>
        <v>10.426984675730733</v>
      </c>
      <c r="FF11" s="18">
        <f>FE11*VLOOKUP('Données projet'!$B$16,Paramètres!$A$1:$I$89,3,0)*VLOOKUP('Données projet'!$B$16,Paramètres!$A$1:$I$89,5,0)</f>
        <v>8.1330480470699715</v>
      </c>
      <c r="FG11" s="14">
        <f t="shared" si="47"/>
        <v>2.936648143101769</v>
      </c>
      <c r="FH11" s="22">
        <f t="shared" si="22"/>
        <v>19.279720864549112</v>
      </c>
      <c r="FI11" s="62">
        <f t="shared" si="23"/>
        <v>312.61305419788243</v>
      </c>
      <c r="FJ11" s="62">
        <f ca="1">AVERAGE(OFFSET($FI$3,0,0,'Données projet'!$E$16+1,1))-AVERAGE(OFFSET($H$3,0,0,'Données projet'!$E$16+1,1))</f>
        <v>242.81177364426878</v>
      </c>
      <c r="FK11" s="62">
        <f t="shared" si="48"/>
        <v>260.72115764896671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5.4069999999999991</v>
      </c>
      <c r="FZ11" s="13">
        <f>IF('Données projet'!$A$244&gt;35,FZ10+FY11-GH10,IF(A11&lt;'Données projet'!$A$244,$FW$205^A11,IF(A11='Données projet'!$A$244,'Données projet'!$B$244,FZ10+FY11-GH10)))</f>
        <v>10.426984675730733</v>
      </c>
      <c r="GA11" s="18">
        <f>FZ11*VLOOKUP('Données projet'!$B$17,Paramètres!$A$1:$I$89,3,0)*VLOOKUP('Données projet'!$B$17,Paramètres!$A$1:$I$89,5,0)</f>
        <v>8.2957090080113716</v>
      </c>
      <c r="GB11" s="14">
        <f t="shared" si="49"/>
        <v>2.988484626517065</v>
      </c>
      <c r="GC11" s="22">
        <f t="shared" si="25"/>
        <v>19.65330391347036</v>
      </c>
      <c r="GD11" s="62">
        <f t="shared" si="26"/>
        <v>312.9866372468037</v>
      </c>
      <c r="GE11" s="62">
        <f ca="1">AVERAGE(OFFSET($GD$3,0,0,'Données projet'!$E$17+1,1))-AVERAGE(OFFSET($H$3,0,0,'Données projet'!$E$17+1,1))</f>
        <v>248.15263300983543</v>
      </c>
      <c r="GF11" s="62">
        <f t="shared" si="50"/>
        <v>266.46511459244618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8.526315789473685</v>
      </c>
      <c r="N12" s="14">
        <f>IF('Données projet'!$A$36&gt;35,N11+M12-V11,IF(A12&lt;'Données projet'!$A$36,$K$205^A12,IF(A12='Données projet'!$A$36,'Données projet'!$B$36,N11+M12-V11)))</f>
        <v>11.133004261541316</v>
      </c>
      <c r="O12" s="14">
        <f>N12*VLOOKUP('Données projet'!$B$9,Paramètres!$A$1:$I$89,3,0)*VLOOKUP('Données projet'!$B$9,Paramètres!$A$1:$I$89,5,0)</f>
        <v>6.2233493822015964</v>
      </c>
      <c r="P12" s="14">
        <f t="shared" si="33"/>
        <v>2.3182049730052579</v>
      </c>
      <c r="Q12" s="22">
        <f t="shared" si="2"/>
        <v>14.87654050198527</v>
      </c>
      <c r="R12" s="62">
        <f t="shared" si="0"/>
        <v>308.2098738353186</v>
      </c>
      <c r="S12" s="62">
        <f ca="1">AVERAGE(OFFSET($R$3,0,0,'Données projet'!$E$9+1,1))-AVERAGE(OFFSET($H$3,0,0,'Données projet'!$E$9+1,1))</f>
        <v>382.55387448074327</v>
      </c>
      <c r="T12" s="62">
        <f t="shared" si="34"/>
        <v>476.29465646955543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8.5833333333333339</v>
      </c>
      <c r="AI12" s="14">
        <f>IF('Données projet'!$A$62&gt;35,AI11+AH12-AQ11,IF(A12&lt;'Données projet'!$A$62,$AF$205^A12,IF(A12='Données projet'!$A$62,'Données projet'!$B$62,AI11+AH12-AQ11)))</f>
        <v>32.331653703522484</v>
      </c>
      <c r="AJ12" s="14">
        <f>AI12*VLOOKUP('Données projet'!$B$10,Paramètres!$A$1:$I$89,3,0)*VLOOKUP('Données projet'!$B$10,Paramètres!$A$1:$I$89,5,0)</f>
        <v>20.174951910998029</v>
      </c>
      <c r="AK12" s="14">
        <f t="shared" si="35"/>
        <v>6.55366740084217</v>
      </c>
      <c r="AL12" s="22">
        <f t="shared" si="4"/>
        <v>46.552345301455006</v>
      </c>
      <c r="AM12" s="62">
        <f t="shared" si="5"/>
        <v>339.88567863478829</v>
      </c>
      <c r="AN12" s="62">
        <f ca="1">AVERAGE(OFFSET($AM$3,0,0,'Données projet'!$E$10+1,1))-AVERAGE(OFFSET($H$3,0,0,'Données projet'!$E$10+1,1))</f>
        <v>482.28841373508675</v>
      </c>
      <c r="AO12" s="62">
        <f t="shared" si="36"/>
        <v>746.97309214631684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8.5833333333333339</v>
      </c>
      <c r="BD12" s="13">
        <f>IF('Données projet'!$A$88&gt;35,BD11+BC12-BL11,IF(A12&lt;'Données projet'!$A$88,$BA$205^A12,IF(A12='Données projet'!$A$88,'Données projet'!$B$88,BD11+BC12-BL11)))</f>
        <v>32.331653703522484</v>
      </c>
      <c r="BE12" s="14">
        <f>BD12*VLOOKUP('Données projet'!$B$11,Paramètres!$A$1:$I$89,3,0)*VLOOKUP('Données projet'!$B$11,Paramètres!$A$1:$I$89,5,0)</f>
        <v>17.653082922123275</v>
      </c>
      <c r="BF12" s="14">
        <f t="shared" si="37"/>
        <v>5.8242862686617167</v>
      </c>
      <c r="BG12" s="22">
        <f t="shared" si="7"/>
        <v>40.889751340617188</v>
      </c>
      <c r="BH12" s="62">
        <f t="shared" si="8"/>
        <v>334.2230846739505</v>
      </c>
      <c r="BI12" s="62">
        <f ca="1">AVERAGE(OFFSET($BH$3,0,0,'Données projet'!$E$11+1,1))-AVERAGE(OFFSET($H$3,0,0,'Données projet'!$E$11+1,1))</f>
        <v>417.99456559608217</v>
      </c>
      <c r="BJ12" s="62">
        <f t="shared" si="38"/>
        <v>651.41353014863932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2.6904761904761907</v>
      </c>
      <c r="BY12" s="13">
        <f>IF('Données projet'!$A$114&gt;35,BY11+BX12-CG11,IF(A12&lt;'Données projet'!$A$114,$BV$205^A12,IF(A12='Données projet'!$A$114,'Données projet'!$B$114,BY11+BX12-CG11)))</f>
        <v>24.214285714285712</v>
      </c>
      <c r="BZ12" s="14">
        <f>BY12*VLOOKUP('Données projet'!$B$12,Paramètres!$A$1:$I$89,3,0)*VLOOKUP('Données projet'!$B$12,Paramètres!$A$1:$I$89,5,0)</f>
        <v>21.909085714285712</v>
      </c>
      <c r="CA12" s="14">
        <f t="shared" si="39"/>
        <v>7.0490023620352611</v>
      </c>
      <c r="CB12" s="22">
        <f t="shared" si="10"/>
        <v>50.435336732925691</v>
      </c>
      <c r="CC12" s="62">
        <f t="shared" si="11"/>
        <v>343.76867006625901</v>
      </c>
      <c r="CD12" s="62">
        <f ca="1">AVERAGE(OFFSET($CC$3,0,0,'Données projet'!$E$12+1,1))-AVERAGE(OFFSET($H$3,0,0,'Données projet'!$E$12+1,1))</f>
        <v>213.07277043804817</v>
      </c>
      <c r="CE12" s="62">
        <f t="shared" si="40"/>
        <v>129.14539883354166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2.6904761904761907</v>
      </c>
      <c r="CT12" s="13">
        <f>IF('Données projet'!$A$140&gt;35,CT11+CS12-DB11,IF(A12&lt;'Données projet'!$A$140,$CQ$205^A12,IF(A12='Données projet'!$A$140,'Données projet'!$B$140,CT11+CS12-DB11)))</f>
        <v>24.214285714285712</v>
      </c>
      <c r="CU12" s="18">
        <f>CT12*VLOOKUP('Données projet'!$B$13,Paramètres!$A$1:$I$89,3,0)*VLOOKUP('Données projet'!$B$13,Paramètres!$A$1:$I$89,5,0)</f>
        <v>24.553285714285714</v>
      </c>
      <c r="CV12" s="14">
        <f t="shared" si="41"/>
        <v>7.7956605991365588</v>
      </c>
      <c r="CW12" s="22">
        <f t="shared" si="13"/>
        <v>56.341081495877127</v>
      </c>
      <c r="CX12" s="62">
        <f t="shared" si="14"/>
        <v>349.67441482921043</v>
      </c>
      <c r="CY12" s="62">
        <f ca="1">AVERAGE(OFFSET($CX$3,0,0,'Données projet'!$E$13+1,1))-AVERAGE(OFFSET($H$3,0,0,'Données projet'!$E$13+1,1))</f>
        <v>247.92503505485405</v>
      </c>
      <c r="CZ12" s="62">
        <f t="shared" si="42"/>
        <v>148.26437652597514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</v>
      </c>
      <c r="DO12" s="13">
        <f>IF('Données projet'!$A$166&gt;35,DO11+DN12-DW11,IF(A12&lt;'Données projet'!$A$166,$DL$205^A12,IF(A12='Données projet'!$A$166,'Données projet'!$B$166,DO11+DN12-DW11)))</f>
        <v>18</v>
      </c>
      <c r="DP12" s="18">
        <f>DO12*VLOOKUP('Données projet'!$B$14,Paramètres!$A$1:$I$89,3,0)*VLOOKUP('Données projet'!$B$14,Paramètres!$A$1:$I$89,5,0)</f>
        <v>17.409600000000001</v>
      </c>
      <c r="DQ12" s="14">
        <f t="shared" si="43"/>
        <v>5.7532473000294733</v>
      </c>
      <c r="DR12" s="22">
        <f t="shared" si="16"/>
        <v>40.341959047551335</v>
      </c>
      <c r="DS12" s="62">
        <f t="shared" si="17"/>
        <v>333.67529238088463</v>
      </c>
      <c r="DT12" s="62">
        <f ca="1">AVERAGE(OFFSET($DS$3,0,0,'Données projet'!$E$14+1,1))-AVERAGE(OFFSET($H$3,0,0,'Données projet'!$E$14+1,1))</f>
        <v>154.0837760161366</v>
      </c>
      <c r="DU12" s="62">
        <f t="shared" si="44"/>
        <v>96.484500841546037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5.4069999999999991</v>
      </c>
      <c r="EJ12" s="13">
        <f>IF('Données projet'!$A$192&gt;35,EJ11+EI12-ER11,IF(A12&lt;'Données projet'!$A$192,$EG$205^A12,IF(A12='Données projet'!$A$192,'Données projet'!$B$192,EJ11+EI12-ER11)))</f>
        <v>13.97747026964567</v>
      </c>
      <c r="EK12" s="18">
        <f>EJ12*VLOOKUP('Données projet'!$B$15,Paramètres!$A$1:$I$89,3,0)*VLOOKUP('Données projet'!$B$15,Paramètres!$A$1:$I$89,5,0)</f>
        <v>9.3760870568783155</v>
      </c>
      <c r="EL12" s="14">
        <f t="shared" si="45"/>
        <v>3.3298937640251784</v>
      </c>
      <c r="EM12" s="22">
        <f t="shared" si="19"/>
        <v>22.129583263073584</v>
      </c>
      <c r="EN12" s="62">
        <f t="shared" si="20"/>
        <v>315.4629165964069</v>
      </c>
      <c r="EO12" s="62">
        <f ca="1">AVERAGE(OFFSET($EN$3,0,0,'Données projet'!$E$15+1,1))-AVERAGE(OFFSET($H$3,0,0,'Données projet'!$E$15+1,1))</f>
        <v>205.35893113421139</v>
      </c>
      <c r="EP12" s="62">
        <f t="shared" si="46"/>
        <v>220.4399811285175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5.4069999999999991</v>
      </c>
      <c r="FE12" s="13">
        <f>IF('Données projet'!$A$218&gt;35,FE11+FD12-FM11,IF(A12&lt;'Données projet'!$A$218,$FB$205^A12,IF(A12='Données projet'!$A$218,'Données projet'!$B$218,FE11+FD12-FM11)))</f>
        <v>13.97747026964567</v>
      </c>
      <c r="FF12" s="18">
        <f>FE12*VLOOKUP('Données projet'!$B$16,Paramètres!$A$1:$I$89,3,0)*VLOOKUP('Données projet'!$B$16,Paramètres!$A$1:$I$89,5,0)</f>
        <v>10.902426810323623</v>
      </c>
      <c r="FG12" s="14">
        <f t="shared" si="47"/>
        <v>3.8045872363717121</v>
      </c>
      <c r="FH12" s="22">
        <f t="shared" si="22"/>
        <v>25.614716131327707</v>
      </c>
      <c r="FI12" s="62">
        <f t="shared" si="23"/>
        <v>318.94804946466104</v>
      </c>
      <c r="FJ12" s="62">
        <f ca="1">AVERAGE(OFFSET($FI$3,0,0,'Données projet'!$E$16+1,1))-AVERAGE(OFFSET($H$3,0,0,'Données projet'!$E$16+1,1))</f>
        <v>242.81177364426878</v>
      </c>
      <c r="FK12" s="62">
        <f t="shared" si="48"/>
        <v>260.72115764896671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5.4069999999999991</v>
      </c>
      <c r="FZ12" s="13">
        <f>IF('Données projet'!$A$244&gt;35,FZ11+FY12-GH11,IF(A12&lt;'Données projet'!$A$244,$FW$205^A12,IF(A12='Données projet'!$A$244,'Données projet'!$B$244,FZ11+FY12-GH11)))</f>
        <v>13.97747026964567</v>
      </c>
      <c r="GA12" s="18">
        <f>FZ12*VLOOKUP('Données projet'!$B$17,Paramètres!$A$1:$I$89,3,0)*VLOOKUP('Données projet'!$B$17,Paramètres!$A$1:$I$89,5,0)</f>
        <v>11.120475346530094</v>
      </c>
      <c r="GB12" s="14">
        <f t="shared" si="49"/>
        <v>3.8717442172458063</v>
      </c>
      <c r="GC12" s="22">
        <f t="shared" si="25"/>
        <v>26.111449073576356</v>
      </c>
      <c r="GD12" s="62">
        <f t="shared" si="26"/>
        <v>319.44478240690967</v>
      </c>
      <c r="GE12" s="62">
        <f ca="1">AVERAGE(OFFSET($GD$3,0,0,'Données projet'!$E$17+1,1))-AVERAGE(OFFSET($H$3,0,0,'Données projet'!$E$17+1,1))</f>
        <v>248.15263300983543</v>
      </c>
      <c r="GF12" s="62">
        <f t="shared" si="50"/>
        <v>266.46511459244618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8.526315789473685</v>
      </c>
      <c r="N13" s="14">
        <f>IF('Données projet'!$A$36&gt;35,N12+M13-V12,IF(A13&lt;'Données projet'!$A$36,$K$205^A13,IF(A13='Données projet'!$A$36,'Données projet'!$B$36,N12+M13-V12)))</f>
        <v>14.551328302246779</v>
      </c>
      <c r="O13" s="14">
        <f>N13*VLOOKUP('Données projet'!$B$9,Paramètres!$A$1:$I$89,3,0)*VLOOKUP('Données projet'!$B$9,Paramètres!$A$1:$I$89,5,0)</f>
        <v>8.1341925209559491</v>
      </c>
      <c r="P13" s="14">
        <f t="shared" si="33"/>
        <v>2.9370132807503975</v>
      </c>
      <c r="Q13" s="22">
        <f t="shared" si="2"/>
        <v>19.282350104638549</v>
      </c>
      <c r="R13" s="62">
        <f t="shared" si="0"/>
        <v>312.61568343797188</v>
      </c>
      <c r="S13" s="62">
        <f ca="1">AVERAGE(OFFSET($R$3,0,0,'Données projet'!$E$9+1,1))-AVERAGE(OFFSET($H$3,0,0,'Données projet'!$E$9+1,1))</f>
        <v>382.55387448074327</v>
      </c>
      <c r="T13" s="62">
        <f t="shared" si="34"/>
        <v>476.29465646955543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8.5833333333333339</v>
      </c>
      <c r="AI13" s="14">
        <f>IF('Données projet'!$A$62&gt;35,AI12+AH13-AQ12,IF(A13&lt;'Données projet'!$A$62,$AF$205^A13,IF(A13='Données projet'!$A$62,'Données projet'!$B$62,AI12+AH13-AQ12)))</f>
        <v>47.573417856685268</v>
      </c>
      <c r="AJ13" s="14">
        <f>AI13*VLOOKUP('Données projet'!$B$10,Paramètres!$A$1:$I$89,3,0)*VLOOKUP('Données projet'!$B$10,Paramètres!$A$1:$I$89,5,0)</f>
        <v>29.685812742571606</v>
      </c>
      <c r="AK13" s="14">
        <f t="shared" si="35"/>
        <v>9.2192652728519882</v>
      </c>
      <c r="AL13" s="22">
        <f t="shared" si="4"/>
        <v>67.759677543529421</v>
      </c>
      <c r="AM13" s="62">
        <f t="shared" si="5"/>
        <v>361.09301087686276</v>
      </c>
      <c r="AN13" s="62">
        <f ca="1">AVERAGE(OFFSET($AM$3,0,0,'Données projet'!$E$10+1,1))-AVERAGE(OFFSET($H$3,0,0,'Données projet'!$E$10+1,1))</f>
        <v>482.28841373508675</v>
      </c>
      <c r="AO13" s="62">
        <f t="shared" si="36"/>
        <v>746.97309214631684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8.5833333333333339</v>
      </c>
      <c r="BD13" s="13">
        <f>IF('Données projet'!$A$88&gt;35,BD12+BC13-BL12,IF(A13&lt;'Données projet'!$A$88,$BA$205^A13,IF(A13='Données projet'!$A$88,'Données projet'!$B$88,BD12+BC13-BL12)))</f>
        <v>47.573417856685268</v>
      </c>
      <c r="BE13" s="14">
        <f>BD13*VLOOKUP('Données projet'!$B$11,Paramètres!$A$1:$I$89,3,0)*VLOOKUP('Données projet'!$B$11,Paramètres!$A$1:$I$89,5,0)</f>
        <v>25.975086149750155</v>
      </c>
      <c r="BF13" s="14">
        <f t="shared" si="37"/>
        <v>8.1932202004821804</v>
      </c>
      <c r="BG13" s="22">
        <f t="shared" si="7"/>
        <v>59.509800226654647</v>
      </c>
      <c r="BH13" s="62">
        <f t="shared" si="8"/>
        <v>352.84313355998796</v>
      </c>
      <c r="BI13" s="62">
        <f ca="1">AVERAGE(OFFSET($BH$3,0,0,'Données projet'!$E$11+1,1))-AVERAGE(OFFSET($H$3,0,0,'Données projet'!$E$11+1,1))</f>
        <v>417.99456559608217</v>
      </c>
      <c r="BJ13" s="62">
        <f t="shared" si="38"/>
        <v>651.41353014863932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2.6904761904761907</v>
      </c>
      <c r="BY13" s="13">
        <f>IF('Données projet'!$A$114&gt;35,BY12+BX13-CG12,IF(A13&lt;'Données projet'!$A$114,$BV$205^A13,IF(A13='Données projet'!$A$114,'Données projet'!$B$114,BY12+BX13-CG12)))</f>
        <v>26.904761904761902</v>
      </c>
      <c r="BZ13" s="14">
        <f>BY13*VLOOKUP('Données projet'!$B$12,Paramètres!$A$1:$I$89,3,0)*VLOOKUP('Données projet'!$B$12,Paramètres!$A$1:$I$89,5,0)</f>
        <v>24.343428571428568</v>
      </c>
      <c r="CA13" s="14">
        <f t="shared" si="39"/>
        <v>7.7367573246585843</v>
      </c>
      <c r="CB13" s="22">
        <f t="shared" si="10"/>
        <v>55.872990435685118</v>
      </c>
      <c r="CC13" s="62">
        <f t="shared" si="11"/>
        <v>349.20632376901841</v>
      </c>
      <c r="CD13" s="62">
        <f ca="1">AVERAGE(OFFSET($CC$3,0,0,'Données projet'!$E$12+1,1))-AVERAGE(OFFSET($H$3,0,0,'Données projet'!$E$12+1,1))</f>
        <v>213.07277043804817</v>
      </c>
      <c r="CE13" s="62">
        <f t="shared" si="40"/>
        <v>129.14539883354166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2.6904761904761907</v>
      </c>
      <c r="CT13" s="13">
        <f>IF('Données projet'!$A$140&gt;35,CT12+CS13-DB12,IF(A13&lt;'Données projet'!$A$140,$CQ$205^A13,IF(A13='Données projet'!$A$140,'Données projet'!$B$140,CT12+CS13-DB12)))</f>
        <v>26.904761904761902</v>
      </c>
      <c r="CU13" s="18">
        <f>CT13*VLOOKUP('Données projet'!$B$13,Paramètres!$A$1:$I$89,3,0)*VLOOKUP('Données projet'!$B$13,Paramètres!$A$1:$I$89,5,0)</f>
        <v>27.28142857142857</v>
      </c>
      <c r="CV13" s="14">
        <f t="shared" si="41"/>
        <v>8.5562652902144691</v>
      </c>
      <c r="CW13" s="22">
        <f t="shared" si="13"/>
        <v>62.417316809028286</v>
      </c>
      <c r="CX13" s="62">
        <f t="shared" si="14"/>
        <v>355.75065014236162</v>
      </c>
      <c r="CY13" s="62">
        <f ca="1">AVERAGE(OFFSET($CX$3,0,0,'Données projet'!$E$13+1,1))-AVERAGE(OFFSET($H$3,0,0,'Données projet'!$E$13+1,1))</f>
        <v>247.92503505485405</v>
      </c>
      <c r="CZ13" s="62">
        <f t="shared" si="42"/>
        <v>148.26437652597514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</v>
      </c>
      <c r="DO13" s="13">
        <f>IF('Données projet'!$A$166&gt;35,DO12+DN13-DW12,IF(A13&lt;'Données projet'!$A$166,$DL$205^A13,IF(A13='Données projet'!$A$166,'Données projet'!$B$166,DO12+DN13-DW12)))</f>
        <v>20</v>
      </c>
      <c r="DP13" s="18">
        <f>DO13*VLOOKUP('Données projet'!$B$14,Paramètres!$A$1:$I$89,3,0)*VLOOKUP('Données projet'!$B$14,Paramètres!$A$1:$I$89,5,0)</f>
        <v>19.344000000000001</v>
      </c>
      <c r="DQ13" s="14">
        <f t="shared" si="43"/>
        <v>6.3145784187570406</v>
      </c>
      <c r="DR13" s="22">
        <f t="shared" si="16"/>
        <v>44.688690746001846</v>
      </c>
      <c r="DS13" s="62">
        <f t="shared" si="17"/>
        <v>338.02202407933515</v>
      </c>
      <c r="DT13" s="62">
        <f ca="1">AVERAGE(OFFSET($DS$3,0,0,'Données projet'!$E$14+1,1))-AVERAGE(OFFSET($H$3,0,0,'Données projet'!$E$14+1,1))</f>
        <v>154.0837760161366</v>
      </c>
      <c r="DU13" s="62">
        <f t="shared" si="44"/>
        <v>96.484500841546037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5.4069999999999991</v>
      </c>
      <c r="EJ13" s="13">
        <f>IF('Données projet'!$A$192&gt;35,EJ12+EI13-ER12,IF(A13&lt;'Données projet'!$A$192,$EG$205^A13,IF(A13='Données projet'!$A$192,'Données projet'!$B$192,EJ12+EI13-ER12)))</f>
        <v>18.736929343874468</v>
      </c>
      <c r="EK13" s="18">
        <f>EJ13*VLOOKUP('Données projet'!$B$15,Paramètres!$A$1:$I$89,3,0)*VLOOKUP('Données projet'!$B$15,Paramètres!$A$1:$I$89,5,0)</f>
        <v>12.568732203870994</v>
      </c>
      <c r="EL13" s="14">
        <f t="shared" si="45"/>
        <v>4.3140583058420932</v>
      </c>
      <c r="EM13" s="22">
        <f t="shared" si="19"/>
        <v>29.404193471083619</v>
      </c>
      <c r="EN13" s="62">
        <f t="shared" si="20"/>
        <v>322.73752680441692</v>
      </c>
      <c r="EO13" s="62">
        <f ca="1">AVERAGE(OFFSET($EN$3,0,0,'Données projet'!$E$15+1,1))-AVERAGE(OFFSET($H$3,0,0,'Données projet'!$E$15+1,1))</f>
        <v>205.35893113421139</v>
      </c>
      <c r="EP13" s="62">
        <f t="shared" si="46"/>
        <v>220.4399811285175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5.4069999999999991</v>
      </c>
      <c r="FE13" s="13">
        <f>IF('Données projet'!$A$218&gt;35,FE12+FD13-FM12,IF(A13&lt;'Données projet'!$A$218,$FB$205^A13,IF(A13='Données projet'!$A$218,'Données projet'!$B$218,FE12+FD13-FM12)))</f>
        <v>18.736929343874468</v>
      </c>
      <c r="FF13" s="18">
        <f>FE13*VLOOKUP('Données projet'!$B$16,Paramètres!$A$1:$I$89,3,0)*VLOOKUP('Données projet'!$B$16,Paramètres!$A$1:$I$89,5,0)</f>
        <v>14.614804888222086</v>
      </c>
      <c r="FG13" s="14">
        <f t="shared" si="47"/>
        <v>4.9290494924168096</v>
      </c>
      <c r="FH13" s="22">
        <f t="shared" si="22"/>
        <v>34.038879712946077</v>
      </c>
      <c r="FI13" s="62">
        <f t="shared" si="23"/>
        <v>327.3722130462794</v>
      </c>
      <c r="FJ13" s="62">
        <f ca="1">AVERAGE(OFFSET($FI$3,0,0,'Données projet'!$E$16+1,1))-AVERAGE(OFFSET($H$3,0,0,'Données projet'!$E$16+1,1))</f>
        <v>242.81177364426878</v>
      </c>
      <c r="FK13" s="62">
        <f t="shared" si="48"/>
        <v>260.72115764896671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5.4069999999999991</v>
      </c>
      <c r="FZ13" s="13">
        <f>IF('Données projet'!$A$244&gt;35,FZ12+FY13-GH12,IF(A13&lt;'Données projet'!$A$244,$FW$205^A13,IF(A13='Données projet'!$A$244,'Données projet'!$B$244,FZ12+FY13-GH12)))</f>
        <v>18.736929343874468</v>
      </c>
      <c r="GA13" s="18">
        <f>FZ13*VLOOKUP('Données projet'!$B$17,Paramètres!$A$1:$I$89,3,0)*VLOOKUP('Données projet'!$B$17,Paramètres!$A$1:$I$89,5,0)</f>
        <v>14.90710098598653</v>
      </c>
      <c r="GB13" s="14">
        <f t="shared" si="49"/>
        <v>5.0160550102099526</v>
      </c>
      <c r="GC13" s="22">
        <f t="shared" si="25"/>
        <v>34.699496693375536</v>
      </c>
      <c r="GD13" s="62">
        <f t="shared" si="26"/>
        <v>328.03283002670884</v>
      </c>
      <c r="GE13" s="62">
        <f ca="1">AVERAGE(OFFSET($GD$3,0,0,'Données projet'!$E$17+1,1))-AVERAGE(OFFSET($H$3,0,0,'Données projet'!$E$17+1,1))</f>
        <v>248.15263300983543</v>
      </c>
      <c r="GF13" s="62">
        <f t="shared" si="50"/>
        <v>266.46511459244618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8.526315789473685</v>
      </c>
      <c r="N14" s="14">
        <f>IF('Données projet'!$A$36&gt;35,N13+M14-V13,IF(A14&lt;'Données projet'!$A$36,$K$205^A14,IF(A14='Données projet'!$A$36,'Données projet'!$B$36,N13+M14-V13)))</f>
        <v>19.01922880701866</v>
      </c>
      <c r="O14" s="14">
        <f>N14*VLOOKUP('Données projet'!$B$9,Paramètres!$A$1:$I$89,3,0)*VLOOKUP('Données projet'!$B$9,Paramètres!$A$1:$I$89,5,0)</f>
        <v>10.631748903123432</v>
      </c>
      <c r="P14" s="14">
        <f t="shared" si="33"/>
        <v>3.7210027205323613</v>
      </c>
      <c r="Q14" s="22">
        <f t="shared" si="2"/>
        <v>24.997709077867171</v>
      </c>
      <c r="R14" s="62">
        <f t="shared" si="0"/>
        <v>318.33104241120049</v>
      </c>
      <c r="S14" s="62">
        <f ca="1">AVERAGE(OFFSET($R$3,0,0,'Données projet'!$E$9+1,1))-AVERAGE(OFFSET($H$3,0,0,'Données projet'!$E$9+1,1))</f>
        <v>382.55387448074327</v>
      </c>
      <c r="T14" s="62">
        <f t="shared" si="34"/>
        <v>476.29465646955543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8.5833333333333339</v>
      </c>
      <c r="AI14" s="14">
        <f>IF('Données projet'!$A$62&gt;35,AI13+AH14-AQ13,IF(A14&lt;'Données projet'!$A$62,$AF$205^A14,IF(A14='Données projet'!$A$62,'Données projet'!$B$62,AI13+AH14-AQ13)))</f>
        <v>70.000443136015818</v>
      </c>
      <c r="AJ14" s="14">
        <f>AI14*VLOOKUP('Données projet'!$B$10,Paramètres!$A$1:$I$89,3,0)*VLOOKUP('Données projet'!$B$10,Paramètres!$A$1:$I$89,5,0)</f>
        <v>43.680276516873867</v>
      </c>
      <c r="AK14" s="14">
        <f t="shared" si="35"/>
        <v>12.969051825897136</v>
      </c>
      <c r="AL14" s="22">
        <f t="shared" si="4"/>
        <v>98.664246863659471</v>
      </c>
      <c r="AM14" s="62">
        <f t="shared" si="5"/>
        <v>391.99758019699277</v>
      </c>
      <c r="AN14" s="62">
        <f ca="1">AVERAGE(OFFSET($AM$3,0,0,'Données projet'!$E$10+1,1))-AVERAGE(OFFSET($H$3,0,0,'Données projet'!$E$10+1,1))</f>
        <v>482.28841373508675</v>
      </c>
      <c r="AO14" s="62">
        <f t="shared" si="36"/>
        <v>746.97309214631684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8.5833333333333339</v>
      </c>
      <c r="BD14" s="13">
        <f>IF('Données projet'!$A$88&gt;35,BD13+BC14-BL13,IF(A14&lt;'Données projet'!$A$88,$BA$205^A14,IF(A14='Données projet'!$A$88,'Données projet'!$B$88,BD13+BC14-BL13)))</f>
        <v>70.000443136015818</v>
      </c>
      <c r="BE14" s="14">
        <f>BD14*VLOOKUP('Données projet'!$B$11,Paramètres!$A$1:$I$89,3,0)*VLOOKUP('Données projet'!$B$11,Paramètres!$A$1:$I$89,5,0)</f>
        <v>38.220241952264637</v>
      </c>
      <c r="BF14" s="14">
        <f t="shared" si="37"/>
        <v>11.525679569492377</v>
      </c>
      <c r="BG14" s="22">
        <f t="shared" si="7"/>
        <v>86.640813317060122</v>
      </c>
      <c r="BH14" s="62">
        <f t="shared" si="8"/>
        <v>379.97414665039344</v>
      </c>
      <c r="BI14" s="62">
        <f ca="1">AVERAGE(OFFSET($BH$3,0,0,'Données projet'!$E$11+1,1))-AVERAGE(OFFSET($H$3,0,0,'Données projet'!$E$11+1,1))</f>
        <v>417.99456559608217</v>
      </c>
      <c r="BJ14" s="62">
        <f t="shared" si="38"/>
        <v>651.41353014863932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2.6904761904761907</v>
      </c>
      <c r="BY14" s="13">
        <f>IF('Données projet'!$A$114&gt;35,BY13+BX14-CG13,IF(A14&lt;'Données projet'!$A$114,$BV$205^A14,IF(A14='Données projet'!$A$114,'Données projet'!$B$114,BY13+BX14-CG13)))</f>
        <v>29.595238095238091</v>
      </c>
      <c r="BZ14" s="14">
        <f>BY14*VLOOKUP('Données projet'!$B$12,Paramètres!$A$1:$I$89,3,0)*VLOOKUP('Données projet'!$B$12,Paramètres!$A$1:$I$89,5,0)</f>
        <v>26.777771428571423</v>
      </c>
      <c r="CA14" s="14">
        <f t="shared" si="39"/>
        <v>8.4165392168828053</v>
      </c>
      <c r="CB14" s="22">
        <f t="shared" si="10"/>
        <v>61.296757707499445</v>
      </c>
      <c r="CC14" s="62">
        <f t="shared" si="11"/>
        <v>354.63009104083278</v>
      </c>
      <c r="CD14" s="62">
        <f ca="1">AVERAGE(OFFSET($CC$3,0,0,'Données projet'!$E$12+1,1))-AVERAGE(OFFSET($H$3,0,0,'Données projet'!$E$12+1,1))</f>
        <v>213.07277043804817</v>
      </c>
      <c r="CE14" s="62">
        <f t="shared" si="40"/>
        <v>129.14539883354166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2.6904761904761907</v>
      </c>
      <c r="CT14" s="13">
        <f>IF('Données projet'!$A$140&gt;35,CT13+CS14-DB13,IF(A14&lt;'Données projet'!$A$140,$CQ$205^A14,IF(A14='Données projet'!$A$140,'Données projet'!$B$140,CT13+CS14-DB13)))</f>
        <v>29.595238095238091</v>
      </c>
      <c r="CU14" s="18">
        <f>CT14*VLOOKUP('Données projet'!$B$13,Paramètres!$A$1:$I$89,3,0)*VLOOKUP('Données projet'!$B$13,Paramètres!$A$1:$I$89,5,0)</f>
        <v>30.009571428571427</v>
      </c>
      <c r="CV14" s="14">
        <f t="shared" si="41"/>
        <v>9.3080523717113106</v>
      </c>
      <c r="CW14" s="22">
        <f t="shared" si="13"/>
        <v>68.478194785492434</v>
      </c>
      <c r="CX14" s="62">
        <f t="shared" si="14"/>
        <v>361.81152811882578</v>
      </c>
      <c r="CY14" s="62">
        <f ca="1">AVERAGE(OFFSET($CX$3,0,0,'Données projet'!$E$13+1,1))-AVERAGE(OFFSET($H$3,0,0,'Données projet'!$E$13+1,1))</f>
        <v>247.92503505485405</v>
      </c>
      <c r="CZ14" s="62">
        <f t="shared" si="42"/>
        <v>148.26437652597514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</v>
      </c>
      <c r="DO14" s="13">
        <f>IF('Données projet'!$A$166&gt;35,DO13+DN14-DW13,IF(A14&lt;'Données projet'!$A$166,$DL$205^A14,IF(A14='Données projet'!$A$166,'Données projet'!$B$166,DO13+DN14-DW13)))</f>
        <v>22</v>
      </c>
      <c r="DP14" s="18">
        <f>DO14*VLOOKUP('Données projet'!$B$14,Paramètres!$A$1:$I$89,3,0)*VLOOKUP('Données projet'!$B$14,Paramètres!$A$1:$I$89,5,0)</f>
        <v>21.278400000000001</v>
      </c>
      <c r="DQ14" s="14">
        <f t="shared" si="43"/>
        <v>6.8694020853104298</v>
      </c>
      <c r="DR14" s="22">
        <f t="shared" si="16"/>
        <v>49.024088631915667</v>
      </c>
      <c r="DS14" s="62">
        <f t="shared" si="17"/>
        <v>342.35742196524899</v>
      </c>
      <c r="DT14" s="62">
        <f ca="1">AVERAGE(OFFSET($DS$3,0,0,'Données projet'!$E$14+1,1))-AVERAGE(OFFSET($H$3,0,0,'Données projet'!$E$14+1,1))</f>
        <v>154.0837760161366</v>
      </c>
      <c r="DU14" s="62">
        <f t="shared" si="44"/>
        <v>96.484500841546037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5.4069999999999991</v>
      </c>
      <c r="EJ14" s="13">
        <f>IF('Données projet'!$A$192&gt;35,EJ13+EI14-ER13,IF(A14&lt;'Données projet'!$A$192,$EG$205^A14,IF(A14='Données projet'!$A$192,'Données projet'!$B$192,EJ13+EI14-ER13)))</f>
        <v>25.117028651440222</v>
      </c>
      <c r="EK14" s="18">
        <f>EJ14*VLOOKUP('Données projet'!$B$15,Paramètres!$A$1:$I$89,3,0)*VLOOKUP('Données projet'!$B$15,Paramètres!$A$1:$I$89,5,0)</f>
        <v>16.848502819386102</v>
      </c>
      <c r="EL14" s="14">
        <f t="shared" si="45"/>
        <v>5.5890969457560269</v>
      </c>
      <c r="EM14" s="22">
        <f t="shared" si="19"/>
        <v>39.078819590955874</v>
      </c>
      <c r="EN14" s="62">
        <f t="shared" si="20"/>
        <v>332.41215292428922</v>
      </c>
      <c r="EO14" s="62">
        <f ca="1">AVERAGE(OFFSET($EN$3,0,0,'Données projet'!$E$15+1,1))-AVERAGE(OFFSET($H$3,0,0,'Données projet'!$E$15+1,1))</f>
        <v>205.35893113421139</v>
      </c>
      <c r="EP14" s="62">
        <f t="shared" si="46"/>
        <v>220.4399811285175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5.4069999999999991</v>
      </c>
      <c r="FE14" s="13">
        <f>IF('Données projet'!$A$218&gt;35,FE13+FD14-FM13,IF(A14&lt;'Données projet'!$A$218,$FB$205^A14,IF(A14='Données projet'!$A$218,'Données projet'!$B$218,FE13+FD14-FM13)))</f>
        <v>25.117028651440222</v>
      </c>
      <c r="FF14" s="18">
        <f>FE14*VLOOKUP('Données projet'!$B$16,Paramètres!$A$1:$I$89,3,0)*VLOOKUP('Données projet'!$B$16,Paramètres!$A$1:$I$89,5,0)</f>
        <v>19.591282348123375</v>
      </c>
      <c r="FG14" s="14">
        <f t="shared" si="47"/>
        <v>6.38585144439062</v>
      </c>
      <c r="FH14" s="22">
        <f t="shared" si="22"/>
        <v>45.243508021961873</v>
      </c>
      <c r="FI14" s="62">
        <f t="shared" si="23"/>
        <v>338.57684135529519</v>
      </c>
      <c r="FJ14" s="62">
        <f ca="1">AVERAGE(OFFSET($FI$3,0,0,'Données projet'!$E$16+1,1))-AVERAGE(OFFSET($H$3,0,0,'Données projet'!$E$16+1,1))</f>
        <v>242.81177364426878</v>
      </c>
      <c r="FK14" s="62">
        <f t="shared" si="48"/>
        <v>260.72115764896671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5.4069999999999991</v>
      </c>
      <c r="FZ14" s="13">
        <f>IF('Données projet'!$A$244&gt;35,FZ13+FY14-GH13,IF(A14&lt;'Données projet'!$A$244,$FW$205^A14,IF(A14='Données projet'!$A$244,'Données projet'!$B$244,FZ13+FY14-GH13)))</f>
        <v>25.117028651440222</v>
      </c>
      <c r="GA14" s="18">
        <f>FZ14*VLOOKUP('Données projet'!$B$17,Paramètres!$A$1:$I$89,3,0)*VLOOKUP('Données projet'!$B$17,Paramètres!$A$1:$I$89,5,0)</f>
        <v>19.983107995085842</v>
      </c>
      <c r="GB14" s="14">
        <f t="shared" si="49"/>
        <v>6.4985718202610725</v>
      </c>
      <c r="GC14" s="22">
        <f t="shared" si="25"/>
        <v>46.122259011729206</v>
      </c>
      <c r="GD14" s="62">
        <f t="shared" si="26"/>
        <v>339.45559234506254</v>
      </c>
      <c r="GE14" s="62">
        <f ca="1">AVERAGE(OFFSET($GD$3,0,0,'Données projet'!$E$17+1,1))-AVERAGE(OFFSET($H$3,0,0,'Données projet'!$E$17+1,1))</f>
        <v>248.15263300983543</v>
      </c>
      <c r="GF14" s="62">
        <f t="shared" si="50"/>
        <v>266.46511459244618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8.526315789473685</v>
      </c>
      <c r="N15" s="14">
        <f>IF('Données projet'!$A$36&gt;35,N14+M15-V14,IF(A15&lt;'Données projet'!$A$36,$K$205^A15,IF(A15='Données projet'!$A$36,'Données projet'!$B$36,N14+M15-V14)))</f>
        <v>24.85897210895007</v>
      </c>
      <c r="O15" s="14">
        <f>N15*VLOOKUP('Données projet'!$B$9,Paramètres!$A$1:$I$89,3,0)*VLOOKUP('Données projet'!$B$9,Paramètres!$A$1:$I$89,5,0)</f>
        <v>13.896165408903089</v>
      </c>
      <c r="P15" s="14">
        <f t="shared" si="33"/>
        <v>4.7142657940830492</v>
      </c>
      <c r="Q15" s="22">
        <f t="shared" si="2"/>
        <v>32.413167678534187</v>
      </c>
      <c r="R15" s="62">
        <f t="shared" si="0"/>
        <v>325.74650101186751</v>
      </c>
      <c r="S15" s="62">
        <f ca="1">AVERAGE(OFFSET($R$3,0,0,'Données projet'!$E$9+1,1))-AVERAGE(OFFSET($H$3,0,0,'Données projet'!$E$9+1,1))</f>
        <v>382.55387448074327</v>
      </c>
      <c r="T15" s="62">
        <f t="shared" si="34"/>
        <v>476.29465646955543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103</v>
      </c>
      <c r="AG15" s="13">
        <f>VLOOKUP(A15,'Données projet'!$A$61:$I$81,9,0)</f>
        <v>8.5833333333333339</v>
      </c>
      <c r="AH15" s="13">
        <f t="array" ref="AH15">INDEX(AG:AG,MIN(IF(ISNUMBER(AG15:AG211),ROW(AG15:AG211),"")))</f>
        <v>8.5833333333333339</v>
      </c>
      <c r="AI15" s="14">
        <f>IF('Données projet'!$A$62&gt;35,AI14+AH15-AQ14,IF(A15&lt;'Données projet'!$A$62,$AF$205^A15,IF(A15='Données projet'!$A$62,'Données projet'!$B$62,AI14+AH15-AQ14)))</f>
        <v>103</v>
      </c>
      <c r="AJ15" s="14">
        <f>AI15*VLOOKUP('Données projet'!$B$10,Paramètres!$A$1:$I$89,3,0)*VLOOKUP('Données projet'!$B$10,Paramètres!$A$1:$I$89,5,0)</f>
        <v>64.272000000000006</v>
      </c>
      <c r="AK15" s="14">
        <f t="shared" si="35"/>
        <v>18.244003213368217</v>
      </c>
      <c r="AL15" s="22">
        <f t="shared" si="4"/>
        <v>143.71537226328297</v>
      </c>
      <c r="AM15" s="62">
        <f t="shared" si="5"/>
        <v>437.04870559661629</v>
      </c>
      <c r="AN15" s="62">
        <f ca="1">AVERAGE(OFFSET($AM$3,0,0,'Données projet'!$E$10+1,1))-AVERAGE(OFFSET($H$3,0,0,'Données projet'!$E$10+1,1))</f>
        <v>482.28841373508675</v>
      </c>
      <c r="AO15" s="62">
        <f t="shared" si="36"/>
        <v>746.97309214631684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0.33600000000000002</v>
      </c>
      <c r="AT15" s="17">
        <f>IF(ISNA(VLOOKUP(A15,'Données projet'!$A$61:$I$81,7,0)),0%,VLOOKUP(A15,'Données projet'!$A$61:$I$81,7,0))</f>
        <v>0.44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>
        <f>VLOOKUP(A15,'Données projet'!$A$87:$I$107,2,0)</f>
        <v>103</v>
      </c>
      <c r="BB15" s="13">
        <f>VLOOKUP(A15,'Données projet'!$A$87:$I$107,9,0)</f>
        <v>8.5833333333333339</v>
      </c>
      <c r="BC15" s="13">
        <f t="array" ref="BC15">INDEX(BB:BB,MIN(IF(ISNUMBER(BB15:BB211),ROW(BB15:BB211),"")))</f>
        <v>8.5833333333333339</v>
      </c>
      <c r="BD15" s="13">
        <f>IF('Données projet'!$A$88&gt;35,BD14+BC15-BL14,IF(A15&lt;'Données projet'!$A$88,$BA$205^A15,IF(A15='Données projet'!$A$88,'Données projet'!$B$88,BD14+BC15-BL14)))</f>
        <v>103</v>
      </c>
      <c r="BE15" s="14">
        <f>BD15*VLOOKUP('Données projet'!$B$11,Paramètres!$A$1:$I$89,3,0)*VLOOKUP('Données projet'!$B$11,Paramètres!$A$1:$I$89,5,0)</f>
        <v>56.238</v>
      </c>
      <c r="BF15" s="14">
        <f t="shared" si="37"/>
        <v>16.213562712594502</v>
      </c>
      <c r="BG15" s="22">
        <f t="shared" si="7"/>
        <v>126.18647172443542</v>
      </c>
      <c r="BH15" s="62">
        <f t="shared" si="8"/>
        <v>419.51980505776874</v>
      </c>
      <c r="BI15" s="62">
        <f ca="1">AVERAGE(OFFSET($BH$3,0,0,'Données projet'!$E$11+1,1))-AVERAGE(OFFSET($H$3,0,0,'Données projet'!$E$11+1,1))</f>
        <v>417.99456559608217</v>
      </c>
      <c r="BJ15" s="62">
        <f t="shared" si="38"/>
        <v>651.41353014863932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0.33600000000000002</v>
      </c>
      <c r="BO15" s="17">
        <f>IF(ISNA(VLOOKUP(A15,'Données projet'!$A$87:$I$107,7,0)),0%,VLOOKUP(A15,'Données projet'!$A$87:$I$107,7,0))</f>
        <v>0.44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2.6904761904761907</v>
      </c>
      <c r="BY15" s="13">
        <f>IF('Données projet'!$A$114&gt;35,BY14+BX15-CG14,IF(A15&lt;'Données projet'!$A$114,$BV$205^A15,IF(A15='Données projet'!$A$114,'Données projet'!$B$114,BY14+BX15-CG14)))</f>
        <v>32.285714285714285</v>
      </c>
      <c r="BZ15" s="14">
        <f>BY15*VLOOKUP('Données projet'!$B$12,Paramètres!$A$1:$I$89,3,0)*VLOOKUP('Données projet'!$B$12,Paramètres!$A$1:$I$89,5,0)</f>
        <v>29.212114285714282</v>
      </c>
      <c r="CA15" s="14">
        <f t="shared" si="39"/>
        <v>9.0891552956301744</v>
      </c>
      <c r="CB15" s="22">
        <f t="shared" si="10"/>
        <v>66.708044520841597</v>
      </c>
      <c r="CC15" s="62">
        <f t="shared" si="11"/>
        <v>360.04137785417493</v>
      </c>
      <c r="CD15" s="62">
        <f ca="1">AVERAGE(OFFSET($CC$3,0,0,'Données projet'!$E$12+1,1))-AVERAGE(OFFSET($H$3,0,0,'Données projet'!$E$12+1,1))</f>
        <v>213.07277043804817</v>
      </c>
      <c r="CE15" s="62">
        <f t="shared" si="40"/>
        <v>129.14539883354166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2.6904761904761907</v>
      </c>
      <c r="CT15" s="13">
        <f>IF('Données projet'!$A$140&gt;35,CT14+CS15-DB14,IF(A15&lt;'Données projet'!$A$140,$CQ$205^A15,IF(A15='Données projet'!$A$140,'Données projet'!$B$140,CT14+CS15-DB14)))</f>
        <v>32.285714285714285</v>
      </c>
      <c r="CU15" s="18">
        <f>CT15*VLOOKUP('Données projet'!$B$13,Paramètres!$A$1:$I$89,3,0)*VLOOKUP('Données projet'!$B$13,Paramètres!$A$1:$I$89,5,0)</f>
        <v>32.73771428571429</v>
      </c>
      <c r="CV15" s="14">
        <f t="shared" si="41"/>
        <v>10.051914608398462</v>
      </c>
      <c r="CW15" s="22">
        <f t="shared" si="13"/>
        <v>74.525270323913048</v>
      </c>
      <c r="CX15" s="62">
        <f t="shared" si="14"/>
        <v>367.85860365724636</v>
      </c>
      <c r="CY15" s="62">
        <f ca="1">AVERAGE(OFFSET($CX$3,0,0,'Données projet'!$E$13+1,1))-AVERAGE(OFFSET($H$3,0,0,'Données projet'!$E$13+1,1))</f>
        <v>247.92503505485405</v>
      </c>
      <c r="CZ15" s="62">
        <f t="shared" si="42"/>
        <v>148.26437652597514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</v>
      </c>
      <c r="DO15" s="13">
        <f>IF('Données projet'!$A$166&gt;35,DO14+DN15-DW14,IF(A15&lt;'Données projet'!$A$166,$DL$205^A15,IF(A15='Données projet'!$A$166,'Données projet'!$B$166,DO14+DN15-DW14)))</f>
        <v>24</v>
      </c>
      <c r="DP15" s="18">
        <f>DO15*VLOOKUP('Données projet'!$B$14,Paramètres!$A$1:$I$89,3,0)*VLOOKUP('Données projet'!$B$14,Paramètres!$A$1:$I$89,5,0)</f>
        <v>23.212799999999998</v>
      </c>
      <c r="DQ15" s="14">
        <f t="shared" si="43"/>
        <v>7.4183771657915161</v>
      </c>
      <c r="DR15" s="22">
        <f t="shared" si="16"/>
        <v>53.349300230420219</v>
      </c>
      <c r="DS15" s="62">
        <f t="shared" si="17"/>
        <v>346.68263356375354</v>
      </c>
      <c r="DT15" s="62">
        <f ca="1">AVERAGE(OFFSET($DS$3,0,0,'Données projet'!$E$14+1,1))-AVERAGE(OFFSET($H$3,0,0,'Données projet'!$E$14+1,1))</f>
        <v>154.0837760161366</v>
      </c>
      <c r="DU15" s="62">
        <f t="shared" si="44"/>
        <v>96.484500841546037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5.4069999999999991</v>
      </c>
      <c r="EJ15" s="13">
        <f>IF('Données projet'!$A$192&gt;35,EJ14+EI15-ER14,IF(A15&lt;'Données projet'!$A$192,$EG$205^A15,IF(A15='Données projet'!$A$192,'Données projet'!$B$192,EJ14+EI15-ER14)))</f>
        <v>33.669611316729082</v>
      </c>
      <c r="EK15" s="18">
        <f>EJ15*VLOOKUP('Données projet'!$B$15,Paramètres!$A$1:$I$89,3,0)*VLOOKUP('Données projet'!$B$15,Paramètres!$A$1:$I$89,5,0)</f>
        <v>22.58557527126187</v>
      </c>
      <c r="EL15" s="14">
        <f t="shared" si="45"/>
        <v>7.240978784815419</v>
      </c>
      <c r="EM15" s="22">
        <f t="shared" si="19"/>
        <v>51.947914981001276</v>
      </c>
      <c r="EN15" s="62">
        <f t="shared" si="20"/>
        <v>345.28124831433456</v>
      </c>
      <c r="EO15" s="62">
        <f ca="1">AVERAGE(OFFSET($EN$3,0,0,'Données projet'!$E$15+1,1))-AVERAGE(OFFSET($H$3,0,0,'Données projet'!$E$15+1,1))</f>
        <v>205.35893113421139</v>
      </c>
      <c r="EP15" s="62">
        <f t="shared" si="46"/>
        <v>220.4399811285175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5.4069999999999991</v>
      </c>
      <c r="FE15" s="13">
        <f>IF('Données projet'!$A$218&gt;35,FE14+FD15-FM14,IF(A15&lt;'Données projet'!$A$218,$FB$205^A15,IF(A15='Données projet'!$A$218,'Données projet'!$B$218,FE14+FD15-FM14)))</f>
        <v>33.669611316729082</v>
      </c>
      <c r="FF15" s="18">
        <f>FE15*VLOOKUP('Données projet'!$B$16,Paramètres!$A$1:$I$89,3,0)*VLOOKUP('Données projet'!$B$16,Paramètres!$A$1:$I$89,5,0)</f>
        <v>26.262296827048683</v>
      </c>
      <c r="FG15" s="14">
        <f t="shared" si="47"/>
        <v>8.2732175305935041</v>
      </c>
      <c r="FH15" s="22">
        <f t="shared" si="22"/>
        <v>60.14935417289346</v>
      </c>
      <c r="FI15" s="62">
        <f t="shared" si="23"/>
        <v>353.4826875062268</v>
      </c>
      <c r="FJ15" s="62">
        <f ca="1">AVERAGE(OFFSET($FI$3,0,0,'Données projet'!$E$16+1,1))-AVERAGE(OFFSET($H$3,0,0,'Données projet'!$E$16+1,1))</f>
        <v>242.81177364426878</v>
      </c>
      <c r="FK15" s="62">
        <f t="shared" si="48"/>
        <v>260.72115764896671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5.4069999999999991</v>
      </c>
      <c r="FZ15" s="13">
        <f>IF('Données projet'!$A$244&gt;35,FZ14+FY15-GH14,IF(A15&lt;'Données projet'!$A$244,$FW$205^A15,IF(A15='Données projet'!$A$244,'Données projet'!$B$244,FZ14+FY15-GH14)))</f>
        <v>33.669611316729082</v>
      </c>
      <c r="GA15" s="18">
        <f>FZ15*VLOOKUP('Données projet'!$B$17,Paramètres!$A$1:$I$89,3,0)*VLOOKUP('Données projet'!$B$17,Paramètres!$A$1:$I$89,5,0)</f>
        <v>26.787542763589659</v>
      </c>
      <c r="GB15" s="14">
        <f t="shared" si="49"/>
        <v>8.4192529023567566</v>
      </c>
      <c r="GC15" s="22">
        <f t="shared" si="25"/>
        <v>61.318502451523329</v>
      </c>
      <c r="GD15" s="62">
        <f t="shared" si="26"/>
        <v>354.65183578485664</v>
      </c>
      <c r="GE15" s="62">
        <f ca="1">AVERAGE(OFFSET($GD$3,0,0,'Données projet'!$E$17+1,1))-AVERAGE(OFFSET($H$3,0,0,'Données projet'!$E$17+1,1))</f>
        <v>248.15263300983543</v>
      </c>
      <c r="GF15" s="62">
        <f t="shared" si="50"/>
        <v>266.46511459244618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8.526315789473685</v>
      </c>
      <c r="N16" s="14">
        <f>IF('Données projet'!$A$36&gt;35,N15+M16-V15,IF(A16&lt;'Données projet'!$A$36,$K$205^A16,IF(A16='Données projet'!$A$36,'Données projet'!$B$36,N15+M16-V15)))</f>
        <v>32.491774539539094</v>
      </c>
      <c r="O16" s="14">
        <f>N16*VLOOKUP('Données projet'!$B$9,Paramètres!$A$1:$I$89,3,0)*VLOOKUP('Données projet'!$B$9,Paramètres!$A$1:$I$89,5,0)</f>
        <v>18.162901967602355</v>
      </c>
      <c r="P16" s="14">
        <f t="shared" si="33"/>
        <v>5.9726648020514927</v>
      </c>
      <c r="Q16" s="22">
        <f t="shared" si="2"/>
        <v>42.036112123813787</v>
      </c>
      <c r="R16" s="62">
        <f t="shared" si="0"/>
        <v>335.36944545714709</v>
      </c>
      <c r="S16" s="62">
        <f ca="1">AVERAGE(OFFSET($R$3,0,0,'Données projet'!$E$9+1,1))-AVERAGE(OFFSET($H$3,0,0,'Données projet'!$E$9+1,1))</f>
        <v>382.55387448074327</v>
      </c>
      <c r="T16" s="62">
        <f t="shared" si="34"/>
        <v>476.29465646955543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26.5</v>
      </c>
      <c r="AI16" s="14">
        <f>IF('Données projet'!$A$62&gt;35,AI15+AH16-AQ15,IF(A16&lt;'Données projet'!$A$62,$AF$205^A16,IF(A16='Données projet'!$A$62,'Données projet'!$B$62,AI15+AH16-AQ15)))</f>
        <v>129.5</v>
      </c>
      <c r="AJ16" s="14">
        <f>AI16*VLOOKUP('Données projet'!$B$10,Paramètres!$A$1:$I$89,3,0)*VLOOKUP('Données projet'!$B$10,Paramètres!$A$1:$I$89,5,0)</f>
        <v>80.807999999999993</v>
      </c>
      <c r="AK16" s="14">
        <f t="shared" si="35"/>
        <v>22.334628633536209</v>
      </c>
      <c r="AL16" s="22">
        <f t="shared" si="4"/>
        <v>179.64007820340888</v>
      </c>
      <c r="AM16" s="62">
        <f t="shared" si="5"/>
        <v>472.97341153674222</v>
      </c>
      <c r="AN16" s="62">
        <f ca="1">AVERAGE(OFFSET($AM$3,0,0,'Données projet'!$E$10+1,1))-AVERAGE(OFFSET($H$3,0,0,'Données projet'!$E$10+1,1))</f>
        <v>482.28841373508675</v>
      </c>
      <c r="AO16" s="62">
        <f t="shared" si="36"/>
        <v>746.97309214631684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26.5</v>
      </c>
      <c r="BD16" s="13">
        <f>IF('Données projet'!$A$88&gt;35,BD15+BC16-BL15,IF(A16&lt;'Données projet'!$A$88,$BA$205^A16,IF(A16='Données projet'!$A$88,'Données projet'!$B$88,BD15+BC16-BL15)))</f>
        <v>129.5</v>
      </c>
      <c r="BE16" s="14">
        <f>BD16*VLOOKUP('Données projet'!$B$11,Paramètres!$A$1:$I$89,3,0)*VLOOKUP('Données projet'!$B$11,Paramètres!$A$1:$I$89,5,0)</f>
        <v>70.707000000000008</v>
      </c>
      <c r="BF16" s="14">
        <f t="shared" si="37"/>
        <v>19.848927769701511</v>
      </c>
      <c r="BG16" s="22">
        <f t="shared" si="7"/>
        <v>157.71824086556347</v>
      </c>
      <c r="BH16" s="62">
        <f t="shared" si="8"/>
        <v>451.05157419889679</v>
      </c>
      <c r="BI16" s="62">
        <f ca="1">AVERAGE(OFFSET($BH$3,0,0,'Données projet'!$E$11+1,1))-AVERAGE(OFFSET($H$3,0,0,'Données projet'!$E$11+1,1))</f>
        <v>417.99456559608217</v>
      </c>
      <c r="BJ16" s="62">
        <f t="shared" si="38"/>
        <v>651.41353014863932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2.6904761904761907</v>
      </c>
      <c r="BY16" s="13">
        <f>IF('Données projet'!$A$114&gt;35,BY15+BX16-CG15,IF(A16&lt;'Données projet'!$A$114,$BV$205^A16,IF(A16='Données projet'!$A$114,'Données projet'!$B$114,BY15+BX16-CG15)))</f>
        <v>34.976190476190474</v>
      </c>
      <c r="BZ16" s="14">
        <f>BY16*VLOOKUP('Données projet'!$B$12,Paramètres!$A$1:$I$89,3,0)*VLOOKUP('Données projet'!$B$12,Paramètres!$A$1:$I$89,5,0)</f>
        <v>31.646457142857141</v>
      </c>
      <c r="CA16" s="14">
        <f t="shared" si="39"/>
        <v>9.7552706028032752</v>
      </c>
      <c r="CB16" s="22">
        <f t="shared" si="10"/>
        <v>72.108009157025222</v>
      </c>
      <c r="CC16" s="62">
        <f t="shared" si="11"/>
        <v>365.44134249035852</v>
      </c>
      <c r="CD16" s="62">
        <f ca="1">AVERAGE(OFFSET($CC$3,0,0,'Données projet'!$E$12+1,1))-AVERAGE(OFFSET($H$3,0,0,'Données projet'!$E$12+1,1))</f>
        <v>213.07277043804817</v>
      </c>
      <c r="CE16" s="62">
        <f t="shared" si="40"/>
        <v>129.14539883354166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2.6904761904761907</v>
      </c>
      <c r="CT16" s="13">
        <f>IF('Données projet'!$A$140&gt;35,CT15+CS16-DB15,IF(A16&lt;'Données projet'!$A$140,$CQ$205^A16,IF(A16='Données projet'!$A$140,'Données projet'!$B$140,CT15+CS16-DB15)))</f>
        <v>34.976190476190474</v>
      </c>
      <c r="CU16" s="18">
        <f>CT16*VLOOKUP('Données projet'!$B$13,Paramètres!$A$1:$I$89,3,0)*VLOOKUP('Données projet'!$B$13,Paramètres!$A$1:$I$89,5,0)</f>
        <v>35.465857142857146</v>
      </c>
      <c r="CV16" s="14">
        <f t="shared" si="41"/>
        <v>10.78858748604973</v>
      </c>
      <c r="CW16" s="22">
        <f t="shared" si="13"/>
        <v>80.559824395346126</v>
      </c>
      <c r="CX16" s="62">
        <f t="shared" si="14"/>
        <v>373.89315772867945</v>
      </c>
      <c r="CY16" s="62">
        <f ca="1">AVERAGE(OFFSET($CX$3,0,0,'Données projet'!$E$13+1,1))-AVERAGE(OFFSET($H$3,0,0,'Données projet'!$E$13+1,1))</f>
        <v>247.92503505485405</v>
      </c>
      <c r="CZ16" s="62">
        <f t="shared" si="42"/>
        <v>148.26437652597514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</v>
      </c>
      <c r="DO16" s="13">
        <f>IF('Données projet'!$A$166&gt;35,DO15+DN16-DW15,IF(A16&lt;'Données projet'!$A$166,$DL$205^A16,IF(A16='Données projet'!$A$166,'Données projet'!$B$166,DO15+DN16-DW15)))</f>
        <v>26</v>
      </c>
      <c r="DP16" s="18">
        <f>DO16*VLOOKUP('Données projet'!$B$14,Paramètres!$A$1:$I$89,3,0)*VLOOKUP('Données projet'!$B$14,Paramètres!$A$1:$I$89,5,0)</f>
        <v>25.147200000000002</v>
      </c>
      <c r="DQ16" s="14">
        <f t="shared" si="43"/>
        <v>7.9620464533976936</v>
      </c>
      <c r="DR16" s="22">
        <f t="shared" si="16"/>
        <v>57.665270906334314</v>
      </c>
      <c r="DS16" s="62">
        <f t="shared" si="17"/>
        <v>350.99860423966766</v>
      </c>
      <c r="DT16" s="62">
        <f ca="1">AVERAGE(OFFSET($DS$3,0,0,'Données projet'!$E$14+1,1))-AVERAGE(OFFSET($H$3,0,0,'Données projet'!$E$14+1,1))</f>
        <v>154.0837760161366</v>
      </c>
      <c r="DU16" s="62">
        <f t="shared" si="44"/>
        <v>96.484500841546037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5.4069999999999991</v>
      </c>
      <c r="EJ16" s="13">
        <f>IF('Données projet'!$A$192&gt;35,EJ15+EI16-ER15,IF(A16&lt;'Données projet'!$A$192,$EG$205^A16,IF(A16='Données projet'!$A$192,'Données projet'!$B$192,EJ15+EI16-ER15)))</f>
        <v>45.134428198162176</v>
      </c>
      <c r="EK16" s="18">
        <f>EJ16*VLOOKUP('Données projet'!$B$15,Paramètres!$A$1:$I$89,3,0)*VLOOKUP('Données projet'!$B$15,Paramètres!$A$1:$I$89,5,0)</f>
        <v>30.276174435327189</v>
      </c>
      <c r="EL16" s="14">
        <f t="shared" si="45"/>
        <v>9.3810814646827669</v>
      </c>
      <c r="EM16" s="22">
        <f t="shared" si="19"/>
        <v>69.069720692517336</v>
      </c>
      <c r="EN16" s="62">
        <f t="shared" si="20"/>
        <v>362.40305402585068</v>
      </c>
      <c r="EO16" s="62">
        <f ca="1">AVERAGE(OFFSET($EN$3,0,0,'Données projet'!$E$15+1,1))-AVERAGE(OFFSET($H$3,0,0,'Données projet'!$E$15+1,1))</f>
        <v>205.35893113421139</v>
      </c>
      <c r="EP16" s="62">
        <f t="shared" si="46"/>
        <v>220.4399811285175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5.4069999999999991</v>
      </c>
      <c r="FE16" s="13">
        <f>IF('Données projet'!$A$218&gt;35,FE15+FD16-FM15,IF(A16&lt;'Données projet'!$A$218,$FB$205^A16,IF(A16='Données projet'!$A$218,'Données projet'!$B$218,FE15+FD16-FM15)))</f>
        <v>45.134428198162176</v>
      </c>
      <c r="FF16" s="18">
        <f>FE16*VLOOKUP('Données projet'!$B$16,Paramètres!$A$1:$I$89,3,0)*VLOOKUP('Données projet'!$B$16,Paramètres!$A$1:$I$89,5,0)</f>
        <v>35.204853994566498</v>
      </c>
      <c r="FG16" s="14">
        <f t="shared" si="47"/>
        <v>10.718402848009127</v>
      </c>
      <c r="FH16" s="22">
        <f t="shared" si="22"/>
        <v>79.983005667485884</v>
      </c>
      <c r="FI16" s="62">
        <f t="shared" si="23"/>
        <v>373.3163390008192</v>
      </c>
      <c r="FJ16" s="62">
        <f ca="1">AVERAGE(OFFSET($FI$3,0,0,'Données projet'!$E$16+1,1))-AVERAGE(OFFSET($H$3,0,0,'Données projet'!$E$16+1,1))</f>
        <v>242.81177364426878</v>
      </c>
      <c r="FK16" s="62">
        <f t="shared" si="48"/>
        <v>260.72115764896671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5.4069999999999991</v>
      </c>
      <c r="FZ16" s="13">
        <f>IF('Données projet'!$A$244&gt;35,FZ15+FY16-GH15,IF(A16&lt;'Données projet'!$A$244,$FW$205^A16,IF(A16='Données projet'!$A$244,'Données projet'!$B$244,FZ15+FY16-GH15)))</f>
        <v>45.134428198162176</v>
      </c>
      <c r="GA16" s="18">
        <f>FZ16*VLOOKUP('Données projet'!$B$17,Paramètres!$A$1:$I$89,3,0)*VLOOKUP('Données projet'!$B$17,Paramètres!$A$1:$I$89,5,0)</f>
        <v>35.908951074457832</v>
      </c>
      <c r="GB16" s="14">
        <f t="shared" si="49"/>
        <v>10.907599607169535</v>
      </c>
      <c r="GC16" s="22">
        <f t="shared" si="25"/>
        <v>81.538825770500992</v>
      </c>
      <c r="GD16" s="62">
        <f t="shared" si="26"/>
        <v>374.87215910383429</v>
      </c>
      <c r="GE16" s="62">
        <f ca="1">AVERAGE(OFFSET($GD$3,0,0,'Données projet'!$E$17+1,1))-AVERAGE(OFFSET($H$3,0,0,'Données projet'!$E$17+1,1))</f>
        <v>248.15263300983543</v>
      </c>
      <c r="GF16" s="62">
        <f t="shared" si="50"/>
        <v>266.46511459244618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8.526315789473685</v>
      </c>
      <c r="N17" s="14">
        <f>IF('Données projet'!$A$36&gt;35,N16+M17-V16,IF(A17&lt;'Données projet'!$A$36,$K$205^A17,IF(A17='Données projet'!$A$36,'Données projet'!$B$36,N16+M17-V16)))</f>
        <v>42.468184448710481</v>
      </c>
      <c r="O17" s="14">
        <f>N17*VLOOKUP('Données projet'!$B$9,Paramètres!$A$1:$I$89,3,0)*VLOOKUP('Données projet'!$B$9,Paramètres!$A$1:$I$89,5,0)</f>
        <v>23.739715106829159</v>
      </c>
      <c r="P17" s="14">
        <f t="shared" si="33"/>
        <v>7.5669736064602473</v>
      </c>
      <c r="Q17" s="22">
        <f t="shared" si="2"/>
        <v>54.525816175645708</v>
      </c>
      <c r="R17" s="62">
        <f t="shared" si="0"/>
        <v>347.85914950897904</v>
      </c>
      <c r="S17" s="62">
        <f ca="1">AVERAGE(OFFSET($R$3,0,0,'Données projet'!$E$9+1,1))-AVERAGE(OFFSET($H$3,0,0,'Données projet'!$E$9+1,1))</f>
        <v>382.55387448074327</v>
      </c>
      <c r="T17" s="62">
        <f t="shared" si="34"/>
        <v>476.29465646955543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26.5</v>
      </c>
      <c r="AI17" s="14">
        <f>IF('Données projet'!$A$62&gt;35,AI16+AH17-AQ16,IF(A17&lt;'Données projet'!$A$62,$AF$205^A17,IF(A17='Données projet'!$A$62,'Données projet'!$B$62,AI16+AH17-AQ16)))</f>
        <v>156</v>
      </c>
      <c r="AJ17" s="14">
        <f>AI17*VLOOKUP('Données projet'!$B$10,Paramètres!$A$1:$I$89,3,0)*VLOOKUP('Données projet'!$B$10,Paramètres!$A$1:$I$89,5,0)</f>
        <v>97.343999999999994</v>
      </c>
      <c r="AK17" s="14">
        <f t="shared" si="35"/>
        <v>26.328254259866451</v>
      </c>
      <c r="AL17" s="22">
        <f t="shared" si="4"/>
        <v>215.39584283593408</v>
      </c>
      <c r="AM17" s="62">
        <f t="shared" si="5"/>
        <v>508.72917616926736</v>
      </c>
      <c r="AN17" s="62">
        <f ca="1">AVERAGE(OFFSET($AM$3,0,0,'Données projet'!$E$10+1,1))-AVERAGE(OFFSET($H$3,0,0,'Données projet'!$E$10+1,1))</f>
        <v>482.28841373508675</v>
      </c>
      <c r="AO17" s="62">
        <f t="shared" si="36"/>
        <v>746.97309214631684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26.5</v>
      </c>
      <c r="BD17" s="13">
        <f>IF('Données projet'!$A$88&gt;35,BD16+BC17-BL16,IF(A17&lt;'Données projet'!$A$88,$BA$205^A17,IF(A17='Données projet'!$A$88,'Données projet'!$B$88,BD16+BC17-BL16)))</f>
        <v>156</v>
      </c>
      <c r="BE17" s="14">
        <f>BD17*VLOOKUP('Données projet'!$B$11,Paramètres!$A$1:$I$89,3,0)*VLOOKUP('Données projet'!$B$11,Paramètres!$A$1:$I$89,5,0)</f>
        <v>85.176000000000002</v>
      </c>
      <c r="BF17" s="14">
        <f t="shared" si="37"/>
        <v>23.398088487656441</v>
      </c>
      <c r="BG17" s="22">
        <f t="shared" si="7"/>
        <v>189.09987078266829</v>
      </c>
      <c r="BH17" s="62">
        <f t="shared" si="8"/>
        <v>482.4332041160016</v>
      </c>
      <c r="BI17" s="62">
        <f ca="1">AVERAGE(OFFSET($BH$3,0,0,'Données projet'!$E$11+1,1))-AVERAGE(OFFSET($H$3,0,0,'Données projet'!$E$11+1,1))</f>
        <v>417.99456559608217</v>
      </c>
      <c r="BJ17" s="62">
        <f t="shared" si="38"/>
        <v>651.41353014863932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2.6904761904761907</v>
      </c>
      <c r="BY17" s="13">
        <f>IF('Données projet'!$A$114&gt;35,BY16+BX17-CG16,IF(A17&lt;'Données projet'!$A$114,$BV$205^A17,IF(A17='Données projet'!$A$114,'Données projet'!$B$114,BY16+BX17-CG16)))</f>
        <v>37.666666666666664</v>
      </c>
      <c r="BZ17" s="14">
        <f>BY17*VLOOKUP('Données projet'!$B$12,Paramètres!$A$1:$I$89,3,0)*VLOOKUP('Données projet'!$B$12,Paramètres!$A$1:$I$89,5,0)</f>
        <v>34.080799999999996</v>
      </c>
      <c r="CA17" s="14">
        <f t="shared" si="39"/>
        <v>10.415442054064398</v>
      </c>
      <c r="CB17" s="22">
        <f t="shared" si="10"/>
        <v>77.497621577495494</v>
      </c>
      <c r="CC17" s="62">
        <f t="shared" si="11"/>
        <v>370.83095491082884</v>
      </c>
      <c r="CD17" s="62">
        <f ca="1">AVERAGE(OFFSET($CC$3,0,0,'Données projet'!$E$12+1,1))-AVERAGE(OFFSET($H$3,0,0,'Données projet'!$E$12+1,1))</f>
        <v>213.07277043804817</v>
      </c>
      <c r="CE17" s="62">
        <f t="shared" si="40"/>
        <v>129.14539883354166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2.6904761904761907</v>
      </c>
      <c r="CT17" s="13">
        <f>IF('Données projet'!$A$140&gt;35,CT16+CS17-DB16,IF(A17&lt;'Données projet'!$A$140,$CQ$205^A17,IF(A17='Données projet'!$A$140,'Données projet'!$B$140,CT16+CS17-DB16)))</f>
        <v>37.666666666666664</v>
      </c>
      <c r="CU17" s="18">
        <f>CT17*VLOOKUP('Données projet'!$B$13,Paramètres!$A$1:$I$89,3,0)*VLOOKUP('Données projet'!$B$13,Paramètres!$A$1:$I$89,5,0)</f>
        <v>38.194000000000003</v>
      </c>
      <c r="CV17" s="14">
        <f t="shared" si="41"/>
        <v>11.518686911039172</v>
      </c>
      <c r="CW17" s="22">
        <f t="shared" si="13"/>
        <v>86.582929703393233</v>
      </c>
      <c r="CX17" s="62">
        <f t="shared" si="14"/>
        <v>379.91626303672655</v>
      </c>
      <c r="CY17" s="62">
        <f ca="1">AVERAGE(OFFSET($CX$3,0,0,'Données projet'!$E$13+1,1))-AVERAGE(OFFSET($H$3,0,0,'Données projet'!$E$13+1,1))</f>
        <v>247.92503505485405</v>
      </c>
      <c r="CZ17" s="62">
        <f t="shared" si="42"/>
        <v>148.26437652597514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</v>
      </c>
      <c r="DO17" s="13">
        <f>IF('Données projet'!$A$166&gt;35,DO16+DN17-DW16,IF(A17&lt;'Données projet'!$A$166,$DL$205^A17,IF(A17='Données projet'!$A$166,'Données projet'!$B$166,DO16+DN17-DW16)))</f>
        <v>28</v>
      </c>
      <c r="DP17" s="18">
        <f>DO17*VLOOKUP('Données projet'!$B$14,Paramètres!$A$1:$I$89,3,0)*VLOOKUP('Données projet'!$B$14,Paramètres!$A$1:$I$89,5,0)</f>
        <v>27.081600000000002</v>
      </c>
      <c r="DQ17" s="14">
        <f t="shared" si="43"/>
        <v>8.5008644909657729</v>
      </c>
      <c r="DR17" s="22">
        <f t="shared" si="16"/>
        <v>61.972792321765382</v>
      </c>
      <c r="DS17" s="62">
        <f t="shared" si="17"/>
        <v>355.3061256550987</v>
      </c>
      <c r="DT17" s="62">
        <f ca="1">AVERAGE(OFFSET($DS$3,0,0,'Données projet'!$E$14+1,1))-AVERAGE(OFFSET($H$3,0,0,'Données projet'!$E$14+1,1))</f>
        <v>154.0837760161366</v>
      </c>
      <c r="DU17" s="62">
        <f t="shared" si="44"/>
        <v>96.484500841546037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5.4069999999999991</v>
      </c>
      <c r="EJ17" s="13">
        <f>IF('Données projet'!$A$192&gt;35,EJ16+EI17-ER16,IF(A17&lt;'Données projet'!$A$192,$EG$205^A17,IF(A17='Données projet'!$A$192,'Données projet'!$B$192,EJ16+EI17-ER16)))</f>
        <v>60.503122225319416</v>
      </c>
      <c r="EK17" s="18">
        <f>EJ17*VLOOKUP('Données projet'!$B$15,Paramètres!$A$1:$I$89,3,0)*VLOOKUP('Données projet'!$B$15,Paramètres!$A$1:$I$89,5,0)</f>
        <v>40.585494388744266</v>
      </c>
      <c r="EL17" s="14">
        <f t="shared" si="45"/>
        <v>12.153700771995563</v>
      </c>
      <c r="EM17" s="22">
        <f t="shared" si="19"/>
        <v>91.854098238288529</v>
      </c>
      <c r="EN17" s="62">
        <f t="shared" si="20"/>
        <v>385.18743157162186</v>
      </c>
      <c r="EO17" s="62">
        <f ca="1">AVERAGE(OFFSET($EN$3,0,0,'Données projet'!$E$15+1,1))-AVERAGE(OFFSET($H$3,0,0,'Données projet'!$E$15+1,1))</f>
        <v>205.35893113421139</v>
      </c>
      <c r="EP17" s="62">
        <f t="shared" si="46"/>
        <v>220.4399811285175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5.4069999999999991</v>
      </c>
      <c r="FE17" s="13">
        <f>IF('Données projet'!$A$218&gt;35,FE16+FD17-FM16,IF(A17&lt;'Données projet'!$A$218,$FB$205^A17,IF(A17='Données projet'!$A$218,'Données projet'!$B$218,FE16+FD17-FM16)))</f>
        <v>60.503122225319416</v>
      </c>
      <c r="FF17" s="18">
        <f>FE17*VLOOKUP('Données projet'!$B$16,Paramètres!$A$1:$I$89,3,0)*VLOOKUP('Données projet'!$B$16,Paramètres!$A$1:$I$89,5,0)</f>
        <v>47.192435335749146</v>
      </c>
      <c r="FG17" s="14">
        <f t="shared" si="47"/>
        <v>13.886273289367836</v>
      </c>
      <c r="FH17" s="22">
        <f t="shared" si="22"/>
        <v>106.37875085541208</v>
      </c>
      <c r="FI17" s="62">
        <f t="shared" si="23"/>
        <v>399.71208418874539</v>
      </c>
      <c r="FJ17" s="62">
        <f ca="1">AVERAGE(OFFSET($FI$3,0,0,'Données projet'!$E$16+1,1))-AVERAGE(OFFSET($H$3,0,0,'Données projet'!$E$16+1,1))</f>
        <v>242.81177364426878</v>
      </c>
      <c r="FK17" s="62">
        <f t="shared" si="48"/>
        <v>260.72115764896671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5.4069999999999991</v>
      </c>
      <c r="FZ17" s="13">
        <f>IF('Données projet'!$A$244&gt;35,FZ16+FY17-GH16,IF(A17&lt;'Données projet'!$A$244,$FW$205^A17,IF(A17='Données projet'!$A$244,'Données projet'!$B$244,FZ16+FY17-GH16)))</f>
        <v>60.503122225319416</v>
      </c>
      <c r="GA17" s="18">
        <f>FZ17*VLOOKUP('Données projet'!$B$17,Paramètres!$A$1:$I$89,3,0)*VLOOKUP('Données projet'!$B$17,Paramètres!$A$1:$I$89,5,0)</f>
        <v>48.136284042464133</v>
      </c>
      <c r="GB17" s="14">
        <f t="shared" si="49"/>
        <v>14.131387971137062</v>
      </c>
      <c r="GC17" s="22">
        <f t="shared" si="25"/>
        <v>108.44952875702209</v>
      </c>
      <c r="GD17" s="62">
        <f t="shared" si="26"/>
        <v>401.78286209035542</v>
      </c>
      <c r="GE17" s="62">
        <f ca="1">AVERAGE(OFFSET($GD$3,0,0,'Données projet'!$E$17+1,1))-AVERAGE(OFFSET($H$3,0,0,'Données projet'!$E$17+1,1))</f>
        <v>248.15263300983543</v>
      </c>
      <c r="GF17" s="62">
        <f t="shared" si="50"/>
        <v>266.46511459244618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8.526315789473685</v>
      </c>
      <c r="N18" s="14">
        <f>IF('Données projet'!$A$36&gt;35,N17+M18-V17,IF(A18&lt;'Données projet'!$A$36,$K$205^A18,IF(A18='Données projet'!$A$36,'Données projet'!$B$36,N17+M18-V17)))</f>
        <v>55.507792846923991</v>
      </c>
      <c r="O18" s="14">
        <f>N18*VLOOKUP('Données projet'!$B$9,Paramètres!$A$1:$I$89,3,0)*VLOOKUP('Données projet'!$B$9,Paramètres!$A$1:$I$89,5,0)</f>
        <v>31.028856201430514</v>
      </c>
      <c r="P18" s="14">
        <f t="shared" si="33"/>
        <v>9.5868580371693835</v>
      </c>
      <c r="Q18" s="22">
        <f t="shared" si="2"/>
        <v>70.739035632228152</v>
      </c>
      <c r="R18" s="62">
        <f t="shared" si="0"/>
        <v>364.07236896556145</v>
      </c>
      <c r="S18" s="62">
        <f ca="1">AVERAGE(OFFSET($R$3,0,0,'Données projet'!$E$9+1,1))-AVERAGE(OFFSET($H$3,0,0,'Données projet'!$E$9+1,1))</f>
        <v>382.55387448074327</v>
      </c>
      <c r="T18" s="62">
        <f t="shared" si="34"/>
        <v>476.29465646955543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26.5</v>
      </c>
      <c r="AI18" s="14">
        <f>IF('Données projet'!$A$62&gt;35,AI17+AH18-AQ17,IF(A18&lt;'Données projet'!$A$62,$AF$205^A18,IF(A18='Données projet'!$A$62,'Données projet'!$B$62,AI17+AH18-AQ17)))</f>
        <v>182.5</v>
      </c>
      <c r="AJ18" s="14">
        <f>AI18*VLOOKUP('Données projet'!$B$10,Paramètres!$A$1:$I$89,3,0)*VLOOKUP('Données projet'!$B$10,Paramètres!$A$1:$I$89,5,0)</f>
        <v>113.88</v>
      </c>
      <c r="AK18" s="14">
        <f t="shared" si="35"/>
        <v>30.243290368229957</v>
      </c>
      <c r="AL18" s="22">
        <f t="shared" si="4"/>
        <v>251.01473072466717</v>
      </c>
      <c r="AM18" s="62">
        <f t="shared" si="5"/>
        <v>544.34806405800055</v>
      </c>
      <c r="AN18" s="62">
        <f ca="1">AVERAGE(OFFSET($AM$3,0,0,'Données projet'!$E$10+1,1))-AVERAGE(OFFSET($H$3,0,0,'Données projet'!$E$10+1,1))</f>
        <v>482.28841373508675</v>
      </c>
      <c r="AO18" s="62">
        <f t="shared" si="36"/>
        <v>746.97309214631684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26.5</v>
      </c>
      <c r="BD18" s="13">
        <f>IF('Données projet'!$A$88&gt;35,BD17+BC18-BL17,IF(A18&lt;'Données projet'!$A$88,$BA$205^A18,IF(A18='Données projet'!$A$88,'Données projet'!$B$88,BD17+BC18-BL17)))</f>
        <v>182.5</v>
      </c>
      <c r="BE18" s="14">
        <f>BD18*VLOOKUP('Données projet'!$B$11,Paramètres!$A$1:$I$89,3,0)*VLOOKUP('Données projet'!$B$11,Paramètres!$A$1:$I$89,5,0)</f>
        <v>99.644999999999996</v>
      </c>
      <c r="BF18" s="14">
        <f t="shared" si="37"/>
        <v>26.877406196749529</v>
      </c>
      <c r="BG18" s="22">
        <f t="shared" si="7"/>
        <v>220.35985745933877</v>
      </c>
      <c r="BH18" s="62">
        <f t="shared" si="8"/>
        <v>513.69319079267211</v>
      </c>
      <c r="BI18" s="62">
        <f ca="1">AVERAGE(OFFSET($BH$3,0,0,'Données projet'!$E$11+1,1))-AVERAGE(OFFSET($H$3,0,0,'Données projet'!$E$11+1,1))</f>
        <v>417.99456559608217</v>
      </c>
      <c r="BJ18" s="62">
        <f t="shared" si="38"/>
        <v>651.41353014863932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2.6904761904761907</v>
      </c>
      <c r="BY18" s="13">
        <f>IF('Données projet'!$A$114&gt;35,BY17+BX18-CG17,IF(A18&lt;'Données projet'!$A$114,$BV$205^A18,IF(A18='Données projet'!$A$114,'Données projet'!$B$114,BY17+BX18-CG17)))</f>
        <v>40.357142857142854</v>
      </c>
      <c r="BZ18" s="14">
        <f>BY18*VLOOKUP('Données projet'!$B$12,Paramètres!$A$1:$I$89,3,0)*VLOOKUP('Données projet'!$B$12,Paramètres!$A$1:$I$89,5,0)</f>
        <v>36.515142857142855</v>
      </c>
      <c r="CA18" s="14">
        <f t="shared" si="39"/>
        <v>11.070142497485797</v>
      </c>
      <c r="CB18" s="22">
        <f t="shared" si="10"/>
        <v>82.877705325978226</v>
      </c>
      <c r="CC18" s="62">
        <f t="shared" si="11"/>
        <v>376.21103865931155</v>
      </c>
      <c r="CD18" s="62">
        <f ca="1">AVERAGE(OFFSET($CC$3,0,0,'Données projet'!$E$12+1,1))-AVERAGE(OFFSET($H$3,0,0,'Données projet'!$E$12+1,1))</f>
        <v>213.07277043804817</v>
      </c>
      <c r="CE18" s="62">
        <f t="shared" si="40"/>
        <v>129.14539883354166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2.6904761904761907</v>
      </c>
      <c r="CT18" s="13">
        <f>IF('Données projet'!$A$140&gt;35,CT17+CS18-DB17,IF(A18&lt;'Données projet'!$A$140,$CQ$205^A18,IF(A18='Données projet'!$A$140,'Données projet'!$B$140,CT17+CS18-DB17)))</f>
        <v>40.357142857142854</v>
      </c>
      <c r="CU18" s="18">
        <f>CT18*VLOOKUP('Données projet'!$B$13,Paramètres!$A$1:$I$89,3,0)*VLOOKUP('Données projet'!$B$13,Paramètres!$A$1:$I$89,5,0)</f>
        <v>40.922142857142859</v>
      </c>
      <c r="CV18" s="14">
        <f t="shared" si="41"/>
        <v>12.242735817378851</v>
      </c>
      <c r="CW18" s="22">
        <f t="shared" si="13"/>
        <v>92.595497024791982</v>
      </c>
      <c r="CX18" s="62">
        <f t="shared" si="14"/>
        <v>385.92883035812531</v>
      </c>
      <c r="CY18" s="62">
        <f ca="1">AVERAGE(OFFSET($CX$3,0,0,'Données projet'!$E$13+1,1))-AVERAGE(OFFSET($H$3,0,0,'Données projet'!$E$13+1,1))</f>
        <v>247.92503505485405</v>
      </c>
      <c r="CZ18" s="62">
        <f t="shared" si="42"/>
        <v>148.26437652597514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</v>
      </c>
      <c r="DO18" s="13">
        <f>IF('Données projet'!$A$166&gt;35,DO17+DN18-DW17,IF(A18&lt;'Données projet'!$A$166,$DL$205^A18,IF(A18='Données projet'!$A$166,'Données projet'!$B$166,DO17+DN18-DW17)))</f>
        <v>30</v>
      </c>
      <c r="DP18" s="18">
        <f>DO18*VLOOKUP('Données projet'!$B$14,Paramètres!$A$1:$I$89,3,0)*VLOOKUP('Données projet'!$B$14,Paramètres!$A$1:$I$89,5,0)</f>
        <v>29.016000000000002</v>
      </c>
      <c r="DQ18" s="14">
        <f t="shared" si="43"/>
        <v>9.0352172071357728</v>
      </c>
      <c r="DR18" s="22">
        <f t="shared" si="16"/>
        <v>66.272536635761469</v>
      </c>
      <c r="DS18" s="62">
        <f t="shared" si="17"/>
        <v>359.60586996909478</v>
      </c>
      <c r="DT18" s="62">
        <f ca="1">AVERAGE(OFFSET($DS$3,0,0,'Données projet'!$E$14+1,1))-AVERAGE(OFFSET($H$3,0,0,'Données projet'!$E$14+1,1))</f>
        <v>154.0837760161366</v>
      </c>
      <c r="DU18" s="62">
        <f t="shared" si="44"/>
        <v>96.484500841546037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>
        <f>VLOOKUP(A18,'Données projet'!$A$191:$I$211,2,0)</f>
        <v>81.10499999999999</v>
      </c>
      <c r="EH18" s="13">
        <f>VLOOKUP(A18,'Données projet'!$A$191:$I$211,9,0)</f>
        <v>5.4069999999999991</v>
      </c>
      <c r="EI18" s="13">
        <f t="array" ref="EI18">INDEX(EH:EH,MIN(IF(ISNUMBER(EH18:EH214),ROW(EH18:EH214),"")))</f>
        <v>5.4069999999999991</v>
      </c>
      <c r="EJ18" s="13">
        <f>IF('Données projet'!$A$192&gt;35,EJ17+EI18-ER17,IF(A18&lt;'Données projet'!$A$192,$EG$205^A18,IF(A18='Données projet'!$A$192,'Données projet'!$B$192,EJ17+EI18-ER17)))</f>
        <v>81.10499999999999</v>
      </c>
      <c r="EK18" s="18">
        <f>EJ18*VLOOKUP('Données projet'!$B$15,Paramètres!$A$1:$I$89,3,0)*VLOOKUP('Données projet'!$B$15,Paramètres!$A$1:$I$89,5,0)</f>
        <v>54.405234</v>
      </c>
      <c r="EL18" s="14">
        <f t="shared" si="45"/>
        <v>15.745779738860927</v>
      </c>
      <c r="EM18" s="22">
        <f t="shared" si="19"/>
        <v>122.17968226184944</v>
      </c>
      <c r="EN18" s="62">
        <f t="shared" si="20"/>
        <v>415.51301559518276</v>
      </c>
      <c r="EO18" s="62">
        <f ca="1">AVERAGE(OFFSET($EN$3,0,0,'Données projet'!$E$15+1,1))-AVERAGE(OFFSET($H$3,0,0,'Données projet'!$E$15+1,1))</f>
        <v>205.35893113421139</v>
      </c>
      <c r="EP18" s="62">
        <f t="shared" si="46"/>
        <v>220.4399811285175</v>
      </c>
      <c r="EQ18" s="16">
        <f>IF(ISNA(VLOOKUP(A18,'Données projet'!$A$191:$I$211,3,0)),0,VLOOKUP(A18,'Données projet'!$A$191:$I$211,3,0))</f>
        <v>1</v>
      </c>
      <c r="ER18" s="16">
        <f>IF(ISNA(VLOOKUP(A18,'Données projet'!$A$191:$I$211,4,0)),0,VLOOKUP(A18,'Données projet'!$A$191:$I$211,4,0))</f>
        <v>13.517499999999998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>
        <f>VLOOKUP(A18,'Données projet'!$A$217:$I$237,2,0)</f>
        <v>81.10499999999999</v>
      </c>
      <c r="FC18" s="13">
        <f>VLOOKUP(A18,'Données projet'!$A$217:$I$237,9,0)</f>
        <v>5.4069999999999991</v>
      </c>
      <c r="FD18" s="13">
        <f t="array" ref="FD18">INDEX(FC:FC,MIN(IF(ISNUMBER(FC18:FC214),ROW(FC18:FC214),"")))</f>
        <v>5.4069999999999991</v>
      </c>
      <c r="FE18" s="13">
        <f>IF('Données projet'!$A$218&gt;35,FE17+FD18-FM17,IF(A18&lt;'Données projet'!$A$218,$FB$205^A18,IF(A18='Données projet'!$A$218,'Données projet'!$B$218,FE17+FD18-FM17)))</f>
        <v>81.10499999999999</v>
      </c>
      <c r="FF18" s="18">
        <f>FE18*VLOOKUP('Données projet'!$B$16,Paramètres!$A$1:$I$89,3,0)*VLOOKUP('Données projet'!$B$16,Paramètres!$A$1:$I$89,5,0)</f>
        <v>63.261899999999997</v>
      </c>
      <c r="FG18" s="14">
        <f t="shared" si="47"/>
        <v>17.990421576926202</v>
      </c>
      <c r="FH18" s="22">
        <f t="shared" si="22"/>
        <v>141.51446007981312</v>
      </c>
      <c r="FI18" s="62">
        <f t="shared" si="23"/>
        <v>434.84779341314641</v>
      </c>
      <c r="FJ18" s="62">
        <f ca="1">AVERAGE(OFFSET($FI$3,0,0,'Données projet'!$E$16+1,1))-AVERAGE(OFFSET($H$3,0,0,'Données projet'!$E$16+1,1))</f>
        <v>242.81177364426878</v>
      </c>
      <c r="FK18" s="62">
        <f t="shared" si="48"/>
        <v>260.72115764896671</v>
      </c>
      <c r="FL18" s="16">
        <f>IF(ISNA(VLOOKUP(A18,'Données projet'!$A$217:$I$237,3,0)),0,VLOOKUP(A18,'Données projet'!$A$217:$I$237,3,0))</f>
        <v>1</v>
      </c>
      <c r="FM18" s="16">
        <f>IF(ISNA(VLOOKUP(A18,'Données projet'!$A$217:$I$237,4,0)),0,VLOOKUP(A18,'Données projet'!$A$217:$I$237,4,0))</f>
        <v>13.517499999999998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>
        <f>VLOOKUP(A18,'Données projet'!$A$243:$I$263,2,0)</f>
        <v>81.10499999999999</v>
      </c>
      <c r="FX18" s="13">
        <f>VLOOKUP(A18,'Données projet'!$A$243:$I$263,9,0)</f>
        <v>5.4069999999999991</v>
      </c>
      <c r="FY18" s="13">
        <f t="array" ref="FY18">INDEX(FX:FX,MIN(IF(ISNUMBER(FX18:FX214),ROW(FX18:FX214),"")))</f>
        <v>5.4069999999999991</v>
      </c>
      <c r="FZ18" s="13">
        <f>IF('Données projet'!$A$244&gt;35,FZ17+FY18-GH17,IF(A18&lt;'Données projet'!$A$244,$FW$205^A18,IF(A18='Données projet'!$A$244,'Données projet'!$B$244,FZ17+FY18-GH17)))</f>
        <v>81.10499999999999</v>
      </c>
      <c r="GA18" s="18">
        <f>FZ18*VLOOKUP('Données projet'!$B$17,Paramètres!$A$1:$I$89,3,0)*VLOOKUP('Données projet'!$B$17,Paramètres!$A$1:$I$89,5,0)</f>
        <v>64.527137999999994</v>
      </c>
      <c r="GB18" s="14">
        <f t="shared" si="49"/>
        <v>18.30798096581557</v>
      </c>
      <c r="GC18" s="22">
        <f t="shared" si="25"/>
        <v>144.27116553212878</v>
      </c>
      <c r="GD18" s="62">
        <f t="shared" si="26"/>
        <v>437.60449886546212</v>
      </c>
      <c r="GE18" s="62">
        <f ca="1">AVERAGE(OFFSET($GD$3,0,0,'Données projet'!$E$17+1,1))-AVERAGE(OFFSET($H$3,0,0,'Données projet'!$E$17+1,1))</f>
        <v>248.15263300983543</v>
      </c>
      <c r="GF18" s="62">
        <f t="shared" si="50"/>
        <v>266.46511459244618</v>
      </c>
      <c r="GG18" s="16">
        <f>IF(ISNA(VLOOKUP(A18,'Données projet'!$A$243:$I$263,3,0)),0,VLOOKUP(A18,'Données projet'!$A$243:$I$263,3,0))</f>
        <v>1</v>
      </c>
      <c r="GH18" s="16">
        <f>IF(ISNA(VLOOKUP(A18,'Données projet'!$A$243:$I$263,4,0)),0,VLOOKUP(A18,'Données projet'!$A$243:$I$263,4,0))</f>
        <v>13.517499999999998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8.526315789473685</v>
      </c>
      <c r="N19" s="14">
        <f>IF('Données projet'!$A$36&gt;35,N18+M19-V18,IF(A19&lt;'Données projet'!$A$36,$K$205^A19,IF(A19='Données projet'!$A$36,'Données projet'!$B$36,N18+M19-V18)))</f>
        <v>72.551136968384853</v>
      </c>
      <c r="O19" s="14">
        <f>N19*VLOOKUP('Données projet'!$B$9,Paramètres!$A$1:$I$89,3,0)*VLOOKUP('Données projet'!$B$9,Paramètres!$A$1:$I$89,5,0)</f>
        <v>40.55608556532713</v>
      </c>
      <c r="P19" s="14">
        <f t="shared" si="33"/>
        <v>12.145918805157919</v>
      </c>
      <c r="Q19" s="22">
        <f t="shared" si="2"/>
        <v>91.78932427859479</v>
      </c>
      <c r="R19" s="62">
        <f t="shared" si="0"/>
        <v>385.1226576119281</v>
      </c>
      <c r="S19" s="62">
        <f ca="1">AVERAGE(OFFSET($R$3,0,0,'Données projet'!$E$9+1,1))-AVERAGE(OFFSET($H$3,0,0,'Données projet'!$E$9+1,1))</f>
        <v>382.55387448074327</v>
      </c>
      <c r="T19" s="62">
        <f t="shared" si="34"/>
        <v>476.29465646955543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26.5</v>
      </c>
      <c r="AI19" s="14">
        <f>IF('Données projet'!$A$62&gt;35,AI18+AH19-AQ18,IF(A19&lt;'Données projet'!$A$62,$AF$205^A19,IF(A19='Données projet'!$A$62,'Données projet'!$B$62,AI18+AH19-AQ18)))</f>
        <v>209</v>
      </c>
      <c r="AJ19" s="14">
        <f>AI19*VLOOKUP('Données projet'!$B$10,Paramètres!$A$1:$I$89,3,0)*VLOOKUP('Données projet'!$B$10,Paramètres!$A$1:$I$89,5,0)</f>
        <v>130.416</v>
      </c>
      <c r="AK19" s="14">
        <f t="shared" si="35"/>
        <v>34.092466837179941</v>
      </c>
      <c r="AL19" s="22">
        <f t="shared" si="4"/>
        <v>286.51891307475506</v>
      </c>
      <c r="AM19" s="62">
        <f t="shared" si="5"/>
        <v>579.85224640808838</v>
      </c>
      <c r="AN19" s="62">
        <f ca="1">AVERAGE(OFFSET($AM$3,0,0,'Données projet'!$E$10+1,1))-AVERAGE(OFFSET($H$3,0,0,'Données projet'!$E$10+1,1))</f>
        <v>482.28841373508675</v>
      </c>
      <c r="AO19" s="62">
        <f t="shared" si="36"/>
        <v>746.97309214631684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26.5</v>
      </c>
      <c r="BD19" s="13">
        <f>IF('Données projet'!$A$88&gt;35,BD18+BC19-BL18,IF(A19&lt;'Données projet'!$A$88,$BA$205^A19,IF(A19='Données projet'!$A$88,'Données projet'!$B$88,BD18+BC19-BL18)))</f>
        <v>209</v>
      </c>
      <c r="BE19" s="14">
        <f>BD19*VLOOKUP('Données projet'!$B$11,Paramètres!$A$1:$I$89,3,0)*VLOOKUP('Données projet'!$B$11,Paramètres!$A$1:$I$89,5,0)</f>
        <v>114.114</v>
      </c>
      <c r="BF19" s="14">
        <f t="shared" si="37"/>
        <v>30.2981940217283</v>
      </c>
      <c r="BG19" s="22">
        <f t="shared" si="7"/>
        <v>251.51790458784345</v>
      </c>
      <c r="BH19" s="62">
        <f t="shared" si="8"/>
        <v>544.85123792117679</v>
      </c>
      <c r="BI19" s="62">
        <f ca="1">AVERAGE(OFFSET($BH$3,0,0,'Données projet'!$E$11+1,1))-AVERAGE(OFFSET($H$3,0,0,'Données projet'!$E$11+1,1))</f>
        <v>417.99456559608217</v>
      </c>
      <c r="BJ19" s="62">
        <f t="shared" si="38"/>
        <v>651.41353014863932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2.6904761904761907</v>
      </c>
      <c r="BY19" s="13">
        <f>IF('Données projet'!$A$114&gt;35,BY18+BX19-CG18,IF(A19&lt;'Données projet'!$A$114,$BV$205^A19,IF(A19='Données projet'!$A$114,'Données projet'!$B$114,BY18+BX19-CG18)))</f>
        <v>43.047619047619044</v>
      </c>
      <c r="BZ19" s="14">
        <f>BY19*VLOOKUP('Données projet'!$B$12,Paramètres!$A$1:$I$89,3,0)*VLOOKUP('Données projet'!$B$12,Paramètres!$A$1:$I$89,5,0)</f>
        <v>38.949485714285707</v>
      </c>
      <c r="CA19" s="14">
        <f t="shared" si="39"/>
        <v>11.719778167903632</v>
      </c>
      <c r="CB19" s="22">
        <f t="shared" si="10"/>
        <v>88.248967928146428</v>
      </c>
      <c r="CC19" s="62">
        <f t="shared" si="11"/>
        <v>381.58230126147976</v>
      </c>
      <c r="CD19" s="62">
        <f ca="1">AVERAGE(OFFSET($CC$3,0,0,'Données projet'!$E$12+1,1))-AVERAGE(OFFSET($H$3,0,0,'Données projet'!$E$12+1,1))</f>
        <v>213.07277043804817</v>
      </c>
      <c r="CE19" s="62">
        <f t="shared" si="40"/>
        <v>129.14539883354166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2.6904761904761907</v>
      </c>
      <c r="CT19" s="13">
        <f>IF('Données projet'!$A$140&gt;35,CT18+CS19-DB18,IF(A19&lt;'Données projet'!$A$140,$CQ$205^A19,IF(A19='Données projet'!$A$140,'Données projet'!$B$140,CT18+CS19-DB18)))</f>
        <v>43.047619047619044</v>
      </c>
      <c r="CU19" s="18">
        <f>CT19*VLOOKUP('Données projet'!$B$13,Paramètres!$A$1:$I$89,3,0)*VLOOKUP('Données projet'!$B$13,Paramètres!$A$1:$I$89,5,0)</f>
        <v>43.650285714285715</v>
      </c>
      <c r="CV19" s="14">
        <f t="shared" si="41"/>
        <v>12.961183469907045</v>
      </c>
      <c r="CW19" s="22">
        <f t="shared" si="13"/>
        <v>98.598308829135718</v>
      </c>
      <c r="CX19" s="62">
        <f t="shared" si="14"/>
        <v>391.93164216246902</v>
      </c>
      <c r="CY19" s="62">
        <f ca="1">AVERAGE(OFFSET($CX$3,0,0,'Données projet'!$E$13+1,1))-AVERAGE(OFFSET($H$3,0,0,'Données projet'!$E$13+1,1))</f>
        <v>247.92503505485405</v>
      </c>
      <c r="CZ19" s="62">
        <f t="shared" si="42"/>
        <v>148.26437652597514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</v>
      </c>
      <c r="DO19" s="13">
        <f>IF('Données projet'!$A$166&gt;35,DO18+DN19-DW18,IF(A19&lt;'Données projet'!$A$166,$DL$205^A19,IF(A19='Données projet'!$A$166,'Données projet'!$B$166,DO18+DN19-DW18)))</f>
        <v>32</v>
      </c>
      <c r="DP19" s="18">
        <f>DO19*VLOOKUP('Données projet'!$B$14,Paramètres!$A$1:$I$89,3,0)*VLOOKUP('Données projet'!$B$14,Paramètres!$A$1:$I$89,5,0)</f>
        <v>30.950400000000002</v>
      </c>
      <c r="DQ19" s="14">
        <f t="shared" si="43"/>
        <v>9.5654361622270407</v>
      </c>
      <c r="DR19" s="22">
        <f t="shared" si="16"/>
        <v>70.565081315878771</v>
      </c>
      <c r="DS19" s="62">
        <f t="shared" si="17"/>
        <v>363.8984146492121</v>
      </c>
      <c r="DT19" s="62">
        <f ca="1">AVERAGE(OFFSET($DS$3,0,0,'Données projet'!$E$14+1,1))-AVERAGE(OFFSET($H$3,0,0,'Données projet'!$E$14+1,1))</f>
        <v>154.0837760161366</v>
      </c>
      <c r="DU19" s="62">
        <f t="shared" si="44"/>
        <v>96.484500841546037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7.9145000000000021</v>
      </c>
      <c r="EJ19" s="13">
        <f>IF('Données projet'!$A$192&gt;35,EJ18+EI19-ER18,IF(A19&lt;'Données projet'!$A$192,$EG$205^A19,IF(A19='Données projet'!$A$192,'Données projet'!$B$192,EJ18+EI19-ER18)))</f>
        <v>75.501999999999995</v>
      </c>
      <c r="EK19" s="18">
        <f>EJ19*VLOOKUP('Données projet'!$B$15,Paramètres!$A$1:$I$89,3,0)*VLOOKUP('Données projet'!$B$15,Paramètres!$A$1:$I$89,5,0)</f>
        <v>50.646741599999999</v>
      </c>
      <c r="EL19" s="14">
        <f t="shared" si="45"/>
        <v>14.780658366317496</v>
      </c>
      <c r="EM19" s="22">
        <f t="shared" si="19"/>
        <v>113.95272160800296</v>
      </c>
      <c r="EN19" s="62">
        <f t="shared" si="20"/>
        <v>407.28605494133626</v>
      </c>
      <c r="EO19" s="62">
        <f ca="1">AVERAGE(OFFSET($EN$3,0,0,'Données projet'!$E$15+1,1))-AVERAGE(OFFSET($H$3,0,0,'Données projet'!$E$15+1,1))</f>
        <v>205.35893113421139</v>
      </c>
      <c r="EP19" s="62">
        <f t="shared" si="46"/>
        <v>220.4399811285175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7.9145000000000021</v>
      </c>
      <c r="FE19" s="13">
        <f>IF('Données projet'!$A$218&gt;35,FE18+FD19-FM18,IF(A19&lt;'Données projet'!$A$218,$FB$205^A19,IF(A19='Données projet'!$A$218,'Données projet'!$B$218,FE18+FD19-FM18)))</f>
        <v>75.501999999999995</v>
      </c>
      <c r="FF19" s="18">
        <f>FE19*VLOOKUP('Données projet'!$B$16,Paramètres!$A$1:$I$89,3,0)*VLOOKUP('Données projet'!$B$16,Paramètres!$A$1:$I$89,5,0)</f>
        <v>58.891559999999998</v>
      </c>
      <c r="FG19" s="14">
        <f t="shared" si="47"/>
        <v>16.887717191820037</v>
      </c>
      <c r="FH19" s="22">
        <f t="shared" si="22"/>
        <v>131.98224110908654</v>
      </c>
      <c r="FI19" s="62">
        <f t="shared" si="23"/>
        <v>425.31557444241986</v>
      </c>
      <c r="FJ19" s="62">
        <f ca="1">AVERAGE(OFFSET($FI$3,0,0,'Données projet'!$E$16+1,1))-AVERAGE(OFFSET($H$3,0,0,'Données projet'!$E$16+1,1))</f>
        <v>242.81177364426878</v>
      </c>
      <c r="FK19" s="62">
        <f t="shared" si="48"/>
        <v>260.72115764896671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7.9145000000000021</v>
      </c>
      <c r="FZ19" s="13">
        <f>IF('Données projet'!$A$244&gt;35,FZ18+FY19-GH18,IF(A19&lt;'Données projet'!$A$244,$FW$205^A19,IF(A19='Données projet'!$A$244,'Données projet'!$B$244,FZ18+FY19-GH18)))</f>
        <v>75.501999999999995</v>
      </c>
      <c r="GA19" s="18">
        <f>FZ19*VLOOKUP('Données projet'!$B$17,Paramètres!$A$1:$I$89,3,0)*VLOOKUP('Données projet'!$B$17,Paramètres!$A$1:$I$89,5,0)</f>
        <v>60.069391199999998</v>
      </c>
      <c r="GB19" s="14">
        <f t="shared" si="49"/>
        <v>17.185812104617906</v>
      </c>
      <c r="GC19" s="22">
        <f t="shared" si="25"/>
        <v>134.55281242220951</v>
      </c>
      <c r="GD19" s="62">
        <f t="shared" si="26"/>
        <v>427.88614575554283</v>
      </c>
      <c r="GE19" s="62">
        <f ca="1">AVERAGE(OFFSET($GD$3,0,0,'Données projet'!$E$17+1,1))-AVERAGE(OFFSET($H$3,0,0,'Données projet'!$E$17+1,1))</f>
        <v>248.15263300983543</v>
      </c>
      <c r="GF19" s="62">
        <f t="shared" si="50"/>
        <v>266.46511459244618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8.526315789473685</v>
      </c>
      <c r="N20" s="14">
        <f>IF('Données projet'!$A$36&gt;35,N19+M20-V19,IF(A20&lt;'Données projet'!$A$36,$K$205^A20,IF(A20='Données projet'!$A$36,'Données projet'!$B$36,N19+M20-V19)))</f>
        <v>94.827540520682575</v>
      </c>
      <c r="O20" s="14">
        <f>N20*VLOOKUP('Données projet'!$B$9,Paramètres!$A$1:$I$89,3,0)*VLOOKUP('Données projet'!$B$9,Paramètres!$A$1:$I$89,5,0)</f>
        <v>53.008595151061563</v>
      </c>
      <c r="P20" s="14">
        <f t="shared" si="33"/>
        <v>15.388080542084102</v>
      </c>
      <c r="Q20" s="22">
        <f t="shared" si="2"/>
        <v>119.12421016556203</v>
      </c>
      <c r="R20" s="62">
        <f t="shared" si="0"/>
        <v>412.45754349889535</v>
      </c>
      <c r="S20" s="62">
        <f ca="1">AVERAGE(OFFSET($R$3,0,0,'Données projet'!$E$9+1,1))-AVERAGE(OFFSET($H$3,0,0,'Données projet'!$E$9+1,1))</f>
        <v>382.55387448074327</v>
      </c>
      <c r="T20" s="62">
        <f t="shared" si="34"/>
        <v>476.29465646955543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26.5</v>
      </c>
      <c r="AI20" s="14">
        <f>IF('Données projet'!$A$62&gt;35,AI19+AH20-AQ19,IF(A20&lt;'Données projet'!$A$62,$AF$205^A20,IF(A20='Données projet'!$A$62,'Données projet'!$B$62,AI19+AH20-AQ19)))</f>
        <v>235.5</v>
      </c>
      <c r="AJ20" s="14">
        <f>AI20*VLOOKUP('Données projet'!$B$10,Paramètres!$A$1:$I$89,3,0)*VLOOKUP('Données projet'!$B$10,Paramètres!$A$1:$I$89,5,0)</f>
        <v>146.952</v>
      </c>
      <c r="AK20" s="14">
        <f t="shared" si="35"/>
        <v>37.885091254823713</v>
      </c>
      <c r="AL20" s="22">
        <f t="shared" si="4"/>
        <v>321.92460060215132</v>
      </c>
      <c r="AM20" s="62">
        <f t="shared" si="5"/>
        <v>615.25793393548463</v>
      </c>
      <c r="AN20" s="62">
        <f ca="1">AVERAGE(OFFSET($AM$3,0,0,'Données projet'!$E$10+1,1))-AVERAGE(OFFSET($H$3,0,0,'Données projet'!$E$10+1,1))</f>
        <v>482.28841373508675</v>
      </c>
      <c r="AO20" s="62">
        <f t="shared" si="36"/>
        <v>746.97309214631684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26.5</v>
      </c>
      <c r="BD20" s="13">
        <f>IF('Données projet'!$A$88&gt;35,BD19+BC20-BL19,IF(A20&lt;'Données projet'!$A$88,$BA$205^A20,IF(A20='Données projet'!$A$88,'Données projet'!$B$88,BD19+BC20-BL19)))</f>
        <v>235.5</v>
      </c>
      <c r="BE20" s="14">
        <f>BD20*VLOOKUP('Données projet'!$B$11,Paramètres!$A$1:$I$89,3,0)*VLOOKUP('Données projet'!$B$11,Paramètres!$A$1:$I$89,5,0)</f>
        <v>128.583</v>
      </c>
      <c r="BF20" s="14">
        <f t="shared" si="37"/>
        <v>33.6687236758629</v>
      </c>
      <c r="BG20" s="22">
        <f t="shared" si="7"/>
        <v>282.58841873546118</v>
      </c>
      <c r="BH20" s="62">
        <f t="shared" si="8"/>
        <v>575.92175206879449</v>
      </c>
      <c r="BI20" s="62">
        <f ca="1">AVERAGE(OFFSET($BH$3,0,0,'Données projet'!$E$11+1,1))-AVERAGE(OFFSET($H$3,0,0,'Données projet'!$E$11+1,1))</f>
        <v>417.99456559608217</v>
      </c>
      <c r="BJ20" s="62">
        <f t="shared" si="38"/>
        <v>651.41353014863932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2.6904761904761907</v>
      </c>
      <c r="BY20" s="13">
        <f>IF('Données projet'!$A$114&gt;35,BY19+BX20-CG19,IF(A20&lt;'Données projet'!$A$114,$BV$205^A20,IF(A20='Données projet'!$A$114,'Données projet'!$B$114,BY19+BX20-CG19)))</f>
        <v>45.738095238095234</v>
      </c>
      <c r="BZ20" s="14">
        <f>BY20*VLOOKUP('Données projet'!$B$12,Paramètres!$A$1:$I$89,3,0)*VLOOKUP('Données projet'!$B$12,Paramètres!$A$1:$I$89,5,0)</f>
        <v>41.383828571428566</v>
      </c>
      <c r="CA20" s="14">
        <f t="shared" si="39"/>
        <v>12.364701650741173</v>
      </c>
      <c r="CB20" s="22">
        <f t="shared" si="10"/>
        <v>93.61202347027897</v>
      </c>
      <c r="CC20" s="62">
        <f t="shared" si="11"/>
        <v>386.9453568036123</v>
      </c>
      <c r="CD20" s="62">
        <f ca="1">AVERAGE(OFFSET($CC$3,0,0,'Données projet'!$E$12+1,1))-AVERAGE(OFFSET($H$3,0,0,'Données projet'!$E$12+1,1))</f>
        <v>213.07277043804817</v>
      </c>
      <c r="CE20" s="62">
        <f t="shared" si="40"/>
        <v>129.14539883354166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2.6904761904761907</v>
      </c>
      <c r="CT20" s="13">
        <f>IF('Données projet'!$A$140&gt;35,CT19+CS20-DB19,IF(A20&lt;'Données projet'!$A$140,$CQ$205^A20,IF(A20='Données projet'!$A$140,'Données projet'!$B$140,CT19+CS20-DB19)))</f>
        <v>45.738095238095234</v>
      </c>
      <c r="CU20" s="18">
        <f>CT20*VLOOKUP('Données projet'!$B$13,Paramètres!$A$1:$I$89,3,0)*VLOOKUP('Données projet'!$B$13,Paramètres!$A$1:$I$89,5,0)</f>
        <v>46.378428571428572</v>
      </c>
      <c r="CV20" s="14">
        <f t="shared" si="41"/>
        <v>13.674419801290952</v>
      </c>
      <c r="CW20" s="22">
        <f t="shared" si="13"/>
        <v>104.59204424915316</v>
      </c>
      <c r="CX20" s="62">
        <f t="shared" si="14"/>
        <v>397.92537758248648</v>
      </c>
      <c r="CY20" s="62">
        <f ca="1">AVERAGE(OFFSET($CX$3,0,0,'Données projet'!$E$13+1,1))-AVERAGE(OFFSET($H$3,0,0,'Données projet'!$E$13+1,1))</f>
        <v>247.92503505485405</v>
      </c>
      <c r="CZ20" s="62">
        <f t="shared" si="42"/>
        <v>148.26437652597514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</v>
      </c>
      <c r="DO20" s="13">
        <f>IF('Données projet'!$A$166&gt;35,DO19+DN20-DW19,IF(A20&lt;'Données projet'!$A$166,$DL$205^A20,IF(A20='Données projet'!$A$166,'Données projet'!$B$166,DO19+DN20-DW19)))</f>
        <v>34</v>
      </c>
      <c r="DP20" s="18">
        <f>DO20*VLOOKUP('Données projet'!$B$14,Paramètres!$A$1:$I$89,3,0)*VLOOKUP('Données projet'!$B$14,Paramètres!$A$1:$I$89,5,0)</f>
        <v>32.884799999999998</v>
      </c>
      <c r="DQ20" s="14">
        <f t="shared" si="43"/>
        <v>10.091809129037815</v>
      </c>
      <c r="DR20" s="22">
        <f t="shared" si="16"/>
        <v>74.85092756640752</v>
      </c>
      <c r="DS20" s="62">
        <f t="shared" si="17"/>
        <v>368.18426089974082</v>
      </c>
      <c r="DT20" s="62">
        <f ca="1">AVERAGE(OFFSET($DS$3,0,0,'Données projet'!$E$14+1,1))-AVERAGE(OFFSET($H$3,0,0,'Données projet'!$E$14+1,1))</f>
        <v>154.0837760161366</v>
      </c>
      <c r="DU20" s="62">
        <f t="shared" si="44"/>
        <v>96.484500841546037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7.9145000000000021</v>
      </c>
      <c r="EJ20" s="13">
        <f>IF('Données projet'!$A$192&gt;35,EJ19+EI20-ER19,IF(A20&lt;'Données projet'!$A$192,$EG$205^A20,IF(A20='Données projet'!$A$192,'Données projet'!$B$192,EJ19+EI20-ER19)))</f>
        <v>83.416499999999999</v>
      </c>
      <c r="EK20" s="18">
        <f>EJ20*VLOOKUP('Données projet'!$B$15,Paramètres!$A$1:$I$89,3,0)*VLOOKUP('Données projet'!$B$15,Paramètres!$A$1:$I$89,5,0)</f>
        <v>55.955788200000008</v>
      </c>
      <c r="EL20" s="14">
        <f t="shared" si="45"/>
        <v>16.141649859057516</v>
      </c>
      <c r="EM20" s="22">
        <f t="shared" si="19"/>
        <v>125.56970461952518</v>
      </c>
      <c r="EN20" s="62">
        <f t="shared" si="20"/>
        <v>418.90303795285848</v>
      </c>
      <c r="EO20" s="62">
        <f ca="1">AVERAGE(OFFSET($EN$3,0,0,'Données projet'!$E$15+1,1))-AVERAGE(OFFSET($H$3,0,0,'Données projet'!$E$15+1,1))</f>
        <v>205.35893113421139</v>
      </c>
      <c r="EP20" s="62">
        <f t="shared" si="46"/>
        <v>220.4399811285175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7.9145000000000021</v>
      </c>
      <c r="FE20" s="13">
        <f>IF('Données projet'!$A$218&gt;35,FE19+FD20-FM19,IF(A20&lt;'Données projet'!$A$218,$FB$205^A20,IF(A20='Données projet'!$A$218,'Données projet'!$B$218,FE19+FD20-FM19)))</f>
        <v>83.416499999999999</v>
      </c>
      <c r="FF20" s="18">
        <f>FE20*VLOOKUP('Données projet'!$B$16,Paramètres!$A$1:$I$89,3,0)*VLOOKUP('Données projet'!$B$16,Paramètres!$A$1:$I$89,5,0)</f>
        <v>65.064869999999999</v>
      </c>
      <c r="FG20" s="14">
        <f t="shared" si="47"/>
        <v>18.442725017604232</v>
      </c>
      <c r="FH20" s="22">
        <f t="shared" si="22"/>
        <v>145.44239465566071</v>
      </c>
      <c r="FI20" s="62">
        <f t="shared" si="23"/>
        <v>438.77572798899405</v>
      </c>
      <c r="FJ20" s="62">
        <f ca="1">AVERAGE(OFFSET($FI$3,0,0,'Données projet'!$E$16+1,1))-AVERAGE(OFFSET($H$3,0,0,'Données projet'!$E$16+1,1))</f>
        <v>242.81177364426878</v>
      </c>
      <c r="FK20" s="62">
        <f t="shared" si="48"/>
        <v>260.72115764896671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7.9145000000000021</v>
      </c>
      <c r="FZ20" s="13">
        <f>IF('Données projet'!$A$244&gt;35,FZ19+FY20-GH19,IF(A20&lt;'Données projet'!$A$244,$FW$205^A20,IF(A20='Données projet'!$A$244,'Données projet'!$B$244,FZ19+FY20-GH19)))</f>
        <v>83.416499999999999</v>
      </c>
      <c r="GA20" s="18">
        <f>FZ20*VLOOKUP('Données projet'!$B$17,Paramètres!$A$1:$I$89,3,0)*VLOOKUP('Données projet'!$B$17,Paramètres!$A$1:$I$89,5,0)</f>
        <v>66.366167399999995</v>
      </c>
      <c r="GB20" s="14">
        <f t="shared" si="49"/>
        <v>18.768268277444037</v>
      </c>
      <c r="GC20" s="22">
        <f t="shared" si="25"/>
        <v>148.27580880488168</v>
      </c>
      <c r="GD20" s="62">
        <f t="shared" si="26"/>
        <v>441.60914213821502</v>
      </c>
      <c r="GE20" s="62">
        <f ca="1">AVERAGE(OFFSET($GD$3,0,0,'Données projet'!$E$17+1,1))-AVERAGE(OFFSET($H$3,0,0,'Données projet'!$E$17+1,1))</f>
        <v>248.15263300983543</v>
      </c>
      <c r="GF20" s="62">
        <f t="shared" si="50"/>
        <v>266.46511459244618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8.526315789473685</v>
      </c>
      <c r="N21" s="14">
        <f>IF('Données projet'!$A$36&gt;35,N20+M21-V20,IF(A21&lt;'Données projet'!$A$36,$K$205^A21,IF(A21='Données projet'!$A$36,'Données projet'!$B$36,N20+M21-V20)))</f>
        <v>123.94378388749713</v>
      </c>
      <c r="O21" s="14">
        <f>N21*VLOOKUP('Données projet'!$B$9,Paramètres!$A$1:$I$89,3,0)*VLOOKUP('Données projet'!$B$9,Paramètres!$A$1:$I$89,5,0)</f>
        <v>69.284575193110896</v>
      </c>
      <c r="P21" s="14">
        <f t="shared" si="33"/>
        <v>19.495686293334202</v>
      </c>
      <c r="Q21" s="22">
        <f t="shared" si="2"/>
        <v>154.62562208889187</v>
      </c>
      <c r="R21" s="62">
        <f t="shared" si="0"/>
        <v>447.95895542222519</v>
      </c>
      <c r="S21" s="62">
        <f ca="1">AVERAGE(OFFSET($R$3,0,0,'Données projet'!$E$9+1,1))-AVERAGE(OFFSET($H$3,0,0,'Données projet'!$E$9+1,1))</f>
        <v>382.55387448074327</v>
      </c>
      <c r="T21" s="62">
        <f t="shared" si="34"/>
        <v>476.29465646955543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262</v>
      </c>
      <c r="AG21" s="13">
        <f>VLOOKUP(A21,'Données projet'!$A$61:$I$81,9,0)</f>
        <v>26.5</v>
      </c>
      <c r="AH21" s="13">
        <f t="array" ref="AH21">INDEX(AG:AG,MIN(IF(ISNUMBER(AG21:AG217),ROW(AG21:AG217),"")))</f>
        <v>26.5</v>
      </c>
      <c r="AI21" s="14">
        <f>IF('Données projet'!$A$62&gt;35,AI20+AH21-AQ20,IF(A21&lt;'Données projet'!$A$62,$AF$205^A21,IF(A21='Données projet'!$A$62,'Données projet'!$B$62,AI20+AH21-AQ20)))</f>
        <v>262</v>
      </c>
      <c r="AJ21" s="14">
        <f>AI21*VLOOKUP('Données projet'!$B$10,Paramètres!$A$1:$I$89,3,0)*VLOOKUP('Données projet'!$B$10,Paramètres!$A$1:$I$89,5,0)</f>
        <v>163.488</v>
      </c>
      <c r="AK21" s="14">
        <f t="shared" si="35"/>
        <v>41.628253379180151</v>
      </c>
      <c r="AL21" s="22">
        <f t="shared" si="4"/>
        <v>357.24414130207202</v>
      </c>
      <c r="AM21" s="62">
        <f t="shared" si="5"/>
        <v>650.57747463540534</v>
      </c>
      <c r="AN21" s="62">
        <f ca="1">AVERAGE(OFFSET($AM$3,0,0,'Données projet'!$E$10+1,1))-AVERAGE(OFFSET($H$3,0,0,'Données projet'!$E$10+1,1))</f>
        <v>482.28841373508675</v>
      </c>
      <c r="AO21" s="62">
        <f t="shared" si="36"/>
        <v>746.97309214631684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0.33600000000000002</v>
      </c>
      <c r="AT21" s="17">
        <f>IF(ISNA(VLOOKUP(A21,'Données projet'!$A$61:$I$81,7,0)),0%,VLOOKUP(A21,'Données projet'!$A$61:$I$81,7,0))</f>
        <v>0.44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>
        <f>VLOOKUP(A21,'Données projet'!$A$87:$I$107,2,0)</f>
        <v>262</v>
      </c>
      <c r="BB21" s="13">
        <f>VLOOKUP(A21,'Données projet'!$A$87:$I$107,9,0)</f>
        <v>26.5</v>
      </c>
      <c r="BC21" s="13">
        <f t="array" ref="BC21">INDEX(BB:BB,MIN(IF(ISNUMBER(BB21:BB217),ROW(BB21:BB217),"")))</f>
        <v>26.5</v>
      </c>
      <c r="BD21" s="13">
        <f>IF('Données projet'!$A$88&gt;35,BD20+BC21-BL20,IF(A21&lt;'Données projet'!$A$88,$BA$205^A21,IF(A21='Données projet'!$A$88,'Données projet'!$B$88,BD20+BC21-BL20)))</f>
        <v>262</v>
      </c>
      <c r="BE21" s="14">
        <f>BD21*VLOOKUP('Données projet'!$B$11,Paramètres!$A$1:$I$89,3,0)*VLOOKUP('Données projet'!$B$11,Paramètres!$A$1:$I$89,5,0)</f>
        <v>143.05199999999999</v>
      </c>
      <c r="BF21" s="14">
        <f t="shared" si="37"/>
        <v>36.995295872593921</v>
      </c>
      <c r="BG21" s="22">
        <f t="shared" si="7"/>
        <v>313.5823736447677</v>
      </c>
      <c r="BH21" s="62">
        <f t="shared" si="8"/>
        <v>606.91570697810107</v>
      </c>
      <c r="BI21" s="62">
        <f ca="1">AVERAGE(OFFSET($BH$3,0,0,'Données projet'!$E$11+1,1))-AVERAGE(OFFSET($H$3,0,0,'Données projet'!$E$11+1,1))</f>
        <v>417.99456559608217</v>
      </c>
      <c r="BJ21" s="62">
        <f t="shared" si="38"/>
        <v>651.41353014863932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0.33600000000000002</v>
      </c>
      <c r="BO21" s="17">
        <f>IF(ISNA(VLOOKUP(A21,'Données projet'!$A$87:$I$107,7,0)),0%,VLOOKUP(A21,'Données projet'!$A$87:$I$107,7,0))</f>
        <v>0.44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2.6904761904761907</v>
      </c>
      <c r="BY21" s="13">
        <f>IF('Données projet'!$A$114&gt;35,BY20+BX21-CG20,IF(A21&lt;'Données projet'!$A$114,$BV$205^A21,IF(A21='Données projet'!$A$114,'Données projet'!$B$114,BY20+BX21-CG20)))</f>
        <v>48.428571428571423</v>
      </c>
      <c r="BZ21" s="14">
        <f>BY21*VLOOKUP('Données projet'!$B$12,Paramètres!$A$1:$I$89,3,0)*VLOOKUP('Données projet'!$B$12,Paramètres!$A$1:$I$89,5,0)</f>
        <v>43.818171428571425</v>
      </c>
      <c r="CA21" s="14">
        <f t="shared" si="39"/>
        <v>13.005221707512169</v>
      </c>
      <c r="CB21" s="22">
        <f t="shared" si="10"/>
        <v>98.96740971201227</v>
      </c>
      <c r="CC21" s="62">
        <f t="shared" si="11"/>
        <v>392.3007430453456</v>
      </c>
      <c r="CD21" s="62">
        <f ca="1">AVERAGE(OFFSET($CC$3,0,0,'Données projet'!$E$12+1,1))-AVERAGE(OFFSET($H$3,0,0,'Données projet'!$E$12+1,1))</f>
        <v>213.07277043804817</v>
      </c>
      <c r="CE21" s="62">
        <f t="shared" si="40"/>
        <v>129.14539883354166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2.6904761904761907</v>
      </c>
      <c r="CT21" s="13">
        <f>IF('Données projet'!$A$140&gt;35,CT20+CS21-DB20,IF(A21&lt;'Données projet'!$A$140,$CQ$205^A21,IF(A21='Données projet'!$A$140,'Données projet'!$B$140,CT20+CS21-DB20)))</f>
        <v>48.428571428571423</v>
      </c>
      <c r="CU21" s="18">
        <f>CT21*VLOOKUP('Données projet'!$B$13,Paramètres!$A$1:$I$89,3,0)*VLOOKUP('Données projet'!$B$13,Paramètres!$A$1:$I$89,5,0)</f>
        <v>49.106571428571428</v>
      </c>
      <c r="CV21" s="14">
        <f t="shared" si="41"/>
        <v>14.382786278286252</v>
      </c>
      <c r="CW21" s="22">
        <f t="shared" si="13"/>
        <v>110.57729800611047</v>
      </c>
      <c r="CX21" s="62">
        <f t="shared" si="14"/>
        <v>403.9106313394438</v>
      </c>
      <c r="CY21" s="62">
        <f ca="1">AVERAGE(OFFSET($CX$3,0,0,'Données projet'!$E$13+1,1))-AVERAGE(OFFSET($H$3,0,0,'Données projet'!$E$13+1,1))</f>
        <v>247.92503505485405</v>
      </c>
      <c r="CZ21" s="62">
        <f t="shared" si="42"/>
        <v>148.26437652597514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</v>
      </c>
      <c r="DO21" s="13">
        <f>IF('Données projet'!$A$166&gt;35,DO20+DN21-DW20,IF(A21&lt;'Données projet'!$A$166,$DL$205^A21,IF(A21='Données projet'!$A$166,'Données projet'!$B$166,DO20+DN21-DW20)))</f>
        <v>36</v>
      </c>
      <c r="DP21" s="18">
        <f>DO21*VLOOKUP('Données projet'!$B$14,Paramètres!$A$1:$I$89,3,0)*VLOOKUP('Données projet'!$B$14,Paramètres!$A$1:$I$89,5,0)</f>
        <v>34.819200000000002</v>
      </c>
      <c r="DQ21" s="14">
        <f t="shared" si="43"/>
        <v>10.61458811221417</v>
      </c>
      <c r="DR21" s="22">
        <f t="shared" si="16"/>
        <v>79.130514295439681</v>
      </c>
      <c r="DS21" s="62">
        <f t="shared" si="17"/>
        <v>372.46384762877301</v>
      </c>
      <c r="DT21" s="62">
        <f ca="1">AVERAGE(OFFSET($DS$3,0,0,'Données projet'!$E$14+1,1))-AVERAGE(OFFSET($H$3,0,0,'Données projet'!$E$14+1,1))</f>
        <v>154.0837760161366</v>
      </c>
      <c r="DU21" s="62">
        <f t="shared" si="44"/>
        <v>96.484500841546037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7.9145000000000021</v>
      </c>
      <c r="EJ21" s="13">
        <f>IF('Données projet'!$A$192&gt;35,EJ20+EI21-ER20,IF(A21&lt;'Données projet'!$A$192,$EG$205^A21,IF(A21='Données projet'!$A$192,'Données projet'!$B$192,EJ20+EI21-ER20)))</f>
        <v>91.331000000000003</v>
      </c>
      <c r="EK21" s="18">
        <f>EJ21*VLOOKUP('Données projet'!$B$15,Paramètres!$A$1:$I$89,3,0)*VLOOKUP('Données projet'!$B$15,Paramètres!$A$1:$I$89,5,0)</f>
        <v>61.26483480000001</v>
      </c>
      <c r="EL21" s="14">
        <f t="shared" si="45"/>
        <v>17.487669631131599</v>
      </c>
      <c r="EM21" s="22">
        <f t="shared" si="19"/>
        <v>137.16061188422088</v>
      </c>
      <c r="EN21" s="62">
        <f t="shared" si="20"/>
        <v>430.4939452175542</v>
      </c>
      <c r="EO21" s="62">
        <f ca="1">AVERAGE(OFFSET($EN$3,0,0,'Données projet'!$E$15+1,1))-AVERAGE(OFFSET($H$3,0,0,'Données projet'!$E$15+1,1))</f>
        <v>205.35893113421139</v>
      </c>
      <c r="EP21" s="62">
        <f t="shared" si="46"/>
        <v>220.4399811285175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7.9145000000000021</v>
      </c>
      <c r="FE21" s="13">
        <f>IF('Données projet'!$A$218&gt;35,FE20+FD21-FM20,IF(A21&lt;'Données projet'!$A$218,$FB$205^A21,IF(A21='Données projet'!$A$218,'Données projet'!$B$218,FE20+FD21-FM20)))</f>
        <v>91.331000000000003</v>
      </c>
      <c r="FF21" s="18">
        <f>FE21*VLOOKUP('Données projet'!$B$16,Paramètres!$A$1:$I$89,3,0)*VLOOKUP('Données projet'!$B$16,Paramètres!$A$1:$I$89,5,0)</f>
        <v>71.23818</v>
      </c>
      <c r="FG21" s="14">
        <f t="shared" si="47"/>
        <v>19.980626826984068</v>
      </c>
      <c r="FH21" s="22">
        <f t="shared" si="22"/>
        <v>158.87275522366392</v>
      </c>
      <c r="FI21" s="62">
        <f t="shared" si="23"/>
        <v>452.2060885569972</v>
      </c>
      <c r="FJ21" s="62">
        <f ca="1">AVERAGE(OFFSET($FI$3,0,0,'Données projet'!$E$16+1,1))-AVERAGE(OFFSET($H$3,0,0,'Données projet'!$E$16+1,1))</f>
        <v>242.81177364426878</v>
      </c>
      <c r="FK21" s="62">
        <f t="shared" si="48"/>
        <v>260.72115764896671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7.9145000000000021</v>
      </c>
      <c r="FZ21" s="13">
        <f>IF('Données projet'!$A$244&gt;35,FZ20+FY21-GH20,IF(A21&lt;'Données projet'!$A$244,$FW$205^A21,IF(A21='Données projet'!$A$244,'Données projet'!$B$244,FZ20+FY21-GH20)))</f>
        <v>91.331000000000003</v>
      </c>
      <c r="GA21" s="18">
        <f>FZ21*VLOOKUP('Données projet'!$B$17,Paramètres!$A$1:$I$89,3,0)*VLOOKUP('Données projet'!$B$17,Paramètres!$A$1:$I$89,5,0)</f>
        <v>72.662943600000006</v>
      </c>
      <c r="GB21" s="14">
        <f t="shared" si="49"/>
        <v>20.333316485626749</v>
      </c>
      <c r="GC21" s="22">
        <f t="shared" si="25"/>
        <v>161.96848631579994</v>
      </c>
      <c r="GD21" s="62">
        <f t="shared" si="26"/>
        <v>455.30181964913322</v>
      </c>
      <c r="GE21" s="62">
        <f ca="1">AVERAGE(OFFSET($GD$3,0,0,'Données projet'!$E$17+1,1))-AVERAGE(OFFSET($H$3,0,0,'Données projet'!$E$17+1,1))</f>
        <v>248.15263300983543</v>
      </c>
      <c r="GF21" s="62">
        <f t="shared" si="50"/>
        <v>266.46511459244618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162</v>
      </c>
      <c r="L22" s="13">
        <f>VLOOKUP(A22,'Données projet'!$A$35:$I$55,9,0)</f>
        <v>8.526315789473685</v>
      </c>
      <c r="M22" s="13">
        <f t="array" ref="M22">INDEX(L:L,MIN(IF(ISNUMBER(L22:L218),ROW(L22:L218),"")))</f>
        <v>8.526315789473685</v>
      </c>
      <c r="N22" s="14">
        <f>IF('Données projet'!$A$36&gt;35,N21+M22-V21,IF(A22&lt;'Données projet'!$A$36,$K$205^A22,IF(A22='Données projet'!$A$36,'Données projet'!$B$36,N21+M22-V21)))</f>
        <v>162</v>
      </c>
      <c r="O22" s="14">
        <f>N22*VLOOKUP('Données projet'!$B$9,Paramètres!$A$1:$I$89,3,0)*VLOOKUP('Données projet'!$B$9,Paramètres!$A$1:$I$89,5,0)</f>
        <v>90.557999999999993</v>
      </c>
      <c r="P22" s="14">
        <f t="shared" si="33"/>
        <v>24.699752708509138</v>
      </c>
      <c r="Q22" s="22">
        <f t="shared" si="2"/>
        <v>200.74058596732007</v>
      </c>
      <c r="R22" s="62">
        <f t="shared" si="0"/>
        <v>494.07391930065342</v>
      </c>
      <c r="S22" s="62">
        <f ca="1">AVERAGE(OFFSET($R$3,0,0,'Données projet'!$E$9+1,1))-AVERAGE(OFFSET($H$3,0,0,'Données projet'!$E$9+1,1))</f>
        <v>382.55387448074327</v>
      </c>
      <c r="T22" s="62">
        <f t="shared" si="34"/>
        <v>476.29465646955543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0.30800000000000005</v>
      </c>
      <c r="Y22" s="17">
        <f>IF(ISNA(VLOOKUP(A22,'Données projet'!$A$35:$I$55,7,0)),0%,VLOOKUP(A22,'Données projet'!$A$35:$I$55,7,0))</f>
        <v>0.44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26.833333333333332</v>
      </c>
      <c r="AI22" s="14">
        <f>IF('Données projet'!$A$62&gt;35,AI21+AH22-AQ21,IF(A22&lt;'Données projet'!$A$62,$AF$205^A22,IF(A22='Données projet'!$A$62,'Données projet'!$B$62,AI21+AH22-AQ21)))</f>
        <v>288.83333333333331</v>
      </c>
      <c r="AJ22" s="14">
        <f>AI22*VLOOKUP('Données projet'!$B$10,Paramètres!$A$1:$I$89,3,0)*VLOOKUP('Données projet'!$B$10,Paramètres!$A$1:$I$89,5,0)</f>
        <v>180.232</v>
      </c>
      <c r="AK22" s="14">
        <f t="shared" si="35"/>
        <v>45.373798022205818</v>
      </c>
      <c r="AL22" s="22">
        <f t="shared" si="4"/>
        <v>392.93009822200844</v>
      </c>
      <c r="AM22" s="62">
        <f t="shared" si="5"/>
        <v>686.26343155534175</v>
      </c>
      <c r="AN22" s="62">
        <f ca="1">AVERAGE(OFFSET($AM$3,0,0,'Données projet'!$E$10+1,1))-AVERAGE(OFFSET($H$3,0,0,'Données projet'!$E$10+1,1))</f>
        <v>482.28841373508675</v>
      </c>
      <c r="AO22" s="62">
        <f t="shared" si="36"/>
        <v>746.97309214631684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26.833333333333332</v>
      </c>
      <c r="BD22" s="13">
        <f>IF('Données projet'!$A$88&gt;35,BD21+BC22-BL21,IF(A22&lt;'Données projet'!$A$88,$BA$205^A22,IF(A22='Données projet'!$A$88,'Données projet'!$B$88,BD21+BC22-BL21)))</f>
        <v>288.83333333333331</v>
      </c>
      <c r="BE22" s="14">
        <f>BD22*VLOOKUP('Données projet'!$B$11,Paramètres!$A$1:$I$89,3,0)*VLOOKUP('Données projet'!$B$11,Paramètres!$A$1:$I$89,5,0)</f>
        <v>157.703</v>
      </c>
      <c r="BF22" s="14">
        <f t="shared" si="37"/>
        <v>40.32398542895293</v>
      </c>
      <c r="BG22" s="22">
        <f t="shared" si="7"/>
        <v>344.89699962209301</v>
      </c>
      <c r="BH22" s="62">
        <f t="shared" si="8"/>
        <v>638.23033295542632</v>
      </c>
      <c r="BI22" s="62">
        <f ca="1">AVERAGE(OFFSET($BH$3,0,0,'Données projet'!$E$11+1,1))-AVERAGE(OFFSET($H$3,0,0,'Données projet'!$E$11+1,1))</f>
        <v>417.99456559608217</v>
      </c>
      <c r="BJ22" s="62">
        <f t="shared" si="38"/>
        <v>651.41353014863932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2.6904761904761907</v>
      </c>
      <c r="BY22" s="13">
        <f>IF('Données projet'!$A$114&gt;35,BY21+BX22-CG21,IF(A22&lt;'Données projet'!$A$114,$BV$205^A22,IF(A22='Données projet'!$A$114,'Données projet'!$B$114,BY21+BX22-CG21)))</f>
        <v>51.119047619047613</v>
      </c>
      <c r="BZ22" s="14">
        <f>BY22*VLOOKUP('Données projet'!$B$12,Paramètres!$A$1:$I$89,3,0)*VLOOKUP('Données projet'!$B$12,Paramètres!$A$1:$I$89,5,0)</f>
        <v>46.252514285714277</v>
      </c>
      <c r="CA22" s="14">
        <f t="shared" si="39"/>
        <v>13.641610855281657</v>
      </c>
      <c r="CB22" s="22">
        <f t="shared" si="10"/>
        <v>104.31560128723459</v>
      </c>
      <c r="CC22" s="62">
        <f t="shared" si="11"/>
        <v>397.6489346205679</v>
      </c>
      <c r="CD22" s="62">
        <f ca="1">AVERAGE(OFFSET($CC$3,0,0,'Données projet'!$E$12+1,1))-AVERAGE(OFFSET($H$3,0,0,'Données projet'!$E$12+1,1))</f>
        <v>213.07277043804817</v>
      </c>
      <c r="CE22" s="62">
        <f t="shared" si="40"/>
        <v>129.14539883354166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2.6904761904761907</v>
      </c>
      <c r="CT22" s="13">
        <f>IF('Données projet'!$A$140&gt;35,CT21+CS22-DB21,IF(A22&lt;'Données projet'!$A$140,$CQ$205^A22,IF(A22='Données projet'!$A$140,'Données projet'!$B$140,CT21+CS22-DB21)))</f>
        <v>51.119047619047613</v>
      </c>
      <c r="CU22" s="18">
        <f>CT22*VLOOKUP('Données projet'!$B$13,Paramètres!$A$1:$I$89,3,0)*VLOOKUP('Données projet'!$B$13,Paramètres!$A$1:$I$89,5,0)</f>
        <v>51.834714285714277</v>
      </c>
      <c r="CV22" s="14">
        <f t="shared" si="41"/>
        <v>15.086584284044363</v>
      </c>
      <c r="CW22" s="22">
        <f t="shared" si="13"/>
        <v>116.55459500899632</v>
      </c>
      <c r="CX22" s="62">
        <f t="shared" si="14"/>
        <v>409.88792834232964</v>
      </c>
      <c r="CY22" s="62">
        <f ca="1">AVERAGE(OFFSET($CX$3,0,0,'Données projet'!$E$13+1,1))-AVERAGE(OFFSET($H$3,0,0,'Données projet'!$E$13+1,1))</f>
        <v>247.92503505485405</v>
      </c>
      <c r="CZ22" s="62">
        <f t="shared" si="42"/>
        <v>148.26437652597514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</v>
      </c>
      <c r="DO22" s="13">
        <f>IF('Données projet'!$A$166&gt;35,DO21+DN22-DW21,IF(A22&lt;'Données projet'!$A$166,$DL$205^A22,IF(A22='Données projet'!$A$166,'Données projet'!$B$166,DO21+DN22-DW21)))</f>
        <v>38</v>
      </c>
      <c r="DP22" s="18">
        <f>DO22*VLOOKUP('Données projet'!$B$14,Paramètres!$A$1:$I$89,3,0)*VLOOKUP('Données projet'!$B$14,Paramètres!$A$1:$I$89,5,0)</f>
        <v>36.753599999999999</v>
      </c>
      <c r="DQ22" s="14">
        <f t="shared" si="43"/>
        <v>11.13399553444629</v>
      </c>
      <c r="DR22" s="22">
        <f t="shared" si="16"/>
        <v>83.40422888916062</v>
      </c>
      <c r="DS22" s="62">
        <f t="shared" si="17"/>
        <v>376.73756222249392</v>
      </c>
      <c r="DT22" s="62">
        <f ca="1">AVERAGE(OFFSET($DS$3,0,0,'Données projet'!$E$14+1,1))-AVERAGE(OFFSET($H$3,0,0,'Données projet'!$E$14+1,1))</f>
        <v>154.0837760161366</v>
      </c>
      <c r="DU22" s="62">
        <f t="shared" si="44"/>
        <v>96.484500841546037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7.9145000000000021</v>
      </c>
      <c r="EJ22" s="13">
        <f>IF('Données projet'!$A$192&gt;35,EJ21+EI22-ER21,IF(A22&lt;'Données projet'!$A$192,$EG$205^A22,IF(A22='Données projet'!$A$192,'Données projet'!$B$192,EJ21+EI22-ER21)))</f>
        <v>99.245500000000007</v>
      </c>
      <c r="EK22" s="18">
        <f>EJ22*VLOOKUP('Données projet'!$B$15,Paramètres!$A$1:$I$89,3,0)*VLOOKUP('Données projet'!$B$15,Paramètres!$A$1:$I$89,5,0)</f>
        <v>66.573881400000005</v>
      </c>
      <c r="EL22" s="14">
        <f t="shared" si="45"/>
        <v>18.820162608326267</v>
      </c>
      <c r="EM22" s="22">
        <f t="shared" si="19"/>
        <v>148.72795998116825</v>
      </c>
      <c r="EN22" s="62">
        <f t="shared" si="20"/>
        <v>442.06129331450154</v>
      </c>
      <c r="EO22" s="62">
        <f ca="1">AVERAGE(OFFSET($EN$3,0,0,'Données projet'!$E$15+1,1))-AVERAGE(OFFSET($H$3,0,0,'Données projet'!$E$15+1,1))</f>
        <v>205.35893113421139</v>
      </c>
      <c r="EP22" s="62">
        <f t="shared" si="46"/>
        <v>220.4399811285175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7.9145000000000021</v>
      </c>
      <c r="FE22" s="13">
        <f>IF('Données projet'!$A$218&gt;35,FE21+FD22-FM21,IF(A22&lt;'Données projet'!$A$218,$FB$205^A22,IF(A22='Données projet'!$A$218,'Données projet'!$B$218,FE21+FD22-FM21)))</f>
        <v>99.245500000000007</v>
      </c>
      <c r="FF22" s="18">
        <f>FE22*VLOOKUP('Données projet'!$B$16,Paramètres!$A$1:$I$89,3,0)*VLOOKUP('Données projet'!$B$16,Paramètres!$A$1:$I$89,5,0)</f>
        <v>77.411490000000015</v>
      </c>
      <c r="FG22" s="14">
        <f t="shared" si="47"/>
        <v>21.503073527344178</v>
      </c>
      <c r="FH22" s="22">
        <f t="shared" si="22"/>
        <v>172.2761981434578</v>
      </c>
      <c r="FI22" s="62">
        <f t="shared" si="23"/>
        <v>465.60953147679112</v>
      </c>
      <c r="FJ22" s="62">
        <f ca="1">AVERAGE(OFFSET($FI$3,0,0,'Données projet'!$E$16+1,1))-AVERAGE(OFFSET($H$3,0,0,'Données projet'!$E$16+1,1))</f>
        <v>242.81177364426878</v>
      </c>
      <c r="FK22" s="62">
        <f t="shared" si="48"/>
        <v>260.72115764896671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7.9145000000000021</v>
      </c>
      <c r="FZ22" s="13">
        <f>IF('Données projet'!$A$244&gt;35,FZ21+FY22-GH21,IF(A22&lt;'Données projet'!$A$244,$FW$205^A22,IF(A22='Données projet'!$A$244,'Données projet'!$B$244,FZ21+FY22-GH21)))</f>
        <v>99.245500000000007</v>
      </c>
      <c r="GA22" s="18">
        <f>FZ22*VLOOKUP('Données projet'!$B$17,Paramètres!$A$1:$I$89,3,0)*VLOOKUP('Données projet'!$B$17,Paramètres!$A$1:$I$89,5,0)</f>
        <v>78.959719800000002</v>
      </c>
      <c r="GB22" s="14">
        <f t="shared" si="49"/>
        <v>21.882636777676485</v>
      </c>
      <c r="GC22" s="22">
        <f t="shared" si="25"/>
        <v>175.63377103945319</v>
      </c>
      <c r="GD22" s="62">
        <f t="shared" si="26"/>
        <v>468.96710437278648</v>
      </c>
      <c r="GE22" s="62">
        <f ca="1">AVERAGE(OFFSET($GD$3,0,0,'Données projet'!$E$17+1,1))-AVERAGE(OFFSET($H$3,0,0,'Données projet'!$E$17+1,1))</f>
        <v>248.15263300983543</v>
      </c>
      <c r="GF22" s="62">
        <f t="shared" si="50"/>
        <v>266.46511459244618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28.833333333333332</v>
      </c>
      <c r="N23" s="14">
        <f>IF('Données projet'!$A$36&gt;35,N22+M23-V22,IF(A23&lt;'Données projet'!$A$36,$K$205^A23,IF(A23='Données projet'!$A$36,'Données projet'!$B$36,N22+M23-V22)))</f>
        <v>190.83333333333334</v>
      </c>
      <c r="O23" s="14">
        <f>N23*VLOOKUP('Données projet'!$B$9,Paramètres!$A$1:$I$89,3,0)*VLOOKUP('Données projet'!$B$9,Paramètres!$A$1:$I$89,5,0)</f>
        <v>106.67583333333334</v>
      </c>
      <c r="P23" s="14">
        <f t="shared" si="33"/>
        <v>28.546391754319739</v>
      </c>
      <c r="Q23" s="22">
        <f t="shared" si="2"/>
        <v>235.51204202766243</v>
      </c>
      <c r="R23" s="62">
        <f t="shared" si="0"/>
        <v>528.84537536099572</v>
      </c>
      <c r="S23" s="62">
        <f ca="1">AVERAGE(OFFSET($R$3,0,0,'Données projet'!$E$9+1,1))-AVERAGE(OFFSET($H$3,0,0,'Données projet'!$E$9+1,1))</f>
        <v>382.55387448074327</v>
      </c>
      <c r="T23" s="62">
        <f t="shared" si="34"/>
        <v>476.29465646955543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26.833333333333332</v>
      </c>
      <c r="AI23" s="14">
        <f>IF('Données projet'!$A$62&gt;35,AI22+AH23-AQ22,IF(A23&lt;'Données projet'!$A$62,$AF$205^A23,IF(A23='Données projet'!$A$62,'Données projet'!$B$62,AI22+AH23-AQ22)))</f>
        <v>315.66666666666663</v>
      </c>
      <c r="AJ23" s="14">
        <f>AI23*VLOOKUP('Données projet'!$B$10,Paramètres!$A$1:$I$89,3,0)*VLOOKUP('Données projet'!$B$10,Paramètres!$A$1:$I$89,5,0)</f>
        <v>196.97599999999997</v>
      </c>
      <c r="AK23" s="14">
        <f t="shared" si="35"/>
        <v>49.078995912586862</v>
      </c>
      <c r="AL23" s="22">
        <f t="shared" si="4"/>
        <v>428.54578454775537</v>
      </c>
      <c r="AM23" s="62">
        <f t="shared" si="5"/>
        <v>721.87911788108863</v>
      </c>
      <c r="AN23" s="62">
        <f ca="1">AVERAGE(OFFSET($AM$3,0,0,'Données projet'!$E$10+1,1))-AVERAGE(OFFSET($H$3,0,0,'Données projet'!$E$10+1,1))</f>
        <v>482.28841373508675</v>
      </c>
      <c r="AO23" s="62">
        <f t="shared" si="36"/>
        <v>746.97309214631684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26.833333333333332</v>
      </c>
      <c r="BD23" s="13">
        <f>IF('Données projet'!$A$88&gt;35,BD22+BC23-BL22,IF(A23&lt;'Données projet'!$A$88,$BA$205^A23,IF(A23='Données projet'!$A$88,'Données projet'!$B$88,BD22+BC23-BL22)))</f>
        <v>315.66666666666663</v>
      </c>
      <c r="BE23" s="14">
        <f>BD23*VLOOKUP('Données projet'!$B$11,Paramètres!$A$1:$I$89,3,0)*VLOOKUP('Données projet'!$B$11,Paramètres!$A$1:$I$89,5,0)</f>
        <v>172.35399999999998</v>
      </c>
      <c r="BF23" s="14">
        <f t="shared" si="37"/>
        <v>43.616818567364454</v>
      </c>
      <c r="BG23" s="22">
        <f t="shared" si="7"/>
        <v>376.14917567149308</v>
      </c>
      <c r="BH23" s="62">
        <f t="shared" si="8"/>
        <v>669.4825090048264</v>
      </c>
      <c r="BI23" s="62">
        <f ca="1">AVERAGE(OFFSET($BH$3,0,0,'Données projet'!$E$11+1,1))-AVERAGE(OFFSET($H$3,0,0,'Données projet'!$E$11+1,1))</f>
        <v>417.99456559608217</v>
      </c>
      <c r="BJ23" s="62">
        <f t="shared" si="38"/>
        <v>651.41353014863932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2.6904761904761907</v>
      </c>
      <c r="BY23" s="13">
        <f>IF('Données projet'!$A$114&gt;35,BY22+BX23-CG22,IF(A23&lt;'Données projet'!$A$114,$BV$205^A23,IF(A23='Données projet'!$A$114,'Données projet'!$B$114,BY22+BX23-CG22)))</f>
        <v>53.809523809523803</v>
      </c>
      <c r="BZ23" s="14">
        <f>BY23*VLOOKUP('Données projet'!$B$12,Paramètres!$A$1:$I$89,3,0)*VLOOKUP('Données projet'!$B$12,Paramètres!$A$1:$I$89,5,0)</f>
        <v>48.686857142857136</v>
      </c>
      <c r="CA23" s="14">
        <f t="shared" si="39"/>
        <v>14.274111304929692</v>
      </c>
      <c r="CB23" s="22">
        <f t="shared" si="10"/>
        <v>109.65702004656204</v>
      </c>
      <c r="CC23" s="62">
        <f t="shared" si="11"/>
        <v>402.99035337989534</v>
      </c>
      <c r="CD23" s="62">
        <f ca="1">AVERAGE(OFFSET($CC$3,0,0,'Données projet'!$E$12+1,1))-AVERAGE(OFFSET($H$3,0,0,'Données projet'!$E$12+1,1))</f>
        <v>213.07277043804817</v>
      </c>
      <c r="CE23" s="62">
        <f t="shared" si="40"/>
        <v>129.14539883354166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2.6904761904761907</v>
      </c>
      <c r="CT23" s="13">
        <f>IF('Données projet'!$A$140&gt;35,CT22+CS23-DB22,IF(A23&lt;'Données projet'!$A$140,$CQ$205^A23,IF(A23='Données projet'!$A$140,'Données projet'!$B$140,CT22+CS23-DB22)))</f>
        <v>53.809523809523803</v>
      </c>
      <c r="CU23" s="18">
        <f>CT23*VLOOKUP('Données projet'!$B$13,Paramètres!$A$1:$I$89,3,0)*VLOOKUP('Données projet'!$B$13,Paramètres!$A$1:$I$89,5,0)</f>
        <v>54.562857142857141</v>
      </c>
      <c r="CV23" s="14">
        <f t="shared" si="41"/>
        <v>15.786081685380697</v>
      </c>
      <c r="CW23" s="22">
        <f t="shared" si="13"/>
        <v>122.52440179251424</v>
      </c>
      <c r="CX23" s="62">
        <f t="shared" si="14"/>
        <v>415.85773512584757</v>
      </c>
      <c r="CY23" s="62">
        <f ca="1">AVERAGE(OFFSET($CX$3,0,0,'Données projet'!$E$13+1,1))-AVERAGE(OFFSET($H$3,0,0,'Données projet'!$E$13+1,1))</f>
        <v>247.92503505485405</v>
      </c>
      <c r="CZ23" s="62">
        <f t="shared" si="42"/>
        <v>148.26437652597514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2</v>
      </c>
      <c r="DO23" s="13">
        <f>IF('Données projet'!$A$166&gt;35,DO22+DN23-DW22,IF(A23&lt;'Données projet'!$A$166,$DL$205^A23,IF(A23='Données projet'!$A$166,'Données projet'!$B$166,DO22+DN23-DW22)))</f>
        <v>40</v>
      </c>
      <c r="DP23" s="18">
        <f>DO23*VLOOKUP('Données projet'!$B$14,Paramètres!$A$1:$I$89,3,0)*VLOOKUP('Données projet'!$B$14,Paramètres!$A$1:$I$89,5,0)</f>
        <v>38.688000000000002</v>
      </c>
      <c r="DQ23" s="14">
        <f t="shared" si="43"/>
        <v>11.650229083154354</v>
      </c>
      <c r="DR23" s="22">
        <f t="shared" si="16"/>
        <v>87.672415653160499</v>
      </c>
      <c r="DS23" s="62">
        <f t="shared" si="17"/>
        <v>381.00574898649381</v>
      </c>
      <c r="DT23" s="62">
        <f ca="1">AVERAGE(OFFSET($DS$3,0,0,'Données projet'!$E$14+1,1))-AVERAGE(OFFSET($H$3,0,0,'Données projet'!$E$14+1,1))</f>
        <v>154.0837760161366</v>
      </c>
      <c r="DU23" s="62">
        <f t="shared" si="44"/>
        <v>96.484500841546037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7.9145000000000021</v>
      </c>
      <c r="EJ23" s="13">
        <f>IF('Données projet'!$A$192&gt;35,EJ22+EI23-ER22,IF(A23&lt;'Données projet'!$A$192,$EG$205^A23,IF(A23='Données projet'!$A$192,'Données projet'!$B$192,EJ22+EI23-ER22)))</f>
        <v>107.16000000000001</v>
      </c>
      <c r="EK23" s="18">
        <f>EJ23*VLOOKUP('Données projet'!$B$15,Paramètres!$A$1:$I$89,3,0)*VLOOKUP('Données projet'!$B$15,Paramètres!$A$1:$I$89,5,0)</f>
        <v>71.882928000000007</v>
      </c>
      <c r="EL23" s="14">
        <f t="shared" si="45"/>
        <v>20.140330148462098</v>
      </c>
      <c r="EM23" s="22">
        <f t="shared" si="19"/>
        <v>160.27384127523817</v>
      </c>
      <c r="EN23" s="62">
        <f t="shared" si="20"/>
        <v>453.60717460857148</v>
      </c>
      <c r="EO23" s="62">
        <f ca="1">AVERAGE(OFFSET($EN$3,0,0,'Données projet'!$E$15+1,1))-AVERAGE(OFFSET($H$3,0,0,'Données projet'!$E$15+1,1))</f>
        <v>205.35893113421139</v>
      </c>
      <c r="EP23" s="62">
        <f t="shared" si="46"/>
        <v>220.4399811285175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7.9145000000000021</v>
      </c>
      <c r="FE23" s="13">
        <f>IF('Données projet'!$A$218&gt;35,FE22+FD23-FM22,IF(A23&lt;'Données projet'!$A$218,$FB$205^A23,IF(A23='Données projet'!$A$218,'Données projet'!$B$218,FE22+FD23-FM22)))</f>
        <v>107.16000000000001</v>
      </c>
      <c r="FF23" s="18">
        <f>FE23*VLOOKUP('Données projet'!$B$16,Paramètres!$A$1:$I$89,3,0)*VLOOKUP('Données projet'!$B$16,Paramètres!$A$1:$I$89,5,0)</f>
        <v>83.584800000000016</v>
      </c>
      <c r="FG23" s="14">
        <f t="shared" si="47"/>
        <v>23.011437736237617</v>
      </c>
      <c r="FH23" s="22">
        <f t="shared" si="22"/>
        <v>185.65511405728057</v>
      </c>
      <c r="FI23" s="62">
        <f t="shared" si="23"/>
        <v>478.98844739061389</v>
      </c>
      <c r="FJ23" s="62">
        <f ca="1">AVERAGE(OFFSET($FI$3,0,0,'Données projet'!$E$16+1,1))-AVERAGE(OFFSET($H$3,0,0,'Données projet'!$E$16+1,1))</f>
        <v>242.81177364426878</v>
      </c>
      <c r="FK23" s="62">
        <f t="shared" si="48"/>
        <v>260.72115764896671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7.9145000000000021</v>
      </c>
      <c r="FZ23" s="13">
        <f>IF('Données projet'!$A$244&gt;35,FZ22+FY23-GH22,IF(A23&lt;'Données projet'!$A$244,$FW$205^A23,IF(A23='Données projet'!$A$244,'Données projet'!$B$244,FZ22+FY23-GH22)))</f>
        <v>107.16000000000001</v>
      </c>
      <c r="GA23" s="18">
        <f>FZ23*VLOOKUP('Données projet'!$B$17,Paramètres!$A$1:$I$89,3,0)*VLOOKUP('Données projet'!$B$17,Paramètres!$A$1:$I$89,5,0)</f>
        <v>85.256496000000013</v>
      </c>
      <c r="GB23" s="14">
        <f t="shared" si="49"/>
        <v>23.417626000016696</v>
      </c>
      <c r="GC23" s="22">
        <f t="shared" si="25"/>
        <v>189.27409581669576</v>
      </c>
      <c r="GD23" s="62">
        <f t="shared" si="26"/>
        <v>482.60742915002908</v>
      </c>
      <c r="GE23" s="62">
        <f ca="1">AVERAGE(OFFSET($GD$3,0,0,'Données projet'!$E$17+1,1))-AVERAGE(OFFSET($H$3,0,0,'Données projet'!$E$17+1,1))</f>
        <v>248.15263300983543</v>
      </c>
      <c r="GF23" s="62">
        <f t="shared" si="50"/>
        <v>266.46511459244618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28.833333333333332</v>
      </c>
      <c r="N24" s="14">
        <f>IF('Données projet'!$A$36&gt;35,N23+M24-V23,IF(A24&lt;'Données projet'!$A$36,$K$205^A24,IF(A24='Données projet'!$A$36,'Données projet'!$B$36,N23+M24-V23)))</f>
        <v>219.66666666666669</v>
      </c>
      <c r="O24" s="14">
        <f>N24*VLOOKUP('Données projet'!$B$9,Paramètres!$A$1:$I$89,3,0)*VLOOKUP('Données projet'!$B$9,Paramètres!$A$1:$I$89,5,0)</f>
        <v>122.79366666666668</v>
      </c>
      <c r="P24" s="14">
        <f t="shared" si="33"/>
        <v>32.32570088253398</v>
      </c>
      <c r="Q24" s="22">
        <f t="shared" si="2"/>
        <v>270.16623181485778</v>
      </c>
      <c r="R24" s="62">
        <f t="shared" si="0"/>
        <v>563.4995651481911</v>
      </c>
      <c r="S24" s="62">
        <f ca="1">AVERAGE(OFFSET($R$3,0,0,'Données projet'!$E$9+1,1))-AVERAGE(OFFSET($H$3,0,0,'Données projet'!$E$9+1,1))</f>
        <v>382.55387448074327</v>
      </c>
      <c r="T24" s="62">
        <f t="shared" si="34"/>
        <v>476.29465646955543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26.833333333333332</v>
      </c>
      <c r="AI24" s="14">
        <f>IF('Données projet'!$A$62&gt;35,AI23+AH24-AQ23,IF(A24&lt;'Données projet'!$A$62,$AF$205^A24,IF(A24='Données projet'!$A$62,'Données projet'!$B$62,AI23+AH24-AQ23)))</f>
        <v>342.49999999999994</v>
      </c>
      <c r="AJ24" s="14">
        <f>AI24*VLOOKUP('Données projet'!$B$10,Paramètres!$A$1:$I$89,3,0)*VLOOKUP('Données projet'!$B$10,Paramètres!$A$1:$I$89,5,0)</f>
        <v>213.71999999999997</v>
      </c>
      <c r="AK24" s="14">
        <f t="shared" si="35"/>
        <v>52.747666674989134</v>
      </c>
      <c r="AL24" s="22">
        <f t="shared" si="4"/>
        <v>464.0978527922727</v>
      </c>
      <c r="AM24" s="62">
        <f t="shared" si="5"/>
        <v>757.43118612560602</v>
      </c>
      <c r="AN24" s="62">
        <f ca="1">AVERAGE(OFFSET($AM$3,0,0,'Données projet'!$E$10+1,1))-AVERAGE(OFFSET($H$3,0,0,'Données projet'!$E$10+1,1))</f>
        <v>482.28841373508675</v>
      </c>
      <c r="AO24" s="62">
        <f t="shared" si="36"/>
        <v>746.97309214631684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26.833333333333332</v>
      </c>
      <c r="BD24" s="13">
        <f>IF('Données projet'!$A$88&gt;35,BD23+BC24-BL23,IF(A24&lt;'Données projet'!$A$88,$BA$205^A24,IF(A24='Données projet'!$A$88,'Données projet'!$B$88,BD23+BC24-BL23)))</f>
        <v>342.49999999999994</v>
      </c>
      <c r="BE24" s="14">
        <f>BD24*VLOOKUP('Données projet'!$B$11,Paramètres!$A$1:$I$89,3,0)*VLOOKUP('Données projet'!$B$11,Paramètres!$A$1:$I$89,5,0)</f>
        <v>187.00499999999997</v>
      </c>
      <c r="BF24" s="14">
        <f t="shared" si="37"/>
        <v>46.877189812776564</v>
      </c>
      <c r="BG24" s="22">
        <f t="shared" si="7"/>
        <v>407.34481392391916</v>
      </c>
      <c r="BH24" s="62">
        <f t="shared" si="8"/>
        <v>700.67814725725248</v>
      </c>
      <c r="BI24" s="62">
        <f ca="1">AVERAGE(OFFSET($BH$3,0,0,'Données projet'!$E$11+1,1))-AVERAGE(OFFSET($H$3,0,0,'Données projet'!$E$11+1,1))</f>
        <v>417.99456559608217</v>
      </c>
      <c r="BJ24" s="62">
        <f t="shared" si="38"/>
        <v>651.41353014863932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2.6904761904761907</v>
      </c>
      <c r="BY24" s="13">
        <f>IF('Données projet'!$A$114&gt;35,BY23+BX24-CG23,IF(A24&lt;'Données projet'!$A$114,$BV$205^A24,IF(A24='Données projet'!$A$114,'Données projet'!$B$114,BY23+BX24-CG23)))</f>
        <v>56.499999999999993</v>
      </c>
      <c r="BZ24" s="14">
        <f>BY24*VLOOKUP('Données projet'!$B$12,Paramètres!$A$1:$I$89,3,0)*VLOOKUP('Données projet'!$B$12,Paramètres!$A$1:$I$89,5,0)</f>
        <v>51.121199999999995</v>
      </c>
      <c r="CA24" s="14">
        <f t="shared" si="39"/>
        <v>14.902939678011313</v>
      </c>
      <c r="CB24" s="22">
        <f t="shared" si="10"/>
        <v>114.99204327253635</v>
      </c>
      <c r="CC24" s="62">
        <f t="shared" si="11"/>
        <v>408.32537660586968</v>
      </c>
      <c r="CD24" s="62">
        <f ca="1">AVERAGE(OFFSET($CC$3,0,0,'Données projet'!$E$12+1,1))-AVERAGE(OFFSET($H$3,0,0,'Données projet'!$E$12+1,1))</f>
        <v>213.07277043804817</v>
      </c>
      <c r="CE24" s="62">
        <f t="shared" si="40"/>
        <v>129.14539883354166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2.6904761904761907</v>
      </c>
      <c r="CT24" s="13">
        <f>IF('Données projet'!$A$140&gt;35,CT23+CS24-DB23,IF(A24&lt;'Données projet'!$A$140,$CQ$205^A24,IF(A24='Données projet'!$A$140,'Données projet'!$B$140,CT23+CS24-DB23)))</f>
        <v>56.499999999999993</v>
      </c>
      <c r="CU24" s="18">
        <f>CT24*VLOOKUP('Données projet'!$B$13,Paramètres!$A$1:$I$89,3,0)*VLOOKUP('Données projet'!$B$13,Paramètres!$A$1:$I$89,5,0)</f>
        <v>57.29099999999999</v>
      </c>
      <c r="CV24" s="14">
        <f t="shared" si="41"/>
        <v>16.481518049262991</v>
      </c>
      <c r="CW24" s="22">
        <f t="shared" si="13"/>
        <v>128.48713560246634</v>
      </c>
      <c r="CX24" s="62">
        <f t="shared" si="14"/>
        <v>421.82046893579968</v>
      </c>
      <c r="CY24" s="62">
        <f ca="1">AVERAGE(OFFSET($CX$3,0,0,'Données projet'!$E$13+1,1))-AVERAGE(OFFSET($H$3,0,0,'Données projet'!$E$13+1,1))</f>
        <v>247.92503505485405</v>
      </c>
      <c r="CZ24" s="62">
        <f t="shared" si="42"/>
        <v>148.26437652597514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2</v>
      </c>
      <c r="DO24" s="13">
        <f>IF('Données projet'!$A$166&gt;35,DO23+DN24-DW23,IF(A24&lt;'Données projet'!$A$166,$DL$205^A24,IF(A24='Données projet'!$A$166,'Données projet'!$B$166,DO23+DN24-DW23)))</f>
        <v>42</v>
      </c>
      <c r="DP24" s="18">
        <f>DO24*VLOOKUP('Données projet'!$B$14,Paramètres!$A$1:$I$89,3,0)*VLOOKUP('Données projet'!$B$14,Paramètres!$A$1:$I$89,5,0)</f>
        <v>40.622399999999999</v>
      </c>
      <c r="DQ24" s="14">
        <f t="shared" si="43"/>
        <v>12.163465560290264</v>
      </c>
      <c r="DR24" s="22">
        <f t="shared" si="16"/>
        <v>91.935382517505545</v>
      </c>
      <c r="DS24" s="62">
        <f t="shared" si="17"/>
        <v>385.26871585083887</v>
      </c>
      <c r="DT24" s="62">
        <f ca="1">AVERAGE(OFFSET($DS$3,0,0,'Données projet'!$E$14+1,1))-AVERAGE(OFFSET($H$3,0,0,'Données projet'!$E$14+1,1))</f>
        <v>154.0837760161366</v>
      </c>
      <c r="DU24" s="62">
        <f t="shared" si="44"/>
        <v>96.484500841546037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7.9145000000000021</v>
      </c>
      <c r="EJ24" s="13">
        <f>IF('Données projet'!$A$192&gt;35,EJ23+EI24-ER23,IF(A24&lt;'Données projet'!$A$192,$EG$205^A24,IF(A24='Données projet'!$A$192,'Données projet'!$B$192,EJ23+EI24-ER23)))</f>
        <v>115.07450000000001</v>
      </c>
      <c r="EK24" s="18">
        <f>EJ24*VLOOKUP('Données projet'!$B$15,Paramètres!$A$1:$I$89,3,0)*VLOOKUP('Données projet'!$B$15,Paramètres!$A$1:$I$89,5,0)</f>
        <v>77.191974600000009</v>
      </c>
      <c r="EL24" s="14">
        <f t="shared" si="45"/>
        <v>21.449186086581346</v>
      </c>
      <c r="EM24" s="22">
        <f t="shared" si="19"/>
        <v>171.80002152912917</v>
      </c>
      <c r="EN24" s="62">
        <f t="shared" si="20"/>
        <v>465.13335486246251</v>
      </c>
      <c r="EO24" s="62">
        <f ca="1">AVERAGE(OFFSET($EN$3,0,0,'Données projet'!$E$15+1,1))-AVERAGE(OFFSET($H$3,0,0,'Données projet'!$E$15+1,1))</f>
        <v>205.35893113421139</v>
      </c>
      <c r="EP24" s="62">
        <f t="shared" si="46"/>
        <v>220.4399811285175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7.9145000000000021</v>
      </c>
      <c r="FE24" s="13">
        <f>IF('Données projet'!$A$218&gt;35,FE23+FD24-FM23,IF(A24&lt;'Données projet'!$A$218,$FB$205^A24,IF(A24='Données projet'!$A$218,'Données projet'!$B$218,FE23+FD24-FM23)))</f>
        <v>115.07450000000001</v>
      </c>
      <c r="FF24" s="18">
        <f>FE24*VLOOKUP('Données projet'!$B$16,Paramètres!$A$1:$I$89,3,0)*VLOOKUP('Données projet'!$B$16,Paramètres!$A$1:$I$89,5,0)</f>
        <v>89.758110000000016</v>
      </c>
      <c r="FG24" s="14">
        <f t="shared" si="47"/>
        <v>24.506877816103227</v>
      </c>
      <c r="FH24" s="22">
        <f t="shared" si="22"/>
        <v>199.01152044637979</v>
      </c>
      <c r="FI24" s="62">
        <f t="shared" si="23"/>
        <v>492.34485377971311</v>
      </c>
      <c r="FJ24" s="62">
        <f ca="1">AVERAGE(OFFSET($FI$3,0,0,'Données projet'!$E$16+1,1))-AVERAGE(OFFSET($H$3,0,0,'Données projet'!$E$16+1,1))</f>
        <v>242.81177364426878</v>
      </c>
      <c r="FK24" s="62">
        <f t="shared" si="48"/>
        <v>260.72115764896671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7.9145000000000021</v>
      </c>
      <c r="FZ24" s="13">
        <f>IF('Données projet'!$A$244&gt;35,FZ23+FY24-GH23,IF(A24&lt;'Données projet'!$A$244,$FW$205^A24,IF(A24='Données projet'!$A$244,'Données projet'!$B$244,FZ23+FY24-GH23)))</f>
        <v>115.07450000000001</v>
      </c>
      <c r="GA24" s="18">
        <f>FZ24*VLOOKUP('Données projet'!$B$17,Paramètres!$A$1:$I$89,3,0)*VLOOKUP('Données projet'!$B$17,Paramètres!$A$1:$I$89,5,0)</f>
        <v>91.553272200000009</v>
      </c>
      <c r="GB24" s="14">
        <f t="shared" si="49"/>
        <v>24.939462962014957</v>
      </c>
      <c r="GC24" s="22">
        <f t="shared" si="25"/>
        <v>202.8915137405094</v>
      </c>
      <c r="GD24" s="62">
        <f t="shared" si="26"/>
        <v>496.22484707384274</v>
      </c>
      <c r="GE24" s="62">
        <f ca="1">AVERAGE(OFFSET($GD$3,0,0,'Données projet'!$E$17+1,1))-AVERAGE(OFFSET($H$3,0,0,'Données projet'!$E$17+1,1))</f>
        <v>248.15263300983543</v>
      </c>
      <c r="GF24" s="62">
        <f t="shared" si="50"/>
        <v>266.46511459244618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28.833333333333332</v>
      </c>
      <c r="N25" s="14">
        <f>IF('Données projet'!$A$36&gt;35,N24+M25-V24,IF(A25&lt;'Données projet'!$A$36,$K$205^A25,IF(A25='Données projet'!$A$36,'Données projet'!$B$36,N24+M25-V24)))</f>
        <v>248.50000000000003</v>
      </c>
      <c r="O25" s="14">
        <f>N25*VLOOKUP('Données projet'!$B$9,Paramètres!$A$1:$I$89,3,0)*VLOOKUP('Données projet'!$B$9,Paramètres!$A$1:$I$89,5,0)</f>
        <v>138.91150000000002</v>
      </c>
      <c r="P25" s="14">
        <f t="shared" si="33"/>
        <v>36.047532265727178</v>
      </c>
      <c r="Q25" s="22">
        <f t="shared" si="2"/>
        <v>304.72031452947482</v>
      </c>
      <c r="R25" s="62">
        <f t="shared" si="0"/>
        <v>598.05364786280813</v>
      </c>
      <c r="S25" s="62">
        <f ca="1">AVERAGE(OFFSET($R$3,0,0,'Données projet'!$E$9+1,1))-AVERAGE(OFFSET($H$3,0,0,'Données projet'!$E$9+1,1))</f>
        <v>382.55387448074327</v>
      </c>
      <c r="T25" s="62">
        <f t="shared" si="34"/>
        <v>476.29465646955543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26.833333333333332</v>
      </c>
      <c r="AI25" s="14">
        <f>IF('Données projet'!$A$62&gt;35,AI24+AH25-AQ24,IF(A25&lt;'Données projet'!$A$62,$AF$205^A25,IF(A25='Données projet'!$A$62,'Données projet'!$B$62,AI24+AH25-AQ24)))</f>
        <v>369.33333333333326</v>
      </c>
      <c r="AJ25" s="14">
        <f>AI25*VLOOKUP('Données projet'!$B$10,Paramètres!$A$1:$I$89,3,0)*VLOOKUP('Données projet'!$B$10,Paramètres!$A$1:$I$89,5,0)</f>
        <v>230.46399999999994</v>
      </c>
      <c r="AK25" s="14">
        <f t="shared" si="35"/>
        <v>56.382997408609569</v>
      </c>
      <c r="AL25" s="22">
        <f t="shared" si="4"/>
        <v>499.59185381999487</v>
      </c>
      <c r="AM25" s="62">
        <f t="shared" si="5"/>
        <v>792.92518715332812</v>
      </c>
      <c r="AN25" s="62">
        <f ca="1">AVERAGE(OFFSET($AM$3,0,0,'Données projet'!$E$10+1,1))-AVERAGE(OFFSET($H$3,0,0,'Données projet'!$E$10+1,1))</f>
        <v>482.28841373508675</v>
      </c>
      <c r="AO25" s="62">
        <f t="shared" si="36"/>
        <v>746.97309214631684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26.833333333333332</v>
      </c>
      <c r="BD25" s="13">
        <f>IF('Données projet'!$A$88&gt;35,BD24+BC25-BL24,IF(A25&lt;'Données projet'!$A$88,$BA$205^A25,IF(A25='Données projet'!$A$88,'Données projet'!$B$88,BD24+BC25-BL24)))</f>
        <v>369.33333333333326</v>
      </c>
      <c r="BE25" s="14">
        <f>BD25*VLOOKUP('Données projet'!$B$11,Paramètres!$A$1:$I$89,3,0)*VLOOKUP('Données projet'!$B$11,Paramètres!$A$1:$I$89,5,0)</f>
        <v>201.65599999999998</v>
      </c>
      <c r="BF25" s="14">
        <f t="shared" si="37"/>
        <v>50.107931560694468</v>
      </c>
      <c r="BG25" s="22">
        <f t="shared" si="7"/>
        <v>438.48884746820949</v>
      </c>
      <c r="BH25" s="62">
        <f t="shared" si="8"/>
        <v>731.8221808015428</v>
      </c>
      <c r="BI25" s="62">
        <f ca="1">AVERAGE(OFFSET($BH$3,0,0,'Données projet'!$E$11+1,1))-AVERAGE(OFFSET($H$3,0,0,'Données projet'!$E$11+1,1))</f>
        <v>417.99456559608217</v>
      </c>
      <c r="BJ25" s="62">
        <f t="shared" si="38"/>
        <v>651.41353014863932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2.6904761904761907</v>
      </c>
      <c r="BY25" s="13">
        <f>IF('Données projet'!$A$114&gt;35,BY24+BX25-CG24,IF(A25&lt;'Données projet'!$A$114,$BV$205^A25,IF(A25='Données projet'!$A$114,'Données projet'!$B$114,BY24+BX25-CG24)))</f>
        <v>59.190476190476183</v>
      </c>
      <c r="BZ25" s="14">
        <f>BY25*VLOOKUP('Données projet'!$B$12,Paramètres!$A$1:$I$89,3,0)*VLOOKUP('Données projet'!$B$12,Paramètres!$A$1:$I$89,5,0)</f>
        <v>53.555542857142846</v>
      </c>
      <c r="CA25" s="14">
        <f t="shared" si="39"/>
        <v>15.528290799710788</v>
      </c>
      <c r="CB25" s="22">
        <f t="shared" si="10"/>
        <v>120.32101028568674</v>
      </c>
      <c r="CC25" s="62">
        <f t="shared" si="11"/>
        <v>413.65434361902004</v>
      </c>
      <c r="CD25" s="62">
        <f ca="1">AVERAGE(OFFSET($CC$3,0,0,'Données projet'!$E$12+1,1))-AVERAGE(OFFSET($H$3,0,0,'Données projet'!$E$12+1,1))</f>
        <v>213.07277043804817</v>
      </c>
      <c r="CE25" s="62">
        <f t="shared" si="40"/>
        <v>129.14539883354166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2.6904761904761907</v>
      </c>
      <c r="CT25" s="13">
        <f>IF('Données projet'!$A$140&gt;35,CT24+CS25-DB24,IF(A25&lt;'Données projet'!$A$140,$CQ$205^A25,IF(A25='Données projet'!$A$140,'Données projet'!$B$140,CT24+CS25-DB24)))</f>
        <v>59.190476190476183</v>
      </c>
      <c r="CU25" s="18">
        <f>CT25*VLOOKUP('Données projet'!$B$13,Paramètres!$A$1:$I$89,3,0)*VLOOKUP('Données projet'!$B$13,Paramètres!$A$1:$I$89,5,0)</f>
        <v>60.019142857142853</v>
      </c>
      <c r="CV25" s="14">
        <f t="shared" si="41"/>
        <v>17.17310883753035</v>
      </c>
      <c r="CW25" s="22">
        <f t="shared" si="13"/>
        <v>134.44317170155583</v>
      </c>
      <c r="CX25" s="62">
        <f t="shared" si="14"/>
        <v>427.77650503488917</v>
      </c>
      <c r="CY25" s="62">
        <f ca="1">AVERAGE(OFFSET($CX$3,0,0,'Données projet'!$E$13+1,1))-AVERAGE(OFFSET($H$3,0,0,'Données projet'!$E$13+1,1))</f>
        <v>247.92503505485405</v>
      </c>
      <c r="CZ25" s="62">
        <f t="shared" si="42"/>
        <v>148.26437652597514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2</v>
      </c>
      <c r="DO25" s="13">
        <f>IF('Données projet'!$A$166&gt;35,DO24+DN25-DW24,IF(A25&lt;'Données projet'!$A$166,$DL$205^A25,IF(A25='Données projet'!$A$166,'Données projet'!$B$166,DO24+DN25-DW24)))</f>
        <v>44</v>
      </c>
      <c r="DP25" s="18">
        <f>DO25*VLOOKUP('Données projet'!$B$14,Paramètres!$A$1:$I$89,3,0)*VLOOKUP('Données projet'!$B$14,Paramètres!$A$1:$I$89,5,0)</f>
        <v>42.556800000000003</v>
      </c>
      <c r="DQ25" s="14">
        <f t="shared" si="43"/>
        <v>12.673863978067095</v>
      </c>
      <c r="DR25" s="22">
        <f t="shared" si="16"/>
        <v>96.193406428466858</v>
      </c>
      <c r="DS25" s="62">
        <f t="shared" si="17"/>
        <v>389.52673976180017</v>
      </c>
      <c r="DT25" s="62">
        <f ca="1">AVERAGE(OFFSET($DS$3,0,0,'Données projet'!$E$14+1,1))-AVERAGE(OFFSET($H$3,0,0,'Données projet'!$E$14+1,1))</f>
        <v>154.0837760161366</v>
      </c>
      <c r="DU25" s="62">
        <f t="shared" si="44"/>
        <v>96.484500841546037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7.9145000000000021</v>
      </c>
      <c r="EJ25" s="13">
        <f>IF('Données projet'!$A$192&gt;35,EJ24+EI25-ER24,IF(A25&lt;'Données projet'!$A$192,$EG$205^A25,IF(A25='Données projet'!$A$192,'Données projet'!$B$192,EJ24+EI25-ER24)))</f>
        <v>122.98900000000002</v>
      </c>
      <c r="EK25" s="18">
        <f>EJ25*VLOOKUP('Données projet'!$B$15,Paramètres!$A$1:$I$89,3,0)*VLOOKUP('Données projet'!$B$15,Paramètres!$A$1:$I$89,5,0)</f>
        <v>82.501021200000011</v>
      </c>
      <c r="EL25" s="14">
        <f t="shared" si="45"/>
        <v>22.747596905485395</v>
      </c>
      <c r="EM25" s="22">
        <f t="shared" si="19"/>
        <v>183.30800986705376</v>
      </c>
      <c r="EN25" s="62">
        <f t="shared" si="20"/>
        <v>476.64134320038704</v>
      </c>
      <c r="EO25" s="62">
        <f ca="1">AVERAGE(OFFSET($EN$3,0,0,'Données projet'!$E$15+1,1))-AVERAGE(OFFSET($H$3,0,0,'Données projet'!$E$15+1,1))</f>
        <v>205.35893113421139</v>
      </c>
      <c r="EP25" s="62">
        <f t="shared" si="46"/>
        <v>220.4399811285175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7.9145000000000021</v>
      </c>
      <c r="FE25" s="13">
        <f>IF('Données projet'!$A$218&gt;35,FE24+FD25-FM24,IF(A25&lt;'Données projet'!$A$218,$FB$205^A25,IF(A25='Données projet'!$A$218,'Données projet'!$B$218,FE24+FD25-FM24)))</f>
        <v>122.98900000000002</v>
      </c>
      <c r="FF25" s="18">
        <f>FE25*VLOOKUP('Données projet'!$B$16,Paramètres!$A$1:$I$89,3,0)*VLOOKUP('Données projet'!$B$16,Paramètres!$A$1:$I$89,5,0)</f>
        <v>95.931420000000017</v>
      </c>
      <c r="FG25" s="14">
        <f t="shared" si="47"/>
        <v>25.990383771319646</v>
      </c>
      <c r="FH25" s="22">
        <f t="shared" si="22"/>
        <v>212.34714156838172</v>
      </c>
      <c r="FI25" s="62">
        <f t="shared" si="23"/>
        <v>505.680474901715</v>
      </c>
      <c r="FJ25" s="62">
        <f ca="1">AVERAGE(OFFSET($FI$3,0,0,'Données projet'!$E$16+1,1))-AVERAGE(OFFSET($H$3,0,0,'Données projet'!$E$16+1,1))</f>
        <v>242.81177364426878</v>
      </c>
      <c r="FK25" s="62">
        <f t="shared" si="48"/>
        <v>260.72115764896671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7.9145000000000021</v>
      </c>
      <c r="FZ25" s="13">
        <f>IF('Données projet'!$A$244&gt;35,FZ24+FY25-GH24,IF(A25&lt;'Données projet'!$A$244,$FW$205^A25,IF(A25='Données projet'!$A$244,'Données projet'!$B$244,FZ24+FY25-GH24)))</f>
        <v>122.98900000000002</v>
      </c>
      <c r="GA25" s="18">
        <f>FZ25*VLOOKUP('Données projet'!$B$17,Paramètres!$A$1:$I$89,3,0)*VLOOKUP('Données projet'!$B$17,Paramètres!$A$1:$I$89,5,0)</f>
        <v>97.85004840000002</v>
      </c>
      <c r="GB25" s="14">
        <f t="shared" si="49"/>
        <v>26.449155143192673</v>
      </c>
      <c r="GC25" s="22">
        <f t="shared" si="25"/>
        <v>216.4877795043939</v>
      </c>
      <c r="GD25" s="62">
        <f t="shared" si="26"/>
        <v>509.82111283772724</v>
      </c>
      <c r="GE25" s="62">
        <f ca="1">AVERAGE(OFFSET($GD$3,0,0,'Données projet'!$E$17+1,1))-AVERAGE(OFFSET($H$3,0,0,'Données projet'!$E$17+1,1))</f>
        <v>248.15263300983543</v>
      </c>
      <c r="GF25" s="62">
        <f t="shared" si="50"/>
        <v>266.46511459244618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28.833333333333332</v>
      </c>
      <c r="N26" s="14">
        <f>IF('Données projet'!$A$36&gt;35,N25+M26-V25,IF(A26&lt;'Données projet'!$A$36,$K$205^A26,IF(A26='Données projet'!$A$36,'Données projet'!$B$36,N25+M26-V25)))</f>
        <v>277.33333333333337</v>
      </c>
      <c r="O26" s="14">
        <f>N26*VLOOKUP('Données projet'!$B$9,Paramètres!$A$1:$I$89,3,0)*VLOOKUP('Données projet'!$B$9,Paramètres!$A$1:$I$89,5,0)</f>
        <v>155.02933333333334</v>
      </c>
      <c r="P26" s="14">
        <f t="shared" si="33"/>
        <v>39.719316712120367</v>
      </c>
      <c r="Q26" s="22">
        <f t="shared" si="2"/>
        <v>339.1872321624985</v>
      </c>
      <c r="R26" s="62">
        <f t="shared" si="0"/>
        <v>632.52056549583176</v>
      </c>
      <c r="S26" s="62">
        <f ca="1">AVERAGE(OFFSET($R$3,0,0,'Données projet'!$E$9+1,1))-AVERAGE(OFFSET($H$3,0,0,'Données projet'!$E$9+1,1))</f>
        <v>382.55387448074327</v>
      </c>
      <c r="T26" s="62">
        <f t="shared" si="34"/>
        <v>476.29465646955543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26.833333333333332</v>
      </c>
      <c r="AI26" s="14">
        <f>IF('Données projet'!$A$62&gt;35,AI25+AH26-AQ25,IF(A26&lt;'Données projet'!$A$62,$AF$205^A26,IF(A26='Données projet'!$A$62,'Données projet'!$B$62,AI25+AH26-AQ25)))</f>
        <v>396.16666666666657</v>
      </c>
      <c r="AJ26" s="14">
        <f>AI26*VLOOKUP('Données projet'!$B$10,Paramètres!$A$1:$I$89,3,0)*VLOOKUP('Données projet'!$B$10,Paramètres!$A$1:$I$89,5,0)</f>
        <v>247.20799999999994</v>
      </c>
      <c r="AK26" s="14">
        <f t="shared" si="35"/>
        <v>59.98768585042928</v>
      </c>
      <c r="AL26" s="22">
        <f t="shared" si="4"/>
        <v>535.0324861894976</v>
      </c>
      <c r="AM26" s="62">
        <f t="shared" si="5"/>
        <v>828.36581952283086</v>
      </c>
      <c r="AN26" s="62">
        <f ca="1">AVERAGE(OFFSET($AM$3,0,0,'Données projet'!$E$10+1,1))-AVERAGE(OFFSET($H$3,0,0,'Données projet'!$E$10+1,1))</f>
        <v>482.28841373508675</v>
      </c>
      <c r="AO26" s="62">
        <f t="shared" si="36"/>
        <v>746.97309214631684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26.833333333333332</v>
      </c>
      <c r="BD26" s="13">
        <f>IF('Données projet'!$A$88&gt;35,BD25+BC26-BL25,IF(A26&lt;'Données projet'!$A$88,$BA$205^A26,IF(A26='Données projet'!$A$88,'Données projet'!$B$88,BD25+BC26-BL25)))</f>
        <v>396.16666666666657</v>
      </c>
      <c r="BE26" s="14">
        <f>BD26*VLOOKUP('Données projet'!$B$11,Paramètres!$A$1:$I$89,3,0)*VLOOKUP('Données projet'!$B$11,Paramètres!$A$1:$I$89,5,0)</f>
        <v>216.30699999999996</v>
      </c>
      <c r="BF26" s="14">
        <f t="shared" si="37"/>
        <v>53.311441307282493</v>
      </c>
      <c r="BG26" s="22">
        <f t="shared" si="7"/>
        <v>469.58545194351694</v>
      </c>
      <c r="BH26" s="62">
        <f t="shared" si="8"/>
        <v>762.91878527685026</v>
      </c>
      <c r="BI26" s="62">
        <f ca="1">AVERAGE(OFFSET($BH$3,0,0,'Données projet'!$E$11+1,1))-AVERAGE(OFFSET($H$3,0,0,'Données projet'!$E$11+1,1))</f>
        <v>417.99456559608217</v>
      </c>
      <c r="BJ26" s="62">
        <f t="shared" si="38"/>
        <v>651.41353014863932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2.6904761904761907</v>
      </c>
      <c r="BY26" s="13">
        <f>IF('Données projet'!$A$114&gt;35,BY25+BX26-CG25,IF(A26&lt;'Données projet'!$A$114,$BV$205^A26,IF(A26='Données projet'!$A$114,'Données projet'!$B$114,BY25+BX26-CG25)))</f>
        <v>61.880952380952372</v>
      </c>
      <c r="BZ26" s="14">
        <f>BY26*VLOOKUP('Données projet'!$B$12,Paramètres!$A$1:$I$89,3,0)*VLOOKUP('Données projet'!$B$12,Paramètres!$A$1:$I$89,5,0)</f>
        <v>55.989885714285698</v>
      </c>
      <c r="CA26" s="14">
        <f t="shared" si="39"/>
        <v>16.150340782673716</v>
      </c>
      <c r="CB26" s="22">
        <f t="shared" si="10"/>
        <v>125.64422781553765</v>
      </c>
      <c r="CC26" s="62">
        <f t="shared" si="11"/>
        <v>418.97756114887096</v>
      </c>
      <c r="CD26" s="62">
        <f ca="1">AVERAGE(OFFSET($CC$3,0,0,'Données projet'!$E$12+1,1))-AVERAGE(OFFSET($H$3,0,0,'Données projet'!$E$12+1,1))</f>
        <v>213.07277043804817</v>
      </c>
      <c r="CE26" s="62">
        <f t="shared" si="40"/>
        <v>129.14539883354166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2.6904761904761907</v>
      </c>
      <c r="CT26" s="13">
        <f>IF('Données projet'!$A$140&gt;35,CT25+CS26-DB25,IF(A26&lt;'Données projet'!$A$140,$CQ$205^A26,IF(A26='Données projet'!$A$140,'Données projet'!$B$140,CT25+CS26-DB25)))</f>
        <v>61.880952380952372</v>
      </c>
      <c r="CU26" s="18">
        <f>CT26*VLOOKUP('Données projet'!$B$13,Paramètres!$A$1:$I$89,3,0)*VLOOKUP('Données projet'!$B$13,Paramètres!$A$1:$I$89,5,0)</f>
        <v>62.747285714285709</v>
      </c>
      <c r="CV26" s="14">
        <f t="shared" si="41"/>
        <v>17.861048817377036</v>
      </c>
      <c r="CW26" s="22">
        <f t="shared" si="13"/>
        <v>140.39284930931262</v>
      </c>
      <c r="CX26" s="62">
        <f t="shared" si="14"/>
        <v>433.72618264264594</v>
      </c>
      <c r="CY26" s="62">
        <f ca="1">AVERAGE(OFFSET($CX$3,0,0,'Données projet'!$E$13+1,1))-AVERAGE(OFFSET($H$3,0,0,'Données projet'!$E$13+1,1))</f>
        <v>247.92503505485405</v>
      </c>
      <c r="CZ26" s="62">
        <f t="shared" si="42"/>
        <v>148.26437652597514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2</v>
      </c>
      <c r="DO26" s="13">
        <f>IF('Données projet'!$A$166&gt;35,DO25+DN26-DW25,IF(A26&lt;'Données projet'!$A$166,$DL$205^A26,IF(A26='Données projet'!$A$166,'Données projet'!$B$166,DO25+DN26-DW25)))</f>
        <v>46</v>
      </c>
      <c r="DP26" s="18">
        <f>DO26*VLOOKUP('Données projet'!$B$14,Paramètres!$A$1:$I$89,3,0)*VLOOKUP('Données projet'!$B$14,Paramètres!$A$1:$I$89,5,0)</f>
        <v>44.491199999999999</v>
      </c>
      <c r="DQ26" s="14">
        <f t="shared" si="43"/>
        <v>13.181568075917836</v>
      </c>
      <c r="DR26" s="22">
        <f t="shared" si="16"/>
        <v>100.44673773222355</v>
      </c>
      <c r="DS26" s="62">
        <f t="shared" si="17"/>
        <v>393.78007106555685</v>
      </c>
      <c r="DT26" s="62">
        <f ca="1">AVERAGE(OFFSET($DS$3,0,0,'Données projet'!$E$14+1,1))-AVERAGE(OFFSET($H$3,0,0,'Données projet'!$E$14+1,1))</f>
        <v>154.0837760161366</v>
      </c>
      <c r="DU26" s="62">
        <f t="shared" si="44"/>
        <v>96.484500841546037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7.9145000000000021</v>
      </c>
      <c r="EJ26" s="13">
        <f>IF('Données projet'!$A$192&gt;35,EJ25+EI26-ER25,IF(A26&lt;'Données projet'!$A$192,$EG$205^A26,IF(A26='Données projet'!$A$192,'Données projet'!$B$192,EJ25+EI26-ER25)))</f>
        <v>130.90350000000001</v>
      </c>
      <c r="EK26" s="18">
        <f>EJ26*VLOOKUP('Données projet'!$B$15,Paramètres!$A$1:$I$89,3,0)*VLOOKUP('Données projet'!$B$15,Paramètres!$A$1:$I$89,5,0)</f>
        <v>87.810067799999999</v>
      </c>
      <c r="EL26" s="14">
        <f t="shared" si="45"/>
        <v>24.036311263978781</v>
      </c>
      <c r="EM26" s="22">
        <f t="shared" si="19"/>
        <v>194.79911020309638</v>
      </c>
      <c r="EN26" s="62">
        <f t="shared" si="20"/>
        <v>488.13244353642972</v>
      </c>
      <c r="EO26" s="62">
        <f ca="1">AVERAGE(OFFSET($EN$3,0,0,'Données projet'!$E$15+1,1))-AVERAGE(OFFSET($H$3,0,0,'Données projet'!$E$15+1,1))</f>
        <v>205.35893113421139</v>
      </c>
      <c r="EP26" s="62">
        <f t="shared" si="46"/>
        <v>220.4399811285175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7.9145000000000021</v>
      </c>
      <c r="FE26" s="13">
        <f>IF('Données projet'!$A$218&gt;35,FE25+FD26-FM25,IF(A26&lt;'Données projet'!$A$218,$FB$205^A26,IF(A26='Données projet'!$A$218,'Données projet'!$B$218,FE25+FD26-FM25)))</f>
        <v>130.90350000000001</v>
      </c>
      <c r="FF26" s="18">
        <f>FE26*VLOOKUP('Données projet'!$B$16,Paramètres!$A$1:$I$89,3,0)*VLOOKUP('Données projet'!$B$16,Paramètres!$A$1:$I$89,5,0)</f>
        <v>102.10473</v>
      </c>
      <c r="FG26" s="14">
        <f t="shared" si="47"/>
        <v>27.462810985852183</v>
      </c>
      <c r="FH26" s="22">
        <f t="shared" si="22"/>
        <v>225.66346721702587</v>
      </c>
      <c r="FI26" s="62">
        <f t="shared" si="23"/>
        <v>518.99680055035924</v>
      </c>
      <c r="FJ26" s="62">
        <f ca="1">AVERAGE(OFFSET($FI$3,0,0,'Données projet'!$E$16+1,1))-AVERAGE(OFFSET($H$3,0,0,'Données projet'!$E$16+1,1))</f>
        <v>242.81177364426878</v>
      </c>
      <c r="FK26" s="62">
        <f t="shared" si="48"/>
        <v>260.72115764896671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7.9145000000000021</v>
      </c>
      <c r="FZ26" s="13">
        <f>IF('Données projet'!$A$244&gt;35,FZ25+FY26-GH25,IF(A26&lt;'Données projet'!$A$244,$FW$205^A26,IF(A26='Données projet'!$A$244,'Données projet'!$B$244,FZ25+FY26-GH25)))</f>
        <v>130.90350000000001</v>
      </c>
      <c r="GA26" s="18">
        <f>FZ26*VLOOKUP('Données projet'!$B$17,Paramètres!$A$1:$I$89,3,0)*VLOOKUP('Données projet'!$B$17,Paramètres!$A$1:$I$89,5,0)</f>
        <v>104.1468246</v>
      </c>
      <c r="GB26" s="14">
        <f t="shared" si="49"/>
        <v>27.947573026394743</v>
      </c>
      <c r="GC26" s="22">
        <f t="shared" si="25"/>
        <v>230.06440919930415</v>
      </c>
      <c r="GD26" s="62">
        <f t="shared" si="26"/>
        <v>523.39774253263749</v>
      </c>
      <c r="GE26" s="62">
        <f ca="1">AVERAGE(OFFSET($GD$3,0,0,'Données projet'!$E$17+1,1))-AVERAGE(OFFSET($H$3,0,0,'Données projet'!$E$17+1,1))</f>
        <v>248.15263300983543</v>
      </c>
      <c r="GF26" s="62">
        <f t="shared" si="50"/>
        <v>266.46511459244618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28.833333333333332</v>
      </c>
      <c r="N27" s="14">
        <f>IF('Données projet'!$A$36&gt;35,N26+M27-V26,IF(A27&lt;'Données projet'!$A$36,$K$205^A27,IF(A27='Données projet'!$A$36,'Données projet'!$B$36,N26+M27-V26)))</f>
        <v>306.16666666666669</v>
      </c>
      <c r="O27" s="14">
        <f>N27*VLOOKUP('Données projet'!$B$9,Paramètres!$A$1:$I$89,3,0)*VLOOKUP('Données projet'!$B$9,Paramètres!$A$1:$I$89,5,0)</f>
        <v>171.14716666666669</v>
      </c>
      <c r="P27" s="14">
        <f t="shared" si="33"/>
        <v>43.346850105371793</v>
      </c>
      <c r="Q27" s="22">
        <f t="shared" si="2"/>
        <v>373.57707921130037</v>
      </c>
      <c r="R27" s="62">
        <f t="shared" si="0"/>
        <v>666.91041254463369</v>
      </c>
      <c r="S27" s="62">
        <f ca="1">AVERAGE(OFFSET($R$3,0,0,'Données projet'!$E$9+1,1))-AVERAGE(OFFSET($H$3,0,0,'Données projet'!$E$9+1,1))</f>
        <v>382.55387448074327</v>
      </c>
      <c r="T27" s="62">
        <f t="shared" si="34"/>
        <v>476.29465646955543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>
        <f>VLOOKUP(A27,'Données projet'!$A$61:$I$81,2,0)</f>
        <v>423</v>
      </c>
      <c r="AG27" s="13">
        <f>VLOOKUP(A27,'Données projet'!$A$61:$I$81,9,0)</f>
        <v>26.833333333333332</v>
      </c>
      <c r="AH27" s="13">
        <f t="array" ref="AH27">INDEX(AG:AG,MIN(IF(ISNUMBER(AG27:AG223),ROW(AG27:AG223),"")))</f>
        <v>26.833333333333332</v>
      </c>
      <c r="AI27" s="14">
        <f>IF('Données projet'!$A$62&gt;35,AI26+AH27-AQ26,IF(A27&lt;'Données projet'!$A$62,$AF$205^A27,IF(A27='Données projet'!$A$62,'Données projet'!$B$62,AI26+AH27-AQ26)))</f>
        <v>422.99999999999989</v>
      </c>
      <c r="AJ27" s="14">
        <f>AI27*VLOOKUP('Données projet'!$B$10,Paramètres!$A$1:$I$89,3,0)*VLOOKUP('Données projet'!$B$10,Paramètres!$A$1:$I$89,5,0)</f>
        <v>263.95199999999994</v>
      </c>
      <c r="AK27" s="14">
        <f t="shared" si="35"/>
        <v>63.564043607303319</v>
      </c>
      <c r="AL27" s="22">
        <f t="shared" si="4"/>
        <v>570.42377594938648</v>
      </c>
      <c r="AM27" s="62">
        <f t="shared" si="5"/>
        <v>863.75710928271974</v>
      </c>
      <c r="AN27" s="62">
        <f ca="1">AVERAGE(OFFSET($AM$3,0,0,'Données projet'!$E$10+1,1))-AVERAGE(OFFSET($H$3,0,0,'Données projet'!$E$10+1,1))</f>
        <v>482.28841373508675</v>
      </c>
      <c r="AO27" s="62">
        <f t="shared" si="36"/>
        <v>746.97309214631684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0.42</v>
      </c>
      <c r="AS27" s="17">
        <f>IF(ISNA(VLOOKUP(A27,'Données projet'!$A$61:$I$81,6,0)),0%,VLOOKUP(A27,'Données projet'!$A$61:$I$81,6,0)*VLOOKUP('Données projet'!$B$10,Paramètres!$A$1:$I$89,7,0))</f>
        <v>0.1008</v>
      </c>
      <c r="AT27" s="17">
        <f>IF(ISNA(VLOOKUP(A27,'Données projet'!$A$61:$I$81,7,0)),0%,VLOOKUP(A27,'Données projet'!$A$61:$I$81,7,0))</f>
        <v>0.13200000000000001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>
        <f>VLOOKUP(A27,'Données projet'!$A$87:$I$107,2,0)</f>
        <v>423</v>
      </c>
      <c r="BB27" s="13">
        <f>VLOOKUP(A27,'Données projet'!$A$87:$I$107,9,0)</f>
        <v>26.833333333333332</v>
      </c>
      <c r="BC27" s="13">
        <f t="array" ref="BC27">INDEX(BB:BB,MIN(IF(ISNUMBER(BB27:BB223),ROW(BB27:BB223),"")))</f>
        <v>26.833333333333332</v>
      </c>
      <c r="BD27" s="13">
        <f>IF('Données projet'!$A$88&gt;35,BD26+BC27-BL26,IF(A27&lt;'Données projet'!$A$88,$BA$205^A27,IF(A27='Données projet'!$A$88,'Données projet'!$B$88,BD26+BC27-BL26)))</f>
        <v>422.99999999999989</v>
      </c>
      <c r="BE27" s="14">
        <f>BD27*VLOOKUP('Données projet'!$B$11,Paramètres!$A$1:$I$89,3,0)*VLOOKUP('Données projet'!$B$11,Paramètres!$A$1:$I$89,5,0)</f>
        <v>230.95799999999994</v>
      </c>
      <c r="BF27" s="14">
        <f t="shared" si="37"/>
        <v>56.489773392384429</v>
      </c>
      <c r="BG27" s="22">
        <f t="shared" si="7"/>
        <v>500.63820532506946</v>
      </c>
      <c r="BH27" s="62">
        <f t="shared" si="8"/>
        <v>793.97153865840278</v>
      </c>
      <c r="BI27" s="62">
        <f ca="1">AVERAGE(OFFSET($BH$3,0,0,'Données projet'!$E$11+1,1))-AVERAGE(OFFSET($H$3,0,0,'Données projet'!$E$11+1,1))</f>
        <v>417.99456559608217</v>
      </c>
      <c r="BJ27" s="62">
        <f t="shared" si="38"/>
        <v>651.41353014863932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0.42</v>
      </c>
      <c r="BN27" s="17">
        <f>IF(ISNA(VLOOKUP(A27,'Données projet'!$A$87:$I$107,6,0)),0%,VLOOKUP(A27,'Données projet'!$A$87:$I$107,6,0)*VLOOKUP('Données projet'!$B$11,Paramètres!$A$1:$I$89,7,0))</f>
        <v>0.10200000000000001</v>
      </c>
      <c r="BO27" s="17">
        <f>IF(ISNA(VLOOKUP(A27,'Données projet'!$A$87:$I$107,7,0)),0%,VLOOKUP(A27,'Données projet'!$A$87:$I$107,7,0))</f>
        <v>0.13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2.6904761904761907</v>
      </c>
      <c r="BY27" s="13">
        <f>IF('Données projet'!$A$114&gt;35,BY26+BX27-CG26,IF(A27&lt;'Données projet'!$A$114,$BV$205^A27,IF(A27='Données projet'!$A$114,'Données projet'!$B$114,BY26+BX27-CG26)))</f>
        <v>64.571428571428569</v>
      </c>
      <c r="BZ27" s="14">
        <f>BY27*VLOOKUP('Données projet'!$B$12,Paramètres!$A$1:$I$89,3,0)*VLOOKUP('Données projet'!$B$12,Paramètres!$A$1:$I$89,5,0)</f>
        <v>58.424228571428564</v>
      </c>
      <c r="CA27" s="14">
        <f t="shared" si="39"/>
        <v>16.769249559387148</v>
      </c>
      <c r="CB27" s="22">
        <f t="shared" si="10"/>
        <v>130.9619744111707</v>
      </c>
      <c r="CC27" s="62">
        <f t="shared" si="11"/>
        <v>424.29530774450404</v>
      </c>
      <c r="CD27" s="62">
        <f ca="1">AVERAGE(OFFSET($CC$3,0,0,'Données projet'!$E$12+1,1))-AVERAGE(OFFSET($H$3,0,0,'Données projet'!$E$12+1,1))</f>
        <v>213.07277043804817</v>
      </c>
      <c r="CE27" s="62">
        <f t="shared" si="40"/>
        <v>129.14539883354166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2.6904761904761907</v>
      </c>
      <c r="CT27" s="13">
        <f>IF('Données projet'!$A$140&gt;35,CT26+CS27-DB26,IF(A27&lt;'Données projet'!$A$140,$CQ$205^A27,IF(A27='Données projet'!$A$140,'Données projet'!$B$140,CT26+CS27-DB26)))</f>
        <v>64.571428571428569</v>
      </c>
      <c r="CU27" s="18">
        <f>CT27*VLOOKUP('Données projet'!$B$13,Paramètres!$A$1:$I$89,3,0)*VLOOKUP('Données projet'!$B$13,Paramètres!$A$1:$I$89,5,0)</f>
        <v>65.47542857142858</v>
      </c>
      <c r="CV27" s="14">
        <f t="shared" si="41"/>
        <v>18.545514861972247</v>
      </c>
      <c r="CW27" s="22">
        <f t="shared" si="13"/>
        <v>146.33647647983977</v>
      </c>
      <c r="CX27" s="62">
        <f t="shared" si="14"/>
        <v>439.66980981317306</v>
      </c>
      <c r="CY27" s="62">
        <f ca="1">AVERAGE(OFFSET($CX$3,0,0,'Données projet'!$E$13+1,1))-AVERAGE(OFFSET($H$3,0,0,'Données projet'!$E$13+1,1))</f>
        <v>247.92503505485405</v>
      </c>
      <c r="CZ27" s="62">
        <f t="shared" si="42"/>
        <v>148.26437652597514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2</v>
      </c>
      <c r="DO27" s="13">
        <f>IF('Données projet'!$A$166&gt;35,DO26+DN27-DW26,IF(A27&lt;'Données projet'!$A$166,$DL$205^A27,IF(A27='Données projet'!$A$166,'Données projet'!$B$166,DO26+DN27-DW26)))</f>
        <v>48</v>
      </c>
      <c r="DP27" s="18">
        <f>DO27*VLOOKUP('Données projet'!$B$14,Paramètres!$A$1:$I$89,3,0)*VLOOKUP('Données projet'!$B$14,Paramètres!$A$1:$I$89,5,0)</f>
        <v>46.425599999999996</v>
      </c>
      <c r="DQ27" s="14">
        <f t="shared" si="43"/>
        <v>13.686708387370782</v>
      </c>
      <c r="DR27" s="22">
        <f t="shared" si="16"/>
        <v>104.69560377467076</v>
      </c>
      <c r="DS27" s="62">
        <f t="shared" si="17"/>
        <v>398.02893710800407</v>
      </c>
      <c r="DT27" s="62">
        <f ca="1">AVERAGE(OFFSET($DS$3,0,0,'Données projet'!$E$14+1,1))-AVERAGE(OFFSET($H$3,0,0,'Données projet'!$E$14+1,1))</f>
        <v>154.0837760161366</v>
      </c>
      <c r="DU27" s="62">
        <f t="shared" si="44"/>
        <v>96.484500841546037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7.9145000000000021</v>
      </c>
      <c r="EJ27" s="13">
        <f>IF('Données projet'!$A$192&gt;35,EJ26+EI27-ER26,IF(A27&lt;'Données projet'!$A$192,$EG$205^A27,IF(A27='Données projet'!$A$192,'Données projet'!$B$192,EJ26+EI27-ER26)))</f>
        <v>138.81800000000001</v>
      </c>
      <c r="EK27" s="18">
        <f>EJ27*VLOOKUP('Données projet'!$B$15,Paramètres!$A$1:$I$89,3,0)*VLOOKUP('Données projet'!$B$15,Paramètres!$A$1:$I$89,5,0)</f>
        <v>93.119114400000001</v>
      </c>
      <c r="EL27" s="14">
        <f t="shared" si="45"/>
        <v>25.315982177167477</v>
      </c>
      <c r="EM27" s="22">
        <f t="shared" si="19"/>
        <v>206.27445987190004</v>
      </c>
      <c r="EN27" s="62">
        <f t="shared" si="20"/>
        <v>499.60779320523335</v>
      </c>
      <c r="EO27" s="62">
        <f ca="1">AVERAGE(OFFSET($EN$3,0,0,'Données projet'!$E$15+1,1))-AVERAGE(OFFSET($H$3,0,0,'Données projet'!$E$15+1,1))</f>
        <v>205.35893113421139</v>
      </c>
      <c r="EP27" s="62">
        <f t="shared" si="46"/>
        <v>220.4399811285175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7.9145000000000021</v>
      </c>
      <c r="FE27" s="13">
        <f>IF('Données projet'!$A$218&gt;35,FE26+FD27-FM26,IF(A27&lt;'Données projet'!$A$218,$FB$205^A27,IF(A27='Données projet'!$A$218,'Données projet'!$B$218,FE26+FD27-FM26)))</f>
        <v>138.81800000000001</v>
      </c>
      <c r="FF27" s="18">
        <f>FE27*VLOOKUP('Données projet'!$B$16,Paramètres!$A$1:$I$89,3,0)*VLOOKUP('Données projet'!$B$16,Paramètres!$A$1:$I$89,5,0)</f>
        <v>108.27804000000002</v>
      </c>
      <c r="FG27" s="14">
        <f t="shared" si="47"/>
        <v>28.924905565466812</v>
      </c>
      <c r="FH27" s="22">
        <f t="shared" si="22"/>
        <v>238.96179685985467</v>
      </c>
      <c r="FI27" s="62">
        <f t="shared" si="23"/>
        <v>532.29513019318802</v>
      </c>
      <c r="FJ27" s="62">
        <f ca="1">AVERAGE(OFFSET($FI$3,0,0,'Données projet'!$E$16+1,1))-AVERAGE(OFFSET($H$3,0,0,'Données projet'!$E$16+1,1))</f>
        <v>242.81177364426878</v>
      </c>
      <c r="FK27" s="62">
        <f t="shared" si="48"/>
        <v>260.72115764896671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7.9145000000000021</v>
      </c>
      <c r="FZ27" s="13">
        <f>IF('Données projet'!$A$244&gt;35,FZ26+FY27-GH26,IF(A27&lt;'Données projet'!$A$244,$FW$205^A27,IF(A27='Données projet'!$A$244,'Données projet'!$B$244,FZ26+FY27-GH26)))</f>
        <v>138.81800000000001</v>
      </c>
      <c r="GA27" s="18">
        <f>FZ27*VLOOKUP('Données projet'!$B$17,Paramètres!$A$1:$I$89,3,0)*VLOOKUP('Données projet'!$B$17,Paramètres!$A$1:$I$89,5,0)</f>
        <v>110.44360080000003</v>
      </c>
      <c r="GB27" s="14">
        <f t="shared" si="49"/>
        <v>29.435475887333745</v>
      </c>
      <c r="GC27" s="22">
        <f t="shared" si="25"/>
        <v>243.62272523043964</v>
      </c>
      <c r="GD27" s="62">
        <f t="shared" si="26"/>
        <v>536.95605856377301</v>
      </c>
      <c r="GE27" s="62">
        <f ca="1">AVERAGE(OFFSET($GD$3,0,0,'Données projet'!$E$17+1,1))-AVERAGE(OFFSET($H$3,0,0,'Données projet'!$E$17+1,1))</f>
        <v>248.15263300983543</v>
      </c>
      <c r="GF27" s="62">
        <f t="shared" si="50"/>
        <v>266.46511459244618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335</v>
      </c>
      <c r="L28" s="13">
        <f>VLOOKUP(A28,'Données projet'!$A$35:$I$55,9,0)</f>
        <v>28.833333333333332</v>
      </c>
      <c r="M28" s="13">
        <f t="array" ref="M28">INDEX(L:L,MIN(IF(ISNUMBER(L28:L224),ROW(L28:L224),"")))</f>
        <v>28.833333333333332</v>
      </c>
      <c r="N28" s="14">
        <f>IF('Données projet'!$A$36&gt;35,N27+M28-V27,IF(A28&lt;'Données projet'!$A$36,$K$205^A28,IF(A28='Données projet'!$A$36,'Données projet'!$B$36,N27+M28-V27)))</f>
        <v>335</v>
      </c>
      <c r="O28" s="14">
        <f>N28*VLOOKUP('Données projet'!$B$9,Paramètres!$A$1:$I$89,3,0)*VLOOKUP('Données projet'!$B$9,Paramètres!$A$1:$I$89,5,0)</f>
        <v>187.26500000000001</v>
      </c>
      <c r="P28" s="14">
        <f t="shared" si="33"/>
        <v>46.934773872544483</v>
      </c>
      <c r="Q28" s="22">
        <f t="shared" si="2"/>
        <v>407.89793949468162</v>
      </c>
      <c r="R28" s="62">
        <f t="shared" si="0"/>
        <v>701.23127282801488</v>
      </c>
      <c r="S28" s="62">
        <f ca="1">AVERAGE(OFFSET($R$3,0,0,'Données projet'!$E$9+1,1))-AVERAGE(OFFSET($H$3,0,0,'Données projet'!$E$9+1,1))</f>
        <v>382.55387448074327</v>
      </c>
      <c r="T28" s="62">
        <f t="shared" si="34"/>
        <v>476.29465646955543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0.30800000000000005</v>
      </c>
      <c r="Y28" s="17">
        <f>IF(ISNA(VLOOKUP(A28,'Données projet'!$A$35:$I$55,7,0)),0%,VLOOKUP(A28,'Données projet'!$A$35:$I$55,7,0))</f>
        <v>0.44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12.284890293662819</v>
      </c>
      <c r="AB28" s="23">
        <f>EXP(-LN(2)/2)*AB27+(1-EXP(-LN(2)/2))/(LN(2)/2)*V28*Y28*VLOOKUP('Données projet'!$B$9,Paramètres!$A$1:$I$89,3,0)*0.475*44/12</f>
        <v>15.038128218578914</v>
      </c>
      <c r="AC28" s="24">
        <f t="shared" si="3"/>
        <v>27.323018512241731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26.666666666666668</v>
      </c>
      <c r="AI28" s="14">
        <f>IF('Données projet'!$A$62&gt;35,AI27+AH28-AQ27,IF(A28&lt;'Données projet'!$A$62,$AF$205^A28,IF(A28='Données projet'!$A$62,'Données projet'!$B$62,AI27+AH28-AQ27)))</f>
        <v>449.66666666666657</v>
      </c>
      <c r="AJ28" s="14">
        <f>AI28*VLOOKUP('Données projet'!$B$10,Paramètres!$A$1:$I$89,3,0)*VLOOKUP('Données projet'!$B$10,Paramètres!$A$1:$I$89,5,0)</f>
        <v>280.59199999999993</v>
      </c>
      <c r="AK28" s="14">
        <f t="shared" si="35"/>
        <v>67.092100116644588</v>
      </c>
      <c r="AL28" s="22">
        <f t="shared" si="4"/>
        <v>605.54980770315581</v>
      </c>
      <c r="AM28" s="62">
        <f t="shared" si="5"/>
        <v>898.88314103648918</v>
      </c>
      <c r="AN28" s="62">
        <f ca="1">AVERAGE(OFFSET($AM$3,0,0,'Données projet'!$E$10+1,1))-AVERAGE(OFFSET($H$3,0,0,'Données projet'!$E$10+1,1))</f>
        <v>482.28841373508675</v>
      </c>
      <c r="AO28" s="62">
        <f t="shared" si="36"/>
        <v>746.97309214631684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26.666666666666668</v>
      </c>
      <c r="BD28" s="13">
        <f>IF('Données projet'!$A$88&gt;35,BD27+BC28-BL27,IF(A28&lt;'Données projet'!$A$88,$BA$205^A28,IF(A28='Données projet'!$A$88,'Données projet'!$B$88,BD27+BC28-BL27)))</f>
        <v>449.66666666666657</v>
      </c>
      <c r="BE28" s="14">
        <f>BD28*VLOOKUP('Données projet'!$B$11,Paramètres!$A$1:$I$89,3,0)*VLOOKUP('Données projet'!$B$11,Paramètres!$A$1:$I$89,5,0)</f>
        <v>245.51799999999994</v>
      </c>
      <c r="BF28" s="14">
        <f t="shared" si="37"/>
        <v>59.625179848894327</v>
      </c>
      <c r="BG28" s="22">
        <f t="shared" si="7"/>
        <v>531.45770490349082</v>
      </c>
      <c r="BH28" s="62">
        <f t="shared" si="8"/>
        <v>824.79103823682408</v>
      </c>
      <c r="BI28" s="62">
        <f ca="1">AVERAGE(OFFSET($BH$3,0,0,'Données projet'!$E$11+1,1))-AVERAGE(OFFSET($H$3,0,0,'Données projet'!$E$11+1,1))</f>
        <v>417.99456559608217</v>
      </c>
      <c r="BJ28" s="62">
        <f t="shared" si="38"/>
        <v>651.41353014863932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2.6904761904761907</v>
      </c>
      <c r="BY28" s="13">
        <f>IF('Données projet'!$A$114&gt;35,BY27+BX28-CG27,IF(A28&lt;'Données projet'!$A$114,$BV$205^A28,IF(A28='Données projet'!$A$114,'Données projet'!$B$114,BY27+BX28-CG27)))</f>
        <v>67.261904761904759</v>
      </c>
      <c r="BZ28" s="14">
        <f>BY28*VLOOKUP('Données projet'!$B$12,Paramètres!$A$1:$I$89,3,0)*VLOOKUP('Données projet'!$B$12,Paramètres!$A$1:$I$89,5,0)</f>
        <v>60.858571428571423</v>
      </c>
      <c r="CA28" s="14">
        <f t="shared" si="39"/>
        <v>17.385162980603361</v>
      </c>
      <c r="CB28" s="22">
        <f t="shared" si="10"/>
        <v>136.27450409597938</v>
      </c>
      <c r="CC28" s="62">
        <f t="shared" si="11"/>
        <v>429.60783742931267</v>
      </c>
      <c r="CD28" s="62">
        <f ca="1">AVERAGE(OFFSET($CC$3,0,0,'Données projet'!$E$12+1,1))-AVERAGE(OFFSET($H$3,0,0,'Données projet'!$E$12+1,1))</f>
        <v>213.07277043804817</v>
      </c>
      <c r="CE28" s="62">
        <f t="shared" si="40"/>
        <v>129.14539883354166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2.6904761904761907</v>
      </c>
      <c r="CT28" s="13">
        <f>IF('Données projet'!$A$140&gt;35,CT27+CS28-DB27,IF(A28&lt;'Données projet'!$A$140,$CQ$205^A28,IF(A28='Données projet'!$A$140,'Données projet'!$B$140,CT27+CS28-DB27)))</f>
        <v>67.261904761904759</v>
      </c>
      <c r="CU28" s="18">
        <f>CT28*VLOOKUP('Données projet'!$B$13,Paramètres!$A$1:$I$89,3,0)*VLOOKUP('Données projet'!$B$13,Paramètres!$A$1:$I$89,5,0)</f>
        <v>68.203571428571436</v>
      </c>
      <c r="CV28" s="14">
        <f t="shared" si="41"/>
        <v>19.226668271157425</v>
      </c>
      <c r="CW28" s="22">
        <f t="shared" si="13"/>
        <v>152.27433414369443</v>
      </c>
      <c r="CX28" s="62">
        <f t="shared" si="14"/>
        <v>445.60766747702775</v>
      </c>
      <c r="CY28" s="62">
        <f ca="1">AVERAGE(OFFSET($CX$3,0,0,'Données projet'!$E$13+1,1))-AVERAGE(OFFSET($H$3,0,0,'Données projet'!$E$13+1,1))</f>
        <v>247.92503505485405</v>
      </c>
      <c r="CZ28" s="62">
        <f t="shared" si="42"/>
        <v>148.26437652597514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2</v>
      </c>
      <c r="DO28" s="13">
        <f>IF('Données projet'!$A$166&gt;35,DO27+DN28-DW27,IF(A28&lt;'Données projet'!$A$166,$DL$205^A28,IF(A28='Données projet'!$A$166,'Données projet'!$B$166,DO27+DN28-DW27)))</f>
        <v>50</v>
      </c>
      <c r="DP28" s="18">
        <f>DO28*VLOOKUP('Données projet'!$B$14,Paramètres!$A$1:$I$89,3,0)*VLOOKUP('Données projet'!$B$14,Paramètres!$A$1:$I$89,5,0)</f>
        <v>48.36</v>
      </c>
      <c r="DQ28" s="14">
        <f t="shared" si="43"/>
        <v>14.189403952738854</v>
      </c>
      <c r="DR28" s="22">
        <f t="shared" si="16"/>
        <v>108.9402118843535</v>
      </c>
      <c r="DS28" s="62">
        <f t="shared" si="17"/>
        <v>402.27354521768683</v>
      </c>
      <c r="DT28" s="62">
        <f ca="1">AVERAGE(OFFSET($DS$3,0,0,'Données projet'!$E$14+1,1))-AVERAGE(OFFSET($H$3,0,0,'Données projet'!$E$14+1,1))</f>
        <v>154.0837760161366</v>
      </c>
      <c r="DU28" s="62">
        <f t="shared" si="44"/>
        <v>96.484500841546037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>
        <f>VLOOKUP(A28,'Données projet'!$A$191:$I$211,2,0)</f>
        <v>146.73250000000002</v>
      </c>
      <c r="EH28" s="13">
        <f>VLOOKUP(A28,'Données projet'!$A$191:$I$211,9,0)</f>
        <v>7.9145000000000021</v>
      </c>
      <c r="EI28" s="13">
        <f t="array" ref="EI28">INDEX(EH:EH,MIN(IF(ISNUMBER(EH28:EH224),ROW(EH28:EH224),"")))</f>
        <v>7.9145000000000021</v>
      </c>
      <c r="EJ28" s="13">
        <f>IF('Données projet'!$A$192&gt;35,EJ27+EI28-ER27,IF(A28&lt;'Données projet'!$A$192,$EG$205^A28,IF(A28='Données projet'!$A$192,'Données projet'!$B$192,EJ27+EI28-ER27)))</f>
        <v>146.73250000000002</v>
      </c>
      <c r="EK28" s="18">
        <f>EJ28*VLOOKUP('Données projet'!$B$15,Paramètres!$A$1:$I$89,3,0)*VLOOKUP('Données projet'!$B$15,Paramètres!$A$1:$I$89,5,0)</f>
        <v>98.428161000000017</v>
      </c>
      <c r="EL28" s="14">
        <f t="shared" si="45"/>
        <v>26.587183993037939</v>
      </c>
      <c r="EM28" s="22">
        <f t="shared" si="19"/>
        <v>217.73505919620777</v>
      </c>
      <c r="EN28" s="62">
        <f t="shared" si="20"/>
        <v>511.06839252954109</v>
      </c>
      <c r="EO28" s="62">
        <f ca="1">AVERAGE(OFFSET($EN$3,0,0,'Données projet'!$E$15+1,1))-AVERAGE(OFFSET($H$3,0,0,'Données projet'!$E$15+1,1))</f>
        <v>205.35893113421139</v>
      </c>
      <c r="EP28" s="62">
        <f t="shared" si="46"/>
        <v>220.4399811285175</v>
      </c>
      <c r="EQ28" s="16">
        <f>IF(ISNA(VLOOKUP(A28,'Données projet'!$A$191:$I$211,3,0)),0,VLOOKUP(A28,'Données projet'!$A$191:$I$211,3,0))</f>
        <v>2</v>
      </c>
      <c r="ER28" s="16">
        <f>IF(ISNA(VLOOKUP(A28,'Données projet'!$A$191:$I$211,4,0)),0,VLOOKUP(A28,'Données projet'!$A$191:$I$211,4,0))</f>
        <v>24.455416666666672</v>
      </c>
      <c r="ES28" s="17">
        <f>IF(ISNA(VLOOKUP(A28,'Données projet'!$A$191:$I$211,5,0)),0%,VLOOKUP(A28,'Données projet'!$A$191:$I$211,5,0)*VLOOKUP('Données projet'!$B$15,Paramètres!$A$1:$I$89,7,0))</f>
        <v>0.371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6.7280489200892548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6.7280489200892548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>
        <f>VLOOKUP(A28,'Données projet'!$A$217:$I$237,2,0)</f>
        <v>146.73250000000002</v>
      </c>
      <c r="FC28" s="13">
        <f>VLOOKUP(A28,'Données projet'!$A$217:$I$237,9,0)</f>
        <v>7.9145000000000021</v>
      </c>
      <c r="FD28" s="13">
        <f t="array" ref="FD28">INDEX(FC:FC,MIN(IF(ISNUMBER(FC28:FC224),ROW(FC28:FC224),"")))</f>
        <v>7.9145000000000021</v>
      </c>
      <c r="FE28" s="13">
        <f>IF('Données projet'!$A$218&gt;35,FE27+FD28-FM27,IF(A28&lt;'Données projet'!$A$218,$FB$205^A28,IF(A28='Données projet'!$A$218,'Données projet'!$B$218,FE27+FD28-FM27)))</f>
        <v>146.73250000000002</v>
      </c>
      <c r="FF28" s="18">
        <f>FE28*VLOOKUP('Données projet'!$B$16,Paramètres!$A$1:$I$89,3,0)*VLOOKUP('Données projet'!$B$16,Paramètres!$A$1:$I$89,5,0)</f>
        <v>114.45135000000002</v>
      </c>
      <c r="FG28" s="14">
        <f t="shared" si="47"/>
        <v>30.377323734407753</v>
      </c>
      <c r="FH28" s="22">
        <f t="shared" si="22"/>
        <v>252.24327342076018</v>
      </c>
      <c r="FI28" s="62">
        <f t="shared" si="23"/>
        <v>545.57660675409352</v>
      </c>
      <c r="FJ28" s="62">
        <f ca="1">AVERAGE(OFFSET($FI$3,0,0,'Données projet'!$E$16+1,1))-AVERAGE(OFFSET($H$3,0,0,'Données projet'!$E$16+1,1))</f>
        <v>242.81177364426878</v>
      </c>
      <c r="FK28" s="62">
        <f t="shared" si="48"/>
        <v>260.72115764896671</v>
      </c>
      <c r="FL28" s="16">
        <f>IF(ISNA(VLOOKUP(A28,'Données projet'!$A$217:$I$237,3,0)),0,VLOOKUP(A28,'Données projet'!$A$217:$I$237,3,0))</f>
        <v>2</v>
      </c>
      <c r="FM28" s="16">
        <f>IF(ISNA(VLOOKUP(A28,'Données projet'!$A$217:$I$237,4,0)),0,VLOOKUP(A28,'Données projet'!$A$217:$I$237,4,0))</f>
        <v>24.455416666666672</v>
      </c>
      <c r="FN28" s="17">
        <f>IF(ISNA(VLOOKUP(A28,'Données projet'!$A$217:$I$237,5,0)),0%,VLOOKUP(A28,'Données projet'!$A$217:$I$237,5,0)*VLOOKUP('Données projet'!$B$16,Paramètres!$A$1:$I$89,7,0))</f>
        <v>0.30099999999999999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6.3472159623483533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6.3472159623483533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>
        <f>VLOOKUP(A28,'Données projet'!$A$243:$I$263,2,0)</f>
        <v>146.73250000000002</v>
      </c>
      <c r="FX28" s="13">
        <f>VLOOKUP(A28,'Données projet'!$A$243:$I$263,9,0)</f>
        <v>7.9145000000000021</v>
      </c>
      <c r="FY28" s="13">
        <f t="array" ref="FY28">INDEX(FX:FX,MIN(IF(ISNUMBER(FX28:FX224),ROW(FX28:FX224),"")))</f>
        <v>7.9145000000000021</v>
      </c>
      <c r="FZ28" s="13">
        <f>IF('Données projet'!$A$244&gt;35,FZ27+FY28-GH27,IF(A28&lt;'Données projet'!$A$244,$FW$205^A28,IF(A28='Données projet'!$A$244,'Données projet'!$B$244,FZ27+FY28-GH27)))</f>
        <v>146.73250000000002</v>
      </c>
      <c r="GA28" s="18">
        <f>FZ28*VLOOKUP('Données projet'!$B$17,Paramètres!$A$1:$I$89,3,0)*VLOOKUP('Données projet'!$B$17,Paramètres!$A$1:$I$89,5,0)</f>
        <v>116.74037700000002</v>
      </c>
      <c r="GB28" s="14">
        <f t="shared" si="49"/>
        <v>30.913531533649412</v>
      </c>
      <c r="GC28" s="22">
        <f t="shared" si="25"/>
        <v>257.16389069610608</v>
      </c>
      <c r="GD28" s="62">
        <f t="shared" si="26"/>
        <v>550.49722402943939</v>
      </c>
      <c r="GE28" s="62">
        <f ca="1">AVERAGE(OFFSET($GD$3,0,0,'Données projet'!$E$17+1,1))-AVERAGE(OFFSET($H$3,0,0,'Données projet'!$E$17+1,1))</f>
        <v>248.15263300983543</v>
      </c>
      <c r="GF28" s="62">
        <f t="shared" si="50"/>
        <v>266.46511459244618</v>
      </c>
      <c r="GG28" s="16">
        <f>IF(ISNA(VLOOKUP(A28,'Données projet'!$A$243:$I$263,3,0)),0,VLOOKUP(A28,'Données projet'!$A$243:$I$263,3,0))</f>
        <v>2</v>
      </c>
      <c r="GH28" s="16">
        <f>IF(ISNA(VLOOKUP(A28,'Données projet'!$A$243:$I$263,4,0)),0,VLOOKUP(A28,'Données projet'!$A$243:$I$263,4,0))</f>
        <v>24.455416666666672</v>
      </c>
      <c r="GI28" s="17">
        <f>IF(ISNA(VLOOKUP(A28,'Données projet'!$A$243:$I$263,5,0)),0%,VLOOKUP(A28,'Données projet'!$A$243:$I$263,5,0)*VLOOKUP('Données projet'!$B$17,Paramètres!$A$1:$I$89,7,0))</f>
        <v>0.371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7.9797789517337661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7.9797789517337661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28</v>
      </c>
      <c r="N29" s="14">
        <f>IF('Données projet'!$A$36&gt;35,N28+M29-V28,IF(A29&lt;'Données projet'!$A$36,$K$205^A29,IF(A29='Données projet'!$A$36,'Données projet'!$B$36,N28+M29-V28)))</f>
        <v>309</v>
      </c>
      <c r="O29" s="14">
        <f>N29*VLOOKUP('Données projet'!$B$9,Paramètres!$A$1:$I$89,3,0)*VLOOKUP('Données projet'!$B$9,Paramètres!$A$1:$I$89,5,0)</f>
        <v>172.73100000000002</v>
      </c>
      <c r="P29" s="14">
        <f t="shared" si="33"/>
        <v>43.701108252019125</v>
      </c>
      <c r="Q29" s="22">
        <f t="shared" si="2"/>
        <v>376.9525885389333</v>
      </c>
      <c r="R29" s="62">
        <f t="shared" si="0"/>
        <v>670.28592187226661</v>
      </c>
      <c r="S29" s="62">
        <f ca="1">AVERAGE(OFFSET($R$3,0,0,'Données projet'!$E$9+1,1))-AVERAGE(OFFSET($H$3,0,0,'Données projet'!$E$9+1,1))</f>
        <v>382.55387448074327</v>
      </c>
      <c r="T29" s="62">
        <f t="shared" si="34"/>
        <v>476.29465646955543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11.948959322548307</v>
      </c>
      <c r="AB29" s="23">
        <f>EXP(-LN(2)/2)*AB28+(1-EXP(-LN(2)/2))/(LN(2)/2)*V29*Y29*VLOOKUP('Données projet'!$B$9,Paramètres!$A$1:$I$89,3,0)*0.475*44/12</f>
        <v>10.633562439709927</v>
      </c>
      <c r="AC29" s="24">
        <f t="shared" si="3"/>
        <v>22.582521762258231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26.666666666666668</v>
      </c>
      <c r="AI29" s="14">
        <f>IF('Données projet'!$A$62&gt;35,AI28+AH29-AQ28,IF(A29&lt;'Données projet'!$A$62,$AF$205^A29,IF(A29='Données projet'!$A$62,'Données projet'!$B$62,AI28+AH29-AQ28)))</f>
        <v>476.33333333333326</v>
      </c>
      <c r="AJ29" s="14">
        <f>AI29*VLOOKUP('Données projet'!$B$10,Paramètres!$A$1:$I$89,3,0)*VLOOKUP('Données projet'!$B$10,Paramètres!$A$1:$I$89,5,0)</f>
        <v>297.23199999999997</v>
      </c>
      <c r="AK29" s="14">
        <f t="shared" si="35"/>
        <v>70.595871675224544</v>
      </c>
      <c r="AL29" s="22">
        <f t="shared" si="4"/>
        <v>640.63354316768266</v>
      </c>
      <c r="AM29" s="62">
        <f t="shared" si="5"/>
        <v>933.96687650101603</v>
      </c>
      <c r="AN29" s="62">
        <f ca="1">AVERAGE(OFFSET($AM$3,0,0,'Données projet'!$E$10+1,1))-AVERAGE(OFFSET($H$3,0,0,'Données projet'!$E$10+1,1))</f>
        <v>482.28841373508675</v>
      </c>
      <c r="AO29" s="62">
        <f t="shared" si="36"/>
        <v>746.97309214631684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26.666666666666668</v>
      </c>
      <c r="BD29" s="13">
        <f>IF('Données projet'!$A$88&gt;35,BD28+BC29-BL28,IF(A29&lt;'Données projet'!$A$88,$BA$205^A29,IF(A29='Données projet'!$A$88,'Données projet'!$B$88,BD28+BC29-BL28)))</f>
        <v>476.33333333333326</v>
      </c>
      <c r="BE29" s="14">
        <f>BD29*VLOOKUP('Données projet'!$B$11,Paramètres!$A$1:$I$89,3,0)*VLOOKUP('Données projet'!$B$11,Paramètres!$A$1:$I$89,5,0)</f>
        <v>260.07799999999997</v>
      </c>
      <c r="BF29" s="14">
        <f t="shared" si="37"/>
        <v>62.739004113845937</v>
      </c>
      <c r="BG29" s="22">
        <f t="shared" si="7"/>
        <v>562.23961549828152</v>
      </c>
      <c r="BH29" s="62">
        <f t="shared" si="8"/>
        <v>855.57294883161489</v>
      </c>
      <c r="BI29" s="62">
        <f ca="1">AVERAGE(OFFSET($BH$3,0,0,'Données projet'!$E$11+1,1))-AVERAGE(OFFSET($H$3,0,0,'Données projet'!$E$11+1,1))</f>
        <v>417.99456559608217</v>
      </c>
      <c r="BJ29" s="62">
        <f t="shared" si="38"/>
        <v>651.41353014863932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2.6904761904761907</v>
      </c>
      <c r="BY29" s="13">
        <f>IF('Données projet'!$A$114&gt;35,BY28+BX29-CG28,IF(A29&lt;'Données projet'!$A$114,$BV$205^A29,IF(A29='Données projet'!$A$114,'Données projet'!$B$114,BY28+BX29-CG28)))</f>
        <v>69.952380952380949</v>
      </c>
      <c r="BZ29" s="14">
        <f>BY29*VLOOKUP('Données projet'!$B$12,Paramètres!$A$1:$I$89,3,0)*VLOOKUP('Données projet'!$B$12,Paramètres!$A$1:$I$89,5,0)</f>
        <v>63.292914285714282</v>
      </c>
      <c r="CA29" s="14">
        <f t="shared" si="39"/>
        <v>17.998214568565054</v>
      </c>
      <c r="CB29" s="22">
        <f t="shared" si="10"/>
        <v>141.58204942120318</v>
      </c>
      <c r="CC29" s="62">
        <f t="shared" si="11"/>
        <v>434.91538275453649</v>
      </c>
      <c r="CD29" s="62">
        <f ca="1">AVERAGE(OFFSET($CC$3,0,0,'Données projet'!$E$12+1,1))-AVERAGE(OFFSET($H$3,0,0,'Données projet'!$E$12+1,1))</f>
        <v>213.07277043804817</v>
      </c>
      <c r="CE29" s="62">
        <f t="shared" si="40"/>
        <v>129.14539883354166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2.6904761904761907</v>
      </c>
      <c r="CT29" s="13">
        <f>IF('Données projet'!$A$140&gt;35,CT28+CS29-DB28,IF(A29&lt;'Données projet'!$A$140,$CQ$205^A29,IF(A29='Données projet'!$A$140,'Données projet'!$B$140,CT28+CS29-DB28)))</f>
        <v>69.952380952380949</v>
      </c>
      <c r="CU29" s="18">
        <f>CT29*VLOOKUP('Données projet'!$B$13,Paramètres!$A$1:$I$89,3,0)*VLOOKUP('Données projet'!$B$13,Paramètres!$A$1:$I$89,5,0)</f>
        <v>70.931714285714293</v>
      </c>
      <c r="CV29" s="14">
        <f t="shared" si="41"/>
        <v>19.904656710379786</v>
      </c>
      <c r="CW29" s="22">
        <f t="shared" si="13"/>
        <v>158.20667948486386</v>
      </c>
      <c r="CX29" s="62">
        <f t="shared" si="14"/>
        <v>451.54001281819717</v>
      </c>
      <c r="CY29" s="62">
        <f ca="1">AVERAGE(OFFSET($CX$3,0,0,'Données projet'!$E$13+1,1))-AVERAGE(OFFSET($H$3,0,0,'Données projet'!$E$13+1,1))</f>
        <v>247.92503505485405</v>
      </c>
      <c r="CZ29" s="62">
        <f t="shared" si="42"/>
        <v>148.26437652597514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2</v>
      </c>
      <c r="DO29" s="13">
        <f>IF('Données projet'!$A$166&gt;35,DO28+DN29-DW28,IF(A29&lt;'Données projet'!$A$166,$DL$205^A29,IF(A29='Données projet'!$A$166,'Données projet'!$B$166,DO28+DN29-DW28)))</f>
        <v>52</v>
      </c>
      <c r="DP29" s="18">
        <f>DO29*VLOOKUP('Données projet'!$B$14,Paramètres!$A$1:$I$89,3,0)*VLOOKUP('Données projet'!$B$14,Paramètres!$A$1:$I$89,5,0)</f>
        <v>50.294400000000003</v>
      </c>
      <c r="DQ29" s="14">
        <f t="shared" si="43"/>
        <v>14.689763750064973</v>
      </c>
      <c r="DR29" s="22">
        <f t="shared" si="16"/>
        <v>113.1807518646965</v>
      </c>
      <c r="DS29" s="62">
        <f t="shared" si="17"/>
        <v>406.51408519802982</v>
      </c>
      <c r="DT29" s="62">
        <f ca="1">AVERAGE(OFFSET($DS$3,0,0,'Données projet'!$E$14+1,1))-AVERAGE(OFFSET($H$3,0,0,'Données projet'!$E$14+1,1))</f>
        <v>154.0837760161366</v>
      </c>
      <c r="DU29" s="62">
        <f t="shared" si="44"/>
        <v>96.484500841546037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9.9205000000000041</v>
      </c>
      <c r="EJ29" s="13">
        <f>IF('Données projet'!$A$192&gt;35,EJ28+EI29-ER28,IF(A29&lt;'Données projet'!$A$192,$EG$205^A29,IF(A29='Données projet'!$A$192,'Données projet'!$B$192,EJ28+EI29-ER28)))</f>
        <v>132.19758333333334</v>
      </c>
      <c r="EK29" s="18">
        <f>EJ29*VLOOKUP('Données projet'!$B$15,Paramètres!$A$1:$I$89,3,0)*VLOOKUP('Données projet'!$B$15,Paramètres!$A$1:$I$89,5,0)</f>
        <v>88.678138900000008</v>
      </c>
      <c r="EL29" s="14">
        <f t="shared" si="45"/>
        <v>24.246149913526793</v>
      </c>
      <c r="EM29" s="22">
        <f t="shared" si="19"/>
        <v>196.67646968355916</v>
      </c>
      <c r="EN29" s="62">
        <f t="shared" si="20"/>
        <v>490.00980301689248</v>
      </c>
      <c r="EO29" s="62">
        <f ca="1">AVERAGE(OFFSET($EN$3,0,0,'Données projet'!$E$15+1,1))-AVERAGE(OFFSET($H$3,0,0,'Données projet'!$E$15+1,1))</f>
        <v>205.35893113421139</v>
      </c>
      <c r="EP29" s="62">
        <f t="shared" si="46"/>
        <v>220.4399811285175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6.5961159844709387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6.5961159844709387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9.9205000000000041</v>
      </c>
      <c r="FE29" s="13">
        <f>IF('Données projet'!$A$218&gt;35,FE28+FD29-FM28,IF(A29&lt;'Données projet'!$A$218,$FB$205^A29,IF(A29='Données projet'!$A$218,'Données projet'!$B$218,FE28+FD29-FM28)))</f>
        <v>132.19758333333334</v>
      </c>
      <c r="FF29" s="18">
        <f>FE29*VLOOKUP('Données projet'!$B$16,Paramètres!$A$1:$I$89,3,0)*VLOOKUP('Données projet'!$B$16,Paramètres!$A$1:$I$89,5,0)</f>
        <v>103.11411500000001</v>
      </c>
      <c r="FG29" s="14">
        <f t="shared" si="47"/>
        <v>27.702563213503659</v>
      </c>
      <c r="FH29" s="22">
        <f t="shared" si="22"/>
        <v>227.83904788851888</v>
      </c>
      <c r="FI29" s="62">
        <f t="shared" si="23"/>
        <v>521.17238122185222</v>
      </c>
      <c r="FJ29" s="62">
        <f ca="1">AVERAGE(OFFSET($FI$3,0,0,'Données projet'!$E$16+1,1))-AVERAGE(OFFSET($H$3,0,0,'Données projet'!$E$16+1,1))</f>
        <v>242.81177364426878</v>
      </c>
      <c r="FK29" s="62">
        <f t="shared" si="48"/>
        <v>260.72115764896671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6.2227509287461684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6.2227509287461684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9.9205000000000041</v>
      </c>
      <c r="FZ29" s="13">
        <f>IF('Données projet'!$A$244&gt;35,FZ28+FY29-GH28,IF(A29&lt;'Données projet'!$A$244,$FW$205^A29,IF(A29='Données projet'!$A$244,'Données projet'!$B$244,FZ28+FY29-GH28)))</f>
        <v>132.19758333333334</v>
      </c>
      <c r="GA29" s="18">
        <f>FZ29*VLOOKUP('Données projet'!$B$17,Paramètres!$A$1:$I$89,3,0)*VLOOKUP('Données projet'!$B$17,Paramètres!$A$1:$I$89,5,0)</f>
        <v>105.17639730000002</v>
      </c>
      <c r="GB29" s="14">
        <f t="shared" si="49"/>
        <v>28.191557259981842</v>
      </c>
      <c r="GC29" s="22">
        <f t="shared" si="25"/>
        <v>232.28252085863505</v>
      </c>
      <c r="GD29" s="62">
        <f t="shared" si="26"/>
        <v>525.61585419196831</v>
      </c>
      <c r="GE29" s="62">
        <f ca="1">AVERAGE(OFFSET($GD$3,0,0,'Données projet'!$E$17+1,1))-AVERAGE(OFFSET($H$3,0,0,'Données projet'!$E$17+1,1))</f>
        <v>248.15263300983543</v>
      </c>
      <c r="GF29" s="62">
        <f t="shared" si="50"/>
        <v>266.46511459244618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7.8233003536748331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7.8233003536748331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28</v>
      </c>
      <c r="N30" s="14">
        <f>IF('Données projet'!$A$36&gt;35,N29+M30-V29,IF(A30&lt;'Données projet'!$A$36,$K$205^A30,IF(A30='Données projet'!$A$36,'Données projet'!$B$36,N29+M30-V29)))</f>
        <v>337</v>
      </c>
      <c r="O30" s="14">
        <f>N30*VLOOKUP('Données projet'!$B$9,Paramètres!$A$1:$I$89,3,0)*VLOOKUP('Données projet'!$B$9,Paramètres!$A$1:$I$89,5,0)</f>
        <v>188.38300000000001</v>
      </c>
      <c r="P30" s="14">
        <f t="shared" si="33"/>
        <v>47.182279474248382</v>
      </c>
      <c r="Q30" s="22">
        <f t="shared" si="2"/>
        <v>410.27619508431599</v>
      </c>
      <c r="R30" s="62">
        <f t="shared" si="0"/>
        <v>703.60952841764924</v>
      </c>
      <c r="S30" s="62">
        <f ca="1">AVERAGE(OFFSET($R$3,0,0,'Données projet'!$E$9+1,1))-AVERAGE(OFFSET($H$3,0,0,'Données projet'!$E$9+1,1))</f>
        <v>382.55387448074327</v>
      </c>
      <c r="T30" s="62">
        <f t="shared" si="34"/>
        <v>476.29465646955543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11.622214401504761</v>
      </c>
      <c r="AB30" s="23">
        <f>EXP(-LN(2)/2)*AB29+(1-EXP(-LN(2)/2))/(LN(2)/2)*V30*Y30*VLOOKUP('Données projet'!$B$9,Paramètres!$A$1:$I$89,3,0)*0.475*44/12</f>
        <v>7.5190641092894577</v>
      </c>
      <c r="AC30" s="24">
        <f t="shared" si="3"/>
        <v>19.141278510794219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26.666666666666668</v>
      </c>
      <c r="AI30" s="14">
        <f>IF('Données projet'!$A$62&gt;35,AI29+AH30-AQ29,IF(A30&lt;'Données projet'!$A$62,$AF$205^A30,IF(A30='Données projet'!$A$62,'Données projet'!$B$62,AI29+AH30-AQ29)))</f>
        <v>502.99999999999994</v>
      </c>
      <c r="AJ30" s="14">
        <f>AI30*VLOOKUP('Données projet'!$B$10,Paramètres!$A$1:$I$89,3,0)*VLOOKUP('Données projet'!$B$10,Paramètres!$A$1:$I$89,5,0)</f>
        <v>313.87199999999996</v>
      </c>
      <c r="AK30" s="14">
        <f t="shared" si="35"/>
        <v>74.076872774720357</v>
      </c>
      <c r="AL30" s="22">
        <f t="shared" si="4"/>
        <v>675.67762008263787</v>
      </c>
      <c r="AM30" s="62">
        <f t="shared" si="5"/>
        <v>969.01095341597124</v>
      </c>
      <c r="AN30" s="62">
        <f ca="1">AVERAGE(OFFSET($AM$3,0,0,'Données projet'!$E$10+1,1))-AVERAGE(OFFSET($H$3,0,0,'Données projet'!$E$10+1,1))</f>
        <v>482.28841373508675</v>
      </c>
      <c r="AO30" s="62">
        <f t="shared" si="36"/>
        <v>746.97309214631684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26.666666666666668</v>
      </c>
      <c r="BD30" s="13">
        <f>IF('Données projet'!$A$88&gt;35,BD29+BC30-BL29,IF(A30&lt;'Données projet'!$A$88,$BA$205^A30,IF(A30='Données projet'!$A$88,'Données projet'!$B$88,BD29+BC30-BL29)))</f>
        <v>502.99999999999994</v>
      </c>
      <c r="BE30" s="14">
        <f>BD30*VLOOKUP('Données projet'!$B$11,Paramètres!$A$1:$I$89,3,0)*VLOOKUP('Données projet'!$B$11,Paramètres!$A$1:$I$89,5,0)</f>
        <v>274.63799999999998</v>
      </c>
      <c r="BF30" s="14">
        <f t="shared" si="37"/>
        <v>65.832592125710022</v>
      </c>
      <c r="BG30" s="22">
        <f t="shared" si="7"/>
        <v>592.98628128561154</v>
      </c>
      <c r="BH30" s="62">
        <f t="shared" si="8"/>
        <v>886.3196146189448</v>
      </c>
      <c r="BI30" s="62">
        <f ca="1">AVERAGE(OFFSET($BH$3,0,0,'Données projet'!$E$11+1,1))-AVERAGE(OFFSET($H$3,0,0,'Données projet'!$E$11+1,1))</f>
        <v>417.99456559608217</v>
      </c>
      <c r="BJ30" s="62">
        <f t="shared" si="38"/>
        <v>651.41353014863932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2.6904761904761907</v>
      </c>
      <c r="BY30" s="13">
        <f>IF('Données projet'!$A$114&gt;35,BY29+BX30-CG29,IF(A30&lt;'Données projet'!$A$114,$BV$205^A30,IF(A30='Données projet'!$A$114,'Données projet'!$B$114,BY29+BX30-CG29)))</f>
        <v>72.642857142857139</v>
      </c>
      <c r="BZ30" s="14">
        <f>BY30*VLOOKUP('Données projet'!$B$12,Paramètres!$A$1:$I$89,3,0)*VLOOKUP('Données projet'!$B$12,Paramètres!$A$1:$I$89,5,0)</f>
        <v>65.727257142857141</v>
      </c>
      <c r="CA30" s="14">
        <f t="shared" si="39"/>
        <v>18.608526992916694</v>
      </c>
      <c r="CB30" s="22">
        <f t="shared" si="10"/>
        <v>146.88482403647276</v>
      </c>
      <c r="CC30" s="62">
        <f t="shared" si="11"/>
        <v>440.21815736980608</v>
      </c>
      <c r="CD30" s="62">
        <f ca="1">AVERAGE(OFFSET($CC$3,0,0,'Données projet'!$E$12+1,1))-AVERAGE(OFFSET($H$3,0,0,'Données projet'!$E$12+1,1))</f>
        <v>213.07277043804817</v>
      </c>
      <c r="CE30" s="62">
        <f t="shared" si="40"/>
        <v>129.14539883354166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2.6904761904761907</v>
      </c>
      <c r="CT30" s="13">
        <f>IF('Données projet'!$A$140&gt;35,CT29+CS30-DB29,IF(A30&lt;'Données projet'!$A$140,$CQ$205^A30,IF(A30='Données projet'!$A$140,'Données projet'!$B$140,CT29+CS30-DB29)))</f>
        <v>72.642857142857139</v>
      </c>
      <c r="CU30" s="18">
        <f>CT30*VLOOKUP('Données projet'!$B$13,Paramètres!$A$1:$I$89,3,0)*VLOOKUP('Données projet'!$B$13,Paramètres!$A$1:$I$89,5,0)</f>
        <v>73.659857142857149</v>
      </c>
      <c r="CV30" s="14">
        <f t="shared" si="41"/>
        <v>20.579615842938225</v>
      </c>
      <c r="CW30" s="22">
        <f t="shared" si="13"/>
        <v>164.1337487835936</v>
      </c>
      <c r="CX30" s="62">
        <f t="shared" si="14"/>
        <v>457.46708211692692</v>
      </c>
      <c r="CY30" s="62">
        <f ca="1">AVERAGE(OFFSET($CX$3,0,0,'Données projet'!$E$13+1,1))-AVERAGE(OFFSET($H$3,0,0,'Données projet'!$E$13+1,1))</f>
        <v>247.92503505485405</v>
      </c>
      <c r="CZ30" s="62">
        <f t="shared" si="42"/>
        <v>148.26437652597514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2</v>
      </c>
      <c r="DO30" s="13">
        <f>IF('Données projet'!$A$166&gt;35,DO29+DN30-DW29,IF(A30&lt;'Données projet'!$A$166,$DL$205^A30,IF(A30='Données projet'!$A$166,'Données projet'!$B$166,DO29+DN30-DW29)))</f>
        <v>54</v>
      </c>
      <c r="DP30" s="18">
        <f>DO30*VLOOKUP('Données projet'!$B$14,Paramètres!$A$1:$I$89,3,0)*VLOOKUP('Données projet'!$B$14,Paramètres!$A$1:$I$89,5,0)</f>
        <v>52.2288</v>
      </c>
      <c r="DQ30" s="14">
        <f t="shared" si="43"/>
        <v>15.187887899730002</v>
      </c>
      <c r="DR30" s="22">
        <f t="shared" si="16"/>
        <v>117.41739809202976</v>
      </c>
      <c r="DS30" s="62">
        <f t="shared" si="17"/>
        <v>410.75073142536309</v>
      </c>
      <c r="DT30" s="62">
        <f ca="1">AVERAGE(OFFSET($DS$3,0,0,'Données projet'!$E$14+1,1))-AVERAGE(OFFSET($H$3,0,0,'Données projet'!$E$14+1,1))</f>
        <v>154.0837760161366</v>
      </c>
      <c r="DU30" s="62">
        <f t="shared" si="44"/>
        <v>96.484500841546037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9.9205000000000041</v>
      </c>
      <c r="EJ30" s="13">
        <f>IF('Données projet'!$A$192&gt;35,EJ29+EI30-ER29,IF(A30&lt;'Données projet'!$A$192,$EG$205^A30,IF(A30='Données projet'!$A$192,'Données projet'!$B$192,EJ29+EI30-ER29)))</f>
        <v>142.11808333333335</v>
      </c>
      <c r="EK30" s="18">
        <f>EJ30*VLOOKUP('Données projet'!$B$15,Paramètres!$A$1:$I$89,3,0)*VLOOKUP('Données projet'!$B$15,Paramètres!$A$1:$I$89,5,0)</f>
        <v>95.332810300000006</v>
      </c>
      <c r="EL30" s="14">
        <f t="shared" si="45"/>
        <v>25.847029929500508</v>
      </c>
      <c r="EM30" s="22">
        <f t="shared" si="19"/>
        <v>211.05488839971338</v>
      </c>
      <c r="EN30" s="62">
        <f t="shared" si="20"/>
        <v>504.38822173304669</v>
      </c>
      <c r="EO30" s="62">
        <f ca="1">AVERAGE(OFFSET($EN$3,0,0,'Données projet'!$E$15+1,1))-AVERAGE(OFFSET($H$3,0,0,'Données projet'!$E$15+1,1))</f>
        <v>205.35893113421139</v>
      </c>
      <c r="EP30" s="62">
        <f t="shared" si="46"/>
        <v>220.4399811285175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6.4667701732489524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6.4667701732489524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9.9205000000000041</v>
      </c>
      <c r="FE30" s="13">
        <f>IF('Données projet'!$A$218&gt;35,FE29+FD30-FM29,IF(A30&lt;'Données projet'!$A$218,$FB$205^A30,IF(A30='Données projet'!$A$218,'Données projet'!$B$218,FE29+FD30-FM29)))</f>
        <v>142.11808333333335</v>
      </c>
      <c r="FF30" s="18">
        <f>FE30*VLOOKUP('Données projet'!$B$16,Paramètres!$A$1:$I$89,3,0)*VLOOKUP('Données projet'!$B$16,Paramètres!$A$1:$I$89,5,0)</f>
        <v>110.85210500000001</v>
      </c>
      <c r="FG30" s="14">
        <f t="shared" si="47"/>
        <v>29.531656904580959</v>
      </c>
      <c r="FH30" s="22">
        <f t="shared" si="22"/>
        <v>244.50171865047852</v>
      </c>
      <c r="FI30" s="62">
        <f t="shared" si="23"/>
        <v>537.83505198381181</v>
      </c>
      <c r="FJ30" s="62">
        <f ca="1">AVERAGE(OFFSET($FI$3,0,0,'Données projet'!$E$16+1,1))-AVERAGE(OFFSET($H$3,0,0,'Données projet'!$E$16+1,1))</f>
        <v>242.81177364426878</v>
      </c>
      <c r="FK30" s="62">
        <f t="shared" si="48"/>
        <v>260.72115764896671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6.1007265785367482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6.1007265785367482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9.9205000000000041</v>
      </c>
      <c r="FZ30" s="13">
        <f>IF('Données projet'!$A$244&gt;35,FZ29+FY30-GH29,IF(A30&lt;'Données projet'!$A$244,$FW$205^A30,IF(A30='Données projet'!$A$244,'Données projet'!$B$244,FZ29+FY30-GH29)))</f>
        <v>142.11808333333335</v>
      </c>
      <c r="GA30" s="18">
        <f>FZ30*VLOOKUP('Données projet'!$B$17,Paramètres!$A$1:$I$89,3,0)*VLOOKUP('Données projet'!$B$17,Paramètres!$A$1:$I$89,5,0)</f>
        <v>113.06914710000002</v>
      </c>
      <c r="GB30" s="14">
        <f t="shared" si="49"/>
        <v>30.052937347032479</v>
      </c>
      <c r="GC30" s="22">
        <f t="shared" si="25"/>
        <v>249.27096374524822</v>
      </c>
      <c r="GD30" s="62">
        <f t="shared" si="26"/>
        <v>542.60429707858157</v>
      </c>
      <c r="GE30" s="62">
        <f ca="1">AVERAGE(OFFSET($GD$3,0,0,'Données projet'!$E$17+1,1))-AVERAGE(OFFSET($H$3,0,0,'Données projet'!$E$17+1,1))</f>
        <v>248.15263300983543</v>
      </c>
      <c r="GF30" s="62">
        <f t="shared" si="50"/>
        <v>266.46511459244618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7.6698902054813152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7.6698902054813152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28</v>
      </c>
      <c r="N31" s="14">
        <f>IF('Données projet'!$A$36&gt;35,N30+M31-V30,IF(A31&lt;'Données projet'!$A$36,$K$205^A31,IF(A31='Données projet'!$A$36,'Données projet'!$B$36,N30+M31-V30)))</f>
        <v>365</v>
      </c>
      <c r="O31" s="14">
        <f>N31*VLOOKUP('Données projet'!$B$9,Paramètres!$A$1:$I$89,3,0)*VLOOKUP('Données projet'!$B$9,Paramètres!$A$1:$I$89,5,0)</f>
        <v>204.035</v>
      </c>
      <c r="P31" s="14">
        <f t="shared" si="33"/>
        <v>50.629905099971396</v>
      </c>
      <c r="Q31" s="22">
        <f t="shared" si="2"/>
        <v>443.54137638245015</v>
      </c>
      <c r="R31" s="62">
        <f t="shared" si="0"/>
        <v>736.87470971578341</v>
      </c>
      <c r="S31" s="62">
        <f ca="1">AVERAGE(OFFSET($R$3,0,0,'Données projet'!$E$9+1,1))-AVERAGE(OFFSET($H$3,0,0,'Données projet'!$E$9+1,1))</f>
        <v>382.55387448074327</v>
      </c>
      <c r="T31" s="62">
        <f t="shared" si="34"/>
        <v>476.29465646955543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11.304404337509922</v>
      </c>
      <c r="AB31" s="23">
        <f>EXP(-LN(2)/2)*AB30+(1-EXP(-LN(2)/2))/(LN(2)/2)*V31*Y31*VLOOKUP('Données projet'!$B$9,Paramètres!$A$1:$I$89,3,0)*0.475*44/12</f>
        <v>5.3167812198549642</v>
      </c>
      <c r="AC31" s="24">
        <f t="shared" si="3"/>
        <v>16.621185557364885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26.666666666666668</v>
      </c>
      <c r="AI31" s="14">
        <f>IF('Données projet'!$A$62&gt;35,AI30+AH31-AQ30,IF(A31&lt;'Données projet'!$A$62,$AF$205^A31,IF(A31='Données projet'!$A$62,'Données projet'!$B$62,AI30+AH31-AQ30)))</f>
        <v>529.66666666666663</v>
      </c>
      <c r="AJ31" s="14">
        <f>AI31*VLOOKUP('Données projet'!$B$10,Paramètres!$A$1:$I$89,3,0)*VLOOKUP('Données projet'!$B$10,Paramètres!$A$1:$I$89,5,0)</f>
        <v>330.512</v>
      </c>
      <c r="AK31" s="14">
        <f t="shared" si="35"/>
        <v>77.536448254992777</v>
      </c>
      <c r="AL31" s="22">
        <f t="shared" si="4"/>
        <v>710.68438071077901</v>
      </c>
      <c r="AM31" s="62">
        <f t="shared" si="5"/>
        <v>1004.0177140441124</v>
      </c>
      <c r="AN31" s="62">
        <f ca="1">AVERAGE(OFFSET($AM$3,0,0,'Données projet'!$E$10+1,1))-AVERAGE(OFFSET($H$3,0,0,'Données projet'!$E$10+1,1))</f>
        <v>482.28841373508675</v>
      </c>
      <c r="AO31" s="62">
        <f t="shared" si="36"/>
        <v>746.97309214631684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26.666666666666668</v>
      </c>
      <c r="BD31" s="13">
        <f>IF('Données projet'!$A$88&gt;35,BD30+BC31-BL30,IF(A31&lt;'Données projet'!$A$88,$BA$205^A31,IF(A31='Données projet'!$A$88,'Données projet'!$B$88,BD30+BC31-BL30)))</f>
        <v>529.66666666666663</v>
      </c>
      <c r="BE31" s="14">
        <f>BD31*VLOOKUP('Données projet'!$B$11,Paramètres!$A$1:$I$89,3,0)*VLOOKUP('Données projet'!$B$11,Paramètres!$A$1:$I$89,5,0)</f>
        <v>289.19799999999998</v>
      </c>
      <c r="BF31" s="14">
        <f t="shared" si="37"/>
        <v>68.907139052299499</v>
      </c>
      <c r="BG31" s="22">
        <f t="shared" si="7"/>
        <v>623.69978384942158</v>
      </c>
      <c r="BH31" s="62">
        <f t="shared" si="8"/>
        <v>917.03311718275495</v>
      </c>
      <c r="BI31" s="62">
        <f ca="1">AVERAGE(OFFSET($BH$3,0,0,'Données projet'!$E$11+1,1))-AVERAGE(OFFSET($H$3,0,0,'Données projet'!$E$11+1,1))</f>
        <v>417.99456559608217</v>
      </c>
      <c r="BJ31" s="62">
        <f t="shared" si="38"/>
        <v>651.41353014863932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2.6904761904761907</v>
      </c>
      <c r="BY31" s="13">
        <f>IF('Données projet'!$A$114&gt;35,BY30+BX31-CG30,IF(A31&lt;'Données projet'!$A$114,$BV$205^A31,IF(A31='Données projet'!$A$114,'Données projet'!$B$114,BY30+BX31-CG30)))</f>
        <v>75.333333333333329</v>
      </c>
      <c r="BZ31" s="14">
        <f>BY31*VLOOKUP('Données projet'!$B$12,Paramètres!$A$1:$I$89,3,0)*VLOOKUP('Données projet'!$B$12,Paramètres!$A$1:$I$89,5,0)</f>
        <v>68.161599999999993</v>
      </c>
      <c r="CA31" s="14">
        <f t="shared" si="39"/>
        <v>19.216213321815864</v>
      </c>
      <c r="CB31" s="22">
        <f t="shared" si="10"/>
        <v>152.18302486882931</v>
      </c>
      <c r="CC31" s="62">
        <f t="shared" si="11"/>
        <v>445.51635820216262</v>
      </c>
      <c r="CD31" s="62">
        <f ca="1">AVERAGE(OFFSET($CC$3,0,0,'Données projet'!$E$12+1,1))-AVERAGE(OFFSET($H$3,0,0,'Données projet'!$E$12+1,1))</f>
        <v>213.07277043804817</v>
      </c>
      <c r="CE31" s="62">
        <f t="shared" si="40"/>
        <v>129.14539883354166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2.6904761904761907</v>
      </c>
      <c r="CT31" s="13">
        <f>IF('Données projet'!$A$140&gt;35,CT30+CS31-DB30,IF(A31&lt;'Données projet'!$A$140,$CQ$205^A31,IF(A31='Données projet'!$A$140,'Données projet'!$B$140,CT30+CS31-DB30)))</f>
        <v>75.333333333333329</v>
      </c>
      <c r="CU31" s="18">
        <f>CT31*VLOOKUP('Données projet'!$B$13,Paramètres!$A$1:$I$89,3,0)*VLOOKUP('Données projet'!$B$13,Paramètres!$A$1:$I$89,5,0)</f>
        <v>76.388000000000005</v>
      </c>
      <c r="CV31" s="14">
        <f t="shared" si="41"/>
        <v>21.251670713617155</v>
      </c>
      <c r="CW31" s="22">
        <f t="shared" si="13"/>
        <v>170.05575982621656</v>
      </c>
      <c r="CX31" s="62">
        <f t="shared" si="14"/>
        <v>463.38909315954987</v>
      </c>
      <c r="CY31" s="62">
        <f ca="1">AVERAGE(OFFSET($CX$3,0,0,'Données projet'!$E$13+1,1))-AVERAGE(OFFSET($H$3,0,0,'Données projet'!$E$13+1,1))</f>
        <v>247.92503505485405</v>
      </c>
      <c r="CZ31" s="62">
        <f t="shared" si="42"/>
        <v>148.26437652597514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2</v>
      </c>
      <c r="DO31" s="13">
        <f>IF('Données projet'!$A$166&gt;35,DO30+DN31-DW30,IF(A31&lt;'Données projet'!$A$166,$DL$205^A31,IF(A31='Données projet'!$A$166,'Données projet'!$B$166,DO30+DN31-DW30)))</f>
        <v>56</v>
      </c>
      <c r="DP31" s="18">
        <f>DO31*VLOOKUP('Données projet'!$B$14,Paramètres!$A$1:$I$89,3,0)*VLOOKUP('Données projet'!$B$14,Paramètres!$A$1:$I$89,5,0)</f>
        <v>54.163200000000003</v>
      </c>
      <c r="DQ31" s="14">
        <f t="shared" si="43"/>
        <v>15.68386868558329</v>
      </c>
      <c r="DR31" s="22">
        <f t="shared" si="16"/>
        <v>121.65031129405757</v>
      </c>
      <c r="DS31" s="62">
        <f t="shared" si="17"/>
        <v>414.9836446273909</v>
      </c>
      <c r="DT31" s="62">
        <f ca="1">AVERAGE(OFFSET($DS$3,0,0,'Données projet'!$E$14+1,1))-AVERAGE(OFFSET($H$3,0,0,'Données projet'!$E$14+1,1))</f>
        <v>154.0837760161366</v>
      </c>
      <c r="DU31" s="62">
        <f t="shared" si="44"/>
        <v>96.484500841546037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9.9205000000000041</v>
      </c>
      <c r="EJ31" s="13">
        <f>IF('Données projet'!$A$192&gt;35,EJ30+EI31-ER30,IF(A31&lt;'Données projet'!$A$192,$EG$205^A31,IF(A31='Données projet'!$A$192,'Données projet'!$B$192,EJ30+EI31-ER30)))</f>
        <v>152.03858333333335</v>
      </c>
      <c r="EK31" s="18">
        <f>EJ31*VLOOKUP('Données projet'!$B$15,Paramètres!$A$1:$I$89,3,0)*VLOOKUP('Données projet'!$B$15,Paramètres!$A$1:$I$89,5,0)</f>
        <v>101.98748170000002</v>
      </c>
      <c r="EL31" s="14">
        <f t="shared" si="45"/>
        <v>27.434943972575336</v>
      </c>
      <c r="EM31" s="22">
        <f t="shared" si="19"/>
        <v>225.4107247130687</v>
      </c>
      <c r="EN31" s="62">
        <f t="shared" si="20"/>
        <v>518.74405804640196</v>
      </c>
      <c r="EO31" s="62">
        <f ca="1">AVERAGE(OFFSET($EN$3,0,0,'Données projet'!$E$15+1,1))-AVERAGE(OFFSET($H$3,0,0,'Données projet'!$E$15+1,1))</f>
        <v>205.35893113421139</v>
      </c>
      <c r="EP31" s="62">
        <f t="shared" si="46"/>
        <v>220.4399811285175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6.3399607544918748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6.3399607544918748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9.9205000000000041</v>
      </c>
      <c r="FE31" s="13">
        <f>IF('Données projet'!$A$218&gt;35,FE30+FD31-FM30,IF(A31&lt;'Données projet'!$A$218,$FB$205^A31,IF(A31='Données projet'!$A$218,'Données projet'!$B$218,FE30+FD31-FM30)))</f>
        <v>152.03858333333335</v>
      </c>
      <c r="FF31" s="18">
        <f>FE31*VLOOKUP('Données projet'!$B$16,Paramètres!$A$1:$I$89,3,0)*VLOOKUP('Données projet'!$B$16,Paramètres!$A$1:$I$89,5,0)</f>
        <v>118.59009500000002</v>
      </c>
      <c r="FG31" s="14">
        <f t="shared" si="47"/>
        <v>31.34593625667512</v>
      </c>
      <c r="FH31" s="22">
        <f t="shared" si="22"/>
        <v>261.13858777204251</v>
      </c>
      <c r="FI31" s="62">
        <f t="shared" si="23"/>
        <v>554.47192110537583</v>
      </c>
      <c r="FJ31" s="62">
        <f ca="1">AVERAGE(OFFSET($FI$3,0,0,'Données projet'!$E$16+1,1))-AVERAGE(OFFSET($H$3,0,0,'Données projet'!$E$16+1,1))</f>
        <v>242.81177364426878</v>
      </c>
      <c r="FK31" s="62">
        <f t="shared" si="48"/>
        <v>260.72115764896671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5.9810950514074301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5.9810950514074301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9.9205000000000041</v>
      </c>
      <c r="FZ31" s="13">
        <f>IF('Données projet'!$A$244&gt;35,FZ30+FY31-GH30,IF(A31&lt;'Données projet'!$A$244,$FW$205^A31,IF(A31='Données projet'!$A$244,'Données projet'!$B$244,FZ30+FY31-GH30)))</f>
        <v>152.03858333333335</v>
      </c>
      <c r="GA31" s="18">
        <f>FZ31*VLOOKUP('Données projet'!$B$17,Paramètres!$A$1:$I$89,3,0)*VLOOKUP('Données projet'!$B$17,Paramètres!$A$1:$I$89,5,0)</f>
        <v>120.96189690000001</v>
      </c>
      <c r="GB31" s="14">
        <f t="shared" si="49"/>
        <v>31.899241598591143</v>
      </c>
      <c r="GC31" s="22">
        <f t="shared" si="25"/>
        <v>266.23314955171287</v>
      </c>
      <c r="GD31" s="62">
        <f t="shared" si="26"/>
        <v>559.56648288504618</v>
      </c>
      <c r="GE31" s="62">
        <f ca="1">AVERAGE(OFFSET($GD$3,0,0,'Données projet'!$E$17+1,1))-AVERAGE(OFFSET($H$3,0,0,'Données projet'!$E$17+1,1))</f>
        <v>248.15263300983543</v>
      </c>
      <c r="GF31" s="62">
        <f t="shared" si="50"/>
        <v>266.46511459244618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7.5194883367229206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7.5194883367229206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28</v>
      </c>
      <c r="N32" s="14">
        <f>IF('Données projet'!$A$36&gt;35,N31+M32-V31,IF(A32&lt;'Données projet'!$A$36,$K$205^A32,IF(A32='Données projet'!$A$36,'Données projet'!$B$36,N31+M32-V31)))</f>
        <v>393</v>
      </c>
      <c r="O32" s="14">
        <f>N32*VLOOKUP('Données projet'!$B$9,Paramètres!$A$1:$I$89,3,0)*VLOOKUP('Données projet'!$B$9,Paramètres!$A$1:$I$89,5,0)</f>
        <v>219.68700000000001</v>
      </c>
      <c r="P32" s="14">
        <f t="shared" si="33"/>
        <v>54.046851081096591</v>
      </c>
      <c r="Q32" s="22">
        <f t="shared" si="2"/>
        <v>476.75312396624321</v>
      </c>
      <c r="R32" s="62">
        <f t="shared" si="0"/>
        <v>770.08645729957652</v>
      </c>
      <c r="S32" s="62">
        <f ca="1">AVERAGE(OFFSET($R$3,0,0,'Données projet'!$E$9+1,1))-AVERAGE(OFFSET($H$3,0,0,'Données projet'!$E$9+1,1))</f>
        <v>382.55387448074327</v>
      </c>
      <c r="T32" s="62">
        <f t="shared" si="34"/>
        <v>476.29465646955543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10.995284806427925</v>
      </c>
      <c r="AB32" s="23">
        <f>EXP(-LN(2)/2)*AB31+(1-EXP(-LN(2)/2))/(LN(2)/2)*V32*Y32*VLOOKUP('Données projet'!$B$9,Paramètres!$A$1:$I$89,3,0)*0.475*44/12</f>
        <v>3.7595320546447297</v>
      </c>
      <c r="AC32" s="24">
        <f t="shared" si="3"/>
        <v>14.754816861072655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26.666666666666668</v>
      </c>
      <c r="AI32" s="14">
        <f>IF('Données projet'!$A$62&gt;35,AI31+AH32-AQ31,IF(A32&lt;'Données projet'!$A$62,$AF$205^A32,IF(A32='Données projet'!$A$62,'Données projet'!$B$62,AI31+AH32-AQ31)))</f>
        <v>556.33333333333326</v>
      </c>
      <c r="AJ32" s="14">
        <f>AI32*VLOOKUP('Données projet'!$B$10,Paramètres!$A$1:$I$89,3,0)*VLOOKUP('Données projet'!$B$10,Paramètres!$A$1:$I$89,5,0)</f>
        <v>347.15199999999999</v>
      </c>
      <c r="AK32" s="14">
        <f t="shared" si="35"/>
        <v>80.975799891655086</v>
      </c>
      <c r="AL32" s="22">
        <f t="shared" si="4"/>
        <v>745.65591814463266</v>
      </c>
      <c r="AM32" s="62">
        <f t="shared" si="5"/>
        <v>1038.989251477966</v>
      </c>
      <c r="AN32" s="62">
        <f ca="1">AVERAGE(OFFSET($AM$3,0,0,'Données projet'!$E$10+1,1))-AVERAGE(OFFSET($H$3,0,0,'Données projet'!$E$10+1,1))</f>
        <v>482.28841373508675</v>
      </c>
      <c r="AO32" s="62">
        <f t="shared" si="36"/>
        <v>746.97309214631684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26.666666666666668</v>
      </c>
      <c r="BD32" s="13">
        <f>IF('Données projet'!$A$88&gt;35,BD31+BC32-BL31,IF(A32&lt;'Données projet'!$A$88,$BA$205^A32,IF(A32='Données projet'!$A$88,'Données projet'!$B$88,BD31+BC32-BL31)))</f>
        <v>556.33333333333326</v>
      </c>
      <c r="BE32" s="14">
        <f>BD32*VLOOKUP('Données projet'!$B$11,Paramètres!$A$1:$I$89,3,0)*VLOOKUP('Données projet'!$B$11,Paramètres!$A$1:$I$89,5,0)</f>
        <v>303.75799999999998</v>
      </c>
      <c r="BF32" s="14">
        <f t="shared" si="37"/>
        <v>71.963712919312869</v>
      </c>
      <c r="BG32" s="22">
        <f t="shared" si="7"/>
        <v>654.38198333446974</v>
      </c>
      <c r="BH32" s="62">
        <f t="shared" si="8"/>
        <v>947.71531666780311</v>
      </c>
      <c r="BI32" s="62">
        <f ca="1">AVERAGE(OFFSET($BH$3,0,0,'Données projet'!$E$11+1,1))-AVERAGE(OFFSET($H$3,0,0,'Données projet'!$E$11+1,1))</f>
        <v>417.99456559608217</v>
      </c>
      <c r="BJ32" s="62">
        <f t="shared" si="38"/>
        <v>651.41353014863932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2.6904761904761907</v>
      </c>
      <c r="BY32" s="13">
        <f>IF('Données projet'!$A$114&gt;35,BY31+BX32-CG31,IF(A32&lt;'Données projet'!$A$114,$BV$205^A32,IF(A32='Données projet'!$A$114,'Données projet'!$B$114,BY31+BX32-CG31)))</f>
        <v>78.023809523809518</v>
      </c>
      <c r="BZ32" s="14">
        <f>BY32*VLOOKUP('Données projet'!$B$12,Paramètres!$A$1:$I$89,3,0)*VLOOKUP('Données projet'!$B$12,Paramètres!$A$1:$I$89,5,0)</f>
        <v>70.595942857142845</v>
      </c>
      <c r="CA32" s="14">
        <f t="shared" si="39"/>
        <v>19.82137808929166</v>
      </c>
      <c r="CB32" s="22">
        <f t="shared" si="10"/>
        <v>157.47683398170673</v>
      </c>
      <c r="CC32" s="62">
        <f t="shared" si="11"/>
        <v>450.81016731504008</v>
      </c>
      <c r="CD32" s="62">
        <f ca="1">AVERAGE(OFFSET($CC$3,0,0,'Données projet'!$E$12+1,1))-AVERAGE(OFFSET($H$3,0,0,'Données projet'!$E$12+1,1))</f>
        <v>213.07277043804817</v>
      </c>
      <c r="CE32" s="62">
        <f t="shared" si="40"/>
        <v>129.14539883354166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2.6904761904761907</v>
      </c>
      <c r="CT32" s="13">
        <f>IF('Données projet'!$A$140&gt;35,CT31+CS32-DB31,IF(A32&lt;'Données projet'!$A$140,$CQ$205^A32,IF(A32='Données projet'!$A$140,'Données projet'!$B$140,CT31+CS32-DB31)))</f>
        <v>78.023809523809518</v>
      </c>
      <c r="CU32" s="18">
        <f>CT32*VLOOKUP('Données projet'!$B$13,Paramètres!$A$1:$I$89,3,0)*VLOOKUP('Données projet'!$B$13,Paramètres!$A$1:$I$89,5,0)</f>
        <v>79.116142857142862</v>
      </c>
      <c r="CV32" s="14">
        <f t="shared" si="41"/>
        <v>21.920936929103938</v>
      </c>
      <c r="CW32" s="22">
        <f t="shared" si="13"/>
        <v>175.97291396104652</v>
      </c>
      <c r="CX32" s="62">
        <f t="shared" si="14"/>
        <v>469.30624729437983</v>
      </c>
      <c r="CY32" s="62">
        <f ca="1">AVERAGE(OFFSET($CX$3,0,0,'Données projet'!$E$13+1,1))-AVERAGE(OFFSET($H$3,0,0,'Données projet'!$E$13+1,1))</f>
        <v>247.92503505485405</v>
      </c>
      <c r="CZ32" s="62">
        <f t="shared" si="42"/>
        <v>148.26437652597514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2</v>
      </c>
      <c r="DO32" s="13">
        <f>IF('Données projet'!$A$166&gt;35,DO31+DN32-DW31,IF(A32&lt;'Données projet'!$A$166,$DL$205^A32,IF(A32='Données projet'!$A$166,'Données projet'!$B$166,DO31+DN32-DW31)))</f>
        <v>58</v>
      </c>
      <c r="DP32" s="18">
        <f>DO32*VLOOKUP('Données projet'!$B$14,Paramètres!$A$1:$I$89,3,0)*VLOOKUP('Données projet'!$B$14,Paramètres!$A$1:$I$89,5,0)</f>
        <v>56.0976</v>
      </c>
      <c r="DQ32" s="14">
        <f t="shared" si="43"/>
        <v>16.177791426098278</v>
      </c>
      <c r="DR32" s="22">
        <f t="shared" si="16"/>
        <v>125.87964006712117</v>
      </c>
      <c r="DS32" s="62">
        <f t="shared" si="17"/>
        <v>419.21297340045447</v>
      </c>
      <c r="DT32" s="62">
        <f ca="1">AVERAGE(OFFSET($DS$3,0,0,'Données projet'!$E$14+1,1))-AVERAGE(OFFSET($H$3,0,0,'Données projet'!$E$14+1,1))</f>
        <v>154.0837760161366</v>
      </c>
      <c r="DU32" s="62">
        <f t="shared" si="44"/>
        <v>96.484500841546037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9.9205000000000041</v>
      </c>
      <c r="EJ32" s="13">
        <f>IF('Données projet'!$A$192&gt;35,EJ31+EI32-ER31,IF(A32&lt;'Données projet'!$A$192,$EG$205^A32,IF(A32='Données projet'!$A$192,'Données projet'!$B$192,EJ31+EI32-ER31)))</f>
        <v>161.95908333333335</v>
      </c>
      <c r="EK32" s="18">
        <f>EJ32*VLOOKUP('Données projet'!$B$15,Paramètres!$A$1:$I$89,3,0)*VLOOKUP('Données projet'!$B$15,Paramètres!$A$1:$I$89,5,0)</f>
        <v>108.64215310000002</v>
      </c>
      <c r="EL32" s="14">
        <f t="shared" si="45"/>
        <v>29.010834351501387</v>
      </c>
      <c r="EM32" s="22">
        <f t="shared" si="19"/>
        <v>239.74561981136495</v>
      </c>
      <c r="EN32" s="62">
        <f t="shared" si="20"/>
        <v>533.07895314469829</v>
      </c>
      <c r="EO32" s="62">
        <f ca="1">AVERAGE(OFFSET($EN$3,0,0,'Données projet'!$E$15+1,1))-AVERAGE(OFFSET($H$3,0,0,'Données projet'!$E$15+1,1))</f>
        <v>205.35893113421139</v>
      </c>
      <c r="EP32" s="62">
        <f t="shared" si="46"/>
        <v>220.4399811285175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6.2156379910905155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6.2156379910905155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9.9205000000000041</v>
      </c>
      <c r="FE32" s="13">
        <f>IF('Données projet'!$A$218&gt;35,FE31+FD32-FM31,IF(A32&lt;'Données projet'!$A$218,$FB$205^A32,IF(A32='Données projet'!$A$218,'Données projet'!$B$218,FE31+FD32-FM31)))</f>
        <v>161.95908333333335</v>
      </c>
      <c r="FF32" s="18">
        <f>FE32*VLOOKUP('Données projet'!$B$16,Paramètres!$A$1:$I$89,3,0)*VLOOKUP('Données projet'!$B$16,Paramètres!$A$1:$I$89,5,0)</f>
        <v>126.32808500000002</v>
      </c>
      <c r="FG32" s="14">
        <f t="shared" si="47"/>
        <v>33.146477909492155</v>
      </c>
      <c r="FH32" s="22">
        <f t="shared" si="22"/>
        <v>277.75153040069887</v>
      </c>
      <c r="FI32" s="62">
        <f t="shared" si="23"/>
        <v>571.08486373403218</v>
      </c>
      <c r="FJ32" s="62">
        <f ca="1">AVERAGE(OFFSET($FI$3,0,0,'Données projet'!$E$16+1,1))-AVERAGE(OFFSET($H$3,0,0,'Données projet'!$E$16+1,1))</f>
        <v>242.81177364426878</v>
      </c>
      <c r="FK32" s="62">
        <f t="shared" si="48"/>
        <v>260.72115764896671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5.8638094255570907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5.8638094255570907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9.9205000000000041</v>
      </c>
      <c r="FZ32" s="13">
        <f>IF('Données projet'!$A$244&gt;35,FZ31+FY32-GH31,IF(A32&lt;'Données projet'!$A$244,$FW$205^A32,IF(A32='Données projet'!$A$244,'Données projet'!$B$244,FZ31+FY32-GH31)))</f>
        <v>161.95908333333335</v>
      </c>
      <c r="GA32" s="18">
        <f>FZ32*VLOOKUP('Données projet'!$B$17,Paramètres!$A$1:$I$89,3,0)*VLOOKUP('Données projet'!$B$17,Paramètres!$A$1:$I$89,5,0)</f>
        <v>128.85464670000002</v>
      </c>
      <c r="GB32" s="14">
        <f t="shared" si="49"/>
        <v>33.731565658757198</v>
      </c>
      <c r="GC32" s="22">
        <f t="shared" si="25"/>
        <v>283.17098652483548</v>
      </c>
      <c r="GD32" s="62">
        <f t="shared" si="26"/>
        <v>576.50431985816886</v>
      </c>
      <c r="GE32" s="62">
        <f ca="1">AVERAGE(OFFSET($GD$3,0,0,'Données projet'!$E$17+1,1))-AVERAGE(OFFSET($H$3,0,0,'Données projet'!$E$17+1,1))</f>
        <v>248.15263300983543</v>
      </c>
      <c r="GF32" s="62">
        <f t="shared" si="50"/>
        <v>266.46511459244618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7.372035756874797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7.372035756874797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421</v>
      </c>
      <c r="L33" s="13">
        <f>VLOOKUP(A33,'Données projet'!$A$35:$I$55,9,0)</f>
        <v>28</v>
      </c>
      <c r="M33" s="13">
        <f t="array" ref="M33">INDEX(L:L,MIN(IF(ISNUMBER(L33:L229),ROW(L33:L229),"")))</f>
        <v>28</v>
      </c>
      <c r="N33" s="14">
        <f>IF('Données projet'!$A$36&gt;35,N32+M33-V32,IF(A33&lt;'Données projet'!$A$36,$K$205^A33,IF(A33='Données projet'!$A$36,'Données projet'!$B$36,N32+M33-V32)))</f>
        <v>421</v>
      </c>
      <c r="O33" s="14">
        <f>N33*VLOOKUP('Données projet'!$B$9,Paramètres!$A$1:$I$89,3,0)*VLOOKUP('Données projet'!$B$9,Paramètres!$A$1:$I$89,5,0)</f>
        <v>235.339</v>
      </c>
      <c r="P33" s="14">
        <f t="shared" si="33"/>
        <v>57.43555185051494</v>
      </c>
      <c r="Q33" s="22">
        <f t="shared" si="2"/>
        <v>509.91567780631357</v>
      </c>
      <c r="R33" s="62">
        <f t="shared" si="0"/>
        <v>803.24901113964688</v>
      </c>
      <c r="S33" s="62">
        <f ca="1">AVERAGE(OFFSET($R$3,0,0,'Données projet'!$E$9+1,1))-AVERAGE(OFFSET($H$3,0,0,'Données projet'!$E$9+1,1))</f>
        <v>382.55387448074327</v>
      </c>
      <c r="T33" s="62">
        <f t="shared" si="34"/>
        <v>476.29465646955543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0.38500000000000001</v>
      </c>
      <c r="X33" s="17">
        <f>IF(ISNA(VLOOKUP(A33,'Données projet'!$A$35:$I$55,6,0)),0%,VLOOKUP(A33,'Données projet'!$A$35:$I$55,6,0)*VLOOKUP('Données projet'!$B$9,Paramètres!$A$1:$I$89,7,0))</f>
        <v>9.240000000000001E-2</v>
      </c>
      <c r="Y33" s="17">
        <f>IF(ISNA(VLOOKUP(A33,'Données projet'!$A$35:$I$55,7,0)),0%,VLOOKUP(A33,'Données projet'!$A$35:$I$55,7,0))</f>
        <v>0.13200000000000001</v>
      </c>
      <c r="Z33" s="23">
        <f>EXP(-LN(2)/35)*Z32+(1-EXP(-LN(2)/35))/(LN(2)/35)*V33*W33*VLOOKUP('Données projet'!$B$9,Paramètres!$A$1:$I$89,3,0)*0.475*44/12</f>
        <v>15.416814740980714</v>
      </c>
      <c r="AA33" s="23">
        <f>EXP(-LN(2)/25)*AA32+(1-EXP(-LN(2)/25))/(LN(2)/25)*Calculateur!V33*Calculateur!X33*VLOOKUP('Données projet'!$B$9,Paramètres!$A$1:$I$89,3,0)*0.475*44/12</f>
        <v>14.380085253278102</v>
      </c>
      <c r="AB33" s="23">
        <f>EXP(-LN(2)/2)*AB32+(1-EXP(-LN(2)/2))/(LN(2)/2)*V33*Y33*VLOOKUP('Données projet'!$B$9,Paramètres!$A$1:$I$89,3,0)*0.475*44/12</f>
        <v>7.1698290755011582</v>
      </c>
      <c r="AC33" s="24">
        <f t="shared" si="3"/>
        <v>36.966729069759971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583</v>
      </c>
      <c r="AG33" s="13">
        <f>VLOOKUP(A33,'Données projet'!$A$61:$I$81,9,0)</f>
        <v>26.666666666666668</v>
      </c>
      <c r="AH33" s="13">
        <f t="array" ref="AH33">INDEX(AG:AG,MIN(IF(ISNUMBER(AG33:AG229),ROW(AG33:AG229),"")))</f>
        <v>26.666666666666668</v>
      </c>
      <c r="AI33" s="14">
        <f>IF('Données projet'!$A$62&gt;35,AI32+AH33-AQ32,IF(A33&lt;'Données projet'!$A$62,$AF$205^A33,IF(A33='Données projet'!$A$62,'Données projet'!$B$62,AI32+AH33-AQ32)))</f>
        <v>582.99999999999989</v>
      </c>
      <c r="AJ33" s="14">
        <f>AI33*VLOOKUP('Données projet'!$B$10,Paramètres!$A$1:$I$89,3,0)*VLOOKUP('Données projet'!$B$10,Paramètres!$A$1:$I$89,5,0)</f>
        <v>363.79199999999992</v>
      </c>
      <c r="AK33" s="14">
        <f t="shared" si="35"/>
        <v>84.396007741478613</v>
      </c>
      <c r="AL33" s="22">
        <f t="shared" si="4"/>
        <v>780.59411348307503</v>
      </c>
      <c r="AM33" s="62">
        <f t="shared" si="5"/>
        <v>1073.9274468164083</v>
      </c>
      <c r="AN33" s="62">
        <f ca="1">AVERAGE(OFFSET($AM$3,0,0,'Données projet'!$E$10+1,1))-AVERAGE(OFFSET($H$3,0,0,'Données projet'!$E$10+1,1))</f>
        <v>482.28841373508675</v>
      </c>
      <c r="AO33" s="62">
        <f t="shared" si="36"/>
        <v>746.97309214631684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107</v>
      </c>
      <c r="AR33" s="17">
        <f>IF(ISNA(VLOOKUP(A33,'Données projet'!$A$61:$I$81,5,0)),0%,VLOOKUP(A33,'Données projet'!$A$61:$I$81,5,0)*VLOOKUP('Données projet'!$B$10,Paramètres!$A$1:$I$89,7,0))</f>
        <v>0.42</v>
      </c>
      <c r="AS33" s="17">
        <f>IF(ISNA(VLOOKUP(A33,'Données projet'!$A$61:$I$81,6,0)),0%,VLOOKUP(A33,'Données projet'!$A$61:$I$81,6,0)*VLOOKUP('Données projet'!$B$10,Paramètres!$A$1:$I$89,7,0))</f>
        <v>0.1008</v>
      </c>
      <c r="AT33" s="17">
        <f>IF(ISNA(VLOOKUP(A33,'Données projet'!$A$61:$I$81,7,0)),0%,VLOOKUP(A33,'Données projet'!$A$61:$I$81,7,0))</f>
        <v>0.13200000000000001</v>
      </c>
      <c r="AU33" s="23">
        <f>EXP(-LN(2)/35)*AU32+(1-EXP(-LN(2)/35))/(LN(2)/35)*AQ33*AR33*VLOOKUP('Données projet'!$B$10,Paramètres!$A$1:$I$89,3,0)*0.475*44/12</f>
        <v>37.200263335530629</v>
      </c>
      <c r="AV33" s="23">
        <f>EXP(-LN(2)/25)*AV32+(1-EXP(-LN(2)/25))/(LN(2)/25)*Calculateur!AQ33*Calculateur!AS33*VLOOKUP('Données projet'!$B$10,Paramètres!$A$1:$I$89,3,0)*0.475*44/12</f>
        <v>8.8929100138480948</v>
      </c>
      <c r="AW33" s="23">
        <f>EXP(-LN(2)/2)*AW32+(1-EXP(-LN(2)/2))/(LN(2)/2)*AQ33*AT33*VLOOKUP('Données projet'!$B$10,Paramètres!$A$1:$I$89,3,0)*0.475*44/12</f>
        <v>9.978788957444614</v>
      </c>
      <c r="AX33" s="23">
        <f t="shared" si="6"/>
        <v>56.071962306823337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583</v>
      </c>
      <c r="BB33" s="13">
        <f>VLOOKUP(A33,'Données projet'!$A$87:$I$107,9,0)</f>
        <v>26.666666666666668</v>
      </c>
      <c r="BC33" s="13">
        <f t="array" ref="BC33">INDEX(BB:BB,MIN(IF(ISNUMBER(BB33:BB229),ROW(BB33:BB229),"")))</f>
        <v>26.666666666666668</v>
      </c>
      <c r="BD33" s="13">
        <f>IF('Données projet'!$A$88&gt;35,BD32+BC33-BL32,IF(A33&lt;'Données projet'!$A$88,$BA$205^A33,IF(A33='Données projet'!$A$88,'Données projet'!$B$88,BD32+BC33-BL32)))</f>
        <v>582.99999999999989</v>
      </c>
      <c r="BE33" s="14">
        <f>BD33*VLOOKUP('Données projet'!$B$11,Paramètres!$A$1:$I$89,3,0)*VLOOKUP('Données projet'!$B$11,Paramètres!$A$1:$I$89,5,0)</f>
        <v>318.31799999999993</v>
      </c>
      <c r="BF33" s="14">
        <f t="shared" si="37"/>
        <v>75.003273580132586</v>
      </c>
      <c r="BG33" s="22">
        <f t="shared" si="7"/>
        <v>685.03455148539751</v>
      </c>
      <c r="BH33" s="62">
        <f t="shared" si="8"/>
        <v>978.36788481873077</v>
      </c>
      <c r="BI33" s="62">
        <f ca="1">AVERAGE(OFFSET($BH$3,0,0,'Données projet'!$E$11+1,1))-AVERAGE(OFFSET($H$3,0,0,'Données projet'!$E$11+1,1))</f>
        <v>417.99456559608217</v>
      </c>
      <c r="BJ33" s="62">
        <f t="shared" si="38"/>
        <v>651.41353014863932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107</v>
      </c>
      <c r="BM33" s="17">
        <f>IF(ISNA(VLOOKUP(A33,'Données projet'!$A$87:$I$107,5,0)),0%,VLOOKUP(A33,'Données projet'!$A$87:$I$107,5,0)*VLOOKUP('Données projet'!$B$11,Paramètres!$A$1:$I$89,7,0))</f>
        <v>0.42</v>
      </c>
      <c r="BN33" s="17">
        <f>IF(ISNA(VLOOKUP(A33,'Données projet'!$A$87:$I$107,6,0)),0%,VLOOKUP(A33,'Données projet'!$A$87:$I$107,6,0)*VLOOKUP('Données projet'!$B$11,Paramètres!$A$1:$I$89,7,0))</f>
        <v>0.10200000000000001</v>
      </c>
      <c r="BO33" s="17">
        <f>IF(ISNA(VLOOKUP(A33,'Données projet'!$A$87:$I$107,7,0)),0%,VLOOKUP(A33,'Données projet'!$A$87:$I$107,7,0))</f>
        <v>0.13</v>
      </c>
      <c r="BP33" s="23">
        <f>EXP(-LN(2)/35)*BP32+(1-EXP(-LN(2)/35))/(LN(2)/35)*BL33*BM33*VLOOKUP('Données projet'!$B$11,Paramètres!$A$1:$I$89,3,0)*0.475*44/12</f>
        <v>32.550230418589294</v>
      </c>
      <c r="BQ33" s="23">
        <f>EXP(-LN(2)/25)*BQ32+(1-EXP(-LN(2)/25))/(LN(2)/25)*Calculateur!BL33*Calculateur!BN33*VLOOKUP('Données projet'!$B$11,Paramètres!$A$1:$I$89,3,0)*0.475*44/12</f>
        <v>7.8739307414280022</v>
      </c>
      <c r="BR33" s="23">
        <f>EXP(-LN(2)/2)*BR32+(1-EXP(-LN(2)/2))/(LN(2)/2)*BL33*BO33*VLOOKUP('Données projet'!$B$11,Paramètres!$A$1:$I$89,3,0)*0.475*44/12</f>
        <v>8.5991457871918531</v>
      </c>
      <c r="BS33" s="24">
        <f t="shared" si="9"/>
        <v>49.02330694720915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2.6904761904761907</v>
      </c>
      <c r="BY33" s="13">
        <f>IF('Données projet'!$A$114&gt;35,BY32+BX33-CG32,IF(A33&lt;'Données projet'!$A$114,$BV$205^A33,IF(A33='Données projet'!$A$114,'Données projet'!$B$114,BY32+BX33-CG32)))</f>
        <v>80.714285714285708</v>
      </c>
      <c r="BZ33" s="14">
        <f>BY33*VLOOKUP('Données projet'!$B$12,Paramètres!$A$1:$I$89,3,0)*VLOOKUP('Données projet'!$B$12,Paramètres!$A$1:$I$89,5,0)</f>
        <v>73.030285714285711</v>
      </c>
      <c r="CA33" s="14">
        <f t="shared" si="39"/>
        <v>20.424118211245272</v>
      </c>
      <c r="CB33" s="22">
        <f t="shared" si="10"/>
        <v>162.76642017029977</v>
      </c>
      <c r="CC33" s="62">
        <f t="shared" si="11"/>
        <v>456.09975350363311</v>
      </c>
      <c r="CD33" s="62">
        <f ca="1">AVERAGE(OFFSET($CC$3,0,0,'Données projet'!$E$12+1,1))-AVERAGE(OFFSET($H$3,0,0,'Données projet'!$E$12+1,1))</f>
        <v>213.07277043804817</v>
      </c>
      <c r="CE33" s="62">
        <f t="shared" si="40"/>
        <v>129.14539883354166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2.6904761904761907</v>
      </c>
      <c r="CT33" s="13">
        <f>IF('Données projet'!$A$140&gt;35,CT32+CS33-DB32,IF(A33&lt;'Données projet'!$A$140,$CQ$205^A33,IF(A33='Données projet'!$A$140,'Données projet'!$B$140,CT32+CS33-DB32)))</f>
        <v>80.714285714285708</v>
      </c>
      <c r="CU33" s="18">
        <f>CT33*VLOOKUP('Données projet'!$B$13,Paramètres!$A$1:$I$89,3,0)*VLOOKUP('Données projet'!$B$13,Paramètres!$A$1:$I$89,5,0)</f>
        <v>81.844285714285718</v>
      </c>
      <c r="CV33" s="14">
        <f t="shared" si="41"/>
        <v>22.587521671015683</v>
      </c>
      <c r="CW33" s="22">
        <f t="shared" si="13"/>
        <v>181.88539786273327</v>
      </c>
      <c r="CX33" s="62">
        <f t="shared" si="14"/>
        <v>475.21873119606659</v>
      </c>
      <c r="CY33" s="62">
        <f ca="1">AVERAGE(OFFSET($CX$3,0,0,'Données projet'!$E$13+1,1))-AVERAGE(OFFSET($H$3,0,0,'Données projet'!$E$13+1,1))</f>
        <v>247.92503505485405</v>
      </c>
      <c r="CZ33" s="62">
        <f t="shared" si="42"/>
        <v>148.26437652597514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2</v>
      </c>
      <c r="DO33" s="13">
        <f>IF('Données projet'!$A$166&gt;35,DO32+DN33-DW32,IF(A33&lt;'Données projet'!$A$166,$DL$205^A33,IF(A33='Données projet'!$A$166,'Données projet'!$B$166,DO32+DN33-DW32)))</f>
        <v>60</v>
      </c>
      <c r="DP33" s="18">
        <f>DO33*VLOOKUP('Données projet'!$B$14,Paramètres!$A$1:$I$89,3,0)*VLOOKUP('Données projet'!$B$14,Paramètres!$A$1:$I$89,5,0)</f>
        <v>58.032000000000004</v>
      </c>
      <c r="DQ33" s="14">
        <f t="shared" si="43"/>
        <v>16.669735221992795</v>
      </c>
      <c r="DR33" s="22">
        <f t="shared" si="16"/>
        <v>130.10552217830414</v>
      </c>
      <c r="DS33" s="62">
        <f t="shared" si="17"/>
        <v>423.43885551163748</v>
      </c>
      <c r="DT33" s="62">
        <f ca="1">AVERAGE(OFFSET($DS$3,0,0,'Données projet'!$E$14+1,1))-AVERAGE(OFFSET($H$3,0,0,'Données projet'!$E$14+1,1))</f>
        <v>154.0837760161366</v>
      </c>
      <c r="DU33" s="62">
        <f t="shared" si="44"/>
        <v>96.484500841546037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9.9205000000000041</v>
      </c>
      <c r="EJ33" s="13">
        <f>IF('Données projet'!$A$192&gt;35,EJ32+EI33-ER32,IF(A33&lt;'Données projet'!$A$192,$EG$205^A33,IF(A33='Données projet'!$A$192,'Données projet'!$B$192,EJ32+EI33-ER32)))</f>
        <v>171.87958333333336</v>
      </c>
      <c r="EK33" s="18">
        <f>EJ33*VLOOKUP('Données projet'!$B$15,Paramètres!$A$1:$I$89,3,0)*VLOOKUP('Données projet'!$B$15,Paramètres!$A$1:$I$89,5,0)</f>
        <v>115.29682450000003</v>
      </c>
      <c r="EL33" s="14">
        <f t="shared" si="45"/>
        <v>30.575521413076903</v>
      </c>
      <c r="EM33" s="22">
        <f t="shared" si="19"/>
        <v>254.06100246527566</v>
      </c>
      <c r="EN33" s="62">
        <f t="shared" si="20"/>
        <v>547.39433579860895</v>
      </c>
      <c r="EO33" s="62">
        <f ca="1">AVERAGE(OFFSET($EN$3,0,0,'Données projet'!$E$15+1,1))-AVERAGE(OFFSET($H$3,0,0,'Données projet'!$E$15+1,1))</f>
        <v>205.35893113421139</v>
      </c>
      <c r="EP33" s="62">
        <f t="shared" si="46"/>
        <v>220.4399811285175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6.0937531212500584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6.0937531212500584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9.9205000000000041</v>
      </c>
      <c r="FE33" s="13">
        <f>IF('Données projet'!$A$218&gt;35,FE32+FD33-FM32,IF(A33&lt;'Données projet'!$A$218,$FB$205^A33,IF(A33='Données projet'!$A$218,'Données projet'!$B$218,FE32+FD33-FM32)))</f>
        <v>171.87958333333336</v>
      </c>
      <c r="FF33" s="18">
        <f>FE33*VLOOKUP('Données projet'!$B$16,Paramètres!$A$1:$I$89,3,0)*VLOOKUP('Données projet'!$B$16,Paramètres!$A$1:$I$89,5,0)</f>
        <v>134.06607500000001</v>
      </c>
      <c r="FG33" s="14">
        <f t="shared" si="47"/>
        <v>34.934219154483166</v>
      </c>
      <c r="FH33" s="22">
        <f t="shared" si="22"/>
        <v>294.34217898572484</v>
      </c>
      <c r="FI33" s="62">
        <f t="shared" si="23"/>
        <v>587.67551231905816</v>
      </c>
      <c r="FJ33" s="62">
        <f ca="1">AVERAGE(OFFSET($FI$3,0,0,'Données projet'!$E$16+1,1))-AVERAGE(OFFSET($H$3,0,0,'Données projet'!$E$16+1,1))</f>
        <v>242.81177364426878</v>
      </c>
      <c r="FK33" s="62">
        <f t="shared" si="48"/>
        <v>260.72115764896671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5.748823699292509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5.748823699292509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9.9205000000000041</v>
      </c>
      <c r="FZ33" s="13">
        <f>IF('Données projet'!$A$244&gt;35,FZ32+FY33-GH32,IF(A33&lt;'Données projet'!$A$244,$FW$205^A33,IF(A33='Données projet'!$A$244,'Données projet'!$B$244,FZ32+FY33-GH32)))</f>
        <v>171.87958333333336</v>
      </c>
      <c r="GA33" s="18">
        <f>FZ33*VLOOKUP('Données projet'!$B$17,Paramètres!$A$1:$I$89,3,0)*VLOOKUP('Données projet'!$B$17,Paramètres!$A$1:$I$89,5,0)</f>
        <v>136.74739650000001</v>
      </c>
      <c r="GB33" s="14">
        <f t="shared" si="49"/>
        <v>35.550863363657946</v>
      </c>
      <c r="GC33" s="22">
        <f t="shared" si="25"/>
        <v>300.08613592920426</v>
      </c>
      <c r="GD33" s="62">
        <f t="shared" si="26"/>
        <v>593.41946926253763</v>
      </c>
      <c r="GE33" s="62">
        <f ca="1">AVERAGE(OFFSET($GD$3,0,0,'Données projet'!$E$17+1,1))-AVERAGE(OFFSET($H$3,0,0,'Données projet'!$E$17+1,1))</f>
        <v>248.15263300983543</v>
      </c>
      <c r="GF33" s="62">
        <f t="shared" si="50"/>
        <v>266.46511459244618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7.2274746321803018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7.2274746321803018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27.6</v>
      </c>
      <c r="N34" s="14">
        <f>IF('Données projet'!$A$36&gt;35,N33+M34-V33,IF(A34&lt;'Données projet'!$A$36,$K$205^A34,IF(A34='Données projet'!$A$36,'Données projet'!$B$36,N33+M34-V33)))</f>
        <v>394.6</v>
      </c>
      <c r="O34" s="14">
        <f>N34*VLOOKUP('Données projet'!$B$9,Paramètres!$A$1:$I$89,3,0)*VLOOKUP('Données projet'!$B$9,Paramètres!$A$1:$I$89,5,0)</f>
        <v>220.5814</v>
      </c>
      <c r="P34" s="14">
        <f t="shared" si="33"/>
        <v>54.241230721401301</v>
      </c>
      <c r="Q34" s="22">
        <f t="shared" si="2"/>
        <v>478.64941517310723</v>
      </c>
      <c r="R34" s="62">
        <f t="shared" si="0"/>
        <v>771.98274850644054</v>
      </c>
      <c r="S34" s="62">
        <f ca="1">AVERAGE(OFFSET($R$3,0,0,'Données projet'!$E$9+1,1))-AVERAGE(OFFSET($H$3,0,0,'Données projet'!$E$9+1,1))</f>
        <v>382.55387448074327</v>
      </c>
      <c r="T34" s="62">
        <f t="shared" si="34"/>
        <v>476.29465646955543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15.114500407238573</v>
      </c>
      <c r="AA34" s="23">
        <f>EXP(-LN(2)/25)*AA33+(1-EXP(-LN(2)/25))/(LN(2)/25)*Calculateur!V34*Calculateur!X34*VLOOKUP('Données projet'!$B$9,Paramètres!$A$1:$I$89,3,0)*0.475*44/12</f>
        <v>13.986861065811395</v>
      </c>
      <c r="AB34" s="23">
        <f>EXP(-LN(2)/2)*AB33+(1-EXP(-LN(2)/2))/(LN(2)/2)*V34*Y34*VLOOKUP('Données projet'!$B$9,Paramètres!$A$1:$I$89,3,0)*0.475*44/12</f>
        <v>5.0698347592353441</v>
      </c>
      <c r="AC34" s="24">
        <f t="shared" si="3"/>
        <v>34.171196232285311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24.166666666666668</v>
      </c>
      <c r="AI34" s="14">
        <f>IF('Données projet'!$A$62&gt;35,AI33+AH34-AQ33,IF(A34&lt;'Données projet'!$A$62,$AF$205^A34,IF(A34='Données projet'!$A$62,'Données projet'!$B$62,AI33+AH34-AQ33)))</f>
        <v>500.16666666666652</v>
      </c>
      <c r="AJ34" s="14">
        <f>AI34*VLOOKUP('Données projet'!$B$10,Paramètres!$A$1:$I$89,3,0)*VLOOKUP('Données projet'!$B$10,Paramètres!$A$1:$I$89,5,0)</f>
        <v>312.10399999999993</v>
      </c>
      <c r="AK34" s="14">
        <f t="shared" si="35"/>
        <v>73.708055983546572</v>
      </c>
      <c r="AL34" s="22">
        <f t="shared" si="4"/>
        <v>671.9559975046767</v>
      </c>
      <c r="AM34" s="62">
        <f t="shared" si="5"/>
        <v>965.28933083801007</v>
      </c>
      <c r="AN34" s="62">
        <f ca="1">AVERAGE(OFFSET($AM$3,0,0,'Données projet'!$E$10+1,1))-AVERAGE(OFFSET($H$3,0,0,'Données projet'!$E$10+1,1))</f>
        <v>482.28841373508675</v>
      </c>
      <c r="AO34" s="62">
        <f t="shared" si="36"/>
        <v>746.97309214631684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36.470788861441065</v>
      </c>
      <c r="AV34" s="23">
        <f>EXP(-LN(2)/25)*AV33+(1-EXP(-LN(2)/25))/(LN(2)/25)*Calculateur!AQ34*Calculateur!AS34*VLOOKUP('Données projet'!$B$10,Paramètres!$A$1:$I$89,3,0)*0.475*44/12</f>
        <v>8.6497329218616059</v>
      </c>
      <c r="AW34" s="23">
        <f>EXP(-LN(2)/2)*AW33+(1-EXP(-LN(2)/2))/(LN(2)/2)*AQ34*AT34*VLOOKUP('Données projet'!$B$10,Paramètres!$A$1:$I$89,3,0)*0.475*44/12</f>
        <v>7.0560693398385261</v>
      </c>
      <c r="AX34" s="23">
        <f t="shared" si="6"/>
        <v>52.176591123141193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24.166666666666668</v>
      </c>
      <c r="BD34" s="13">
        <f>IF('Données projet'!$A$88&gt;35,BD33+BC34-BL33,IF(A34&lt;'Données projet'!$A$88,$BA$205^A34,IF(A34='Données projet'!$A$88,'Données projet'!$B$88,BD33+BC34-BL33)))</f>
        <v>500.16666666666652</v>
      </c>
      <c r="BE34" s="14">
        <f>BD34*VLOOKUP('Données projet'!$B$11,Paramètres!$A$1:$I$89,3,0)*VLOOKUP('Données projet'!$B$11,Paramètres!$A$1:$I$89,5,0)</f>
        <v>273.09099999999995</v>
      </c>
      <c r="BF34" s="14">
        <f t="shared" si="37"/>
        <v>65.504822276997572</v>
      </c>
      <c r="BG34" s="22">
        <f t="shared" si="7"/>
        <v>589.72105713243729</v>
      </c>
      <c r="BH34" s="62">
        <f t="shared" si="8"/>
        <v>883.05439046577067</v>
      </c>
      <c r="BI34" s="62">
        <f ca="1">AVERAGE(OFFSET($BH$3,0,0,'Données projet'!$E$11+1,1))-AVERAGE(OFFSET($H$3,0,0,'Données projet'!$E$11+1,1))</f>
        <v>417.99456559608217</v>
      </c>
      <c r="BJ34" s="62">
        <f t="shared" si="38"/>
        <v>651.41353014863932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31.911940253760925</v>
      </c>
      <c r="BQ34" s="23">
        <f>EXP(-LN(2)/25)*BQ33+(1-EXP(-LN(2)/25))/(LN(2)/25)*Calculateur!BL34*Calculateur!BN34*VLOOKUP('Données projet'!$B$11,Paramètres!$A$1:$I$89,3,0)*0.475*44/12</f>
        <v>7.6586176912316315</v>
      </c>
      <c r="BR34" s="23">
        <f>EXP(-LN(2)/2)*BR33+(1-EXP(-LN(2)/2))/(LN(2)/2)*BL34*BO34*VLOOKUP('Données projet'!$B$11,Paramètres!$A$1:$I$89,3,0)*0.475*44/12</f>
        <v>6.0805142985350917</v>
      </c>
      <c r="BS34" s="24">
        <f t="shared" si="9"/>
        <v>45.651072243527651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2.6904761904761907</v>
      </c>
      <c r="BY34" s="13">
        <f>IF('Données projet'!$A$114&gt;35,BY33+BX34-CG33,IF(A34&lt;'Données projet'!$A$114,$BV$205^A34,IF(A34='Données projet'!$A$114,'Données projet'!$B$114,BY33+BX34-CG33)))</f>
        <v>83.404761904761898</v>
      </c>
      <c r="BZ34" s="14">
        <f>BY34*VLOOKUP('Données projet'!$B$12,Paramètres!$A$1:$I$89,3,0)*VLOOKUP('Données projet'!$B$12,Paramètres!$A$1:$I$89,5,0)</f>
        <v>75.464628571428563</v>
      </c>
      <c r="CA34" s="14">
        <f t="shared" si="39"/>
        <v>21.024523775886198</v>
      </c>
      <c r="CB34" s="22">
        <f t="shared" si="10"/>
        <v>168.05194033823986</v>
      </c>
      <c r="CC34" s="62">
        <f t="shared" si="11"/>
        <v>461.38527367157315</v>
      </c>
      <c r="CD34" s="62">
        <f ca="1">AVERAGE(OFFSET($CC$3,0,0,'Données projet'!$E$12+1,1))-AVERAGE(OFFSET($H$3,0,0,'Données projet'!$E$12+1,1))</f>
        <v>213.07277043804817</v>
      </c>
      <c r="CE34" s="62">
        <f t="shared" si="40"/>
        <v>129.14539883354166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2.6904761904761907</v>
      </c>
      <c r="CT34" s="13">
        <f>IF('Données projet'!$A$140&gt;35,CT33+CS34-DB33,IF(A34&lt;'Données projet'!$A$140,$CQ$205^A34,IF(A34='Données projet'!$A$140,'Données projet'!$B$140,CT33+CS34-DB33)))</f>
        <v>83.404761904761898</v>
      </c>
      <c r="CU34" s="18">
        <f>CT34*VLOOKUP('Données projet'!$B$13,Paramètres!$A$1:$I$89,3,0)*VLOOKUP('Données projet'!$B$13,Paramètres!$A$1:$I$89,5,0)</f>
        <v>84.572428571428574</v>
      </c>
      <c r="CV34" s="14">
        <f t="shared" si="41"/>
        <v>23.251524570061715</v>
      </c>
      <c r="CW34" s="22">
        <f t="shared" si="13"/>
        <v>187.79338505476224</v>
      </c>
      <c r="CX34" s="62">
        <f t="shared" si="14"/>
        <v>481.12671838809558</v>
      </c>
      <c r="CY34" s="62">
        <f ca="1">AVERAGE(OFFSET($CX$3,0,0,'Données projet'!$E$13+1,1))-AVERAGE(OFFSET($H$3,0,0,'Données projet'!$E$13+1,1))</f>
        <v>247.92503505485405</v>
      </c>
      <c r="CZ34" s="62">
        <f t="shared" si="42"/>
        <v>148.26437652597514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2</v>
      </c>
      <c r="DO34" s="13">
        <f>IF('Données projet'!$A$166&gt;35,DO33+DN34-DW33,IF(A34&lt;'Données projet'!$A$166,$DL$205^A34,IF(A34='Données projet'!$A$166,'Données projet'!$B$166,DO33+DN34-DW33)))</f>
        <v>62</v>
      </c>
      <c r="DP34" s="18">
        <f>DO34*VLOOKUP('Données projet'!$B$14,Paramètres!$A$1:$I$89,3,0)*VLOOKUP('Données projet'!$B$14,Paramètres!$A$1:$I$89,5,0)</f>
        <v>59.9664</v>
      </c>
      <c r="DQ34" s="14">
        <f t="shared" si="43"/>
        <v>17.159773601366503</v>
      </c>
      <c r="DR34" s="22">
        <f t="shared" si="16"/>
        <v>134.32808568904667</v>
      </c>
      <c r="DS34" s="62">
        <f t="shared" si="17"/>
        <v>427.66141902237996</v>
      </c>
      <c r="DT34" s="62">
        <f ca="1">AVERAGE(OFFSET($DS$3,0,0,'Données projet'!$E$14+1,1))-AVERAGE(OFFSET($H$3,0,0,'Données projet'!$E$14+1,1))</f>
        <v>154.0837760161366</v>
      </c>
      <c r="DU34" s="62">
        <f t="shared" si="44"/>
        <v>96.484500841546037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9.9205000000000041</v>
      </c>
      <c r="EJ34" s="13">
        <f>IF('Données projet'!$A$192&gt;35,EJ33+EI34-ER33,IF(A34&lt;'Données projet'!$A$192,$EG$205^A34,IF(A34='Données projet'!$A$192,'Données projet'!$B$192,EJ33+EI34-ER33)))</f>
        <v>181.80008333333336</v>
      </c>
      <c r="EK34" s="18">
        <f>EJ34*VLOOKUP('Données projet'!$B$15,Paramètres!$A$1:$I$89,3,0)*VLOOKUP('Données projet'!$B$15,Paramètres!$A$1:$I$89,5,0)</f>
        <v>121.95149590000003</v>
      </c>
      <c r="EL34" s="14">
        <f t="shared" si="45"/>
        <v>32.129725457995363</v>
      </c>
      <c r="EM34" s="22">
        <f t="shared" si="19"/>
        <v>268.35812719850861</v>
      </c>
      <c r="EN34" s="62">
        <f t="shared" si="20"/>
        <v>561.69146053184193</v>
      </c>
      <c r="EO34" s="62">
        <f ca="1">AVERAGE(OFFSET($EN$3,0,0,'Données projet'!$E$15+1,1))-AVERAGE(OFFSET($H$3,0,0,'Données projet'!$E$15+1,1))</f>
        <v>205.35893113421139</v>
      </c>
      <c r="EP34" s="62">
        <f t="shared" si="46"/>
        <v>220.4399811285175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5.9742583393647433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5.9742583393647433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9.9205000000000041</v>
      </c>
      <c r="FE34" s="13">
        <f>IF('Données projet'!$A$218&gt;35,FE33+FD34-FM33,IF(A34&lt;'Données projet'!$A$218,$FB$205^A34,IF(A34='Données projet'!$A$218,'Données projet'!$B$218,FE33+FD34-FM33)))</f>
        <v>181.80008333333336</v>
      </c>
      <c r="FF34" s="18">
        <f>FE34*VLOOKUP('Données projet'!$B$16,Paramètres!$A$1:$I$89,3,0)*VLOOKUP('Données projet'!$B$16,Paramètres!$A$1:$I$89,5,0)</f>
        <v>141.80406500000004</v>
      </c>
      <c r="FG34" s="14">
        <f t="shared" si="47"/>
        <v>36.709982974907966</v>
      </c>
      <c r="FH34" s="22">
        <f t="shared" si="22"/>
        <v>310.9119668896314</v>
      </c>
      <c r="FI34" s="62">
        <f t="shared" si="23"/>
        <v>604.24530022296472</v>
      </c>
      <c r="FJ34" s="62">
        <f ca="1">AVERAGE(OFFSET($FI$3,0,0,'Données projet'!$E$16+1,1))-AVERAGE(OFFSET($H$3,0,0,'Données projet'!$E$16+1,1))</f>
        <v>242.81177364426878</v>
      </c>
      <c r="FK34" s="62">
        <f t="shared" si="48"/>
        <v>260.72115764896671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5.6360927729856076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5.6360927729856076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9.9205000000000041</v>
      </c>
      <c r="FZ34" s="13">
        <f>IF('Données projet'!$A$244&gt;35,FZ33+FY34-GH33,IF(A34&lt;'Données projet'!$A$244,$FW$205^A34,IF(A34='Données projet'!$A$244,'Données projet'!$B$244,FZ33+FY34-GH33)))</f>
        <v>181.80008333333336</v>
      </c>
      <c r="GA34" s="18">
        <f>FZ34*VLOOKUP('Données projet'!$B$17,Paramètres!$A$1:$I$89,3,0)*VLOOKUP('Données projet'!$B$17,Paramètres!$A$1:$I$89,5,0)</f>
        <v>144.64014630000003</v>
      </c>
      <c r="GB34" s="14">
        <f t="shared" si="49"/>
        <v>37.357972223509158</v>
      </c>
      <c r="GC34" s="22">
        <f t="shared" si="25"/>
        <v>316.98005642844515</v>
      </c>
      <c r="GD34" s="62">
        <f t="shared" si="26"/>
        <v>610.31338976177847</v>
      </c>
      <c r="GE34" s="62">
        <f ca="1">AVERAGE(OFFSET($GD$3,0,0,'Données projet'!$E$17+1,1))-AVERAGE(OFFSET($H$3,0,0,'Données projet'!$E$17+1,1))</f>
        <v>248.15263300983543</v>
      </c>
      <c r="GF34" s="62">
        <f t="shared" si="50"/>
        <v>266.46511459244618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7.0857482629674857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7.0857482629674857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27.6</v>
      </c>
      <c r="N35" s="14">
        <f>IF('Données projet'!$A$36&gt;35,N34+M35-V34,IF(A35&lt;'Données projet'!$A$36,$K$205^A35,IF(A35='Données projet'!$A$36,'Données projet'!$B$36,N34+M35-V34)))</f>
        <v>422.20000000000005</v>
      </c>
      <c r="O35" s="14">
        <f>N35*VLOOKUP('Données projet'!$B$9,Paramètres!$A$1:$I$89,3,0)*VLOOKUP('Données projet'!$B$9,Paramètres!$A$1:$I$89,5,0)</f>
        <v>236.00980000000004</v>
      </c>
      <c r="P35" s="14">
        <f t="shared" si="33"/>
        <v>57.580183613654185</v>
      </c>
      <c r="Q35" s="22">
        <f t="shared" ref="Q35:Q66" si="53">(O35+P35)*0.475*44/12</f>
        <v>511.3358881271144</v>
      </c>
      <c r="R35" s="62">
        <f t="shared" si="0"/>
        <v>804.66922146044772</v>
      </c>
      <c r="S35" s="62">
        <f ca="1">AVERAGE(OFFSET($R$3,0,0,'Données projet'!$E$9+1,1))-AVERAGE(OFFSET($H$3,0,0,'Données projet'!$E$9+1,1))</f>
        <v>382.55387448074327</v>
      </c>
      <c r="T35" s="62">
        <f t="shared" si="34"/>
        <v>476.29465646955543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14.818114273187579</v>
      </c>
      <c r="AA35" s="23">
        <f>EXP(-LN(2)/25)*AA34+(1-EXP(-LN(2)/25))/(LN(2)/25)*Calculateur!V35*Calculateur!X35*VLOOKUP('Données projet'!$B$9,Paramètres!$A$1:$I$89,3,0)*0.475*44/12</f>
        <v>13.604389614429726</v>
      </c>
      <c r="AB35" s="23">
        <f>EXP(-LN(2)/2)*AB34+(1-EXP(-LN(2)/2))/(LN(2)/2)*V35*Y35*VLOOKUP('Données projet'!$B$9,Paramètres!$A$1:$I$89,3,0)*0.475*44/12</f>
        <v>3.5849145377505796</v>
      </c>
      <c r="AC35" s="24">
        <f t="shared" si="3"/>
        <v>32.007418425367881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24.166666666666668</v>
      </c>
      <c r="AI35" s="14">
        <f>IF('Données projet'!$A$62&gt;35,AI34+AH35-AQ34,IF(A35&lt;'Données projet'!$A$62,$AF$205^A35,IF(A35='Données projet'!$A$62,'Données projet'!$B$62,AI34+AH35-AQ34)))</f>
        <v>524.33333333333314</v>
      </c>
      <c r="AJ35" s="14">
        <f>AI35*VLOOKUP('Données projet'!$B$10,Paramètres!$A$1:$I$89,3,0)*VLOOKUP('Données projet'!$B$10,Paramètres!$A$1:$I$89,5,0)</f>
        <v>327.18399999999986</v>
      </c>
      <c r="AK35" s="14">
        <f t="shared" si="35"/>
        <v>76.846187648536301</v>
      </c>
      <c r="AL35" s="22">
        <f t="shared" si="4"/>
        <v>703.68591015453387</v>
      </c>
      <c r="AM35" s="62">
        <f t="shared" si="5"/>
        <v>997.01924348786724</v>
      </c>
      <c r="AN35" s="62">
        <f ca="1">AVERAGE(OFFSET($AM$3,0,0,'Données projet'!$E$10+1,1))-AVERAGE(OFFSET($H$3,0,0,'Données projet'!$E$10+1,1))</f>
        <v>482.28841373508675</v>
      </c>
      <c r="AO35" s="62">
        <f t="shared" si="36"/>
        <v>746.97309214631684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35.755618936852905</v>
      </c>
      <c r="AV35" s="23">
        <f>EXP(-LN(2)/25)*AV34+(1-EXP(-LN(2)/25))/(LN(2)/25)*Calculateur!AQ35*Calculateur!AS35*VLOOKUP('Données projet'!$B$10,Paramètres!$A$1:$I$89,3,0)*0.475*44/12</f>
        <v>8.4132055202436149</v>
      </c>
      <c r="AW35" s="23">
        <f>EXP(-LN(2)/2)*AW34+(1-EXP(-LN(2)/2))/(LN(2)/2)*AQ35*AT35*VLOOKUP('Données projet'!$B$10,Paramètres!$A$1:$I$89,3,0)*0.475*44/12</f>
        <v>4.9893944787223079</v>
      </c>
      <c r="AX35" s="23">
        <f t="shared" si="6"/>
        <v>49.15821893581883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24.166666666666668</v>
      </c>
      <c r="BD35" s="13">
        <f>IF('Données projet'!$A$88&gt;35,BD34+BC35-BL34,IF(A35&lt;'Données projet'!$A$88,$BA$205^A35,IF(A35='Données projet'!$A$88,'Données projet'!$B$88,BD34+BC35-BL34)))</f>
        <v>524.33333333333314</v>
      </c>
      <c r="BE35" s="14">
        <f>BD35*VLOOKUP('Données projet'!$B$11,Paramètres!$A$1:$I$89,3,0)*VLOOKUP('Données projet'!$B$11,Paramètres!$A$1:$I$89,5,0)</f>
        <v>286.28599999999989</v>
      </c>
      <c r="BF35" s="14">
        <f t="shared" si="37"/>
        <v>68.293700022502861</v>
      </c>
      <c r="BG35" s="22">
        <f t="shared" si="7"/>
        <v>617.55964420585894</v>
      </c>
      <c r="BH35" s="62">
        <f t="shared" si="8"/>
        <v>910.89297753919232</v>
      </c>
      <c r="BI35" s="62">
        <f ca="1">AVERAGE(OFFSET($BH$3,0,0,'Données projet'!$E$11+1,1))-AVERAGE(OFFSET($H$3,0,0,'Données projet'!$E$11+1,1))</f>
        <v>417.99456559608217</v>
      </c>
      <c r="BJ35" s="62">
        <f t="shared" si="38"/>
        <v>651.41353014863932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31.286166569746282</v>
      </c>
      <c r="BQ35" s="23">
        <f>EXP(-LN(2)/25)*BQ34+(1-EXP(-LN(2)/25))/(LN(2)/25)*Calculateur!BL35*Calculateur!BN35*VLOOKUP('Données projet'!$B$11,Paramètres!$A$1:$I$89,3,0)*0.475*44/12</f>
        <v>7.4491923877157022</v>
      </c>
      <c r="BR35" s="23">
        <f>EXP(-LN(2)/2)*BR34+(1-EXP(-LN(2)/2))/(LN(2)/2)*BL35*BO35*VLOOKUP('Données projet'!$B$11,Paramètres!$A$1:$I$89,3,0)*0.475*44/12</f>
        <v>4.2995728935959265</v>
      </c>
      <c r="BS35" s="24">
        <f t="shared" si="9"/>
        <v>43.034931851057912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2.6904761904761907</v>
      </c>
      <c r="BY35" s="13">
        <f>IF('Données projet'!$A$114&gt;35,BY34+BX35-CG34,IF(A35&lt;'Données projet'!$A$114,$BV$205^A35,IF(A35='Données projet'!$A$114,'Données projet'!$B$114,BY34+BX35-CG34)))</f>
        <v>86.095238095238088</v>
      </c>
      <c r="BZ35" s="14">
        <f>BY35*VLOOKUP('Données projet'!$B$12,Paramètres!$A$1:$I$89,3,0)*VLOOKUP('Données projet'!$B$12,Paramètres!$A$1:$I$89,5,0)</f>
        <v>77.898971428571414</v>
      </c>
      <c r="CA35" s="14">
        <f t="shared" si="39"/>
        <v>21.622678729311669</v>
      </c>
      <c r="CB35" s="22">
        <f t="shared" si="10"/>
        <v>173.33354069164636</v>
      </c>
      <c r="CC35" s="62">
        <f t="shared" si="11"/>
        <v>466.66687402497968</v>
      </c>
      <c r="CD35" s="62">
        <f ca="1">AVERAGE(OFFSET($CC$3,0,0,'Données projet'!$E$12+1,1))-AVERAGE(OFFSET($H$3,0,0,'Données projet'!$E$12+1,1))</f>
        <v>213.07277043804817</v>
      </c>
      <c r="CE35" s="62">
        <f t="shared" si="40"/>
        <v>129.14539883354166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2.6904761904761907</v>
      </c>
      <c r="CT35" s="13">
        <f>IF('Données projet'!$A$140&gt;35,CT34+CS35-DB34,IF(A35&lt;'Données projet'!$A$140,$CQ$205^A35,IF(A35='Données projet'!$A$140,'Données projet'!$B$140,CT34+CS35-DB34)))</f>
        <v>86.095238095238088</v>
      </c>
      <c r="CU35" s="18">
        <f>CT35*VLOOKUP('Données projet'!$B$13,Paramètres!$A$1:$I$89,3,0)*VLOOKUP('Données projet'!$B$13,Paramètres!$A$1:$I$89,5,0)</f>
        <v>87.30057142857143</v>
      </c>
      <c r="CV35" s="14">
        <f t="shared" si="41"/>
        <v>23.91303846424216</v>
      </c>
      <c r="CW35" s="22">
        <f t="shared" si="13"/>
        <v>193.69703722998369</v>
      </c>
      <c r="CX35" s="62">
        <f t="shared" si="14"/>
        <v>487.03037056331698</v>
      </c>
      <c r="CY35" s="62">
        <f ca="1">AVERAGE(OFFSET($CX$3,0,0,'Données projet'!$E$13+1,1))-AVERAGE(OFFSET($H$3,0,0,'Données projet'!$E$13+1,1))</f>
        <v>247.92503505485405</v>
      </c>
      <c r="CZ35" s="62">
        <f t="shared" si="42"/>
        <v>148.26437652597514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2</v>
      </c>
      <c r="DO35" s="13">
        <f>IF('Données projet'!$A$166&gt;35,DO34+DN35-DW34,IF(A35&lt;'Données projet'!$A$166,$DL$205^A35,IF(A35='Données projet'!$A$166,'Données projet'!$B$166,DO34+DN35-DW34)))</f>
        <v>64</v>
      </c>
      <c r="DP35" s="18">
        <f>DO35*VLOOKUP('Données projet'!$B$14,Paramètres!$A$1:$I$89,3,0)*VLOOKUP('Données projet'!$B$14,Paramètres!$A$1:$I$89,5,0)</f>
        <v>61.900800000000004</v>
      </c>
      <c r="DQ35" s="14">
        <f t="shared" si="43"/>
        <v>17.647975079256284</v>
      </c>
      <c r="DR35" s="22">
        <f t="shared" si="16"/>
        <v>138.5474499297047</v>
      </c>
      <c r="DS35" s="62">
        <f t="shared" si="17"/>
        <v>431.88078326303798</v>
      </c>
      <c r="DT35" s="62">
        <f ca="1">AVERAGE(OFFSET($DS$3,0,0,'Données projet'!$E$14+1,1))-AVERAGE(OFFSET($H$3,0,0,'Données projet'!$E$14+1,1))</f>
        <v>154.0837760161366</v>
      </c>
      <c r="DU35" s="62">
        <f t="shared" si="44"/>
        <v>96.484500841546037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9.9205000000000041</v>
      </c>
      <c r="EJ35" s="13">
        <f>IF('Données projet'!$A$192&gt;35,EJ34+EI35-ER34,IF(A35&lt;'Données projet'!$A$192,$EG$205^A35,IF(A35='Données projet'!$A$192,'Données projet'!$B$192,EJ34+EI35-ER34)))</f>
        <v>191.72058333333337</v>
      </c>
      <c r="EK35" s="18">
        <f>EJ35*VLOOKUP('Données projet'!$B$15,Paramètres!$A$1:$I$89,3,0)*VLOOKUP('Données projet'!$B$15,Paramètres!$A$1:$I$89,5,0)</f>
        <v>128.60616730000004</v>
      </c>
      <c r="EL35" s="14">
        <f t="shared" si="45"/>
        <v>33.674083736158103</v>
      </c>
      <c r="EM35" s="22">
        <f t="shared" si="19"/>
        <v>282.63810388797543</v>
      </c>
      <c r="EN35" s="62">
        <f t="shared" si="20"/>
        <v>575.97143722130875</v>
      </c>
      <c r="EO35" s="62">
        <f ca="1">AVERAGE(OFFSET($EN$3,0,0,'Données projet'!$E$15+1,1))-AVERAGE(OFFSET($H$3,0,0,'Données projet'!$E$15+1,1))</f>
        <v>205.35893113421139</v>
      </c>
      <c r="EP35" s="62">
        <f t="shared" si="46"/>
        <v>220.4399811285175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5.8571067772675791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5.8571067772675791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9.9205000000000041</v>
      </c>
      <c r="FE35" s="13">
        <f>IF('Données projet'!$A$218&gt;35,FE34+FD35-FM34,IF(A35&lt;'Données projet'!$A$218,$FB$205^A35,IF(A35='Données projet'!$A$218,'Données projet'!$B$218,FE34+FD35-FM34)))</f>
        <v>191.72058333333337</v>
      </c>
      <c r="FF35" s="18">
        <f>FE35*VLOOKUP('Données projet'!$B$16,Paramètres!$A$1:$I$89,3,0)*VLOOKUP('Données projet'!$B$16,Paramètres!$A$1:$I$89,5,0)</f>
        <v>149.54205500000003</v>
      </c>
      <c r="FG35" s="14">
        <f t="shared" si="47"/>
        <v>38.474497463916876</v>
      </c>
      <c r="FH35" s="22">
        <f t="shared" si="22"/>
        <v>327.46216220798863</v>
      </c>
      <c r="FI35" s="62">
        <f t="shared" si="23"/>
        <v>620.795495541322</v>
      </c>
      <c r="FJ35" s="62">
        <f ca="1">AVERAGE(OFFSET($FI$3,0,0,'Données projet'!$E$16+1,1))-AVERAGE(OFFSET($H$3,0,0,'Données projet'!$E$16+1,1))</f>
        <v>242.81177364426878</v>
      </c>
      <c r="FK35" s="62">
        <f t="shared" si="48"/>
        <v>260.72115764896671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5.5255724313845089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5.5255724313845089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9.9205000000000041</v>
      </c>
      <c r="FZ35" s="13">
        <f>IF('Données projet'!$A$244&gt;35,FZ34+FY35-GH34,IF(A35&lt;'Données projet'!$A$244,$FW$205^A35,IF(A35='Données projet'!$A$244,'Données projet'!$B$244,FZ34+FY35-GH34)))</f>
        <v>191.72058333333337</v>
      </c>
      <c r="GA35" s="18">
        <f>FZ35*VLOOKUP('Données projet'!$B$17,Paramètres!$A$1:$I$89,3,0)*VLOOKUP('Données projet'!$B$17,Paramètres!$A$1:$I$89,5,0)</f>
        <v>152.53289610000004</v>
      </c>
      <c r="GB35" s="14">
        <f t="shared" si="49"/>
        <v>39.153633183456513</v>
      </c>
      <c r="GC35" s="22">
        <f t="shared" si="25"/>
        <v>333.85403850202016</v>
      </c>
      <c r="GD35" s="62">
        <f t="shared" si="26"/>
        <v>627.18737183535347</v>
      </c>
      <c r="GE35" s="62">
        <f ca="1">AVERAGE(OFFSET($GD$3,0,0,'Données projet'!$E$17+1,1))-AVERAGE(OFFSET($H$3,0,0,'Données projet'!$E$17+1,1))</f>
        <v>248.15263300983543</v>
      </c>
      <c r="GF35" s="62">
        <f t="shared" si="50"/>
        <v>266.46511459244618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6.9468010614103832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6.9468010614103832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27.6</v>
      </c>
      <c r="N36" s="14">
        <f>IF('Données projet'!$A$36&gt;35,N35+M36-V35,IF(A36&lt;'Données projet'!$A$36,$K$205^A36,IF(A36='Données projet'!$A$36,'Données projet'!$B$36,N35+M36-V35)))</f>
        <v>449.80000000000007</v>
      </c>
      <c r="O36" s="14">
        <f>N36*VLOOKUP('Données projet'!$B$9,Paramètres!$A$1:$I$89,3,0)*VLOOKUP('Données projet'!$B$9,Paramètres!$A$1:$I$89,5,0)</f>
        <v>251.43820000000002</v>
      </c>
      <c r="P36" s="14">
        <f t="shared" si="33"/>
        <v>60.893806844597648</v>
      </c>
      <c r="Q36" s="22">
        <f t="shared" si="53"/>
        <v>543.978245254341</v>
      </c>
      <c r="R36" s="62">
        <f t="shared" si="0"/>
        <v>837.31157858767438</v>
      </c>
      <c r="S36" s="62">
        <f ca="1">AVERAGE(OFFSET($R$3,0,0,'Données projet'!$E$9+1,1))-AVERAGE(OFFSET($H$3,0,0,'Données projet'!$E$9+1,1))</f>
        <v>382.55387448074327</v>
      </c>
      <c r="T36" s="62">
        <f t="shared" si="34"/>
        <v>476.29465646955543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14.527540090447634</v>
      </c>
      <c r="AA36" s="23">
        <f>EXP(-LN(2)/25)*AA35+(1-EXP(-LN(2)/25))/(LN(2)/25)*Calculateur!V36*Calculateur!X36*VLOOKUP('Données projet'!$B$9,Paramètres!$A$1:$I$89,3,0)*0.475*44/12</f>
        <v>13.232376864999388</v>
      </c>
      <c r="AB36" s="23">
        <f>EXP(-LN(2)/2)*AB35+(1-EXP(-LN(2)/2))/(LN(2)/2)*V36*Y36*VLOOKUP('Données projet'!$B$9,Paramètres!$A$1:$I$89,3,0)*0.475*44/12</f>
        <v>2.5349173796176725</v>
      </c>
      <c r="AC36" s="24">
        <f t="shared" si="3"/>
        <v>30.294834335064692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24.166666666666668</v>
      </c>
      <c r="AI36" s="14">
        <f>IF('Données projet'!$A$62&gt;35,AI35+AH36-AQ35,IF(A36&lt;'Données projet'!$A$62,$AF$205^A36,IF(A36='Données projet'!$A$62,'Données projet'!$B$62,AI35+AH36-AQ35)))</f>
        <v>548.49999999999977</v>
      </c>
      <c r="AJ36" s="14">
        <f>AI36*VLOOKUP('Données projet'!$B$10,Paramètres!$A$1:$I$89,3,0)*VLOOKUP('Données projet'!$B$10,Paramètres!$A$1:$I$89,5,0)</f>
        <v>342.26399999999984</v>
      </c>
      <c r="AK36" s="14">
        <f t="shared" si="35"/>
        <v>79.967522327492162</v>
      </c>
      <c r="AL36" s="22">
        <f t="shared" si="4"/>
        <v>735.38656805371522</v>
      </c>
      <c r="AM36" s="62">
        <f t="shared" si="5"/>
        <v>1028.7199013870486</v>
      </c>
      <c r="AN36" s="62">
        <f ca="1">AVERAGE(OFFSET($AM$3,0,0,'Données projet'!$E$10+1,1))-AVERAGE(OFFSET($H$3,0,0,'Données projet'!$E$10+1,1))</f>
        <v>482.28841373508675</v>
      </c>
      <c r="AO36" s="62">
        <f t="shared" si="36"/>
        <v>746.97309214631684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35.054473058275335</v>
      </c>
      <c r="AV36" s="23">
        <f>EXP(-LN(2)/25)*AV35+(1-EXP(-LN(2)/25))/(LN(2)/25)*Calculateur!AQ36*Calculateur!AS36*VLOOKUP('Données projet'!$B$10,Paramètres!$A$1:$I$89,3,0)*0.475*44/12</f>
        <v>8.1831459728613041</v>
      </c>
      <c r="AW36" s="23">
        <f>EXP(-LN(2)/2)*AW35+(1-EXP(-LN(2)/2))/(LN(2)/2)*AQ36*AT36*VLOOKUP('Données projet'!$B$10,Paramètres!$A$1:$I$89,3,0)*0.475*44/12</f>
        <v>3.5280346699192635</v>
      </c>
      <c r="AX36" s="23">
        <f t="shared" si="6"/>
        <v>46.765653701055903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24.166666666666668</v>
      </c>
      <c r="BD36" s="13">
        <f>IF('Données projet'!$A$88&gt;35,BD35+BC36-BL35,IF(A36&lt;'Données projet'!$A$88,$BA$205^A36,IF(A36='Données projet'!$A$88,'Données projet'!$B$88,BD35+BC36-BL35)))</f>
        <v>548.49999999999977</v>
      </c>
      <c r="BE36" s="14">
        <f>BD36*VLOOKUP('Données projet'!$B$11,Paramètres!$A$1:$I$89,3,0)*VLOOKUP('Données projet'!$B$11,Paramètres!$A$1:$I$89,5,0)</f>
        <v>299.48099999999988</v>
      </c>
      <c r="BF36" s="14">
        <f t="shared" si="37"/>
        <v>71.067650178747357</v>
      </c>
      <c r="BG36" s="22">
        <f t="shared" si="7"/>
        <v>645.37223239465152</v>
      </c>
      <c r="BH36" s="62">
        <f t="shared" si="8"/>
        <v>938.70556572798478</v>
      </c>
      <c r="BI36" s="62">
        <f ca="1">AVERAGE(OFFSET($BH$3,0,0,'Données projet'!$E$11+1,1))-AVERAGE(OFFSET($H$3,0,0,'Données projet'!$E$11+1,1))</f>
        <v>417.99456559608217</v>
      </c>
      <c r="BJ36" s="62">
        <f t="shared" si="38"/>
        <v>651.41353014863932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30.672663925990907</v>
      </c>
      <c r="BQ36" s="23">
        <f>EXP(-LN(2)/25)*BQ35+(1-EXP(-LN(2)/25))/(LN(2)/25)*Calculateur!BL36*Calculateur!BN36*VLOOKUP('Données projet'!$B$11,Paramètres!$A$1:$I$89,3,0)*0.475*44/12</f>
        <v>7.2454938301376144</v>
      </c>
      <c r="BR36" s="23">
        <f>EXP(-LN(2)/2)*BR35+(1-EXP(-LN(2)/2))/(LN(2)/2)*BL36*BO36*VLOOKUP('Données projet'!$B$11,Paramètres!$A$1:$I$89,3,0)*0.475*44/12</f>
        <v>3.0402571492675459</v>
      </c>
      <c r="BS36" s="24">
        <f t="shared" si="9"/>
        <v>40.958414905396069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2.6904761904761907</v>
      </c>
      <c r="BY36" s="13">
        <f>IF('Données projet'!$A$114&gt;35,BY35+BX36-CG35,IF(A36&lt;'Données projet'!$A$114,$BV$205^A36,IF(A36='Données projet'!$A$114,'Données projet'!$B$114,BY35+BX36-CG35)))</f>
        <v>88.785714285714278</v>
      </c>
      <c r="BZ36" s="14">
        <f>BY36*VLOOKUP('Données projet'!$B$12,Paramètres!$A$1:$I$89,3,0)*VLOOKUP('Données projet'!$B$12,Paramètres!$A$1:$I$89,5,0)</f>
        <v>80.33331428571428</v>
      </c>
      <c r="CA36" s="14">
        <f t="shared" si="39"/>
        <v>22.218661472981104</v>
      </c>
      <c r="CB36" s="22">
        <f t="shared" si="10"/>
        <v>178.6113577797278</v>
      </c>
      <c r="CC36" s="62">
        <f t="shared" si="11"/>
        <v>471.94469111306114</v>
      </c>
      <c r="CD36" s="62">
        <f ca="1">AVERAGE(OFFSET($CC$3,0,0,'Données projet'!$E$12+1,1))-AVERAGE(OFFSET($H$3,0,0,'Données projet'!$E$12+1,1))</f>
        <v>213.07277043804817</v>
      </c>
      <c r="CE36" s="62">
        <f t="shared" si="40"/>
        <v>129.14539883354166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2.6904761904761907</v>
      </c>
      <c r="CT36" s="13">
        <f>IF('Données projet'!$A$140&gt;35,CT35+CS36-DB35,IF(A36&lt;'Données projet'!$A$140,$CQ$205^A36,IF(A36='Données projet'!$A$140,'Données projet'!$B$140,CT35+CS36-DB35)))</f>
        <v>88.785714285714278</v>
      </c>
      <c r="CU36" s="18">
        <f>CT36*VLOOKUP('Données projet'!$B$13,Paramètres!$A$1:$I$89,3,0)*VLOOKUP('Données projet'!$B$13,Paramètres!$A$1:$I$89,5,0)</f>
        <v>90.028714285714287</v>
      </c>
      <c r="CV36" s="14">
        <f t="shared" si="41"/>
        <v>24.572150059609498</v>
      </c>
      <c r="CW36" s="22">
        <f t="shared" si="13"/>
        <v>199.59650540143889</v>
      </c>
      <c r="CX36" s="62">
        <f t="shared" si="14"/>
        <v>492.9298387347722</v>
      </c>
      <c r="CY36" s="62">
        <f ca="1">AVERAGE(OFFSET($CX$3,0,0,'Données projet'!$E$13+1,1))-AVERAGE(OFFSET($H$3,0,0,'Données projet'!$E$13+1,1))</f>
        <v>247.92503505485405</v>
      </c>
      <c r="CZ36" s="62">
        <f t="shared" si="42"/>
        <v>148.26437652597514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2</v>
      </c>
      <c r="DO36" s="13">
        <f>IF('Données projet'!$A$166&gt;35,DO35+DN36-DW35,IF(A36&lt;'Données projet'!$A$166,$DL$205^A36,IF(A36='Données projet'!$A$166,'Données projet'!$B$166,DO35+DN36-DW35)))</f>
        <v>66</v>
      </c>
      <c r="DP36" s="18">
        <f>DO36*VLOOKUP('Données projet'!$B$14,Paramètres!$A$1:$I$89,3,0)*VLOOKUP('Données projet'!$B$14,Paramètres!$A$1:$I$89,5,0)</f>
        <v>63.835200000000007</v>
      </c>
      <c r="DQ36" s="14">
        <f t="shared" si="43"/>
        <v>18.134403645282525</v>
      </c>
      <c r="DR36" s="22">
        <f t="shared" si="16"/>
        <v>142.7637263488671</v>
      </c>
      <c r="DS36" s="62">
        <f t="shared" si="17"/>
        <v>436.09705968220044</v>
      </c>
      <c r="DT36" s="62">
        <f ca="1">AVERAGE(OFFSET($DS$3,0,0,'Données projet'!$E$14+1,1))-AVERAGE(OFFSET($H$3,0,0,'Données projet'!$E$14+1,1))</f>
        <v>154.0837760161366</v>
      </c>
      <c r="DU36" s="62">
        <f t="shared" si="44"/>
        <v>96.484500841546037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9.9205000000000041</v>
      </c>
      <c r="EJ36" s="13">
        <f>IF('Données projet'!$A$192&gt;35,EJ35+EI36-ER35,IF(A36&lt;'Données projet'!$A$192,$EG$205^A36,IF(A36='Données projet'!$A$192,'Données projet'!$B$192,EJ35+EI36-ER35)))</f>
        <v>201.64108333333337</v>
      </c>
      <c r="EK36" s="18">
        <f>EJ36*VLOOKUP('Données projet'!$B$15,Paramètres!$A$1:$I$89,3,0)*VLOOKUP('Données projet'!$B$15,Paramètres!$A$1:$I$89,5,0)</f>
        <v>135.26083870000002</v>
      </c>
      <c r="EL36" s="14">
        <f t="shared" si="45"/>
        <v>35.209163824111265</v>
      </c>
      <c r="EM36" s="22">
        <f t="shared" si="19"/>
        <v>296.90192106282717</v>
      </c>
      <c r="EN36" s="62">
        <f t="shared" si="20"/>
        <v>590.23525439616049</v>
      </c>
      <c r="EO36" s="62">
        <f ca="1">AVERAGE(OFFSET($EN$3,0,0,'Données projet'!$E$15+1,1))-AVERAGE(OFFSET($H$3,0,0,'Données projet'!$E$15+1,1))</f>
        <v>205.35893113421139</v>
      </c>
      <c r="EP36" s="62">
        <f t="shared" si="46"/>
        <v>220.4399811285175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5.7422524858477431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5.7422524858477431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9.9205000000000041</v>
      </c>
      <c r="FE36" s="13">
        <f>IF('Données projet'!$A$218&gt;35,FE35+FD36-FM35,IF(A36&lt;'Données projet'!$A$218,$FB$205^A36,IF(A36='Données projet'!$A$218,'Données projet'!$B$218,FE35+FD36-FM35)))</f>
        <v>201.64108333333337</v>
      </c>
      <c r="FF36" s="18">
        <f>FE36*VLOOKUP('Données projet'!$B$16,Paramètres!$A$1:$I$89,3,0)*VLOOKUP('Données projet'!$B$16,Paramètres!$A$1:$I$89,5,0)</f>
        <v>157.28004500000003</v>
      </c>
      <c r="FG36" s="14">
        <f t="shared" si="47"/>
        <v>40.228411109010246</v>
      </c>
      <c r="FH36" s="22">
        <f t="shared" si="22"/>
        <v>343.99389438985958</v>
      </c>
      <c r="FI36" s="62">
        <f t="shared" si="23"/>
        <v>637.32722772319289</v>
      </c>
      <c r="FJ36" s="62">
        <f ca="1">AVERAGE(OFFSET($FI$3,0,0,'Données projet'!$E$16+1,1))-AVERAGE(OFFSET($H$3,0,0,'Données projet'!$E$16+1,1))</f>
        <v>242.81177364426878</v>
      </c>
      <c r="FK36" s="62">
        <f t="shared" si="48"/>
        <v>260.72115764896671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5.4172193262714554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5.4172193262714554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9.9205000000000041</v>
      </c>
      <c r="FZ36" s="13">
        <f>IF('Données projet'!$A$244&gt;35,FZ35+FY36-GH35,IF(A36&lt;'Données projet'!$A$244,$FW$205^A36,IF(A36='Données projet'!$A$244,'Données projet'!$B$244,FZ35+FY36-GH35)))</f>
        <v>201.64108333333337</v>
      </c>
      <c r="GA36" s="18">
        <f>FZ36*VLOOKUP('Données projet'!$B$17,Paramètres!$A$1:$I$89,3,0)*VLOOKUP('Données projet'!$B$17,Paramètres!$A$1:$I$89,5,0)</f>
        <v>160.42564590000003</v>
      </c>
      <c r="GB36" s="14">
        <f t="shared" si="49"/>
        <v>40.938506177830227</v>
      </c>
      <c r="GC36" s="22">
        <f t="shared" si="25"/>
        <v>350.70923153555435</v>
      </c>
      <c r="GD36" s="62">
        <f t="shared" si="26"/>
        <v>644.04256486888767</v>
      </c>
      <c r="GE36" s="62">
        <f ca="1">AVERAGE(OFFSET($GD$3,0,0,'Données projet'!$E$17+1,1))-AVERAGE(OFFSET($H$3,0,0,'Données projet'!$E$17+1,1))</f>
        <v>248.15263300983543</v>
      </c>
      <c r="GF36" s="62">
        <f t="shared" si="50"/>
        <v>266.46511459244618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6.8105785297263912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6.8105785297263912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27.6</v>
      </c>
      <c r="N37" s="14">
        <f>IF('Données projet'!$A$36&gt;35,N36+M37-V36,IF(A37&lt;'Données projet'!$A$36,$K$205^A37,IF(A37='Données projet'!$A$36,'Données projet'!$B$36,N36+M37-V36)))</f>
        <v>477.40000000000009</v>
      </c>
      <c r="O37" s="14">
        <f>N37*VLOOKUP('Données projet'!$B$9,Paramètres!$A$1:$I$89,3,0)*VLOOKUP('Données projet'!$B$9,Paramètres!$A$1:$I$89,5,0)</f>
        <v>266.86660000000006</v>
      </c>
      <c r="P37" s="14">
        <f t="shared" si="33"/>
        <v>64.183831628008477</v>
      </c>
      <c r="Q37" s="22">
        <f t="shared" si="53"/>
        <v>576.57950175211477</v>
      </c>
      <c r="R37" s="62">
        <f t="shared" si="0"/>
        <v>869.91283508544802</v>
      </c>
      <c r="S37" s="62">
        <f ca="1">AVERAGE(OFFSET($R$3,0,0,'Données projet'!$E$9+1,1))-AVERAGE(OFFSET($H$3,0,0,'Données projet'!$E$9+1,1))</f>
        <v>382.55387448074327</v>
      </c>
      <c r="T37" s="62">
        <f t="shared" si="34"/>
        <v>476.29465646955543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14.242663890198466</v>
      </c>
      <c r="AA37" s="23">
        <f>EXP(-LN(2)/25)*AA36+(1-EXP(-LN(2)/25))/(LN(2)/25)*Calculateur!V37*Calculateur!X37*VLOOKUP('Données projet'!$B$9,Paramètres!$A$1:$I$89,3,0)*0.475*44/12</f>
        <v>12.870536823765523</v>
      </c>
      <c r="AB37" s="23">
        <f>EXP(-LN(2)/2)*AB36+(1-EXP(-LN(2)/2))/(LN(2)/2)*V37*Y37*VLOOKUP('Données projet'!$B$9,Paramètres!$A$1:$I$89,3,0)*0.475*44/12</f>
        <v>1.79245726887529</v>
      </c>
      <c r="AC37" s="24">
        <f t="shared" si="3"/>
        <v>28.90565798283928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24.166666666666668</v>
      </c>
      <c r="AI37" s="14">
        <f>IF('Données projet'!$A$62&gt;35,AI36+AH37-AQ36,IF(A37&lt;'Données projet'!$A$62,$AF$205^A37,IF(A37='Données projet'!$A$62,'Données projet'!$B$62,AI36+AH37-AQ36)))</f>
        <v>572.6666666666664</v>
      </c>
      <c r="AJ37" s="14">
        <f>AI37*VLOOKUP('Données projet'!$B$10,Paramètres!$A$1:$I$89,3,0)*VLOOKUP('Données projet'!$B$10,Paramètres!$A$1:$I$89,5,0)</f>
        <v>357.34399999999988</v>
      </c>
      <c r="AK37" s="14">
        <f t="shared" si="35"/>
        <v>83.07288466186094</v>
      </c>
      <c r="AL37" s="22">
        <f t="shared" si="4"/>
        <v>767.05940745274086</v>
      </c>
      <c r="AM37" s="62">
        <f t="shared" si="5"/>
        <v>1060.3927407860742</v>
      </c>
      <c r="AN37" s="62">
        <f ca="1">AVERAGE(OFFSET($AM$3,0,0,'Données projet'!$E$10+1,1))-AVERAGE(OFFSET($H$3,0,0,'Données projet'!$E$10+1,1))</f>
        <v>482.28841373508675</v>
      </c>
      <c r="AO37" s="62">
        <f t="shared" si="36"/>
        <v>746.97309214631684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34.367076222719909</v>
      </c>
      <c r="AV37" s="23">
        <f>EXP(-LN(2)/25)*AV36+(1-EXP(-LN(2)/25))/(LN(2)/25)*Calculateur!AQ37*Calculateur!AS37*VLOOKUP('Données projet'!$B$10,Paramètres!$A$1:$I$89,3,0)*0.475*44/12</f>
        <v>7.9593774159004678</v>
      </c>
      <c r="AW37" s="23">
        <f>EXP(-LN(2)/2)*AW36+(1-EXP(-LN(2)/2))/(LN(2)/2)*AQ37*AT37*VLOOKUP('Données projet'!$B$10,Paramètres!$A$1:$I$89,3,0)*0.475*44/12</f>
        <v>2.4946972393611544</v>
      </c>
      <c r="AX37" s="23">
        <f t="shared" si="6"/>
        <v>44.82115087798153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24.166666666666668</v>
      </c>
      <c r="BD37" s="13">
        <f>IF('Données projet'!$A$88&gt;35,BD36+BC37-BL36,IF(A37&lt;'Données projet'!$A$88,$BA$205^A37,IF(A37='Données projet'!$A$88,'Données projet'!$B$88,BD36+BC37-BL36)))</f>
        <v>572.6666666666664</v>
      </c>
      <c r="BE37" s="14">
        <f>BD37*VLOOKUP('Données projet'!$B$11,Paramètres!$A$1:$I$89,3,0)*VLOOKUP('Données projet'!$B$11,Paramètres!$A$1:$I$89,5,0)</f>
        <v>312.67599999999982</v>
      </c>
      <c r="BF37" s="14">
        <f t="shared" si="37"/>
        <v>73.827405609875768</v>
      </c>
      <c r="BG37" s="22">
        <f t="shared" si="7"/>
        <v>673.16009810386652</v>
      </c>
      <c r="BH37" s="62">
        <f t="shared" si="8"/>
        <v>966.49343143719989</v>
      </c>
      <c r="BI37" s="62">
        <f ca="1">AVERAGE(OFFSET($BH$3,0,0,'Données projet'!$E$11+1,1))-AVERAGE(OFFSET($H$3,0,0,'Données projet'!$E$11+1,1))</f>
        <v>417.99456559608217</v>
      </c>
      <c r="BJ37" s="62">
        <f t="shared" si="38"/>
        <v>651.41353014863932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30.071191694879911</v>
      </c>
      <c r="BQ37" s="23">
        <f>EXP(-LN(2)/25)*BQ36+(1-EXP(-LN(2)/25))/(LN(2)/25)*Calculateur!BL37*Calculateur!BN37*VLOOKUP('Données projet'!$B$11,Paramètres!$A$1:$I$89,3,0)*0.475*44/12</f>
        <v>7.047365420328541</v>
      </c>
      <c r="BR37" s="23">
        <f>EXP(-LN(2)/2)*BR36+(1-EXP(-LN(2)/2))/(LN(2)/2)*BL37*BO37*VLOOKUP('Données projet'!$B$11,Paramètres!$A$1:$I$89,3,0)*0.475*44/12</f>
        <v>2.1497864467979633</v>
      </c>
      <c r="BS37" s="24">
        <f t="shared" si="9"/>
        <v>39.268343562006415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2.6904761904761907</v>
      </c>
      <c r="BY37" s="13">
        <f>IF('Données projet'!$A$114&gt;35,BY36+BX37-CG36,IF(A37&lt;'Données projet'!$A$114,$BV$205^A37,IF(A37='Données projet'!$A$114,'Données projet'!$B$114,BY36+BX37-CG36)))</f>
        <v>91.476190476190467</v>
      </c>
      <c r="BZ37" s="14">
        <f>BY37*VLOOKUP('Données projet'!$B$12,Paramètres!$A$1:$I$89,3,0)*VLOOKUP('Données projet'!$B$12,Paramètres!$A$1:$I$89,5,0)</f>
        <v>82.767657142857132</v>
      </c>
      <c r="CA37" s="14">
        <f t="shared" si="39"/>
        <v>22.812545386734861</v>
      </c>
      <c r="CB37" s="22">
        <f t="shared" si="10"/>
        <v>183.88551940570605</v>
      </c>
      <c r="CC37" s="62">
        <f t="shared" si="11"/>
        <v>477.21885273903933</v>
      </c>
      <c r="CD37" s="62">
        <f ca="1">AVERAGE(OFFSET($CC$3,0,0,'Données projet'!$E$12+1,1))-AVERAGE(OFFSET($H$3,0,0,'Données projet'!$E$12+1,1))</f>
        <v>213.07277043804817</v>
      </c>
      <c r="CE37" s="62">
        <f t="shared" si="40"/>
        <v>129.14539883354166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2.6904761904761907</v>
      </c>
      <c r="CT37" s="13">
        <f>IF('Données projet'!$A$140&gt;35,CT36+CS37-DB36,IF(A37&lt;'Données projet'!$A$140,$CQ$205^A37,IF(A37='Données projet'!$A$140,'Données projet'!$B$140,CT36+CS37-DB36)))</f>
        <v>91.476190476190467</v>
      </c>
      <c r="CU37" s="18">
        <f>CT37*VLOOKUP('Données projet'!$B$13,Paramètres!$A$1:$I$89,3,0)*VLOOKUP('Données projet'!$B$13,Paramètres!$A$1:$I$89,5,0)</f>
        <v>92.756857142857143</v>
      </c>
      <c r="CV37" s="14">
        <f t="shared" si="41"/>
        <v>25.228940508687224</v>
      </c>
      <c r="CW37" s="22">
        <f t="shared" si="13"/>
        <v>205.49193090977312</v>
      </c>
      <c r="CX37" s="62">
        <f t="shared" si="14"/>
        <v>498.8252642431064</v>
      </c>
      <c r="CY37" s="62">
        <f ca="1">AVERAGE(OFFSET($CX$3,0,0,'Données projet'!$E$13+1,1))-AVERAGE(OFFSET($H$3,0,0,'Données projet'!$E$13+1,1))</f>
        <v>247.92503505485405</v>
      </c>
      <c r="CZ37" s="62">
        <f t="shared" si="42"/>
        <v>148.26437652597514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2</v>
      </c>
      <c r="DO37" s="13">
        <f>IF('Données projet'!$A$166&gt;35,DO36+DN37-DW36,IF(A37&lt;'Données projet'!$A$166,$DL$205^A37,IF(A37='Données projet'!$A$166,'Données projet'!$B$166,DO36+DN37-DW36)))</f>
        <v>68</v>
      </c>
      <c r="DP37" s="18">
        <f>DO37*VLOOKUP('Données projet'!$B$14,Paramètres!$A$1:$I$89,3,0)*VLOOKUP('Données projet'!$B$14,Paramètres!$A$1:$I$89,5,0)</f>
        <v>65.769599999999997</v>
      </c>
      <c r="DQ37" s="14">
        <f t="shared" si="43"/>
        <v>18.619119190525755</v>
      </c>
      <c r="DR37" s="22">
        <f t="shared" si="16"/>
        <v>146.97701925683234</v>
      </c>
      <c r="DS37" s="62">
        <f t="shared" si="17"/>
        <v>440.31035259016562</v>
      </c>
      <c r="DT37" s="62">
        <f ca="1">AVERAGE(OFFSET($DS$3,0,0,'Données projet'!$E$14+1,1))-AVERAGE(OFFSET($H$3,0,0,'Données projet'!$E$14+1,1))</f>
        <v>154.0837760161366</v>
      </c>
      <c r="DU37" s="62">
        <f t="shared" si="44"/>
        <v>96.484500841546037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9.9205000000000041</v>
      </c>
      <c r="EJ37" s="13">
        <f>IF('Données projet'!$A$192&gt;35,EJ36+EI37-ER36,IF(A37&lt;'Données projet'!$A$192,$EG$205^A37,IF(A37='Données projet'!$A$192,'Données projet'!$B$192,EJ36+EI37-ER36)))</f>
        <v>211.56158333333337</v>
      </c>
      <c r="EK37" s="18">
        <f>EJ37*VLOOKUP('Données projet'!$B$15,Paramètres!$A$1:$I$89,3,0)*VLOOKUP('Données projet'!$B$15,Paramètres!$A$1:$I$89,5,0)</f>
        <v>141.91551010000003</v>
      </c>
      <c r="EL37" s="14">
        <f t="shared" si="45"/>
        <v>36.73547429513215</v>
      </c>
      <c r="EM37" s="22">
        <f t="shared" si="19"/>
        <v>311.15046448818856</v>
      </c>
      <c r="EN37" s="62">
        <f t="shared" si="20"/>
        <v>604.48379782152188</v>
      </c>
      <c r="EO37" s="62">
        <f ca="1">AVERAGE(OFFSET($EN$3,0,0,'Données projet'!$E$15+1,1))-AVERAGE(OFFSET($H$3,0,0,'Données projet'!$E$15+1,1))</f>
        <v>205.35893113421139</v>
      </c>
      <c r="EP37" s="62">
        <f t="shared" si="46"/>
        <v>220.4399811285175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5.6296504170284489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5.6296504170284489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9.9205000000000041</v>
      </c>
      <c r="FE37" s="13">
        <f>IF('Données projet'!$A$218&gt;35,FE36+FD37-FM36,IF(A37&lt;'Données projet'!$A$218,$FB$205^A37,IF(A37='Données projet'!$A$218,'Données projet'!$B$218,FE36+FD37-FM36)))</f>
        <v>211.56158333333337</v>
      </c>
      <c r="FF37" s="18">
        <f>FE37*VLOOKUP('Données projet'!$B$16,Paramètres!$A$1:$I$89,3,0)*VLOOKUP('Données projet'!$B$16,Paramètres!$A$1:$I$89,5,0)</f>
        <v>165.01803500000003</v>
      </c>
      <c r="FG37" s="14">
        <f t="shared" si="47"/>
        <v>41.972304983200075</v>
      </c>
      <c r="FH37" s="22">
        <f t="shared" si="22"/>
        <v>360.50817547074013</v>
      </c>
      <c r="FI37" s="62">
        <f t="shared" si="23"/>
        <v>653.84150880407344</v>
      </c>
      <c r="FJ37" s="62">
        <f ca="1">AVERAGE(OFFSET($FI$3,0,0,'Données projet'!$E$16+1,1))-AVERAGE(OFFSET($H$3,0,0,'Données projet'!$E$16+1,1))</f>
        <v>242.81177364426878</v>
      </c>
      <c r="FK37" s="62">
        <f t="shared" si="48"/>
        <v>260.72115764896671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5.3109909594608009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5.3109909594608009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9.9205000000000041</v>
      </c>
      <c r="FZ37" s="13">
        <f>IF('Données projet'!$A$244&gt;35,FZ36+FY37-GH36,IF(A37&lt;'Données projet'!$A$244,$FW$205^A37,IF(A37='Données projet'!$A$244,'Données projet'!$B$244,FZ36+FY37-GH36)))</f>
        <v>211.56158333333337</v>
      </c>
      <c r="GA37" s="18">
        <f>FZ37*VLOOKUP('Données projet'!$B$17,Paramètres!$A$1:$I$89,3,0)*VLOOKUP('Données projet'!$B$17,Paramètres!$A$1:$I$89,5,0)</f>
        <v>168.31839570000005</v>
      </c>
      <c r="GB37" s="14">
        <f t="shared" si="49"/>
        <v>42.713182536499829</v>
      </c>
      <c r="GC37" s="22">
        <f t="shared" si="25"/>
        <v>367.54666542857058</v>
      </c>
      <c r="GD37" s="62">
        <f t="shared" si="26"/>
        <v>660.87999876190383</v>
      </c>
      <c r="GE37" s="62">
        <f ca="1">AVERAGE(OFFSET($GD$3,0,0,'Données projet'!$E$17+1,1))-AVERAGE(OFFSET($H$3,0,0,'Données projet'!$E$17+1,1))</f>
        <v>248.15263300983543</v>
      </c>
      <c r="GF37" s="62">
        <f t="shared" si="50"/>
        <v>266.46511459244618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6.6770272388011822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6.6770272388011822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505</v>
      </c>
      <c r="L38" s="13">
        <f>VLOOKUP(A38,'Données projet'!$A$35:$I$55,9,0)</f>
        <v>27.6</v>
      </c>
      <c r="M38" s="13">
        <f t="array" ref="M38">INDEX(L:L,MIN(IF(ISNUMBER(L38:L234),ROW(L38:L234),"")))</f>
        <v>27.6</v>
      </c>
      <c r="N38" s="14">
        <f>IF('Données projet'!$A$36&gt;35,N37+M38-V37,IF(A38&lt;'Données projet'!$A$36,$K$205^A38,IF(A38='Données projet'!$A$36,'Données projet'!$B$36,N37+M38-V37)))</f>
        <v>505.00000000000011</v>
      </c>
      <c r="O38" s="14">
        <f>N38*VLOOKUP('Données projet'!$B$9,Paramètres!$A$1:$I$89,3,0)*VLOOKUP('Données projet'!$B$9,Paramètres!$A$1:$I$89,5,0)</f>
        <v>282.29500000000007</v>
      </c>
      <c r="P38" s="14">
        <f t="shared" si="33"/>
        <v>67.451777696853824</v>
      </c>
      <c r="Q38" s="22">
        <f t="shared" si="53"/>
        <v>609.14230448868716</v>
      </c>
      <c r="R38" s="62">
        <f t="shared" si="0"/>
        <v>902.47563782202042</v>
      </c>
      <c r="S38" s="62">
        <f ca="1">AVERAGE(OFFSET($R$3,0,0,'Données projet'!$E$9+1,1))-AVERAGE(OFFSET($H$3,0,0,'Données projet'!$E$9+1,1))</f>
        <v>382.55387448074327</v>
      </c>
      <c r="T38" s="62">
        <f t="shared" si="34"/>
        <v>476.29465646955543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69</v>
      </c>
      <c r="W38" s="17">
        <f>IF(ISNA(VLOOKUP(A38,'Données projet'!$A$35:$I$55,5,0)),0%,VLOOKUP(A38,'Données projet'!$A$35:$I$55,5,0)*VLOOKUP('Données projet'!$B$9,Paramètres!$A$1:$I$89,7,0))</f>
        <v>0.38500000000000001</v>
      </c>
      <c r="X38" s="17">
        <f>IF(ISNA(VLOOKUP(A38,'Données projet'!$A$35:$I$55,6,0)),0%,VLOOKUP(A38,'Données projet'!$A$35:$I$55,6,0)*VLOOKUP('Données projet'!$B$9,Paramètres!$A$1:$I$89,7,0))</f>
        <v>9.240000000000001E-2</v>
      </c>
      <c r="Y38" s="17">
        <f>IF(ISNA(VLOOKUP(A38,'Données projet'!$A$35:$I$55,7,0)),0%,VLOOKUP(A38,'Données projet'!$A$35:$I$55,7,0))</f>
        <v>0.13200000000000001</v>
      </c>
      <c r="Z38" s="23">
        <f>EXP(-LN(2)/35)*Z37+(1-EXP(-LN(2)/35))/(LN(2)/35)*V38*W38*VLOOKUP('Données projet'!$B$9,Paramètres!$A$1:$I$89,3,0)*0.475*44/12</f>
        <v>33.662637218620887</v>
      </c>
      <c r="AA38" s="23">
        <f>EXP(-LN(2)/25)*AA37+(1-EXP(-LN(2)/25))/(LN(2)/25)*Calculateur!V38*Calculateur!X38*VLOOKUP('Données projet'!$B$9,Paramètres!$A$1:$I$89,3,0)*0.475*44/12</f>
        <v>17.227799263391621</v>
      </c>
      <c r="AB38" s="23">
        <f>EXP(-LN(2)/2)*AB37+(1-EXP(-LN(2)/2))/(LN(2)/2)*V38*Y38*VLOOKUP('Données projet'!$B$9,Paramètres!$A$1:$I$89,3,0)*0.475*44/12</f>
        <v>7.0320745069307531</v>
      </c>
      <c r="AC38" s="24">
        <f t="shared" si="3"/>
        <v>57.922510988943259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24.166666666666668</v>
      </c>
      <c r="AI38" s="14">
        <f>IF('Données projet'!$A$62&gt;35,AI37+AH38-AQ37,IF(A38&lt;'Données projet'!$A$62,$AF$205^A38,IF(A38='Données projet'!$A$62,'Données projet'!$B$62,AI37+AH38-AQ37)))</f>
        <v>596.83333333333303</v>
      </c>
      <c r="AJ38" s="14">
        <f>AI38*VLOOKUP('Données projet'!$B$10,Paramètres!$A$1:$I$89,3,0)*VLOOKUP('Données projet'!$B$10,Paramètres!$A$1:$I$89,5,0)</f>
        <v>372.42399999999981</v>
      </c>
      <c r="AK38" s="14">
        <f t="shared" si="35"/>
        <v>86.163025755834283</v>
      </c>
      <c r="AL38" s="22">
        <f t="shared" si="4"/>
        <v>798.70573652474422</v>
      </c>
      <c r="AM38" s="62">
        <f t="shared" si="5"/>
        <v>1092.0390698580775</v>
      </c>
      <c r="AN38" s="62">
        <f ca="1">AVERAGE(OFFSET($AM$3,0,0,'Données projet'!$E$10+1,1))-AVERAGE(OFFSET($H$3,0,0,'Données projet'!$E$10+1,1))</f>
        <v>482.28841373508675</v>
      </c>
      <c r="AO38" s="62">
        <f t="shared" si="36"/>
        <v>746.97309214631684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33.693158819839056</v>
      </c>
      <c r="AV38" s="23">
        <f>EXP(-LN(2)/25)*AV37+(1-EXP(-LN(2)/25))/(LN(2)/25)*Calculateur!AQ38*Calculateur!AS38*VLOOKUP('Données projet'!$B$10,Paramètres!$A$1:$I$89,3,0)*0.475*44/12</f>
        <v>7.7417278218972028</v>
      </c>
      <c r="AW38" s="23">
        <f>EXP(-LN(2)/2)*AW37+(1-EXP(-LN(2)/2))/(LN(2)/2)*AQ38*AT38*VLOOKUP('Données projet'!$B$10,Paramètres!$A$1:$I$89,3,0)*0.475*44/12</f>
        <v>1.7640173349596322</v>
      </c>
      <c r="AX38" s="23">
        <f t="shared" si="6"/>
        <v>43.198903976695888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24.166666666666668</v>
      </c>
      <c r="BD38" s="13">
        <f>IF('Données projet'!$A$88&gt;35,BD37+BC38-BL37,IF(A38&lt;'Données projet'!$A$88,$BA$205^A38,IF(A38='Données projet'!$A$88,'Données projet'!$B$88,BD37+BC38-BL37)))</f>
        <v>596.83333333333303</v>
      </c>
      <c r="BE38" s="14">
        <f>BD38*VLOOKUP('Données projet'!$B$11,Paramètres!$A$1:$I$89,3,0)*VLOOKUP('Données projet'!$B$11,Paramètres!$A$1:$I$89,5,0)</f>
        <v>325.87099999999987</v>
      </c>
      <c r="BF38" s="14">
        <f t="shared" si="37"/>
        <v>76.573633827002482</v>
      </c>
      <c r="BG38" s="22">
        <f t="shared" si="7"/>
        <v>700.9244039153624</v>
      </c>
      <c r="BH38" s="62">
        <f t="shared" si="8"/>
        <v>994.25773724869578</v>
      </c>
      <c r="BI38" s="62">
        <f ca="1">AVERAGE(OFFSET($BH$3,0,0,'Données projet'!$E$11+1,1))-AVERAGE(OFFSET($H$3,0,0,'Données projet'!$E$11+1,1))</f>
        <v>417.99456559608217</v>
      </c>
      <c r="BJ38" s="62">
        <f t="shared" si="38"/>
        <v>651.41353014863932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29.481513967359167</v>
      </c>
      <c r="BQ38" s="23">
        <f>EXP(-LN(2)/25)*BQ37+(1-EXP(-LN(2)/25))/(LN(2)/25)*Calculateur!BL38*Calculateur!BN38*VLOOKUP('Données projet'!$B$11,Paramètres!$A$1:$I$89,3,0)*0.475*44/12</f>
        <v>6.8546548423048161</v>
      </c>
      <c r="BR38" s="23">
        <f>EXP(-LN(2)/2)*BR37+(1-EXP(-LN(2)/2))/(LN(2)/2)*BL38*BO38*VLOOKUP('Données projet'!$B$11,Paramètres!$A$1:$I$89,3,0)*0.475*44/12</f>
        <v>1.5201285746337729</v>
      </c>
      <c r="BS38" s="24">
        <f t="shared" si="9"/>
        <v>37.856297384297754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2.6904761904761907</v>
      </c>
      <c r="BY38" s="13">
        <f>IF('Données projet'!$A$114&gt;35,BY37+BX38-CG37,IF(A38&lt;'Données projet'!$A$114,$BV$205^A38,IF(A38='Données projet'!$A$114,'Données projet'!$B$114,BY37+BX38-CG37)))</f>
        <v>94.166666666666657</v>
      </c>
      <c r="BZ38" s="14">
        <f>BY38*VLOOKUP('Données projet'!$B$12,Paramètres!$A$1:$I$89,3,0)*VLOOKUP('Données projet'!$B$12,Paramètres!$A$1:$I$89,5,0)</f>
        <v>85.201999999999998</v>
      </c>
      <c r="CA38" s="14">
        <f t="shared" si="39"/>
        <v>23.404399288552128</v>
      </c>
      <c r="CB38" s="22">
        <f t="shared" si="10"/>
        <v>189.1561454275616</v>
      </c>
      <c r="CC38" s="62">
        <f t="shared" si="11"/>
        <v>482.48947876089494</v>
      </c>
      <c r="CD38" s="62">
        <f ca="1">AVERAGE(OFFSET($CC$3,0,0,'Données projet'!$E$12+1,1))-AVERAGE(OFFSET($H$3,0,0,'Données projet'!$E$12+1,1))</f>
        <v>213.07277043804817</v>
      </c>
      <c r="CE38" s="62">
        <f t="shared" si="40"/>
        <v>129.14539883354166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2.6904761904761907</v>
      </c>
      <c r="CT38" s="13">
        <f>IF('Données projet'!$A$140&gt;35,CT37+CS38-DB37,IF(A38&lt;'Données projet'!$A$140,$CQ$205^A38,IF(A38='Données projet'!$A$140,'Données projet'!$B$140,CT37+CS38-DB37)))</f>
        <v>94.166666666666657</v>
      </c>
      <c r="CU38" s="18">
        <f>CT38*VLOOKUP('Données projet'!$B$13,Paramètres!$A$1:$I$89,3,0)*VLOOKUP('Données projet'!$B$13,Paramètres!$A$1:$I$89,5,0)</f>
        <v>95.484999999999999</v>
      </c>
      <c r="CV38" s="14">
        <f t="shared" si="41"/>
        <v>25.883485918927366</v>
      </c>
      <c r="CW38" s="22">
        <f t="shared" si="13"/>
        <v>211.38344630879848</v>
      </c>
      <c r="CX38" s="62">
        <f t="shared" si="14"/>
        <v>504.71677964213177</v>
      </c>
      <c r="CY38" s="62">
        <f ca="1">AVERAGE(OFFSET($CX$3,0,0,'Données projet'!$E$13+1,1))-AVERAGE(OFFSET($H$3,0,0,'Données projet'!$E$13+1,1))</f>
        <v>247.92503505485405</v>
      </c>
      <c r="CZ38" s="62">
        <f t="shared" si="42"/>
        <v>148.26437652597514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2</v>
      </c>
      <c r="DO38" s="13">
        <f>IF('Données projet'!$A$166&gt;35,DO37+DN38-DW37,IF(A38&lt;'Données projet'!$A$166,$DL$205^A38,IF(A38='Données projet'!$A$166,'Données projet'!$B$166,DO37+DN38-DW37)))</f>
        <v>70</v>
      </c>
      <c r="DP38" s="18">
        <f>DO38*VLOOKUP('Données projet'!$B$14,Paramètres!$A$1:$I$89,3,0)*VLOOKUP('Données projet'!$B$14,Paramètres!$A$1:$I$89,5,0)</f>
        <v>67.703999999999994</v>
      </c>
      <c r="DQ38" s="14">
        <f t="shared" si="43"/>
        <v>19.102177882771514</v>
      </c>
      <c r="DR38" s="22">
        <f t="shared" si="16"/>
        <v>151.18742647916039</v>
      </c>
      <c r="DS38" s="62">
        <f t="shared" si="17"/>
        <v>444.52075981249368</v>
      </c>
      <c r="DT38" s="62">
        <f ca="1">AVERAGE(OFFSET($DS$3,0,0,'Données projet'!$E$14+1,1))-AVERAGE(OFFSET($H$3,0,0,'Données projet'!$E$14+1,1))</f>
        <v>154.0837760161366</v>
      </c>
      <c r="DU38" s="62">
        <f t="shared" si="44"/>
        <v>96.484500841546037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221.48208333333338</v>
      </c>
      <c r="EH38" s="13">
        <f>VLOOKUP(A38,'Données projet'!$A$191:$I$211,9,0)</f>
        <v>9.9205000000000041</v>
      </c>
      <c r="EI38" s="13">
        <f t="array" ref="EI38">INDEX(EH:EH,MIN(IF(ISNUMBER(EH38:EH234),ROW(EH38:EH234),"")))</f>
        <v>9.9205000000000041</v>
      </c>
      <c r="EJ38" s="13">
        <f>IF('Données projet'!$A$192&gt;35,EJ37+EI38-ER37,IF(A38&lt;'Données projet'!$A$192,$EG$205^A38,IF(A38='Données projet'!$A$192,'Données projet'!$B$192,EJ37+EI38-ER37)))</f>
        <v>221.48208333333338</v>
      </c>
      <c r="EK38" s="18">
        <f>EJ38*VLOOKUP('Données projet'!$B$15,Paramètres!$A$1:$I$89,3,0)*VLOOKUP('Données projet'!$B$15,Paramètres!$A$1:$I$89,5,0)</f>
        <v>148.57018150000002</v>
      </c>
      <c r="EL38" s="14">
        <f t="shared" si="45"/>
        <v>38.253473331298821</v>
      </c>
      <c r="EM38" s="22">
        <f t="shared" si="19"/>
        <v>325.38453216451211</v>
      </c>
      <c r="EN38" s="62">
        <f t="shared" si="20"/>
        <v>618.71786549784542</v>
      </c>
      <c r="EO38" s="62">
        <f ca="1">AVERAGE(OFFSET($EN$3,0,0,'Données projet'!$E$15+1,1))-AVERAGE(OFFSET($H$3,0,0,'Données projet'!$E$15+1,1))</f>
        <v>205.35893113421139</v>
      </c>
      <c r="EP38" s="62">
        <f t="shared" si="46"/>
        <v>220.4399811285175</v>
      </c>
      <c r="EQ38" s="16">
        <f>IF(ISNA(VLOOKUP(A38,'Données projet'!$A$191:$I$211,3,0)),0,VLOOKUP(A38,'Données projet'!$A$191:$I$211,3,0))</f>
        <v>3</v>
      </c>
      <c r="ER38" s="16">
        <f>IF(ISNA(VLOOKUP(A38,'Données projet'!$A$191:$I$211,4,0)),0,VLOOKUP(A38,'Données projet'!$A$191:$I$211,4,0))</f>
        <v>36.913680555555565</v>
      </c>
      <c r="ES38" s="17">
        <f>IF(ISNA(VLOOKUP(A38,'Données projet'!$A$191:$I$211,5,0)),0%,VLOOKUP(A38,'Données projet'!$A$191:$I$211,5,0)*VLOOKUP('Données projet'!$B$15,Paramètres!$A$1:$I$89,7,0))</f>
        <v>0.371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15.674759049275103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15.674759049275103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221.48208333333338</v>
      </c>
      <c r="FC38" s="13">
        <f>VLOOKUP(A38,'Données projet'!$A$217:$I$237,9,0)</f>
        <v>9.9205000000000041</v>
      </c>
      <c r="FD38" s="13">
        <f t="array" ref="FD38">INDEX(FC:FC,MIN(IF(ISNUMBER(FC38:FC234),ROW(FC38:FC234),"")))</f>
        <v>9.9205000000000041</v>
      </c>
      <c r="FE38" s="13">
        <f>IF('Données projet'!$A$218&gt;35,FE37+FD38-FM37,IF(A38&lt;'Données projet'!$A$218,$FB$205^A38,IF(A38='Données projet'!$A$218,'Données projet'!$B$218,FE37+FD38-FM37)))</f>
        <v>221.48208333333338</v>
      </c>
      <c r="FF38" s="18">
        <f>FE38*VLOOKUP('Données projet'!$B$16,Paramètres!$A$1:$I$89,3,0)*VLOOKUP('Données projet'!$B$16,Paramètres!$A$1:$I$89,5,0)</f>
        <v>172.75602500000005</v>
      </c>
      <c r="FG38" s="14">
        <f t="shared" si="47"/>
        <v>43.706702584774995</v>
      </c>
      <c r="FH38" s="22">
        <f t="shared" si="22"/>
        <v>377.00591721014985</v>
      </c>
      <c r="FI38" s="62">
        <f t="shared" si="23"/>
        <v>670.3392505434831</v>
      </c>
      <c r="FJ38" s="62">
        <f ca="1">AVERAGE(OFFSET($FI$3,0,0,'Données projet'!$E$16+1,1))-AVERAGE(OFFSET($H$3,0,0,'Données projet'!$E$16+1,1))</f>
        <v>242.81177364426878</v>
      </c>
      <c r="FK38" s="62">
        <f t="shared" si="48"/>
        <v>260.72115764896671</v>
      </c>
      <c r="FL38" s="16">
        <f>IF(ISNA(VLOOKUP(A38,'Données projet'!$A$217:$I$237,3,0)),0,VLOOKUP(A38,'Données projet'!$A$217:$I$237,3,0))</f>
        <v>3</v>
      </c>
      <c r="FM38" s="16">
        <f>IF(ISNA(VLOOKUP(A38,'Données projet'!$A$217:$I$237,4,0)),0,VLOOKUP(A38,'Données projet'!$A$217:$I$237,4,0))</f>
        <v>36.913680555555565</v>
      </c>
      <c r="FN38" s="17">
        <f>IF(ISNA(VLOOKUP(A38,'Données projet'!$A$217:$I$237,5,0)),0%,VLOOKUP(A38,'Données projet'!$A$217:$I$237,5,0)*VLOOKUP('Données projet'!$B$16,Paramètres!$A$1:$I$89,7,0))</f>
        <v>0.30099999999999999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14.787508537051984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14.787508537051984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221.48208333333338</v>
      </c>
      <c r="FX38" s="13">
        <f>VLOOKUP(A38,'Données projet'!$A$243:$I$263,9,0)</f>
        <v>9.9205000000000041</v>
      </c>
      <c r="FY38" s="13">
        <f t="array" ref="FY38">INDEX(FX:FX,MIN(IF(ISNUMBER(FX38:FX234),ROW(FX38:FX234),"")))</f>
        <v>9.9205000000000041</v>
      </c>
      <c r="FZ38" s="13">
        <f>IF('Données projet'!$A$244&gt;35,FZ37+FY38-GH37,IF(A38&lt;'Données projet'!$A$244,$FW$205^A38,IF(A38='Données projet'!$A$244,'Données projet'!$B$244,FZ37+FY38-GH37)))</f>
        <v>221.48208333333338</v>
      </c>
      <c r="GA38" s="18">
        <f>FZ38*VLOOKUP('Données projet'!$B$17,Paramètres!$A$1:$I$89,3,0)*VLOOKUP('Données projet'!$B$17,Paramètres!$A$1:$I$89,5,0)</f>
        <v>176.21114550000004</v>
      </c>
      <c r="GB38" s="14">
        <f t="shared" si="49"/>
        <v>44.478194998326401</v>
      </c>
      <c r="GC38" s="22">
        <f t="shared" si="25"/>
        <v>384.36726803458515</v>
      </c>
      <c r="GD38" s="62">
        <f t="shared" si="26"/>
        <v>677.70060136791847</v>
      </c>
      <c r="GE38" s="62">
        <f ca="1">AVERAGE(OFFSET($GD$3,0,0,'Données projet'!$E$17+1,1))-AVERAGE(OFFSET($H$3,0,0,'Données projet'!$E$17+1,1))</f>
        <v>248.15263300983543</v>
      </c>
      <c r="GF38" s="62">
        <f t="shared" si="50"/>
        <v>266.46511459244618</v>
      </c>
      <c r="GG38" s="16">
        <f>IF(ISNA(VLOOKUP(A38,'Données projet'!$A$243:$I$263,3,0)),0,VLOOKUP(A38,'Données projet'!$A$243:$I$263,3,0))</f>
        <v>3</v>
      </c>
      <c r="GH38" s="16">
        <f>IF(ISNA(VLOOKUP(A38,'Données projet'!$A$243:$I$263,4,0)),0,VLOOKUP(A38,'Données projet'!$A$243:$I$263,4,0))</f>
        <v>36.913680555555565</v>
      </c>
      <c r="GI38" s="17">
        <f>IF(ISNA(VLOOKUP(A38,'Données projet'!$A$243:$I$263,5,0)),0%,VLOOKUP(A38,'Données projet'!$A$243:$I$263,5,0)*VLOOKUP('Données projet'!$B$17,Paramètres!$A$1:$I$89,7,0))</f>
        <v>0.371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18.5909932910007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18.5909932910007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25.6</v>
      </c>
      <c r="N39" s="14">
        <f>IF('Données projet'!$A$36&gt;35,N38+M39-V38,IF(A39&lt;'Données projet'!$A$36,$K$205^A39,IF(A39='Données projet'!$A$36,'Données projet'!$B$36,N38+M39-V38)))</f>
        <v>461.60000000000014</v>
      </c>
      <c r="O39" s="14">
        <f>N39*VLOOKUP('Données projet'!$B$9,Paramètres!$A$1:$I$89,3,0)*VLOOKUP('Données projet'!$B$9,Paramètres!$A$1:$I$89,5,0)</f>
        <v>258.03440000000006</v>
      </c>
      <c r="P39" s="14">
        <f t="shared" si="33"/>
        <v>62.303206596431174</v>
      </c>
      <c r="Q39" s="22">
        <f t="shared" si="53"/>
        <v>557.9213314887844</v>
      </c>
      <c r="R39" s="62">
        <f t="shared" si="0"/>
        <v>851.25466482211777</v>
      </c>
      <c r="S39" s="62">
        <f ca="1">AVERAGE(OFFSET($R$3,0,0,'Données projet'!$E$9+1,1))-AVERAGE(OFFSET($H$3,0,0,'Données projet'!$E$9+1,1))</f>
        <v>382.55387448074327</v>
      </c>
      <c r="T39" s="62">
        <f t="shared" si="34"/>
        <v>476.29465646955543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33.00253343494505</v>
      </c>
      <c r="AA39" s="23">
        <f>EXP(-LN(2)/25)*AA38+(1-EXP(-LN(2)/25))/(LN(2)/25)*Calculateur!V39*Calculateur!X39*VLOOKUP('Données projet'!$B$9,Paramètres!$A$1:$I$89,3,0)*0.475*44/12</f>
        <v>16.756704186563589</v>
      </c>
      <c r="AB39" s="23">
        <f>EXP(-LN(2)/2)*AB38+(1-EXP(-LN(2)/2))/(LN(2)/2)*V39*Y39*VLOOKUP('Données projet'!$B$9,Paramètres!$A$1:$I$89,3,0)*0.475*44/12</f>
        <v>4.9724275696597831</v>
      </c>
      <c r="AC39" s="24">
        <f t="shared" si="3"/>
        <v>54.731665191168425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621</v>
      </c>
      <c r="AG39" s="13">
        <f>VLOOKUP(A39,'Données projet'!$A$61:$I$81,9,0)</f>
        <v>24.166666666666668</v>
      </c>
      <c r="AH39" s="13">
        <f t="array" ref="AH39">INDEX(AG:AG,MIN(IF(ISNUMBER(AG39:AG235),ROW(AG39:AG235),"")))</f>
        <v>24.166666666666668</v>
      </c>
      <c r="AI39" s="14">
        <f>IF('Données projet'!$A$62&gt;35,AI38+AH39-AQ38,IF(A39&lt;'Données projet'!$A$62,$AF$205^A39,IF(A39='Données projet'!$A$62,'Données projet'!$B$62,AI38+AH39-AQ38)))</f>
        <v>620.99999999999966</v>
      </c>
      <c r="AJ39" s="14">
        <f>AI39*VLOOKUP('Données projet'!$B$10,Paramètres!$A$1:$I$89,3,0)*VLOOKUP('Données projet'!$B$10,Paramètres!$A$1:$I$89,5,0)</f>
        <v>387.50399999999979</v>
      </c>
      <c r="AK39" s="14">
        <f t="shared" si="35"/>
        <v>89.238632444486413</v>
      </c>
      <c r="AL39" s="22">
        <f t="shared" si="4"/>
        <v>830.32675150748025</v>
      </c>
      <c r="AM39" s="62">
        <f t="shared" si="5"/>
        <v>1123.6600848408136</v>
      </c>
      <c r="AN39" s="62">
        <f ca="1">AVERAGE(OFFSET($AM$3,0,0,'Données projet'!$E$10+1,1))-AVERAGE(OFFSET($H$3,0,0,'Données projet'!$E$10+1,1))</f>
        <v>482.28841373508675</v>
      </c>
      <c r="AO39" s="62">
        <f t="shared" si="36"/>
        <v>746.97309214631684</v>
      </c>
      <c r="AP39" s="16">
        <f>IF(ISNA(VLOOKUP(A39,'Données projet'!$A$61:$I$81,3,0)),0,VLOOKUP(A39,'Données projet'!$A$61:$I$81,3,0))</f>
        <v>2</v>
      </c>
      <c r="AQ39" s="16">
        <f>IF(ISNA(VLOOKUP(A39,'Données projet'!$A$61:$I$81,4,0)),0,VLOOKUP(A39,'Données projet'!$A$61:$I$81,4,0))</f>
        <v>119</v>
      </c>
      <c r="AR39" s="17">
        <f>IF(ISNA(VLOOKUP(A39,'Données projet'!$A$61:$I$81,5,0)),0%,VLOOKUP(A39,'Données projet'!$A$61:$I$81,5,0)*VLOOKUP('Données projet'!$B$10,Paramètres!$A$1:$I$89,7,0))</f>
        <v>0.42</v>
      </c>
      <c r="AS39" s="17">
        <f>IF(ISNA(VLOOKUP(A39,'Données projet'!$A$61:$I$81,6,0)),0%,VLOOKUP(A39,'Données projet'!$A$61:$I$81,6,0)*VLOOKUP('Données projet'!$B$10,Paramètres!$A$1:$I$89,7,0))</f>
        <v>0.1008</v>
      </c>
      <c r="AT39" s="17">
        <f>IF(ISNA(VLOOKUP(A39,'Données projet'!$A$61:$I$81,7,0)),0%,VLOOKUP(A39,'Données projet'!$A$61:$I$81,7,0))</f>
        <v>0.13200000000000001</v>
      </c>
      <c r="AU39" s="23">
        <f>EXP(-LN(2)/35)*AU38+(1-EXP(-LN(2)/35))/(LN(2)/35)*AQ39*AR39*VLOOKUP('Données projet'!$B$10,Paramètres!$A$1:$I$89,3,0)*0.475*44/12</f>
        <v>74.404712011489437</v>
      </c>
      <c r="AV39" s="23">
        <f>EXP(-LN(2)/25)*AV38+(1-EXP(-LN(2)/25))/(LN(2)/25)*Calculateur!AQ39*Calculateur!AS39*VLOOKUP('Données projet'!$B$10,Paramètres!$A$1:$I$89,3,0)*0.475*44/12</f>
        <v>17.420275583823383</v>
      </c>
      <c r="AW39" s="23">
        <f>EXP(-LN(2)/2)*AW38+(1-EXP(-LN(2)/2))/(LN(2)/2)*AQ39*AT39*VLOOKUP('Données projet'!$B$10,Paramètres!$A$1:$I$89,3,0)*0.475*44/12</f>
        <v>12.34525409571711</v>
      </c>
      <c r="AX39" s="23">
        <f t="shared" si="6"/>
        <v>104.17024169102993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621</v>
      </c>
      <c r="BB39" s="13">
        <f>VLOOKUP(A39,'Données projet'!$A$87:$I$107,9,0)</f>
        <v>24.166666666666668</v>
      </c>
      <c r="BC39" s="13">
        <f t="array" ref="BC39">INDEX(BB:BB,MIN(IF(ISNUMBER(BB39:BB235),ROW(BB39:BB235),"")))</f>
        <v>24.166666666666668</v>
      </c>
      <c r="BD39" s="13">
        <f>IF('Données projet'!$A$88&gt;35,BD38+BC39-BL38,IF(A39&lt;'Données projet'!$A$88,$BA$205^A39,IF(A39='Données projet'!$A$88,'Données projet'!$B$88,BD38+BC39-BL38)))</f>
        <v>620.99999999999966</v>
      </c>
      <c r="BE39" s="14">
        <f>BD39*VLOOKUP('Données projet'!$B$11,Paramètres!$A$1:$I$89,3,0)*VLOOKUP('Données projet'!$B$11,Paramètres!$A$1:$I$89,5,0)</f>
        <v>339.0659999999998</v>
      </c>
      <c r="BF39" s="14">
        <f t="shared" si="37"/>
        <v>79.306945224864819</v>
      </c>
      <c r="BG39" s="22">
        <f t="shared" si="7"/>
        <v>728.66621293330593</v>
      </c>
      <c r="BH39" s="62">
        <f t="shared" si="8"/>
        <v>1021.9995462666393</v>
      </c>
      <c r="BI39" s="62">
        <f ca="1">AVERAGE(OFFSET($BH$3,0,0,'Données projet'!$E$11+1,1))-AVERAGE(OFFSET($H$3,0,0,'Données projet'!$E$11+1,1))</f>
        <v>417.99456559608217</v>
      </c>
      <c r="BJ39" s="62">
        <f t="shared" si="38"/>
        <v>651.41353014863932</v>
      </c>
      <c r="BK39" s="16">
        <f>IF(ISNA(VLOOKUP(A39,'Données projet'!$A$87:$I$107,3,0)),0,VLOOKUP(A39,'Données projet'!$A$87:$I$107,3,0))</f>
        <v>2</v>
      </c>
      <c r="BL39" s="16">
        <f>IF(ISNA(VLOOKUP(A39,'Données projet'!$A$87:$I$107,4,0)),0,VLOOKUP(A39,'Données projet'!$A$87:$I$107,4,0))</f>
        <v>119</v>
      </c>
      <c r="BM39" s="17">
        <f>IF(ISNA(VLOOKUP(A39,'Données projet'!$A$87:$I$107,5,0)),0%,VLOOKUP(A39,'Données projet'!$A$87:$I$107,5,0)*VLOOKUP('Données projet'!$B$11,Paramètres!$A$1:$I$89,7,0))</f>
        <v>0.42</v>
      </c>
      <c r="BN39" s="17">
        <f>IF(ISNA(VLOOKUP(A39,'Données projet'!$A$87:$I$107,6,0)),0%,VLOOKUP(A39,'Données projet'!$A$87:$I$107,6,0)*VLOOKUP('Données projet'!$B$11,Paramètres!$A$1:$I$89,7,0))</f>
        <v>0.10200000000000001</v>
      </c>
      <c r="BO39" s="17">
        <f>IF(ISNA(VLOOKUP(A39,'Données projet'!$A$87:$I$107,7,0)),0%,VLOOKUP(A39,'Données projet'!$A$87:$I$107,7,0))</f>
        <v>0.13</v>
      </c>
      <c r="BP39" s="23">
        <f>EXP(-LN(2)/35)*BP38+(1-EXP(-LN(2)/35))/(LN(2)/35)*BL39*BM39*VLOOKUP('Données projet'!$B$11,Paramètres!$A$1:$I$89,3,0)*0.475*44/12</f>
        <v>65.104123010053257</v>
      </c>
      <c r="BQ39" s="23">
        <f>EXP(-LN(2)/25)*BQ38+(1-EXP(-LN(2)/25))/(LN(2)/25)*Calculateur!BL39*Calculateur!BN39*VLOOKUP('Données projet'!$B$11,Paramètres!$A$1:$I$89,3,0)*0.475*44/12</f>
        <v>15.424202339843621</v>
      </c>
      <c r="BR39" s="23">
        <f>EXP(-LN(2)/2)*BR38+(1-EXP(-LN(2)/2))/(LN(2)/2)*BL39*BO39*VLOOKUP('Données projet'!$B$11,Paramètres!$A$1:$I$89,3,0)*0.475*44/12</f>
        <v>10.638429192331978</v>
      </c>
      <c r="BS39" s="24">
        <f t="shared" si="9"/>
        <v>91.166754542228858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2.6904761904761907</v>
      </c>
      <c r="BY39" s="13">
        <f>IF('Données projet'!$A$114&gt;35,BY38+BX39-CG38,IF(A39&lt;'Données projet'!$A$114,$BV$205^A39,IF(A39='Données projet'!$A$114,'Données projet'!$B$114,BY38+BX39-CG38)))</f>
        <v>96.857142857142847</v>
      </c>
      <c r="BZ39" s="14">
        <f>BY39*VLOOKUP('Données projet'!$B$12,Paramètres!$A$1:$I$89,3,0)*VLOOKUP('Données projet'!$B$12,Paramètres!$A$1:$I$89,5,0)</f>
        <v>87.63634285714285</v>
      </c>
      <c r="CA39" s="14">
        <f t="shared" si="39"/>
        <v>23.994287840288255</v>
      </c>
      <c r="CB39" s="22">
        <f t="shared" si="10"/>
        <v>194.42334846469248</v>
      </c>
      <c r="CC39" s="62">
        <f t="shared" si="11"/>
        <v>487.7566817980258</v>
      </c>
      <c r="CD39" s="62">
        <f ca="1">AVERAGE(OFFSET($CC$3,0,0,'Données projet'!$E$12+1,1))-AVERAGE(OFFSET($H$3,0,0,'Données projet'!$E$12+1,1))</f>
        <v>213.07277043804817</v>
      </c>
      <c r="CE39" s="62">
        <f t="shared" si="40"/>
        <v>129.14539883354166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2.6904761904761907</v>
      </c>
      <c r="CT39" s="13">
        <f>IF('Données projet'!$A$140&gt;35,CT38+CS39-DB38,IF(A39&lt;'Données projet'!$A$140,$CQ$205^A39,IF(A39='Données projet'!$A$140,'Données projet'!$B$140,CT38+CS39-DB38)))</f>
        <v>96.857142857142847</v>
      </c>
      <c r="CU39" s="18">
        <f>CT39*VLOOKUP('Données projet'!$B$13,Paramètres!$A$1:$I$89,3,0)*VLOOKUP('Données projet'!$B$13,Paramètres!$A$1:$I$89,5,0)</f>
        <v>98.213142857142856</v>
      </c>
      <c r="CV39" s="14">
        <f t="shared" si="41"/>
        <v>26.535857801424978</v>
      </c>
      <c r="CW39" s="22">
        <f t="shared" si="13"/>
        <v>217.27117614700566</v>
      </c>
      <c r="CX39" s="62">
        <f t="shared" si="14"/>
        <v>510.60450948033895</v>
      </c>
      <c r="CY39" s="62">
        <f ca="1">AVERAGE(OFFSET($CX$3,0,0,'Données projet'!$E$13+1,1))-AVERAGE(OFFSET($H$3,0,0,'Données projet'!$E$13+1,1))</f>
        <v>247.92503505485405</v>
      </c>
      <c r="CZ39" s="62">
        <f t="shared" si="42"/>
        <v>148.26437652597514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2</v>
      </c>
      <c r="DO39" s="13">
        <f>IF('Données projet'!$A$166&gt;35,DO38+DN39-DW38,IF(A39&lt;'Données projet'!$A$166,$DL$205^A39,IF(A39='Données projet'!$A$166,'Données projet'!$B$166,DO38+DN39-DW38)))</f>
        <v>72</v>
      </c>
      <c r="DP39" s="18">
        <f>DO39*VLOOKUP('Données projet'!$B$14,Paramètres!$A$1:$I$89,3,0)*VLOOKUP('Données projet'!$B$14,Paramètres!$A$1:$I$89,5,0)</f>
        <v>69.638400000000004</v>
      </c>
      <c r="DQ39" s="14">
        <f t="shared" si="43"/>
        <v>19.583632497664617</v>
      </c>
      <c r="DR39" s="22">
        <f t="shared" si="16"/>
        <v>155.39503993343254</v>
      </c>
      <c r="DS39" s="62">
        <f t="shared" si="17"/>
        <v>448.72837326676586</v>
      </c>
      <c r="DT39" s="62">
        <f ca="1">AVERAGE(OFFSET($DS$3,0,0,'Données projet'!$E$14+1,1))-AVERAGE(OFFSET($H$3,0,0,'Données projet'!$E$14+1,1))</f>
        <v>154.0837760161366</v>
      </c>
      <c r="DU39" s="62">
        <f t="shared" si="44"/>
        <v>96.484500841546037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11.926499999999994</v>
      </c>
      <c r="EJ39" s="13">
        <f>IF('Données projet'!$A$192&gt;35,EJ38+EI39-ER38,IF(A39&lt;'Données projet'!$A$192,$EG$205^A39,IF(A39='Données projet'!$A$192,'Données projet'!$B$192,EJ38+EI39-ER38)))</f>
        <v>196.49490277777781</v>
      </c>
      <c r="EK39" s="18">
        <f>EJ39*VLOOKUP('Données projet'!$B$15,Paramètres!$A$1:$I$89,3,0)*VLOOKUP('Données projet'!$B$15,Paramètres!$A$1:$I$89,5,0)</f>
        <v>131.80878078333333</v>
      </c>
      <c r="EL39" s="14">
        <f t="shared" si="45"/>
        <v>34.413978752529943</v>
      </c>
      <c r="EM39" s="22">
        <f t="shared" si="19"/>
        <v>289.50463952496187</v>
      </c>
      <c r="EN39" s="62">
        <f t="shared" si="20"/>
        <v>582.83797285829519</v>
      </c>
      <c r="EO39" s="62">
        <f ca="1">AVERAGE(OFFSET($EN$3,0,0,'Données projet'!$E$15+1,1))-AVERAGE(OFFSET($H$3,0,0,'Données projet'!$E$15+1,1))</f>
        <v>205.35893113421139</v>
      </c>
      <c r="EP39" s="62">
        <f t="shared" si="46"/>
        <v>220.4399811285175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15.367386584977801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15.367386584977801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11.926499999999994</v>
      </c>
      <c r="FE39" s="13">
        <f>IF('Données projet'!$A$218&gt;35,FE38+FD39-FM38,IF(A39&lt;'Données projet'!$A$218,$FB$205^A39,IF(A39='Données projet'!$A$218,'Données projet'!$B$218,FE38+FD39-FM38)))</f>
        <v>196.49490277777781</v>
      </c>
      <c r="FF39" s="18">
        <f>FE39*VLOOKUP('Données projet'!$B$16,Paramètres!$A$1:$I$89,3,0)*VLOOKUP('Données projet'!$B$16,Paramètres!$A$1:$I$89,5,0)</f>
        <v>153.26602416666671</v>
      </c>
      <c r="FG39" s="14">
        <f t="shared" si="47"/>
        <v>39.319868318073134</v>
      </c>
      <c r="FH39" s="22">
        <f t="shared" si="22"/>
        <v>335.42042941092188</v>
      </c>
      <c r="FI39" s="62">
        <f t="shared" si="23"/>
        <v>628.75376274425525</v>
      </c>
      <c r="FJ39" s="62">
        <f ca="1">AVERAGE(OFFSET($FI$3,0,0,'Données projet'!$E$16+1,1))-AVERAGE(OFFSET($H$3,0,0,'Données projet'!$E$16+1,1))</f>
        <v>242.81177364426878</v>
      </c>
      <c r="FK39" s="62">
        <f t="shared" si="48"/>
        <v>260.72115764896671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14.497534514130002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14.497534514130002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11.926499999999994</v>
      </c>
      <c r="FZ39" s="13">
        <f>IF('Données projet'!$A$244&gt;35,FZ38+FY39-GH38,IF(A39&lt;'Données projet'!$A$244,$FW$205^A39,IF(A39='Données projet'!$A$244,'Données projet'!$B$244,FZ38+FY39-GH38)))</f>
        <v>196.49490277777781</v>
      </c>
      <c r="GA39" s="18">
        <f>FZ39*VLOOKUP('Données projet'!$B$17,Paramètres!$A$1:$I$89,3,0)*VLOOKUP('Données projet'!$B$17,Paramètres!$A$1:$I$89,5,0)</f>
        <v>156.33134465000003</v>
      </c>
      <c r="GB39" s="14">
        <f t="shared" si="49"/>
        <v>40.013926169964307</v>
      </c>
      <c r="GC39" s="22">
        <f t="shared" si="25"/>
        <v>341.96801334477124</v>
      </c>
      <c r="GD39" s="62">
        <f t="shared" si="26"/>
        <v>635.30134667810455</v>
      </c>
      <c r="GE39" s="62">
        <f ca="1">AVERAGE(OFFSET($GD$3,0,0,'Données projet'!$E$17+1,1))-AVERAGE(OFFSET($H$3,0,0,'Données projet'!$E$17+1,1))</f>
        <v>248.15263300983543</v>
      </c>
      <c r="GF39" s="62">
        <f t="shared" si="50"/>
        <v>266.46511459244618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18.226435251950413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18.226435251950413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25.6</v>
      </c>
      <c r="N40" s="14">
        <f>IF('Données projet'!$A$36&gt;35,N39+M40-V39,IF(A40&lt;'Données projet'!$A$36,$K$205^A40,IF(A40='Données projet'!$A$36,'Données projet'!$B$36,N39+M40-V39)))</f>
        <v>487.20000000000016</v>
      </c>
      <c r="O40" s="14">
        <f>N40*VLOOKUP('Données projet'!$B$9,Paramètres!$A$1:$I$89,3,0)*VLOOKUP('Données projet'!$B$9,Paramètres!$A$1:$I$89,5,0)</f>
        <v>272.34480000000008</v>
      </c>
      <c r="P40" s="14">
        <f t="shared" si="33"/>
        <v>65.346644318451709</v>
      </c>
      <c r="Q40" s="22">
        <f t="shared" si="53"/>
        <v>588.14593218797006</v>
      </c>
      <c r="R40" s="62">
        <f t="shared" si="0"/>
        <v>881.47926552130343</v>
      </c>
      <c r="S40" s="62">
        <f ca="1">AVERAGE(OFFSET($R$3,0,0,'Données projet'!$E$9+1,1))-AVERAGE(OFFSET($H$3,0,0,'Données projet'!$E$9+1,1))</f>
        <v>382.55387448074327</v>
      </c>
      <c r="T40" s="62">
        <f t="shared" si="34"/>
        <v>476.29465646955543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32.355373883843548</v>
      </c>
      <c r="AA40" s="23">
        <f>EXP(-LN(2)/25)*AA39+(1-EXP(-LN(2)/25))/(LN(2)/25)*Calculateur!V40*Calculateur!X40*VLOOKUP('Données projet'!$B$9,Paramètres!$A$1:$I$89,3,0)*0.475*44/12</f>
        <v>16.298491229385231</v>
      </c>
      <c r="AB40" s="23">
        <f>EXP(-LN(2)/2)*AB39+(1-EXP(-LN(2)/2))/(LN(2)/2)*V40*Y40*VLOOKUP('Données projet'!$B$9,Paramètres!$A$1:$I$89,3,0)*0.475*44/12</f>
        <v>3.5160372534653765</v>
      </c>
      <c r="AC40" s="24">
        <f t="shared" si="3"/>
        <v>52.169902366694153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18.833333333333332</v>
      </c>
      <c r="AI40" s="14">
        <f>IF('Données projet'!$A$62&gt;35,AI39+AH40-AQ39,IF(A40&lt;'Données projet'!$A$62,$AF$205^A40,IF(A40='Données projet'!$A$62,'Données projet'!$B$62,AI39+AH40-AQ39)))</f>
        <v>520.83333333333303</v>
      </c>
      <c r="AJ40" s="14">
        <f>AI40*VLOOKUP('Données projet'!$B$10,Paramètres!$A$1:$I$89,3,0)*VLOOKUP('Données projet'!$B$10,Paramètres!$A$1:$I$89,5,0)</f>
        <v>324.99999999999983</v>
      </c>
      <c r="AK40" s="14">
        <f t="shared" si="35"/>
        <v>76.392760292004922</v>
      </c>
      <c r="AL40" s="22">
        <f t="shared" si="4"/>
        <v>699.09239084190824</v>
      </c>
      <c r="AM40" s="62">
        <f t="shared" si="5"/>
        <v>992.42572417524161</v>
      </c>
      <c r="AN40" s="62">
        <f ca="1">AVERAGE(OFFSET($AM$3,0,0,'Données projet'!$E$10+1,1))-AVERAGE(OFFSET($H$3,0,0,'Données projet'!$E$10+1,1))</f>
        <v>482.28841373508675</v>
      </c>
      <c r="AO40" s="62">
        <f t="shared" si="36"/>
        <v>746.97309214631684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72.945680991337312</v>
      </c>
      <c r="AV40" s="23">
        <f>EXP(-LN(2)/25)*AV39+(1-EXP(-LN(2)/25))/(LN(2)/25)*Calculateur!AQ40*Calculateur!AS40*VLOOKUP('Données projet'!$B$10,Paramètres!$A$1:$I$89,3,0)*0.475*44/12</f>
        <v>16.943917231891255</v>
      </c>
      <c r="AW40" s="23">
        <f>EXP(-LN(2)/2)*AW39+(1-EXP(-LN(2)/2))/(LN(2)/2)*AQ40*AT40*VLOOKUP('Données projet'!$B$10,Paramètres!$A$1:$I$89,3,0)*0.475*44/12</f>
        <v>8.7294128865525682</v>
      </c>
      <c r="AX40" s="23">
        <f t="shared" si="6"/>
        <v>98.619011109781141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18.833333333333332</v>
      </c>
      <c r="BD40" s="13">
        <f>IF('Données projet'!$A$88&gt;35,BD39+BC40-BL39,IF(A40&lt;'Données projet'!$A$88,$BA$205^A40,IF(A40='Données projet'!$A$88,'Données projet'!$B$88,BD39+BC40-BL39)))</f>
        <v>520.83333333333303</v>
      </c>
      <c r="BE40" s="14">
        <f>BD40*VLOOKUP('Données projet'!$B$11,Paramètres!$A$1:$I$89,3,0)*VLOOKUP('Données projet'!$B$11,Paramètres!$A$1:$I$89,5,0)</f>
        <v>284.37499999999983</v>
      </c>
      <c r="BF40" s="14">
        <f t="shared" si="37"/>
        <v>67.89073622148031</v>
      </c>
      <c r="BG40" s="22">
        <f t="shared" si="7"/>
        <v>613.52949058574461</v>
      </c>
      <c r="BH40" s="62">
        <f t="shared" si="8"/>
        <v>906.86282391907798</v>
      </c>
      <c r="BI40" s="62">
        <f ca="1">AVERAGE(OFFSET($BH$3,0,0,'Données projet'!$E$11+1,1))-AVERAGE(OFFSET($H$3,0,0,'Données projet'!$E$11+1,1))</f>
        <v>417.99456559608217</v>
      </c>
      <c r="BJ40" s="62">
        <f t="shared" si="38"/>
        <v>651.41353014863932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63.827470867420153</v>
      </c>
      <c r="BQ40" s="23">
        <f>EXP(-LN(2)/25)*BQ39+(1-EXP(-LN(2)/25))/(LN(2)/25)*Calculateur!BL40*Calculateur!BN40*VLOOKUP('Données projet'!$B$11,Paramètres!$A$1:$I$89,3,0)*0.475*44/12</f>
        <v>15.002426715737048</v>
      </c>
      <c r="BR40" s="23">
        <f>EXP(-LN(2)/2)*BR39+(1-EXP(-LN(2)/2))/(LN(2)/2)*BL40*BO40*VLOOKUP('Données projet'!$B$11,Paramètres!$A$1:$I$89,3,0)*0.475*44/12</f>
        <v>7.5225054230708679</v>
      </c>
      <c r="BS40" s="24">
        <f t="shared" si="9"/>
        <v>86.352403006228073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2.6904761904761907</v>
      </c>
      <c r="BY40" s="13">
        <f>IF('Données projet'!$A$114&gt;35,BY39+BX40-CG39,IF(A40&lt;'Données projet'!$A$114,$BV$205^A40,IF(A40='Données projet'!$A$114,'Données projet'!$B$114,BY39+BX40-CG39)))</f>
        <v>99.547619047619037</v>
      </c>
      <c r="BZ40" s="14">
        <f>BY40*VLOOKUP('Données projet'!$B$12,Paramètres!$A$1:$I$89,3,0)*VLOOKUP('Données projet'!$B$12,Paramètres!$A$1:$I$89,5,0)</f>
        <v>90.070685714285702</v>
      </c>
      <c r="CA40" s="14">
        <f t="shared" si="39"/>
        <v>24.582271907062804</v>
      </c>
      <c r="CB40" s="22">
        <f t="shared" si="10"/>
        <v>199.68723452384862</v>
      </c>
      <c r="CC40" s="62">
        <f t="shared" si="11"/>
        <v>493.02056785718196</v>
      </c>
      <c r="CD40" s="62">
        <f ca="1">AVERAGE(OFFSET($CC$3,0,0,'Données projet'!$E$12+1,1))-AVERAGE(OFFSET($H$3,0,0,'Données projet'!$E$12+1,1))</f>
        <v>213.07277043804817</v>
      </c>
      <c r="CE40" s="62">
        <f t="shared" si="40"/>
        <v>129.14539883354166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2.6904761904761907</v>
      </c>
      <c r="CT40" s="13">
        <f>IF('Données projet'!$A$140&gt;35,CT39+CS40-DB39,IF(A40&lt;'Données projet'!$A$140,$CQ$205^A40,IF(A40='Données projet'!$A$140,'Données projet'!$B$140,CT39+CS40-DB39)))</f>
        <v>99.547619047619037</v>
      </c>
      <c r="CU40" s="18">
        <f>CT40*VLOOKUP('Données projet'!$B$13,Paramètres!$A$1:$I$89,3,0)*VLOOKUP('Données projet'!$B$13,Paramètres!$A$1:$I$89,5,0)</f>
        <v>100.94128571428573</v>
      </c>
      <c r="CV40" s="14">
        <f t="shared" si="41"/>
        <v>27.186123468374046</v>
      </c>
      <c r="CW40" s="22">
        <f t="shared" si="13"/>
        <v>223.15523765979904</v>
      </c>
      <c r="CX40" s="62">
        <f t="shared" si="14"/>
        <v>516.48857099313238</v>
      </c>
      <c r="CY40" s="62">
        <f ca="1">AVERAGE(OFFSET($CX$3,0,0,'Données projet'!$E$13+1,1))-AVERAGE(OFFSET($H$3,0,0,'Données projet'!$E$13+1,1))</f>
        <v>247.92503505485405</v>
      </c>
      <c r="CZ40" s="62">
        <f t="shared" si="42"/>
        <v>148.26437652597514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2</v>
      </c>
      <c r="DO40" s="13">
        <f>IF('Données projet'!$A$166&gt;35,DO39+DN40-DW39,IF(A40&lt;'Données projet'!$A$166,$DL$205^A40,IF(A40='Données projet'!$A$166,'Données projet'!$B$166,DO39+DN40-DW39)))</f>
        <v>74</v>
      </c>
      <c r="DP40" s="18">
        <f>DO40*VLOOKUP('Données projet'!$B$14,Paramètres!$A$1:$I$89,3,0)*VLOOKUP('Données projet'!$B$14,Paramètres!$A$1:$I$89,5,0)</f>
        <v>71.572800000000001</v>
      </c>
      <c r="DQ40" s="14">
        <f t="shared" si="43"/>
        <v>20.063532712034</v>
      </c>
      <c r="DR40" s="22">
        <f t="shared" si="16"/>
        <v>159.59994614012589</v>
      </c>
      <c r="DS40" s="62">
        <f t="shared" si="17"/>
        <v>452.93327947345921</v>
      </c>
      <c r="DT40" s="62">
        <f ca="1">AVERAGE(OFFSET($DS$3,0,0,'Données projet'!$E$14+1,1))-AVERAGE(OFFSET($H$3,0,0,'Données projet'!$E$14+1,1))</f>
        <v>154.0837760161366</v>
      </c>
      <c r="DU40" s="62">
        <f t="shared" si="44"/>
        <v>96.484500841546037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11.926499999999994</v>
      </c>
      <c r="EJ40" s="13">
        <f>IF('Données projet'!$A$192&gt;35,EJ39+EI40-ER39,IF(A40&lt;'Données projet'!$A$192,$EG$205^A40,IF(A40='Données projet'!$A$192,'Données projet'!$B$192,EJ39+EI40-ER39)))</f>
        <v>208.42140277777781</v>
      </c>
      <c r="EK40" s="18">
        <f>EJ40*VLOOKUP('Données projet'!$B$15,Paramètres!$A$1:$I$89,3,0)*VLOOKUP('Données projet'!$B$15,Paramètres!$A$1:$I$89,5,0)</f>
        <v>139.80907698333337</v>
      </c>
      <c r="EL40" s="14">
        <f t="shared" si="45"/>
        <v>36.253264239713168</v>
      </c>
      <c r="EM40" s="22">
        <f t="shared" si="19"/>
        <v>306.6419109634727</v>
      </c>
      <c r="EN40" s="62">
        <f t="shared" si="20"/>
        <v>599.97524429680607</v>
      </c>
      <c r="EO40" s="62">
        <f ca="1">AVERAGE(OFFSET($EN$3,0,0,'Données projet'!$E$15+1,1))-AVERAGE(OFFSET($H$3,0,0,'Données projet'!$E$15+1,1))</f>
        <v>205.35893113421139</v>
      </c>
      <c r="EP40" s="62">
        <f t="shared" si="46"/>
        <v>220.4399811285175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15.066041507226679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15.066041507226679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11.926499999999994</v>
      </c>
      <c r="FE40" s="13">
        <f>IF('Données projet'!$A$218&gt;35,FE39+FD40-FM39,IF(A40&lt;'Données projet'!$A$218,$FB$205^A40,IF(A40='Données projet'!$A$218,'Données projet'!$B$218,FE39+FD40-FM39)))</f>
        <v>208.42140277777781</v>
      </c>
      <c r="FF40" s="18">
        <f>FE40*VLOOKUP('Données projet'!$B$16,Paramètres!$A$1:$I$89,3,0)*VLOOKUP('Données projet'!$B$16,Paramètres!$A$1:$I$89,5,0)</f>
        <v>162.56869416666669</v>
      </c>
      <c r="FG40" s="14">
        <f t="shared" si="47"/>
        <v>41.421353405730088</v>
      </c>
      <c r="FH40" s="22">
        <f t="shared" si="22"/>
        <v>355.28266618859101</v>
      </c>
      <c r="FI40" s="62">
        <f t="shared" si="23"/>
        <v>648.61599952192432</v>
      </c>
      <c r="FJ40" s="62">
        <f ca="1">AVERAGE(OFFSET($FI$3,0,0,'Données projet'!$E$16+1,1))-AVERAGE(OFFSET($H$3,0,0,'Données projet'!$E$16+1,1))</f>
        <v>242.81177364426878</v>
      </c>
      <c r="FK40" s="62">
        <f t="shared" si="48"/>
        <v>260.72115764896671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14.21324670493083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14.21324670493083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11.926499999999994</v>
      </c>
      <c r="FZ40" s="13">
        <f>IF('Données projet'!$A$244&gt;35,FZ39+FY40-GH39,IF(A40&lt;'Données projet'!$A$244,$FW$205^A40,IF(A40='Données projet'!$A$244,'Données projet'!$B$244,FZ39+FY40-GH39)))</f>
        <v>208.42140277777781</v>
      </c>
      <c r="GA40" s="18">
        <f>FZ40*VLOOKUP('Données projet'!$B$17,Paramètres!$A$1:$I$89,3,0)*VLOOKUP('Données projet'!$B$17,Paramètres!$A$1:$I$89,5,0)</f>
        <v>165.82006805000003</v>
      </c>
      <c r="GB40" s="14">
        <f t="shared" si="49"/>
        <v>42.152505792473761</v>
      </c>
      <c r="GC40" s="22">
        <f t="shared" si="25"/>
        <v>362.21889944230844</v>
      </c>
      <c r="GD40" s="62">
        <f t="shared" si="26"/>
        <v>655.55223277564176</v>
      </c>
      <c r="GE40" s="62">
        <f ca="1">AVERAGE(OFFSET($GD$3,0,0,'Données projet'!$E$17+1,1))-AVERAGE(OFFSET($H$3,0,0,'Données projet'!$E$17+1,1))</f>
        <v>248.15263300983543</v>
      </c>
      <c r="GF40" s="62">
        <f t="shared" si="50"/>
        <v>266.46511459244618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17.869025973687453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17.869025973687453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25.6</v>
      </c>
      <c r="N41" s="14">
        <f>IF('Données projet'!$A$36&gt;35,N40+M41-V40,IF(A41&lt;'Données projet'!$A$36,$K$205^A41,IF(A41='Données projet'!$A$36,'Données projet'!$B$36,N40+M41-V40)))</f>
        <v>512.80000000000018</v>
      </c>
      <c r="O41" s="14">
        <f>N41*VLOOKUP('Données projet'!$B$9,Paramètres!$A$1:$I$89,3,0)*VLOOKUP('Données projet'!$B$9,Paramètres!$A$1:$I$89,5,0)</f>
        <v>286.65520000000009</v>
      </c>
      <c r="P41" s="14">
        <f t="shared" si="33"/>
        <v>68.37151538584105</v>
      </c>
      <c r="Q41" s="22">
        <f t="shared" si="53"/>
        <v>618.33819596367323</v>
      </c>
      <c r="R41" s="62">
        <f t="shared" si="0"/>
        <v>911.6715292970066</v>
      </c>
      <c r="S41" s="62">
        <f ca="1">AVERAGE(OFFSET($R$3,0,0,'Données projet'!$E$9+1,1))-AVERAGE(OFFSET($H$3,0,0,'Données projet'!$E$9+1,1))</f>
        <v>382.55387448074327</v>
      </c>
      <c r="T41" s="62">
        <f t="shared" si="34"/>
        <v>476.29465646955543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31.720904736810791</v>
      </c>
      <c r="AA41" s="23">
        <f>EXP(-LN(2)/25)*AA40+(1-EXP(-LN(2)/25))/(LN(2)/25)*Calculateur!V41*Calculateur!X41*VLOOKUP('Données projet'!$B$9,Paramètres!$A$1:$I$89,3,0)*0.475*44/12</f>
        <v>15.852808129617289</v>
      </c>
      <c r="AB41" s="23">
        <f>EXP(-LN(2)/2)*AB40+(1-EXP(-LN(2)/2))/(LN(2)/2)*V41*Y41*VLOOKUP('Données projet'!$B$9,Paramètres!$A$1:$I$89,3,0)*0.475*44/12</f>
        <v>2.4862137848298915</v>
      </c>
      <c r="AC41" s="24">
        <f t="shared" si="3"/>
        <v>50.059926651257975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18.833333333333332</v>
      </c>
      <c r="AI41" s="14">
        <f>IF('Données projet'!$A$62&gt;35,AI40+AH41-AQ40,IF(A41&lt;'Données projet'!$A$62,$AF$205^A41,IF(A41='Données projet'!$A$62,'Données projet'!$B$62,AI40+AH41-AQ40)))</f>
        <v>539.6666666666664</v>
      </c>
      <c r="AJ41" s="14">
        <f>AI41*VLOOKUP('Données projet'!$B$10,Paramètres!$A$1:$I$89,3,0)*VLOOKUP('Données projet'!$B$10,Paramètres!$A$1:$I$89,5,0)</f>
        <v>336.75199999999984</v>
      </c>
      <c r="AK41" s="14">
        <f t="shared" si="35"/>
        <v>78.828514629228664</v>
      </c>
      <c r="AL41" s="22">
        <f t="shared" si="4"/>
        <v>723.80272964590631</v>
      </c>
      <c r="AM41" s="62">
        <f t="shared" si="5"/>
        <v>1017.1360629792396</v>
      </c>
      <c r="AN41" s="62">
        <f ca="1">AVERAGE(OFFSET($AM$3,0,0,'Données projet'!$E$10+1,1))-AVERAGE(OFFSET($H$3,0,0,'Données projet'!$E$10+1,1))</f>
        <v>482.28841373508675</v>
      </c>
      <c r="AO41" s="62">
        <f t="shared" si="36"/>
        <v>746.97309214631684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71.515260679569323</v>
      </c>
      <c r="AV41" s="23">
        <f>EXP(-LN(2)/25)*AV40+(1-EXP(-LN(2)/25))/(LN(2)/25)*Calculateur!AQ41*Calculateur!AS41*VLOOKUP('Données projet'!$B$10,Paramètres!$A$1:$I$89,3,0)*0.475*44/12</f>
        <v>16.480584924143308</v>
      </c>
      <c r="AW41" s="23">
        <f>EXP(-LN(2)/2)*AW40+(1-EXP(-LN(2)/2))/(LN(2)/2)*AQ41*AT41*VLOOKUP('Données projet'!$B$10,Paramètres!$A$1:$I$89,3,0)*0.475*44/12</f>
        <v>6.1726270478585556</v>
      </c>
      <c r="AX41" s="23">
        <f t="shared" si="6"/>
        <v>94.168472651571193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18.833333333333332</v>
      </c>
      <c r="BD41" s="13">
        <f>IF('Données projet'!$A$88&gt;35,BD40+BC41-BL40,IF(A41&lt;'Données projet'!$A$88,$BA$205^A41,IF(A41='Données projet'!$A$88,'Données projet'!$B$88,BD40+BC41-BL40)))</f>
        <v>539.6666666666664</v>
      </c>
      <c r="BE41" s="14">
        <f>BD41*VLOOKUP('Données projet'!$B$11,Paramètres!$A$1:$I$89,3,0)*VLOOKUP('Données projet'!$B$11,Paramètres!$A$1:$I$89,5,0)</f>
        <v>294.65799999999984</v>
      </c>
      <c r="BF41" s="14">
        <f t="shared" si="37"/>
        <v>70.055406729218078</v>
      </c>
      <c r="BG41" s="22">
        <f t="shared" si="7"/>
        <v>635.20918338672129</v>
      </c>
      <c r="BH41" s="62">
        <f t="shared" si="8"/>
        <v>928.54251672005466</v>
      </c>
      <c r="BI41" s="62">
        <f ca="1">AVERAGE(OFFSET($BH$3,0,0,'Données projet'!$E$11+1,1))-AVERAGE(OFFSET($H$3,0,0,'Données projet'!$E$11+1,1))</f>
        <v>417.99456559608217</v>
      </c>
      <c r="BJ41" s="62">
        <f t="shared" si="38"/>
        <v>651.41353014863932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62.575853094623163</v>
      </c>
      <c r="BQ41" s="23">
        <f>EXP(-LN(2)/25)*BQ40+(1-EXP(-LN(2)/25))/(LN(2)/25)*Calculateur!BL41*Calculateur!BN41*VLOOKUP('Données projet'!$B$11,Paramètres!$A$1:$I$89,3,0)*0.475*44/12</f>
        <v>14.592184568251886</v>
      </c>
      <c r="BR41" s="23">
        <f>EXP(-LN(2)/2)*BR40+(1-EXP(-LN(2)/2))/(LN(2)/2)*BL41*BO41*VLOOKUP('Données projet'!$B$11,Paramètres!$A$1:$I$89,3,0)*0.475*44/12</f>
        <v>5.31921459616599</v>
      </c>
      <c r="BS41" s="24">
        <f t="shared" si="9"/>
        <v>82.487252259041043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2.6904761904761907</v>
      </c>
      <c r="BY41" s="13">
        <f>IF('Données projet'!$A$114&gt;35,BY40+BX41-CG40,IF(A41&lt;'Données projet'!$A$114,$BV$205^A41,IF(A41='Données projet'!$A$114,'Données projet'!$B$114,BY40+BX41-CG40)))</f>
        <v>102.23809523809523</v>
      </c>
      <c r="BZ41" s="14">
        <f>BY41*VLOOKUP('Données projet'!$B$12,Paramètres!$A$1:$I$89,3,0)*VLOOKUP('Données projet'!$B$12,Paramètres!$A$1:$I$89,5,0)</f>
        <v>92.505028571428554</v>
      </c>
      <c r="CA41" s="14">
        <f t="shared" si="39"/>
        <v>25.168408876702141</v>
      </c>
      <c r="CB41" s="22">
        <f t="shared" si="10"/>
        <v>204.94790355549432</v>
      </c>
      <c r="CC41" s="62">
        <f t="shared" si="11"/>
        <v>498.28123688882761</v>
      </c>
      <c r="CD41" s="62">
        <f ca="1">AVERAGE(OFFSET($CC$3,0,0,'Données projet'!$E$12+1,1))-AVERAGE(OFFSET($H$3,0,0,'Données projet'!$E$12+1,1))</f>
        <v>213.07277043804817</v>
      </c>
      <c r="CE41" s="62">
        <f t="shared" si="40"/>
        <v>129.14539883354166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2.6904761904761907</v>
      </c>
      <c r="CT41" s="13">
        <f>IF('Données projet'!$A$140&gt;35,CT40+CS41-DB40,IF(A41&lt;'Données projet'!$A$140,$CQ$205^A41,IF(A41='Données projet'!$A$140,'Données projet'!$B$140,CT40+CS41-DB40)))</f>
        <v>102.23809523809523</v>
      </c>
      <c r="CU41" s="18">
        <f>CT41*VLOOKUP('Données projet'!$B$13,Paramètres!$A$1:$I$89,3,0)*VLOOKUP('Données projet'!$B$13,Paramètres!$A$1:$I$89,5,0)</f>
        <v>103.66942857142855</v>
      </c>
      <c r="CV41" s="14">
        <f t="shared" si="41"/>
        <v>27.834346386346731</v>
      </c>
      <c r="CW41" s="22">
        <f t="shared" si="13"/>
        <v>229.03574138479192</v>
      </c>
      <c r="CX41" s="62">
        <f t="shared" si="14"/>
        <v>522.36907471812526</v>
      </c>
      <c r="CY41" s="62">
        <f ca="1">AVERAGE(OFFSET($CX$3,0,0,'Données projet'!$E$13+1,1))-AVERAGE(OFFSET($H$3,0,0,'Données projet'!$E$13+1,1))</f>
        <v>247.92503505485405</v>
      </c>
      <c r="CZ41" s="62">
        <f t="shared" si="42"/>
        <v>148.26437652597514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2</v>
      </c>
      <c r="DO41" s="13">
        <f>IF('Données projet'!$A$166&gt;35,DO40+DN41-DW40,IF(A41&lt;'Données projet'!$A$166,$DL$205^A41,IF(A41='Données projet'!$A$166,'Données projet'!$B$166,DO40+DN41-DW40)))</f>
        <v>76</v>
      </c>
      <c r="DP41" s="18">
        <f>DO41*VLOOKUP('Données projet'!$B$14,Paramètres!$A$1:$I$89,3,0)*VLOOKUP('Données projet'!$B$14,Paramètres!$A$1:$I$89,5,0)</f>
        <v>73.507199999999997</v>
      </c>
      <c r="DQ41" s="14">
        <f t="shared" si="43"/>
        <v>20.541925364615185</v>
      </c>
      <c r="DR41" s="22">
        <f t="shared" si="16"/>
        <v>163.80222667670475</v>
      </c>
      <c r="DS41" s="62">
        <f t="shared" si="17"/>
        <v>457.13556001003803</v>
      </c>
      <c r="DT41" s="62">
        <f ca="1">AVERAGE(OFFSET($DS$3,0,0,'Données projet'!$E$14+1,1))-AVERAGE(OFFSET($H$3,0,0,'Données projet'!$E$14+1,1))</f>
        <v>154.0837760161366</v>
      </c>
      <c r="DU41" s="62">
        <f t="shared" si="44"/>
        <v>96.484500841546037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11.926499999999994</v>
      </c>
      <c r="EJ41" s="13">
        <f>IF('Données projet'!$A$192&gt;35,EJ40+EI41-ER40,IF(A41&lt;'Données projet'!$A$192,$EG$205^A41,IF(A41='Données projet'!$A$192,'Données projet'!$B$192,EJ40+EI41-ER40)))</f>
        <v>220.34790277777782</v>
      </c>
      <c r="EK41" s="18">
        <f>EJ41*VLOOKUP('Données projet'!$B$15,Paramètres!$A$1:$I$89,3,0)*VLOOKUP('Données projet'!$B$15,Paramètres!$A$1:$I$89,5,0)</f>
        <v>147.80937318333335</v>
      </c>
      <c r="EL41" s="14">
        <f t="shared" si="45"/>
        <v>38.080332363136577</v>
      </c>
      <c r="EM41" s="22">
        <f t="shared" si="19"/>
        <v>323.75790382676848</v>
      </c>
      <c r="EN41" s="62">
        <f t="shared" si="20"/>
        <v>617.09123716010185</v>
      </c>
      <c r="EO41" s="62">
        <f ca="1">AVERAGE(OFFSET($EN$3,0,0,'Données projet'!$E$15+1,1))-AVERAGE(OFFSET($H$3,0,0,'Données projet'!$E$15+1,1))</f>
        <v>205.35893113421139</v>
      </c>
      <c r="EP41" s="62">
        <f t="shared" si="46"/>
        <v>220.4399811285175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14.770605622647906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14.770605622647906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11.926499999999994</v>
      </c>
      <c r="FE41" s="13">
        <f>IF('Données projet'!$A$218&gt;35,FE40+FD41-FM40,IF(A41&lt;'Données projet'!$A$218,$FB$205^A41,IF(A41='Données projet'!$A$218,'Données projet'!$B$218,FE40+FD41-FM40)))</f>
        <v>220.34790277777782</v>
      </c>
      <c r="FF41" s="18">
        <f>FE41*VLOOKUP('Données projet'!$B$16,Paramètres!$A$1:$I$89,3,0)*VLOOKUP('Données projet'!$B$16,Paramètres!$A$1:$I$89,5,0)</f>
        <v>171.87136416666669</v>
      </c>
      <c r="FG41" s="14">
        <f t="shared" si="47"/>
        <v>43.508879481623801</v>
      </c>
      <c r="FH41" s="22">
        <f t="shared" si="22"/>
        <v>375.12059102077257</v>
      </c>
      <c r="FI41" s="62">
        <f t="shared" si="23"/>
        <v>668.45392435410588</v>
      </c>
      <c r="FJ41" s="62">
        <f ca="1">AVERAGE(OFFSET($FI$3,0,0,'Données projet'!$E$16+1,1))-AVERAGE(OFFSET($H$3,0,0,'Données projet'!$E$16+1,1))</f>
        <v>242.81177364426878</v>
      </c>
      <c r="FK41" s="62">
        <f t="shared" si="48"/>
        <v>260.72115764896671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13.934533606271611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13.934533606271611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11.926499999999994</v>
      </c>
      <c r="FZ41" s="13">
        <f>IF('Données projet'!$A$244&gt;35,FZ40+FY41-GH40,IF(A41&lt;'Données projet'!$A$244,$FW$205^A41,IF(A41='Données projet'!$A$244,'Données projet'!$B$244,FZ40+FY41-GH40)))</f>
        <v>220.34790277777782</v>
      </c>
      <c r="GA41" s="18">
        <f>FZ41*VLOOKUP('Données projet'!$B$17,Paramètres!$A$1:$I$89,3,0)*VLOOKUP('Données projet'!$B$17,Paramètres!$A$1:$I$89,5,0)</f>
        <v>175.30879145000003</v>
      </c>
      <c r="GB41" s="14">
        <f t="shared" si="49"/>
        <v>44.276880004589124</v>
      </c>
      <c r="GC41" s="22">
        <f t="shared" si="25"/>
        <v>382.44504445007607</v>
      </c>
      <c r="GD41" s="62">
        <f t="shared" si="26"/>
        <v>675.77837778340938</v>
      </c>
      <c r="GE41" s="62">
        <f ca="1">AVERAGE(OFFSET($GD$3,0,0,'Données projet'!$E$17+1,1))-AVERAGE(OFFSET($H$3,0,0,'Données projet'!$E$17+1,1))</f>
        <v>248.15263300983543</v>
      </c>
      <c r="GF41" s="62">
        <f t="shared" si="50"/>
        <v>266.46511459244618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17.518625273373097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17.518625273373097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25.6</v>
      </c>
      <c r="N42" s="14">
        <f>IF('Données projet'!$A$36&gt;35,N41+M42-V41,IF(A42&lt;'Données projet'!$A$36,$K$205^A42,IF(A42='Données projet'!$A$36,'Données projet'!$B$36,N41+M42-V41)))</f>
        <v>538.4000000000002</v>
      </c>
      <c r="O42" s="14">
        <f>N42*VLOOKUP('Données projet'!$B$9,Paramètres!$A$1:$I$89,3,0)*VLOOKUP('Données projet'!$B$9,Paramètres!$A$1:$I$89,5,0)</f>
        <v>300.96560000000011</v>
      </c>
      <c r="P42" s="14">
        <f t="shared" si="33"/>
        <v>71.378852450242803</v>
      </c>
      <c r="Q42" s="22">
        <f t="shared" si="53"/>
        <v>648.49992135083971</v>
      </c>
      <c r="R42" s="62">
        <f t="shared" si="0"/>
        <v>941.83325468417297</v>
      </c>
      <c r="S42" s="62">
        <f ca="1">AVERAGE(OFFSET($R$3,0,0,'Données projet'!$E$9+1,1))-AVERAGE(OFFSET($H$3,0,0,'Données projet'!$E$9+1,1))</f>
        <v>382.55387448074327</v>
      </c>
      <c r="T42" s="62">
        <f t="shared" si="34"/>
        <v>476.29465646955543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31.098877142763381</v>
      </c>
      <c r="AA42" s="23">
        <f>EXP(-LN(2)/25)*AA41+(1-EXP(-LN(2)/25))/(LN(2)/25)*Calculateur!V42*Calculateur!X42*VLOOKUP('Données projet'!$B$9,Paramètres!$A$1:$I$89,3,0)*0.475*44/12</f>
        <v>15.419312257649956</v>
      </c>
      <c r="AB42" s="23">
        <f>EXP(-LN(2)/2)*AB41+(1-EXP(-LN(2)/2))/(LN(2)/2)*V42*Y42*VLOOKUP('Données projet'!$B$9,Paramètres!$A$1:$I$89,3,0)*0.475*44/12</f>
        <v>1.7580186267326883</v>
      </c>
      <c r="AC42" s="24">
        <f t="shared" si="3"/>
        <v>48.276208027146019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18.833333333333332</v>
      </c>
      <c r="AI42" s="14">
        <f>IF('Données projet'!$A$62&gt;35,AI41+AH42-AQ41,IF(A42&lt;'Données projet'!$A$62,$AF$205^A42,IF(A42='Données projet'!$A$62,'Données projet'!$B$62,AI41+AH42-AQ41)))</f>
        <v>558.49999999999977</v>
      </c>
      <c r="AJ42" s="14">
        <f>AI42*VLOOKUP('Données projet'!$B$10,Paramètres!$A$1:$I$89,3,0)*VLOOKUP('Données projet'!$B$10,Paramètres!$A$1:$I$89,5,0)</f>
        <v>348.50399999999985</v>
      </c>
      <c r="AK42" s="14">
        <f t="shared" si="35"/>
        <v>81.254392549593788</v>
      </c>
      <c r="AL42" s="22">
        <f t="shared" si="4"/>
        <v>748.49586702387558</v>
      </c>
      <c r="AM42" s="62">
        <f t="shared" si="5"/>
        <v>1041.8292003572089</v>
      </c>
      <c r="AN42" s="62">
        <f ca="1">AVERAGE(OFFSET($AM$3,0,0,'Données projet'!$E$10+1,1))-AVERAGE(OFFSET($H$3,0,0,'Données projet'!$E$10+1,1))</f>
        <v>482.28841373508675</v>
      </c>
      <c r="AO42" s="62">
        <f t="shared" si="36"/>
        <v>746.97309214631684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70.11289003764486</v>
      </c>
      <c r="AV42" s="23">
        <f>EXP(-LN(2)/25)*AV41+(1-EXP(-LN(2)/25))/(LN(2)/25)*Calculateur!AQ42*Calculateur!AS42*VLOOKUP('Données projet'!$B$10,Paramètres!$A$1:$I$89,3,0)*0.475*44/12</f>
        <v>16.029922462716314</v>
      </c>
      <c r="AW42" s="23">
        <f>EXP(-LN(2)/2)*AW41+(1-EXP(-LN(2)/2))/(LN(2)/2)*AQ42*AT42*VLOOKUP('Données projet'!$B$10,Paramètres!$A$1:$I$89,3,0)*0.475*44/12</f>
        <v>4.364706443276285</v>
      </c>
      <c r="AX42" s="23">
        <f t="shared" si="6"/>
        <v>90.507518943637464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18.833333333333332</v>
      </c>
      <c r="BD42" s="13">
        <f>IF('Données projet'!$A$88&gt;35,BD41+BC42-BL41,IF(A42&lt;'Données projet'!$A$88,$BA$205^A42,IF(A42='Données projet'!$A$88,'Données projet'!$B$88,BD41+BC42-BL41)))</f>
        <v>558.49999999999977</v>
      </c>
      <c r="BE42" s="14">
        <f>BD42*VLOOKUP('Données projet'!$B$11,Paramètres!$A$1:$I$89,3,0)*VLOOKUP('Données projet'!$B$11,Paramètres!$A$1:$I$89,5,0)</f>
        <v>304.94099999999992</v>
      </c>
      <c r="BF42" s="14">
        <f t="shared" si="37"/>
        <v>72.211300001924627</v>
      </c>
      <c r="BG42" s="22">
        <f t="shared" si="7"/>
        <v>656.87358917001859</v>
      </c>
      <c r="BH42" s="62">
        <f t="shared" si="8"/>
        <v>950.20692250335196</v>
      </c>
      <c r="BI42" s="62">
        <f ca="1">AVERAGE(OFFSET($BH$3,0,0,'Données projet'!$E$11+1,1))-AVERAGE(OFFSET($H$3,0,0,'Données projet'!$E$11+1,1))</f>
        <v>417.99456559608217</v>
      </c>
      <c r="BJ42" s="62">
        <f t="shared" si="38"/>
        <v>651.41353014863932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61.348778782939263</v>
      </c>
      <c r="BQ42" s="23">
        <f>EXP(-LN(2)/25)*BQ41+(1-EXP(-LN(2)/25))/(LN(2)/25)*Calculateur!BL42*Calculateur!BN42*VLOOKUP('Données projet'!$B$11,Paramètres!$A$1:$I$89,3,0)*0.475*44/12</f>
        <v>14.193160513863402</v>
      </c>
      <c r="BR42" s="23">
        <f>EXP(-LN(2)/2)*BR41+(1-EXP(-LN(2)/2))/(LN(2)/2)*BL42*BO42*VLOOKUP('Données projet'!$B$11,Paramètres!$A$1:$I$89,3,0)*0.475*44/12</f>
        <v>3.7612527115354348</v>
      </c>
      <c r="BS42" s="24">
        <f t="shared" si="9"/>
        <v>79.303192008338101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2.6904761904761907</v>
      </c>
      <c r="BY42" s="13">
        <f>IF('Données projet'!$A$114&gt;35,BY41+BX42-CG41,IF(A42&lt;'Données projet'!$A$114,$BV$205^A42,IF(A42='Données projet'!$A$114,'Données projet'!$B$114,BY41+BX42-CG41)))</f>
        <v>104.92857142857142</v>
      </c>
      <c r="BZ42" s="14">
        <f>BY42*VLOOKUP('Données projet'!$B$12,Paramètres!$A$1:$I$89,3,0)*VLOOKUP('Données projet'!$B$12,Paramètres!$A$1:$I$89,5,0)</f>
        <v>94.939371428571405</v>
      </c>
      <c r="CA42" s="14">
        <f t="shared" si="39"/>
        <v>25.752752944610702</v>
      </c>
      <c r="CB42" s="22">
        <f t="shared" si="10"/>
        <v>210.20544994995885</v>
      </c>
      <c r="CC42" s="62">
        <f t="shared" si="11"/>
        <v>503.53878328329216</v>
      </c>
      <c r="CD42" s="62">
        <f ca="1">AVERAGE(OFFSET($CC$3,0,0,'Données projet'!$E$12+1,1))-AVERAGE(OFFSET($H$3,0,0,'Données projet'!$E$12+1,1))</f>
        <v>213.07277043804817</v>
      </c>
      <c r="CE42" s="62">
        <f t="shared" si="40"/>
        <v>129.14539883354166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2.6904761904761907</v>
      </c>
      <c r="CT42" s="13">
        <f>IF('Données projet'!$A$140&gt;35,CT41+CS42-DB41,IF(A42&lt;'Données projet'!$A$140,$CQ$205^A42,IF(A42='Données projet'!$A$140,'Données projet'!$B$140,CT41+CS42-DB41)))</f>
        <v>104.92857142857142</v>
      </c>
      <c r="CU42" s="18">
        <f>CT42*VLOOKUP('Données projet'!$B$13,Paramètres!$A$1:$I$89,3,0)*VLOOKUP('Données projet'!$B$13,Paramètres!$A$1:$I$89,5,0)</f>
        <v>106.39757142857142</v>
      </c>
      <c r="CV42" s="14">
        <f t="shared" si="41"/>
        <v>28.480586491339245</v>
      </c>
      <c r="CW42" s="22">
        <f t="shared" si="13"/>
        <v>234.9127917105111</v>
      </c>
      <c r="CX42" s="62">
        <f t="shared" si="14"/>
        <v>528.24612504384436</v>
      </c>
      <c r="CY42" s="62">
        <f ca="1">AVERAGE(OFFSET($CX$3,0,0,'Données projet'!$E$13+1,1))-AVERAGE(OFFSET($H$3,0,0,'Données projet'!$E$13+1,1))</f>
        <v>247.92503505485405</v>
      </c>
      <c r="CZ42" s="62">
        <f t="shared" si="42"/>
        <v>148.26437652597514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2</v>
      </c>
      <c r="DO42" s="13">
        <f>IF('Données projet'!$A$166&gt;35,DO41+DN42-DW41,IF(A42&lt;'Données projet'!$A$166,$DL$205^A42,IF(A42='Données projet'!$A$166,'Données projet'!$B$166,DO41+DN42-DW41)))</f>
        <v>78</v>
      </c>
      <c r="DP42" s="18">
        <f>DO42*VLOOKUP('Données projet'!$B$14,Paramètres!$A$1:$I$89,3,0)*VLOOKUP('Données projet'!$B$14,Paramètres!$A$1:$I$89,5,0)</f>
        <v>75.441600000000008</v>
      </c>
      <c r="DQ42" s="14">
        <f t="shared" si="43"/>
        <v>21.018854688556068</v>
      </c>
      <c r="DR42" s="22">
        <f t="shared" si="16"/>
        <v>168.00195858256848</v>
      </c>
      <c r="DS42" s="62">
        <f t="shared" si="17"/>
        <v>461.33529191590179</v>
      </c>
      <c r="DT42" s="62">
        <f ca="1">AVERAGE(OFFSET($DS$3,0,0,'Données projet'!$E$14+1,1))-AVERAGE(OFFSET($H$3,0,0,'Données projet'!$E$14+1,1))</f>
        <v>154.0837760161366</v>
      </c>
      <c r="DU42" s="62">
        <f t="shared" si="44"/>
        <v>96.484500841546037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11.926499999999994</v>
      </c>
      <c r="EJ42" s="13">
        <f>IF('Données projet'!$A$192&gt;35,EJ41+EI42-ER41,IF(A42&lt;'Données projet'!$A$192,$EG$205^A42,IF(A42='Données projet'!$A$192,'Données projet'!$B$192,EJ41+EI42-ER41)))</f>
        <v>232.27440277777782</v>
      </c>
      <c r="EK42" s="18">
        <f>EJ42*VLOOKUP('Données projet'!$B$15,Paramètres!$A$1:$I$89,3,0)*VLOOKUP('Données projet'!$B$15,Paramètres!$A$1:$I$89,5,0)</f>
        <v>155.80966938333336</v>
      </c>
      <c r="EL42" s="14">
        <f t="shared" si="45"/>
        <v>39.895919786941981</v>
      </c>
      <c r="EM42" s="22">
        <f t="shared" si="19"/>
        <v>340.85390113822956</v>
      </c>
      <c r="EN42" s="62">
        <f t="shared" si="20"/>
        <v>634.18723447156287</v>
      </c>
      <c r="EO42" s="62">
        <f ca="1">AVERAGE(OFFSET($EN$3,0,0,'Données projet'!$E$15+1,1))-AVERAGE(OFFSET($H$3,0,0,'Données projet'!$E$15+1,1))</f>
        <v>205.35893113421139</v>
      </c>
      <c r="EP42" s="62">
        <f t="shared" si="46"/>
        <v>220.4399811285175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14.480963055567628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14.480963055567628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11.926499999999994</v>
      </c>
      <c r="FE42" s="13">
        <f>IF('Données projet'!$A$218&gt;35,FE41+FD42-FM41,IF(A42&lt;'Données projet'!$A$218,$FB$205^A42,IF(A42='Données projet'!$A$218,'Données projet'!$B$218,FE41+FD42-FM41)))</f>
        <v>232.27440277777782</v>
      </c>
      <c r="FF42" s="18">
        <f>FE42*VLOOKUP('Données projet'!$B$16,Paramètres!$A$1:$I$89,3,0)*VLOOKUP('Données projet'!$B$16,Paramètres!$A$1:$I$89,5,0)</f>
        <v>181.1740341666667</v>
      </c>
      <c r="FG42" s="14">
        <f t="shared" si="47"/>
        <v>45.583288225155925</v>
      </c>
      <c r="FH42" s="22">
        <f t="shared" si="22"/>
        <v>394.93566983242437</v>
      </c>
      <c r="FI42" s="62">
        <f t="shared" si="23"/>
        <v>688.26900316575768</v>
      </c>
      <c r="FJ42" s="62">
        <f ca="1">AVERAGE(OFFSET($FI$3,0,0,'Données projet'!$E$16+1,1))-AVERAGE(OFFSET($H$3,0,0,'Données projet'!$E$16+1,1))</f>
        <v>242.81177364426878</v>
      </c>
      <c r="FK42" s="62">
        <f t="shared" si="48"/>
        <v>260.72115764896671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13.661285901478895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13.661285901478895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11.926499999999994</v>
      </c>
      <c r="FZ42" s="13">
        <f>IF('Données projet'!$A$244&gt;35,FZ41+FY42-GH41,IF(A42&lt;'Données projet'!$A$244,$FW$205^A42,IF(A42='Données projet'!$A$244,'Données projet'!$B$244,FZ41+FY42-GH41)))</f>
        <v>232.27440277777782</v>
      </c>
      <c r="GA42" s="18">
        <f>FZ42*VLOOKUP('Données projet'!$B$17,Paramètres!$A$1:$I$89,3,0)*VLOOKUP('Données projet'!$B$17,Paramètres!$A$1:$I$89,5,0)</f>
        <v>184.79751485000006</v>
      </c>
      <c r="GB42" s="14">
        <f t="shared" si="49"/>
        <v>46.387905342684419</v>
      </c>
      <c r="GC42" s="22">
        <f t="shared" si="25"/>
        <v>402.64794016892546</v>
      </c>
      <c r="GD42" s="62">
        <f t="shared" si="26"/>
        <v>695.98127350225877</v>
      </c>
      <c r="GE42" s="62">
        <f ca="1">AVERAGE(OFFSET($GD$3,0,0,'Données projet'!$E$17+1,1))-AVERAGE(OFFSET($H$3,0,0,'Données projet'!$E$17+1,1))</f>
        <v>248.15263300983543</v>
      </c>
      <c r="GF42" s="62">
        <f t="shared" si="50"/>
        <v>266.46511459244618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17.175095717068579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17.175095717068579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564</v>
      </c>
      <c r="L43" s="13">
        <f>VLOOKUP(A43,'Données projet'!$A$35:$I$55,9,0)</f>
        <v>25.6</v>
      </c>
      <c r="M43" s="13">
        <f t="array" ref="M43">INDEX(L:L,MIN(IF(ISNUMBER(L43:L239),ROW(L43:L239),"")))</f>
        <v>25.6</v>
      </c>
      <c r="N43" s="14">
        <f>IF('Données projet'!$A$36&gt;35,N42+M43-V42,IF(A43&lt;'Données projet'!$A$36,$K$205^A43,IF(A43='Données projet'!$A$36,'Données projet'!$B$36,N42+M43-V42)))</f>
        <v>564.00000000000023</v>
      </c>
      <c r="O43" s="14">
        <f>N43*VLOOKUP('Données projet'!$B$9,Paramètres!$A$1:$I$89,3,0)*VLOOKUP('Données projet'!$B$9,Paramètres!$A$1:$I$89,5,0)</f>
        <v>315.27600000000012</v>
      </c>
      <c r="P43" s="14">
        <f t="shared" si="33"/>
        <v>74.36958441265493</v>
      </c>
      <c r="Q43" s="22">
        <f t="shared" si="53"/>
        <v>678.63272618537417</v>
      </c>
      <c r="R43" s="62">
        <f t="shared" si="0"/>
        <v>971.96605951870743</v>
      </c>
      <c r="S43" s="62">
        <f ca="1">AVERAGE(OFFSET($R$3,0,0,'Données projet'!$E$9+1,1))-AVERAGE(OFFSET($H$3,0,0,'Données projet'!$E$9+1,1))</f>
        <v>382.55387448074327</v>
      </c>
      <c r="T43" s="62">
        <f t="shared" si="34"/>
        <v>476.29465646955543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72</v>
      </c>
      <c r="W43" s="17">
        <f>IF(ISNA(VLOOKUP(A43,'Données projet'!$A$35:$I$55,5,0)),0%,VLOOKUP(A43,'Données projet'!$A$35:$I$55,5,0)*VLOOKUP('Données projet'!$B$9,Paramètres!$A$1:$I$89,7,0))</f>
        <v>0.38500000000000001</v>
      </c>
      <c r="X43" s="17">
        <f>IF(ISNA(VLOOKUP(A43,'Données projet'!$A$35:$I$55,6,0)),0%,VLOOKUP(A43,'Données projet'!$A$35:$I$55,6,0)*VLOOKUP('Données projet'!$B$9,Paramètres!$A$1:$I$89,7,0))</f>
        <v>9.240000000000001E-2</v>
      </c>
      <c r="Y43" s="17">
        <f>IF(ISNA(VLOOKUP(A43,'Données projet'!$A$35:$I$55,7,0)),0%,VLOOKUP(A43,'Données projet'!$A$35:$I$55,7,0))</f>
        <v>0.13200000000000001</v>
      </c>
      <c r="Z43" s="23">
        <f>EXP(-LN(2)/35)*Z42+(1-EXP(-LN(2)/35))/(LN(2)/35)*V43*W43*VLOOKUP('Données projet'!$B$9,Paramètres!$A$1:$I$89,3,0)*0.475*44/12</f>
        <v>51.044800118410159</v>
      </c>
      <c r="AA43" s="23">
        <f>EXP(-LN(2)/25)*AA42+(1-EXP(-LN(2)/25))/(LN(2)/25)*Calculateur!V43*Calculateur!X43*VLOOKUP('Données projet'!$B$9,Paramètres!$A$1:$I$89,3,0)*0.475*44/12</f>
        <v>19.911626470563256</v>
      </c>
      <c r="AB43" s="23">
        <f>EXP(-LN(2)/2)*AB42+(1-EXP(-LN(2)/2))/(LN(2)/2)*V43*Y43*VLOOKUP('Données projet'!$B$9,Paramètres!$A$1:$I$89,3,0)*0.475*44/12</f>
        <v>7.2583581798465104</v>
      </c>
      <c r="AC43" s="24">
        <f t="shared" si="3"/>
        <v>78.214784768819925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18.833333333333332</v>
      </c>
      <c r="AI43" s="14">
        <f>IF('Données projet'!$A$62&gt;35,AI42+AH43-AQ42,IF(A43&lt;'Données projet'!$A$62,$AF$205^A43,IF(A43='Données projet'!$A$62,'Données projet'!$B$62,AI42+AH43-AQ42)))</f>
        <v>577.33333333333314</v>
      </c>
      <c r="AJ43" s="14">
        <f>AI43*VLOOKUP('Données projet'!$B$10,Paramètres!$A$1:$I$89,3,0)*VLOOKUP('Données projet'!$B$10,Paramètres!$A$1:$I$89,5,0)</f>
        <v>360.25599999999986</v>
      </c>
      <c r="AK43" s="14">
        <f t="shared" si="35"/>
        <v>83.670765279147787</v>
      </c>
      <c r="AL43" s="22">
        <f t="shared" si="4"/>
        <v>773.1724495278487</v>
      </c>
      <c r="AM43" s="62">
        <f t="shared" si="5"/>
        <v>1066.5057828611821</v>
      </c>
      <c r="AN43" s="62">
        <f ca="1">AVERAGE(OFFSET($AM$3,0,0,'Données projet'!$E$10+1,1))-AVERAGE(OFFSET($H$3,0,0,'Données projet'!$E$10+1,1))</f>
        <v>482.28841373508675</v>
      </c>
      <c r="AO43" s="62">
        <f t="shared" si="36"/>
        <v>746.97309214631684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68.738019028646903</v>
      </c>
      <c r="AV43" s="23">
        <f>EXP(-LN(2)/25)*AV42+(1-EXP(-LN(2)/25))/(LN(2)/25)*Calculateur!AQ43*Calculateur!AS43*VLOOKUP('Données projet'!$B$10,Paramètres!$A$1:$I$89,3,0)*0.475*44/12</f>
        <v>15.591583389996352</v>
      </c>
      <c r="AW43" s="23">
        <f>EXP(-LN(2)/2)*AW42+(1-EXP(-LN(2)/2))/(LN(2)/2)*AQ43*AT43*VLOOKUP('Données projet'!$B$10,Paramètres!$A$1:$I$89,3,0)*0.475*44/12</f>
        <v>3.0863135239292783</v>
      </c>
      <c r="AX43" s="23">
        <f t="shared" si="6"/>
        <v>87.415915942572525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18.833333333333332</v>
      </c>
      <c r="BD43" s="13">
        <f>IF('Données projet'!$A$88&gt;35,BD42+BC43-BL42,IF(A43&lt;'Données projet'!$A$88,$BA$205^A43,IF(A43='Données projet'!$A$88,'Données projet'!$B$88,BD42+BC43-BL42)))</f>
        <v>577.33333333333314</v>
      </c>
      <c r="BE43" s="14">
        <f>BD43*VLOOKUP('Données projet'!$B$11,Paramètres!$A$1:$I$89,3,0)*VLOOKUP('Données projet'!$B$11,Paramètres!$A$1:$I$89,5,0)</f>
        <v>315.22399999999988</v>
      </c>
      <c r="BF43" s="14">
        <f t="shared" si="37"/>
        <v>74.358745950570395</v>
      </c>
      <c r="BG43" s="22">
        <f t="shared" si="7"/>
        <v>678.52328253057647</v>
      </c>
      <c r="BH43" s="62">
        <f t="shared" si="8"/>
        <v>971.85661586390984</v>
      </c>
      <c r="BI43" s="62">
        <f ca="1">AVERAGE(OFFSET($BH$3,0,0,'Données projet'!$E$11+1,1))-AVERAGE(OFFSET($H$3,0,0,'Données projet'!$E$11+1,1))</f>
        <v>417.99456559608217</v>
      </c>
      <c r="BJ43" s="62">
        <f t="shared" si="38"/>
        <v>651.41353014863932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60.145766650066058</v>
      </c>
      <c r="BQ43" s="23">
        <f>EXP(-LN(2)/25)*BQ42+(1-EXP(-LN(2)/25))/(LN(2)/25)*Calculateur!BL43*Calculateur!BN43*VLOOKUP('Données projet'!$B$11,Paramètres!$A$1:$I$89,3,0)*0.475*44/12</f>
        <v>13.805047793225935</v>
      </c>
      <c r="BR43" s="23">
        <f>EXP(-LN(2)/2)*BR42+(1-EXP(-LN(2)/2))/(LN(2)/2)*BL43*BO43*VLOOKUP('Données projet'!$B$11,Paramètres!$A$1:$I$89,3,0)*0.475*44/12</f>
        <v>2.6596072980829955</v>
      </c>
      <c r="BS43" s="24">
        <f t="shared" si="9"/>
        <v>76.610421741374978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2.6904761904761907</v>
      </c>
      <c r="BY43" s="13">
        <f>IF('Données projet'!$A$114&gt;35,BY42+BX43-CG42,IF(A43&lt;'Données projet'!$A$114,$BV$205^A43,IF(A43='Données projet'!$A$114,'Données projet'!$B$114,BY42+BX43-CG42)))</f>
        <v>107.61904761904761</v>
      </c>
      <c r="BZ43" s="14">
        <f>BY43*VLOOKUP('Données projet'!$B$12,Paramètres!$A$1:$I$89,3,0)*VLOOKUP('Données projet'!$B$12,Paramètres!$A$1:$I$89,5,0)</f>
        <v>97.373714285714271</v>
      </c>
      <c r="CA43" s="14">
        <f t="shared" si="39"/>
        <v>26.335355368602432</v>
      </c>
      <c r="CB43" s="22">
        <f t="shared" si="10"/>
        <v>215.45996298126826</v>
      </c>
      <c r="CC43" s="62">
        <f t="shared" si="11"/>
        <v>508.79329631460155</v>
      </c>
      <c r="CD43" s="62">
        <f ca="1">AVERAGE(OFFSET($CC$3,0,0,'Données projet'!$E$12+1,1))-AVERAGE(OFFSET($H$3,0,0,'Données projet'!$E$12+1,1))</f>
        <v>213.07277043804817</v>
      </c>
      <c r="CE43" s="62">
        <f t="shared" si="40"/>
        <v>129.14539883354166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2.6904761904761907</v>
      </c>
      <c r="CT43" s="13">
        <f>IF('Données projet'!$A$140&gt;35,CT42+CS43-DB42,IF(A43&lt;'Données projet'!$A$140,$CQ$205^A43,IF(A43='Données projet'!$A$140,'Données projet'!$B$140,CT42+CS43-DB42)))</f>
        <v>107.61904761904761</v>
      </c>
      <c r="CU43" s="18">
        <f>CT43*VLOOKUP('Données projet'!$B$13,Paramètres!$A$1:$I$89,3,0)*VLOOKUP('Données projet'!$B$13,Paramètres!$A$1:$I$89,5,0)</f>
        <v>109.12571428571428</v>
      </c>
      <c r="CV43" s="14">
        <f t="shared" si="41"/>
        <v>29.124900470596057</v>
      </c>
      <c r="CW43" s="22">
        <f t="shared" si="13"/>
        <v>240.78648736724048</v>
      </c>
      <c r="CX43" s="62">
        <f t="shared" si="14"/>
        <v>534.11982070057377</v>
      </c>
      <c r="CY43" s="62">
        <f ca="1">AVERAGE(OFFSET($CX$3,0,0,'Données projet'!$E$13+1,1))-AVERAGE(OFFSET($H$3,0,0,'Données projet'!$E$13+1,1))</f>
        <v>247.92503505485405</v>
      </c>
      <c r="CZ43" s="62">
        <f t="shared" si="42"/>
        <v>148.26437652597514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2</v>
      </c>
      <c r="DO43" s="13">
        <f>IF('Données projet'!$A$166&gt;35,DO42+DN43-DW42,IF(A43&lt;'Données projet'!$A$166,$DL$205^A43,IF(A43='Données projet'!$A$166,'Données projet'!$B$166,DO42+DN43-DW42)))</f>
        <v>80</v>
      </c>
      <c r="DP43" s="18">
        <f>DO43*VLOOKUP('Données projet'!$B$14,Paramètres!$A$1:$I$89,3,0)*VLOOKUP('Données projet'!$B$14,Paramètres!$A$1:$I$89,5,0)</f>
        <v>77.376000000000005</v>
      </c>
      <c r="DQ43" s="14">
        <f t="shared" si="43"/>
        <v>21.494362519405076</v>
      </c>
      <c r="DR43" s="22">
        <f t="shared" si="16"/>
        <v>172.19921472129715</v>
      </c>
      <c r="DS43" s="62">
        <f t="shared" si="17"/>
        <v>465.53254805463047</v>
      </c>
      <c r="DT43" s="62">
        <f ca="1">AVERAGE(OFFSET($DS$3,0,0,'Données projet'!$E$14+1,1))-AVERAGE(OFFSET($H$3,0,0,'Données projet'!$E$14+1,1))</f>
        <v>154.0837760161366</v>
      </c>
      <c r="DU43" s="62">
        <f t="shared" si="44"/>
        <v>96.484500841546037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11.926499999999994</v>
      </c>
      <c r="EJ43" s="13">
        <f>IF('Données projet'!$A$192&gt;35,EJ42+EI43-ER42,IF(A43&lt;'Données projet'!$A$192,$EG$205^A43,IF(A43='Données projet'!$A$192,'Données projet'!$B$192,EJ42+EI43-ER42)))</f>
        <v>244.20090277777783</v>
      </c>
      <c r="EK43" s="18">
        <f>EJ43*VLOOKUP('Données projet'!$B$15,Paramètres!$A$1:$I$89,3,0)*VLOOKUP('Données projet'!$B$15,Paramètres!$A$1:$I$89,5,0)</f>
        <v>163.80996558333337</v>
      </c>
      <c r="EL43" s="14">
        <f t="shared" si="45"/>
        <v>41.700683251884172</v>
      </c>
      <c r="EM43" s="22">
        <f t="shared" si="19"/>
        <v>357.93104672133722</v>
      </c>
      <c r="EN43" s="62">
        <f t="shared" si="20"/>
        <v>651.26438005467048</v>
      </c>
      <c r="EO43" s="62">
        <f ca="1">AVERAGE(OFFSET($EN$3,0,0,'Données projet'!$E$15+1,1))-AVERAGE(OFFSET($H$3,0,0,'Données projet'!$E$15+1,1))</f>
        <v>205.35893113421139</v>
      </c>
      <c r="EP43" s="62">
        <f t="shared" si="46"/>
        <v>220.4399811285175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14.197000202563272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14.197000202563272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11.926499999999994</v>
      </c>
      <c r="FE43" s="13">
        <f>IF('Données projet'!$A$218&gt;35,FE42+FD43-FM42,IF(A43&lt;'Données projet'!$A$218,$FB$205^A43,IF(A43='Données projet'!$A$218,'Données projet'!$B$218,FE42+FD43-FM42)))</f>
        <v>244.20090277777783</v>
      </c>
      <c r="FF43" s="18">
        <f>FE43*VLOOKUP('Données projet'!$B$16,Paramètres!$A$1:$I$89,3,0)*VLOOKUP('Données projet'!$B$16,Paramètres!$A$1:$I$89,5,0)</f>
        <v>190.47670416666671</v>
      </c>
      <c r="FG43" s="14">
        <f t="shared" si="47"/>
        <v>47.645329998851714</v>
      </c>
      <c r="FH43" s="22">
        <f t="shared" si="22"/>
        <v>414.72920950494455</v>
      </c>
      <c r="FI43" s="62">
        <f t="shared" si="23"/>
        <v>708.06254283827786</v>
      </c>
      <c r="FJ43" s="62">
        <f ca="1">AVERAGE(OFFSET($FI$3,0,0,'Données projet'!$E$16+1,1))-AVERAGE(OFFSET($H$3,0,0,'Données projet'!$E$16+1,1))</f>
        <v>242.81177364426878</v>
      </c>
      <c r="FK43" s="62">
        <f t="shared" si="48"/>
        <v>260.72115764896671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13.393396417512522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13.393396417512522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11.926499999999994</v>
      </c>
      <c r="FZ43" s="13">
        <f>IF('Données projet'!$A$244&gt;35,FZ42+FY43-GH42,IF(A43&lt;'Données projet'!$A$244,$FW$205^A43,IF(A43='Données projet'!$A$244,'Données projet'!$B$244,FZ42+FY43-GH42)))</f>
        <v>244.20090277777783</v>
      </c>
      <c r="GA43" s="18">
        <f>FZ43*VLOOKUP('Données projet'!$B$17,Paramètres!$A$1:$I$89,3,0)*VLOOKUP('Données projet'!$B$17,Paramètres!$A$1:$I$89,5,0)</f>
        <v>194.28623825000005</v>
      </c>
      <c r="GB43" s="14">
        <f t="shared" si="49"/>
        <v>48.486345414370014</v>
      </c>
      <c r="GC43" s="22">
        <f t="shared" si="25"/>
        <v>422.8289165487779</v>
      </c>
      <c r="GD43" s="62">
        <f t="shared" si="26"/>
        <v>716.16224988211115</v>
      </c>
      <c r="GE43" s="62">
        <f ca="1">AVERAGE(OFFSET($GD$3,0,0,'Données projet'!$E$17+1,1))-AVERAGE(OFFSET($H$3,0,0,'Données projet'!$E$17+1,1))</f>
        <v>248.15263300983543</v>
      </c>
      <c r="GF43" s="62">
        <f t="shared" si="50"/>
        <v>266.46511459244618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16.838302565830855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16.838302565830855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</v>
      </c>
      <c r="N44" s="14">
        <f>IF('Données projet'!$A$36&gt;35,N43+M44-V43,IF(A44&lt;'Données projet'!$A$36,$K$205^A44,IF(A44='Données projet'!$A$36,'Données projet'!$B$36,N43+M44-V43)))</f>
        <v>514.80000000000018</v>
      </c>
      <c r="O44" s="14">
        <f>N44*VLOOKUP('Données projet'!$B$9,Paramètres!$A$1:$I$89,3,0)*VLOOKUP('Données projet'!$B$9,Paramètres!$A$1:$I$89,5,0)</f>
        <v>287.77320000000009</v>
      </c>
      <c r="P44" s="14">
        <f t="shared" si="33"/>
        <v>68.607082381743922</v>
      </c>
      <c r="Q44" s="22">
        <f t="shared" si="53"/>
        <v>620.69565848153741</v>
      </c>
      <c r="R44" s="62">
        <f t="shared" si="0"/>
        <v>914.02899181487078</v>
      </c>
      <c r="S44" s="62">
        <f ca="1">AVERAGE(OFFSET($R$3,0,0,'Données projet'!$E$9+1,1))-AVERAGE(OFFSET($H$3,0,0,'Données projet'!$E$9+1,1))</f>
        <v>382.55387448074327</v>
      </c>
      <c r="T44" s="62">
        <f t="shared" si="34"/>
        <v>476.29465646955543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50.043842722341957</v>
      </c>
      <c r="AA44" s="23">
        <f>EXP(-LN(2)/25)*AA43+(1-EXP(-LN(2)/25))/(LN(2)/25)*Calculateur!V44*Calculateur!X44*VLOOKUP('Données projet'!$B$9,Paramètres!$A$1:$I$89,3,0)*0.475*44/12</f>
        <v>19.367141997618777</v>
      </c>
      <c r="AB44" s="23">
        <f>EXP(-LN(2)/2)*AB43+(1-EXP(-LN(2)/2))/(LN(2)/2)*V44*Y44*VLOOKUP('Données projet'!$B$9,Paramètres!$A$1:$I$89,3,0)*0.475*44/12</f>
        <v>5.1324342892503143</v>
      </c>
      <c r="AC44" s="24">
        <f t="shared" si="3"/>
        <v>74.54341900921105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18.833333333333332</v>
      </c>
      <c r="AI44" s="14">
        <f>IF('Données projet'!$A$62&gt;35,AI43+AH44-AQ43,IF(A44&lt;'Données projet'!$A$62,$AF$205^A44,IF(A44='Données projet'!$A$62,'Données projet'!$B$62,AI43+AH44-AQ43)))</f>
        <v>596.16666666666652</v>
      </c>
      <c r="AJ44" s="14">
        <f>AI44*VLOOKUP('Données projet'!$B$10,Paramètres!$A$1:$I$89,3,0)*VLOOKUP('Données projet'!$B$10,Paramètres!$A$1:$I$89,5,0)</f>
        <v>372.00799999999992</v>
      </c>
      <c r="AK44" s="14">
        <f t="shared" si="35"/>
        <v>86.077978449442</v>
      </c>
      <c r="AL44" s="22">
        <f t="shared" si="4"/>
        <v>797.83307913277804</v>
      </c>
      <c r="AM44" s="62">
        <f t="shared" si="5"/>
        <v>1091.1664124661113</v>
      </c>
      <c r="AN44" s="62">
        <f ca="1">AVERAGE(OFFSET($AM$3,0,0,'Données projet'!$E$10+1,1))-AVERAGE(OFFSET($H$3,0,0,'Données projet'!$E$10+1,1))</f>
        <v>482.28841373508675</v>
      </c>
      <c r="AO44" s="62">
        <f t="shared" si="36"/>
        <v>746.97309214631684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67.390108401546897</v>
      </c>
      <c r="AV44" s="23">
        <f>EXP(-LN(2)/25)*AV43+(1-EXP(-LN(2)/25))/(LN(2)/25)*Calculateur!AQ44*Calculateur!AS44*VLOOKUP('Données projet'!$B$10,Paramètres!$A$1:$I$89,3,0)*0.475*44/12</f>
        <v>15.165230722271167</v>
      </c>
      <c r="AW44" s="23">
        <f>EXP(-LN(2)/2)*AW43+(1-EXP(-LN(2)/2))/(LN(2)/2)*AQ44*AT44*VLOOKUP('Données projet'!$B$10,Paramètres!$A$1:$I$89,3,0)*0.475*44/12</f>
        <v>2.1823532216381429</v>
      </c>
      <c r="AX44" s="23">
        <f t="shared" si="6"/>
        <v>84.737692345456196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18.833333333333332</v>
      </c>
      <c r="BD44" s="13">
        <f>IF('Données projet'!$A$88&gt;35,BD43+BC44-BL43,IF(A44&lt;'Données projet'!$A$88,$BA$205^A44,IF(A44='Données projet'!$A$88,'Données projet'!$B$88,BD43+BC44-BL43)))</f>
        <v>596.16666666666652</v>
      </c>
      <c r="BE44" s="14">
        <f>BD44*VLOOKUP('Données projet'!$B$11,Paramètres!$A$1:$I$89,3,0)*VLOOKUP('Données projet'!$B$11,Paramètres!$A$1:$I$89,5,0)</f>
        <v>325.50699999999989</v>
      </c>
      <c r="BF44" s="14">
        <f t="shared" si="37"/>
        <v>76.498051740132453</v>
      </c>
      <c r="BG44" s="22">
        <f t="shared" si="7"/>
        <v>700.15879844739709</v>
      </c>
      <c r="BH44" s="62">
        <f t="shared" si="8"/>
        <v>993.49213178073046</v>
      </c>
      <c r="BI44" s="62">
        <f ca="1">AVERAGE(OFFSET($BH$3,0,0,'Données projet'!$E$11+1,1))-AVERAGE(OFFSET($H$3,0,0,'Données projet'!$E$11+1,1))</f>
        <v>417.99456559608217</v>
      </c>
      <c r="BJ44" s="62">
        <f t="shared" si="38"/>
        <v>651.41353014863932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58.966344851353547</v>
      </c>
      <c r="BQ44" s="23">
        <f>EXP(-LN(2)/25)*BQ43+(1-EXP(-LN(2)/25))/(LN(2)/25)*Calculateur!BL44*Calculateur!BN44*VLOOKUP('Données projet'!$B$11,Paramètres!$A$1:$I$89,3,0)*0.475*44/12</f>
        <v>13.427548035344261</v>
      </c>
      <c r="BR44" s="23">
        <f>EXP(-LN(2)/2)*BR43+(1-EXP(-LN(2)/2))/(LN(2)/2)*BL44*BO44*VLOOKUP('Données projet'!$B$11,Paramètres!$A$1:$I$89,3,0)*0.475*44/12</f>
        <v>1.8806263557677176</v>
      </c>
      <c r="BS44" s="24">
        <f t="shared" si="9"/>
        <v>74.27451924246553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2.6904761904761907</v>
      </c>
      <c r="BY44" s="13">
        <f>IF('Données projet'!$A$114&gt;35,BY43+BX44-CG43,IF(A44&lt;'Données projet'!$A$114,$BV$205^A44,IF(A44='Données projet'!$A$114,'Données projet'!$B$114,BY43+BX44-CG43)))</f>
        <v>110.3095238095238</v>
      </c>
      <c r="BZ44" s="14">
        <f>BY44*VLOOKUP('Données projet'!$B$12,Paramètres!$A$1:$I$89,3,0)*VLOOKUP('Données projet'!$B$12,Paramètres!$A$1:$I$89,5,0)</f>
        <v>99.808057142857123</v>
      </c>
      <c r="CA44" s="14">
        <f t="shared" si="39"/>
        <v>26.916264697531815</v>
      </c>
      <c r="CB44" s="22">
        <f t="shared" si="10"/>
        <v>220.71152720534405</v>
      </c>
      <c r="CC44" s="62">
        <f t="shared" si="11"/>
        <v>514.04486053867731</v>
      </c>
      <c r="CD44" s="62">
        <f ca="1">AVERAGE(OFFSET($CC$3,0,0,'Données projet'!$E$12+1,1))-AVERAGE(OFFSET($H$3,0,0,'Données projet'!$E$12+1,1))</f>
        <v>213.07277043804817</v>
      </c>
      <c r="CE44" s="62">
        <f t="shared" si="40"/>
        <v>129.14539883354166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2.6904761904761907</v>
      </c>
      <c r="CT44" s="13">
        <f>IF('Données projet'!$A$140&gt;35,CT43+CS44-DB43,IF(A44&lt;'Données projet'!$A$140,$CQ$205^A44,IF(A44='Données projet'!$A$140,'Données projet'!$B$140,CT43+CS44-DB43)))</f>
        <v>110.3095238095238</v>
      </c>
      <c r="CU44" s="18">
        <f>CT44*VLOOKUP('Données projet'!$B$13,Paramètres!$A$1:$I$89,3,0)*VLOOKUP('Données projet'!$B$13,Paramètres!$A$1:$I$89,5,0)</f>
        <v>111.85385714285715</v>
      </c>
      <c r="CV44" s="14">
        <f t="shared" si="41"/>
        <v>29.767342015458599</v>
      </c>
      <c r="CW44" s="22">
        <f t="shared" si="13"/>
        <v>246.65692186739997</v>
      </c>
      <c r="CX44" s="62">
        <f t="shared" si="14"/>
        <v>539.99025520073326</v>
      </c>
      <c r="CY44" s="62">
        <f ca="1">AVERAGE(OFFSET($CX$3,0,0,'Données projet'!$E$13+1,1))-AVERAGE(OFFSET($H$3,0,0,'Données projet'!$E$13+1,1))</f>
        <v>247.92503505485405</v>
      </c>
      <c r="CZ44" s="62">
        <f t="shared" si="42"/>
        <v>148.26437652597514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2</v>
      </c>
      <c r="DO44" s="13">
        <f>IF('Données projet'!$A$166&gt;35,DO43+DN44-DW43,IF(A44&lt;'Données projet'!$A$166,$DL$205^A44,IF(A44='Données projet'!$A$166,'Données projet'!$B$166,DO43+DN44-DW43)))</f>
        <v>82</v>
      </c>
      <c r="DP44" s="18">
        <f>DO44*VLOOKUP('Données projet'!$B$14,Paramètres!$A$1:$I$89,3,0)*VLOOKUP('Données projet'!$B$14,Paramètres!$A$1:$I$89,5,0)</f>
        <v>79.310400000000001</v>
      </c>
      <c r="DQ44" s="14">
        <f t="shared" si="43"/>
        <v>21.968488481715013</v>
      </c>
      <c r="DR44" s="22">
        <f t="shared" si="16"/>
        <v>176.39406410565365</v>
      </c>
      <c r="DS44" s="62">
        <f t="shared" si="17"/>
        <v>469.72739743898694</v>
      </c>
      <c r="DT44" s="62">
        <f ca="1">AVERAGE(OFFSET($DS$3,0,0,'Données projet'!$E$14+1,1))-AVERAGE(OFFSET($H$3,0,0,'Données projet'!$E$14+1,1))</f>
        <v>154.0837760161366</v>
      </c>
      <c r="DU44" s="62">
        <f t="shared" si="44"/>
        <v>96.484500841546037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11.926499999999994</v>
      </c>
      <c r="EJ44" s="13">
        <f>IF('Données projet'!$A$192&gt;35,EJ43+EI44-ER43,IF(A44&lt;'Données projet'!$A$192,$EG$205^A44,IF(A44='Données projet'!$A$192,'Données projet'!$B$192,EJ43+EI44-ER43)))</f>
        <v>256.12740277777783</v>
      </c>
      <c r="EK44" s="18">
        <f>EJ44*VLOOKUP('Données projet'!$B$15,Paramètres!$A$1:$I$89,3,0)*VLOOKUP('Données projet'!$B$15,Paramètres!$A$1:$I$89,5,0)</f>
        <v>171.81026178333337</v>
      </c>
      <c r="EL44" s="14">
        <f t="shared" si="45"/>
        <v>43.495211725551947</v>
      </c>
      <c r="EM44" s="22">
        <f t="shared" si="19"/>
        <v>374.99036636130859</v>
      </c>
      <c r="EN44" s="62">
        <f t="shared" si="20"/>
        <v>668.32369969464185</v>
      </c>
      <c r="EO44" s="62">
        <f ca="1">AVERAGE(OFFSET($EN$3,0,0,'Données projet'!$E$15+1,1))-AVERAGE(OFFSET($H$3,0,0,'Données projet'!$E$15+1,1))</f>
        <v>205.35893113421139</v>
      </c>
      <c r="EP44" s="62">
        <f t="shared" si="46"/>
        <v>220.4399811285175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13.918605687906094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13.918605687906094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11.926499999999994</v>
      </c>
      <c r="FE44" s="13">
        <f>IF('Données projet'!$A$218&gt;35,FE43+FD44-FM43,IF(A44&lt;'Données projet'!$A$218,$FB$205^A44,IF(A44='Données projet'!$A$218,'Données projet'!$B$218,FE43+FD44-FM43)))</f>
        <v>256.12740277777783</v>
      </c>
      <c r="FF44" s="18">
        <f>FE44*VLOOKUP('Données projet'!$B$16,Paramètres!$A$1:$I$89,3,0)*VLOOKUP('Données projet'!$B$16,Paramètres!$A$1:$I$89,5,0)</f>
        <v>199.77937416666671</v>
      </c>
      <c r="FG44" s="14">
        <f t="shared" si="47"/>
        <v>49.695677730657231</v>
      </c>
      <c r="FH44" s="22">
        <f t="shared" si="22"/>
        <v>434.50238205450586</v>
      </c>
      <c r="FI44" s="62">
        <f t="shared" si="23"/>
        <v>727.83571538783917</v>
      </c>
      <c r="FJ44" s="62">
        <f ca="1">AVERAGE(OFFSET($FI$3,0,0,'Données projet'!$E$16+1,1))-AVERAGE(OFFSET($H$3,0,0,'Données projet'!$E$16+1,1))</f>
        <v>242.81177364426878</v>
      </c>
      <c r="FK44" s="62">
        <f t="shared" si="48"/>
        <v>260.72115764896671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13.130760082930278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13.130760082930278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11.926499999999994</v>
      </c>
      <c r="FZ44" s="13">
        <f>IF('Données projet'!$A$244&gt;35,FZ43+FY44-GH43,IF(A44&lt;'Données projet'!$A$244,$FW$205^A44,IF(A44='Données projet'!$A$244,'Données projet'!$B$244,FZ43+FY44-GH43)))</f>
        <v>256.12740277777783</v>
      </c>
      <c r="GA44" s="18">
        <f>FZ44*VLOOKUP('Données projet'!$B$17,Paramètres!$A$1:$I$89,3,0)*VLOOKUP('Données projet'!$B$17,Paramètres!$A$1:$I$89,5,0)</f>
        <v>203.77496165000005</v>
      </c>
      <c r="GB44" s="14">
        <f t="shared" si="49"/>
        <v>50.57288502583431</v>
      </c>
      <c r="GC44" s="22">
        <f t="shared" si="25"/>
        <v>442.9891662937448</v>
      </c>
      <c r="GD44" s="62">
        <f t="shared" si="26"/>
        <v>736.32249962707806</v>
      </c>
      <c r="GE44" s="62">
        <f ca="1">AVERAGE(OFFSET($GD$3,0,0,'Données projet'!$E$17+1,1))-AVERAGE(OFFSET($H$3,0,0,'Données projet'!$E$17+1,1))</f>
        <v>248.15263300983543</v>
      </c>
      <c r="GF44" s="62">
        <f t="shared" si="50"/>
        <v>266.46511459244618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16.508113722865364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16.508113722865364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22.8</v>
      </c>
      <c r="N45" s="14">
        <f>IF('Données projet'!$A$36&gt;35,N44+M45-V44,IF(A45&lt;'Données projet'!$A$36,$K$205^A45,IF(A45='Données projet'!$A$36,'Données projet'!$B$36,N44+M45-V44)))</f>
        <v>537.60000000000014</v>
      </c>
      <c r="O45" s="14">
        <f>N45*VLOOKUP('Données projet'!$B$9,Paramètres!$A$1:$I$89,3,0)*VLOOKUP('Données projet'!$B$9,Paramètres!$A$1:$I$89,5,0)</f>
        <v>300.5184000000001</v>
      </c>
      <c r="P45" s="14">
        <f t="shared" si="33"/>
        <v>71.285129105116411</v>
      </c>
      <c r="Q45" s="22">
        <f t="shared" si="53"/>
        <v>647.55781319141124</v>
      </c>
      <c r="R45" s="62">
        <f t="shared" si="0"/>
        <v>940.8911465247445</v>
      </c>
      <c r="S45" s="62">
        <f ca="1">AVERAGE(OFFSET($R$3,0,0,'Données projet'!$E$9+1,1))-AVERAGE(OFFSET($H$3,0,0,'Données projet'!$E$9+1,1))</f>
        <v>382.55387448074327</v>
      </c>
      <c r="T45" s="62">
        <f t="shared" si="34"/>
        <v>476.29465646955543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49.062513490286925</v>
      </c>
      <c r="AA45" s="23">
        <f>EXP(-LN(2)/25)*AA44+(1-EXP(-LN(2)/25))/(LN(2)/25)*Calculateur!V45*Calculateur!X45*VLOOKUP('Données projet'!$B$9,Paramètres!$A$1:$I$89,3,0)*0.475*44/12</f>
        <v>18.837546481220159</v>
      </c>
      <c r="AB45" s="23">
        <f>EXP(-LN(2)/2)*AB44+(1-EXP(-LN(2)/2))/(LN(2)/2)*V45*Y45*VLOOKUP('Données projet'!$B$9,Paramètres!$A$1:$I$89,3,0)*0.475*44/12</f>
        <v>3.6291790899232557</v>
      </c>
      <c r="AC45" s="24">
        <f t="shared" si="3"/>
        <v>71.529239061430346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615</v>
      </c>
      <c r="AG45" s="13">
        <f>VLOOKUP(A45,'Données projet'!$A$61:$I$81,9,0)</f>
        <v>18.833333333333332</v>
      </c>
      <c r="AH45" s="13">
        <f t="array" ref="AH45">INDEX(AG:AG,MIN(IF(ISNUMBER(AG45:AG241),ROW(AG45:AG241),"")))</f>
        <v>18.833333333333332</v>
      </c>
      <c r="AI45" s="14">
        <f>IF('Données projet'!$A$62&gt;35,AI44+AH45-AQ44,IF(A45&lt;'Données projet'!$A$62,$AF$205^A45,IF(A45='Données projet'!$A$62,'Données projet'!$B$62,AI44+AH45-AQ44)))</f>
        <v>614.99999999999989</v>
      </c>
      <c r="AJ45" s="14">
        <f>AI45*VLOOKUP('Données projet'!$B$10,Paramètres!$A$1:$I$89,3,0)*VLOOKUP('Données projet'!$B$10,Paramètres!$A$1:$I$89,5,0)</f>
        <v>383.75999999999993</v>
      </c>
      <c r="AK45" s="14">
        <f t="shared" si="35"/>
        <v>88.476354614370933</v>
      </c>
      <c r="AL45" s="22">
        <f t="shared" si="4"/>
        <v>822.47831762002932</v>
      </c>
      <c r="AM45" s="62">
        <f t="shared" si="5"/>
        <v>1115.8116509533627</v>
      </c>
      <c r="AN45" s="62">
        <f ca="1">AVERAGE(OFFSET($AM$3,0,0,'Données projet'!$E$10+1,1))-AVERAGE(OFFSET($H$3,0,0,'Données projet'!$E$10+1,1))</f>
        <v>482.28841373508675</v>
      </c>
      <c r="AO45" s="62">
        <f t="shared" si="36"/>
        <v>746.97309214631684</v>
      </c>
      <c r="AP45" s="16">
        <f>IF(ISNA(VLOOKUP(A45,'Données projet'!$A$61:$I$81,3,0)),0,VLOOKUP(A45,'Données projet'!$A$61:$I$81,3,0))</f>
        <v>3</v>
      </c>
      <c r="AQ45" s="16">
        <f>IF(ISNA(VLOOKUP(A45,'Données projet'!$A$61:$I$81,4,0)),0,VLOOKUP(A45,'Données projet'!$A$61:$I$81,4,0))</f>
        <v>121</v>
      </c>
      <c r="AR45" s="17">
        <f>IF(ISNA(VLOOKUP(A45,'Données projet'!$A$61:$I$81,5,0)),0%,VLOOKUP(A45,'Données projet'!$A$61:$I$81,5,0)*VLOOKUP('Données projet'!$B$10,Paramètres!$A$1:$I$89,7,0))</f>
        <v>0.42</v>
      </c>
      <c r="AS45" s="17">
        <f>IF(ISNA(VLOOKUP(A45,'Données projet'!$A$61:$I$81,6,0)),0%,VLOOKUP(A45,'Données projet'!$A$61:$I$81,6,0)*VLOOKUP('Données projet'!$B$10,Paramètres!$A$1:$I$89,7,0))</f>
        <v>0.1008</v>
      </c>
      <c r="AT45" s="17">
        <f>IF(ISNA(VLOOKUP(A45,'Données projet'!$A$61:$I$81,7,0)),0%,VLOOKUP(A45,'Données projet'!$A$61:$I$81,7,0))</f>
        <v>0.13200000000000001</v>
      </c>
      <c r="AU45" s="23">
        <f>EXP(-LN(2)/35)*AU44+(1-EXP(-LN(2)/35))/(LN(2)/35)*AQ45*AR45*VLOOKUP('Données projet'!$B$10,Paramètres!$A$1:$I$89,3,0)*0.475*44/12</f>
        <v>108.13621698997297</v>
      </c>
      <c r="AV45" s="23">
        <f>EXP(-LN(2)/25)*AV44+(1-EXP(-LN(2)/25))/(LN(2)/25)*Calculateur!AQ45*Calculateur!AS45*VLOOKUP('Données projet'!$B$10,Paramètres!$A$1:$I$89,3,0)*0.475*44/12</f>
        <v>24.807005024082841</v>
      </c>
      <c r="AW45" s="23">
        <f>EXP(-LN(2)/2)*AW44+(1-EXP(-LN(2)/2))/(LN(2)/2)*AQ45*AT45*VLOOKUP('Données projet'!$B$10,Paramètres!$A$1:$I$89,3,0)*0.475*44/12</f>
        <v>12.827581657766494</v>
      </c>
      <c r="AX45" s="23">
        <f t="shared" si="6"/>
        <v>145.77080367182231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615</v>
      </c>
      <c r="BB45" s="13">
        <f>VLOOKUP(A45,'Données projet'!$A$87:$I$107,9,0)</f>
        <v>18.833333333333332</v>
      </c>
      <c r="BC45" s="13">
        <f t="array" ref="BC45">INDEX(BB:BB,MIN(IF(ISNUMBER(BB45:BB241),ROW(BB45:BB241),"")))</f>
        <v>18.833333333333332</v>
      </c>
      <c r="BD45" s="13">
        <f>IF('Données projet'!$A$88&gt;35,BD44+BC45-BL44,IF(A45&lt;'Données projet'!$A$88,$BA$205^A45,IF(A45='Données projet'!$A$88,'Données projet'!$B$88,BD44+BC45-BL44)))</f>
        <v>614.99999999999989</v>
      </c>
      <c r="BE45" s="14">
        <f>BD45*VLOOKUP('Données projet'!$B$11,Paramètres!$A$1:$I$89,3,0)*VLOOKUP('Données projet'!$B$11,Paramètres!$A$1:$I$89,5,0)</f>
        <v>335.78999999999996</v>
      </c>
      <c r="BF45" s="14">
        <f t="shared" si="37"/>
        <v>78.629504026326686</v>
      </c>
      <c r="BG45" s="22">
        <f t="shared" si="7"/>
        <v>721.78063617918542</v>
      </c>
      <c r="BH45" s="62">
        <f t="shared" si="8"/>
        <v>1015.1139695125187</v>
      </c>
      <c r="BI45" s="62">
        <f ca="1">AVERAGE(OFFSET($BH$3,0,0,'Données projet'!$E$11+1,1))-AVERAGE(OFFSET($H$3,0,0,'Données projet'!$E$11+1,1))</f>
        <v>417.99456559608217</v>
      </c>
      <c r="BJ45" s="62">
        <f t="shared" si="38"/>
        <v>651.41353014863932</v>
      </c>
      <c r="BK45" s="16">
        <f>IF(ISNA(VLOOKUP(A45,'Données projet'!$A$87:$I$107,3,0)),0,VLOOKUP(A45,'Données projet'!$A$87:$I$107,3,0))</f>
        <v>3</v>
      </c>
      <c r="BL45" s="16">
        <f>IF(ISNA(VLOOKUP(A45,'Données projet'!$A$87:$I$107,4,0)),0,VLOOKUP(A45,'Données projet'!$A$87:$I$107,4,0))</f>
        <v>121</v>
      </c>
      <c r="BM45" s="17">
        <f>IF(ISNA(VLOOKUP(A45,'Données projet'!$A$87:$I$107,5,0)),0%,VLOOKUP(A45,'Données projet'!$A$87:$I$107,5,0)*VLOOKUP('Données projet'!$B$11,Paramètres!$A$1:$I$89,7,0))</f>
        <v>0.42</v>
      </c>
      <c r="BN45" s="17">
        <f>IF(ISNA(VLOOKUP(A45,'Données projet'!$A$87:$I$107,6,0)),0%,VLOOKUP(A45,'Données projet'!$A$87:$I$107,6,0)*VLOOKUP('Données projet'!$B$11,Paramètres!$A$1:$I$89,7,0))</f>
        <v>0.10200000000000001</v>
      </c>
      <c r="BO45" s="17">
        <f>IF(ISNA(VLOOKUP(A45,'Données projet'!$A$87:$I$107,7,0)),0%,VLOOKUP(A45,'Données projet'!$A$87:$I$107,7,0))</f>
        <v>0.13</v>
      </c>
      <c r="BP45" s="23">
        <f>EXP(-LN(2)/35)*BP44+(1-EXP(-LN(2)/35))/(LN(2)/35)*BL45*BM45*VLOOKUP('Données projet'!$B$11,Paramètres!$A$1:$I$89,3,0)*0.475*44/12</f>
        <v>94.61918986622635</v>
      </c>
      <c r="BQ45" s="23">
        <f>EXP(-LN(2)/25)*BQ44+(1-EXP(-LN(2)/25))/(LN(2)/25)*Calculateur!BL45*Calculateur!BN45*VLOOKUP('Données projet'!$B$11,Paramètres!$A$1:$I$89,3,0)*0.475*44/12</f>
        <v>21.964535698406685</v>
      </c>
      <c r="BR45" s="23">
        <f>EXP(-LN(2)/2)*BR44+(1-EXP(-LN(2)/2))/(LN(2)/2)*BL45*BO45*VLOOKUP('Données projet'!$B$11,Paramètres!$A$1:$I$89,3,0)*0.475*44/12</f>
        <v>11.054071314931353</v>
      </c>
      <c r="BS45" s="24">
        <f t="shared" si="9"/>
        <v>127.63779687956438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113</v>
      </c>
      <c r="BW45" s="13">
        <f>VLOOKUP(A45,'Données projet'!$A$113:$I$133,9,0)</f>
        <v>2.6904761904761907</v>
      </c>
      <c r="BX45" s="13">
        <f t="array" ref="BX45">INDEX(BW:BW,MIN(IF(ISNUMBER(BW45:BW241),ROW(BW45:BW241),"")))</f>
        <v>2.6904761904761907</v>
      </c>
      <c r="BY45" s="13">
        <f>IF('Données projet'!$A$114&gt;35,BY44+BX45-CG44,IF(A45&lt;'Données projet'!$A$114,$BV$205^A45,IF(A45='Données projet'!$A$114,'Données projet'!$B$114,BY44+BX45-CG44)))</f>
        <v>112.99999999999999</v>
      </c>
      <c r="BZ45" s="14">
        <f>BY45*VLOOKUP('Données projet'!$B$12,Paramètres!$A$1:$I$89,3,0)*VLOOKUP('Données projet'!$B$12,Paramètres!$A$1:$I$89,5,0)</f>
        <v>102.24239999999999</v>
      </c>
      <c r="CA45" s="14">
        <f t="shared" si="39"/>
        <v>27.495526976991481</v>
      </c>
      <c r="CB45" s="22">
        <f t="shared" si="10"/>
        <v>225.96022281826015</v>
      </c>
      <c r="CC45" s="62">
        <f t="shared" si="11"/>
        <v>519.29355615159352</v>
      </c>
      <c r="CD45" s="62">
        <f ca="1">AVERAGE(OFFSET($CC$3,0,0,'Données projet'!$E$12+1,1))-AVERAGE(OFFSET($H$3,0,0,'Données projet'!$E$12+1,1))</f>
        <v>213.07277043804817</v>
      </c>
      <c r="CE45" s="62">
        <f t="shared" si="40"/>
        <v>129.14539883354166</v>
      </c>
      <c r="CF45" s="16">
        <f>IF(ISNA(VLOOKUP(A45,'Données projet'!$A$113:$I$133,3,0)),0,VLOOKUP(A45,'Données projet'!$A$113:$I$133,3,0))</f>
        <v>1</v>
      </c>
      <c r="CG45" s="16">
        <f>IF(ISNA(VLOOKUP(A45,'Données projet'!$A$113:$I$133,4,0)),0,VLOOKUP(A45,'Données projet'!$A$113:$I$133,4,0))</f>
        <v>30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>
        <f>VLOOKUP(A45,'Données projet'!$A$139:$I$159,2,0)</f>
        <v>113</v>
      </c>
      <c r="CR45" s="13">
        <f>VLOOKUP(A45,'Données projet'!$A$139:$I$159,9,0)</f>
        <v>2.6904761904761907</v>
      </c>
      <c r="CS45" s="13">
        <f t="array" ref="CS45">INDEX(CR:CR,MIN(IF(ISNUMBER(CR45:CR241),ROW(CR45:CR241),"")))</f>
        <v>2.6904761904761907</v>
      </c>
      <c r="CT45" s="13">
        <f>IF('Données projet'!$A$140&gt;35,CT44+CS45-DB44,IF(A45&lt;'Données projet'!$A$140,$CQ$205^A45,IF(A45='Données projet'!$A$140,'Données projet'!$B$140,CT44+CS45-DB44)))</f>
        <v>112.99999999999999</v>
      </c>
      <c r="CU45" s="18">
        <f>CT45*VLOOKUP('Données projet'!$B$13,Paramètres!$A$1:$I$89,3,0)*VLOOKUP('Données projet'!$B$13,Paramètres!$A$1:$I$89,5,0)</f>
        <v>114.58199999999998</v>
      </c>
      <c r="CV45" s="14">
        <f t="shared" si="41"/>
        <v>30.407962048850919</v>
      </c>
      <c r="CW45" s="22">
        <f t="shared" si="13"/>
        <v>252.52418390174861</v>
      </c>
      <c r="CX45" s="62">
        <f t="shared" si="14"/>
        <v>545.8575172350819</v>
      </c>
      <c r="CY45" s="62">
        <f ca="1">AVERAGE(OFFSET($CX$3,0,0,'Données projet'!$E$13+1,1))-AVERAGE(OFFSET($H$3,0,0,'Données projet'!$E$13+1,1))</f>
        <v>247.92503505485405</v>
      </c>
      <c r="CZ45" s="62">
        <f t="shared" si="42"/>
        <v>148.26437652597514</v>
      </c>
      <c r="DA45" s="16">
        <f>IF(ISNA(VLOOKUP(A45,'Données projet'!$A$139:$I$159,3,0)),0,VLOOKUP(A45,'Données projet'!$A$139:$I$159,3,0))</f>
        <v>1</v>
      </c>
      <c r="DB45" s="16">
        <f>IF(ISNA(VLOOKUP(A45,'Données projet'!$A$139:$I$159,4,0)),0,VLOOKUP(A45,'Données projet'!$A$139:$I$159,4,0))</f>
        <v>30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2</v>
      </c>
      <c r="DO45" s="13">
        <f>IF('Données projet'!$A$166&gt;35,DO44+DN45-DW44,IF(A45&lt;'Données projet'!$A$166,$DL$205^A45,IF(A45='Données projet'!$A$166,'Données projet'!$B$166,DO44+DN45-DW44)))</f>
        <v>84</v>
      </c>
      <c r="DP45" s="18">
        <f>DO45*VLOOKUP('Données projet'!$B$14,Paramètres!$A$1:$I$89,3,0)*VLOOKUP('Données projet'!$B$14,Paramètres!$A$1:$I$89,5,0)</f>
        <v>81.244799999999998</v>
      </c>
      <c r="DQ45" s="14">
        <f t="shared" si="43"/>
        <v>22.441270156928962</v>
      </c>
      <c r="DR45" s="22">
        <f t="shared" si="16"/>
        <v>180.58657218998462</v>
      </c>
      <c r="DS45" s="62">
        <f t="shared" si="17"/>
        <v>473.91990552331794</v>
      </c>
      <c r="DT45" s="62">
        <f ca="1">AVERAGE(OFFSET($DS$3,0,0,'Données projet'!$E$14+1,1))-AVERAGE(OFFSET($H$3,0,0,'Données projet'!$E$14+1,1))</f>
        <v>154.0837760161366</v>
      </c>
      <c r="DU45" s="62">
        <f t="shared" si="44"/>
        <v>96.484500841546037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11.926499999999994</v>
      </c>
      <c r="EJ45" s="13">
        <f>IF('Données projet'!$A$192&gt;35,EJ44+EI45-ER44,IF(A45&lt;'Données projet'!$A$192,$EG$205^A45,IF(A45='Données projet'!$A$192,'Données projet'!$B$192,EJ44+EI45-ER44)))</f>
        <v>268.05390277777781</v>
      </c>
      <c r="EK45" s="18">
        <f>EJ45*VLOOKUP('Données projet'!$B$15,Paramètres!$A$1:$I$89,3,0)*VLOOKUP('Données projet'!$B$15,Paramètres!$A$1:$I$89,5,0)</f>
        <v>179.81055798333335</v>
      </c>
      <c r="EL45" s="14">
        <f t="shared" si="45"/>
        <v>45.28003622545733</v>
      </c>
      <c r="EM45" s="22">
        <f t="shared" si="19"/>
        <v>392.03278491364375</v>
      </c>
      <c r="EN45" s="62">
        <f t="shared" si="20"/>
        <v>685.36611824697707</v>
      </c>
      <c r="EO45" s="62">
        <f ca="1">AVERAGE(OFFSET($EN$3,0,0,'Données projet'!$E$15+1,1))-AVERAGE(OFFSET($H$3,0,0,'Données projet'!$E$15+1,1))</f>
        <v>205.35893113421139</v>
      </c>
      <c r="EP45" s="62">
        <f t="shared" si="46"/>
        <v>220.4399811285175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13.645670319877455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13.645670319877455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11.926499999999994</v>
      </c>
      <c r="FE45" s="13">
        <f>IF('Données projet'!$A$218&gt;35,FE44+FD45-FM44,IF(A45&lt;'Données projet'!$A$218,$FB$205^A45,IF(A45='Données projet'!$A$218,'Données projet'!$B$218,FE44+FD45-FM44)))</f>
        <v>268.05390277777781</v>
      </c>
      <c r="FF45" s="18">
        <f>FE45*VLOOKUP('Données projet'!$B$16,Paramètres!$A$1:$I$89,3,0)*VLOOKUP('Données projet'!$B$16,Paramètres!$A$1:$I$89,5,0)</f>
        <v>209.08204416666669</v>
      </c>
      <c r="FG45" s="14">
        <f t="shared" si="47"/>
        <v>51.73493813736011</v>
      </c>
      <c r="FH45" s="22">
        <f t="shared" si="22"/>
        <v>454.25624417951332</v>
      </c>
      <c r="FI45" s="62">
        <f t="shared" si="23"/>
        <v>747.58957751284663</v>
      </c>
      <c r="FJ45" s="62">
        <f ca="1">AVERAGE(OFFSET($FI$3,0,0,'Données projet'!$E$16+1,1))-AVERAGE(OFFSET($H$3,0,0,'Données projet'!$E$16+1,1))</f>
        <v>242.81177364426878</v>
      </c>
      <c r="FK45" s="62">
        <f t="shared" si="48"/>
        <v>260.72115764896671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12.873273886676845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12.873273886676845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11.926499999999994</v>
      </c>
      <c r="FZ45" s="13">
        <f>IF('Données projet'!$A$244&gt;35,FZ44+FY45-GH44,IF(A45&lt;'Données projet'!$A$244,$FW$205^A45,IF(A45='Données projet'!$A$244,'Données projet'!$B$244,FZ44+FY45-GH44)))</f>
        <v>268.05390277777781</v>
      </c>
      <c r="GA45" s="18">
        <f>FZ45*VLOOKUP('Données projet'!$B$17,Paramètres!$A$1:$I$89,3,0)*VLOOKUP('Données projet'!$B$17,Paramètres!$A$1:$I$89,5,0)</f>
        <v>213.26368505000002</v>
      </c>
      <c r="GB45" s="14">
        <f t="shared" si="49"/>
        <v>52.648141603375649</v>
      </c>
      <c r="GC45" s="22">
        <f t="shared" si="25"/>
        <v>463.12976475462921</v>
      </c>
      <c r="GD45" s="62">
        <f t="shared" si="26"/>
        <v>756.46309808796252</v>
      </c>
      <c r="GE45" s="62">
        <f ca="1">AVERAGE(OFFSET($GD$3,0,0,'Données projet'!$E$17+1,1))-AVERAGE(OFFSET($H$3,0,0,'Données projet'!$E$17+1,1))</f>
        <v>248.15263300983543</v>
      </c>
      <c r="GF45" s="62">
        <f t="shared" si="50"/>
        <v>266.46511459244618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16.184399681715117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16.184399681715117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22.8</v>
      </c>
      <c r="N46" s="14">
        <f>IF('Données projet'!$A$36&gt;35,N45+M46-V45,IF(A46&lt;'Données projet'!$A$36,$K$205^A46,IF(A46='Données projet'!$A$36,'Données projet'!$B$36,N45+M46-V45)))</f>
        <v>560.40000000000009</v>
      </c>
      <c r="O46" s="14">
        <f>N46*VLOOKUP('Données projet'!$B$9,Paramètres!$A$1:$I$89,3,0)*VLOOKUP('Données projet'!$B$9,Paramètres!$A$1:$I$89,5,0)</f>
        <v>313.26360000000005</v>
      </c>
      <c r="P46" s="14">
        <f t="shared" si="33"/>
        <v>73.949983766039026</v>
      </c>
      <c r="Q46" s="22">
        <f t="shared" si="53"/>
        <v>674.39699172585131</v>
      </c>
      <c r="R46" s="62">
        <f t="shared" si="0"/>
        <v>967.73032505918468</v>
      </c>
      <c r="S46" s="62">
        <f ca="1">AVERAGE(OFFSET($R$3,0,0,'Données projet'!$E$9+1,1))-AVERAGE(OFFSET($H$3,0,0,'Données projet'!$E$9+1,1))</f>
        <v>382.55387448074327</v>
      </c>
      <c r="T46" s="62">
        <f t="shared" si="34"/>
        <v>476.29465646955543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48.100427525920765</v>
      </c>
      <c r="AA46" s="23">
        <f>EXP(-LN(2)/25)*AA45+(1-EXP(-LN(2)/25))/(LN(2)/25)*Calculateur!V46*Calculateur!X46*VLOOKUP('Données projet'!$B$9,Paramètres!$A$1:$I$89,3,0)*0.475*44/12</f>
        <v>18.322432782067679</v>
      </c>
      <c r="AB46" s="23">
        <f>EXP(-LN(2)/2)*AB45+(1-EXP(-LN(2)/2))/(LN(2)/2)*V46*Y46*VLOOKUP('Données projet'!$B$9,Paramètres!$A$1:$I$89,3,0)*0.475*44/12</f>
        <v>2.5662171446251576</v>
      </c>
      <c r="AC46" s="24">
        <f t="shared" si="3"/>
        <v>68.9890774526136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17.666666666666668</v>
      </c>
      <c r="AI46" s="14">
        <f>IF('Données projet'!$A$62&gt;35,AI45+AH46-AQ45,IF(A46&lt;'Données projet'!$A$62,$AF$205^A46,IF(A46='Données projet'!$A$62,'Données projet'!$B$62,AI45+AH46-AQ45)))</f>
        <v>511.66666666666652</v>
      </c>
      <c r="AJ46" s="14">
        <f>AI46*VLOOKUP('Données projet'!$B$10,Paramètres!$A$1:$I$89,3,0)*VLOOKUP('Données projet'!$B$10,Paramètres!$A$1:$I$89,5,0)</f>
        <v>319.27999999999992</v>
      </c>
      <c r="AK46" s="14">
        <f t="shared" si="35"/>
        <v>75.203524026346827</v>
      </c>
      <c r="AL46" s="22">
        <f t="shared" si="4"/>
        <v>687.05880434588732</v>
      </c>
      <c r="AM46" s="62">
        <f t="shared" si="5"/>
        <v>980.3921376792207</v>
      </c>
      <c r="AN46" s="62">
        <f ca="1">AVERAGE(OFFSET($AM$3,0,0,'Données projet'!$E$10+1,1))-AVERAGE(OFFSET($H$3,0,0,'Données projet'!$E$10+1,1))</f>
        <v>482.28841373508675</v>
      </c>
      <c r="AO46" s="62">
        <f t="shared" si="36"/>
        <v>746.97309214631684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106.01573173137929</v>
      </c>
      <c r="AV46" s="23">
        <f>EXP(-LN(2)/25)*AV45+(1-EXP(-LN(2)/25))/(LN(2)/25)*Calculateur!AQ46*Calculateur!AS46*VLOOKUP('Données projet'!$B$10,Paramètres!$A$1:$I$89,3,0)*0.475*44/12</f>
        <v>24.128656167155597</v>
      </c>
      <c r="AW46" s="23">
        <f>EXP(-LN(2)/2)*AW45+(1-EXP(-LN(2)/2))/(LN(2)/2)*AQ46*AT46*VLOOKUP('Données projet'!$B$10,Paramètres!$A$1:$I$89,3,0)*0.475*44/12</f>
        <v>9.0704699764308643</v>
      </c>
      <c r="AX46" s="23">
        <f t="shared" si="6"/>
        <v>139.21485787496576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17.666666666666668</v>
      </c>
      <c r="BD46" s="13">
        <f>IF('Données projet'!$A$88&gt;35,BD45+BC46-BL45,IF(A46&lt;'Données projet'!$A$88,$BA$205^A46,IF(A46='Données projet'!$A$88,'Données projet'!$B$88,BD45+BC46-BL45)))</f>
        <v>511.66666666666652</v>
      </c>
      <c r="BE46" s="14">
        <f>BD46*VLOOKUP('Données projet'!$B$11,Paramètres!$A$1:$I$89,3,0)*VLOOKUP('Données projet'!$B$11,Paramètres!$A$1:$I$89,5,0)</f>
        <v>279.36999999999989</v>
      </c>
      <c r="BF46" s="14">
        <f t="shared" si="37"/>
        <v>66.833854321831694</v>
      </c>
      <c r="BG46" s="22">
        <f t="shared" si="7"/>
        <v>602.97171294385669</v>
      </c>
      <c r="BH46" s="62">
        <f t="shared" si="8"/>
        <v>896.30504627719006</v>
      </c>
      <c r="BI46" s="62">
        <f ca="1">AVERAGE(OFFSET($BH$3,0,0,'Données projet'!$E$11+1,1))-AVERAGE(OFFSET($H$3,0,0,'Données projet'!$E$11+1,1))</f>
        <v>417.99456559608217</v>
      </c>
      <c r="BJ46" s="62">
        <f t="shared" si="38"/>
        <v>651.41353014863932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92.763765264956888</v>
      </c>
      <c r="BQ46" s="23">
        <f>EXP(-LN(2)/25)*BQ45+(1-EXP(-LN(2)/25))/(LN(2)/25)*Calculateur!BL46*Calculateur!BN46*VLOOKUP('Données projet'!$B$11,Paramètres!$A$1:$I$89,3,0)*0.475*44/12</f>
        <v>21.363914314669021</v>
      </c>
      <c r="BR46" s="23">
        <f>EXP(-LN(2)/2)*BR45+(1-EXP(-LN(2)/2))/(LN(2)/2)*BL46*BO46*VLOOKUP('Données projet'!$B$11,Paramètres!$A$1:$I$89,3,0)*0.475*44/12</f>
        <v>7.8164087865076564</v>
      </c>
      <c r="BS46" s="24">
        <f t="shared" si="9"/>
        <v>121.94408836613356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6.166666666666667</v>
      </c>
      <c r="BY46" s="13">
        <f>IF('Données projet'!$A$114&gt;35,BY45+BX46-CG45,IF(A46&lt;'Données projet'!$A$114,$BV$205^A46,IF(A46='Données projet'!$A$114,'Données projet'!$B$114,BY45+BX46-CG45)))</f>
        <v>89.166666666666657</v>
      </c>
      <c r="BZ46" s="14">
        <f>BY46*VLOOKUP('Données projet'!$B$12,Paramètres!$A$1:$I$89,3,0)*VLOOKUP('Données projet'!$B$12,Paramètres!$A$1:$I$89,5,0)</f>
        <v>80.677999999999983</v>
      </c>
      <c r="CA46" s="14">
        <f t="shared" si="39"/>
        <v>22.302877142655586</v>
      </c>
      <c r="CB46" s="22">
        <f t="shared" si="10"/>
        <v>179.35836102345846</v>
      </c>
      <c r="CC46" s="62">
        <f t="shared" si="11"/>
        <v>472.6916943567918</v>
      </c>
      <c r="CD46" s="62">
        <f ca="1">AVERAGE(OFFSET($CC$3,0,0,'Données projet'!$E$12+1,1))-AVERAGE(OFFSET($H$3,0,0,'Données projet'!$E$12+1,1))</f>
        <v>213.07277043804817</v>
      </c>
      <c r="CE46" s="62">
        <f t="shared" si="40"/>
        <v>129.14539883354166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6.166666666666667</v>
      </c>
      <c r="CT46" s="13">
        <f>IF('Données projet'!$A$140&gt;35,CT45+CS46-DB45,IF(A46&lt;'Données projet'!$A$140,$CQ$205^A46,IF(A46='Données projet'!$A$140,'Données projet'!$B$140,CT45+CS46-DB45)))</f>
        <v>89.166666666666657</v>
      </c>
      <c r="CU46" s="18">
        <f>CT46*VLOOKUP('Données projet'!$B$13,Paramètres!$A$1:$I$89,3,0)*VLOOKUP('Données projet'!$B$13,Paramètres!$A$1:$I$89,5,0)</f>
        <v>90.414999999999992</v>
      </c>
      <c r="CV46" s="14">
        <f t="shared" si="41"/>
        <v>24.665286186424698</v>
      </c>
      <c r="CW46" s="22">
        <f t="shared" si="13"/>
        <v>200.43149844135633</v>
      </c>
      <c r="CX46" s="62">
        <f t="shared" si="14"/>
        <v>493.76483177468964</v>
      </c>
      <c r="CY46" s="62">
        <f ca="1">AVERAGE(OFFSET($CX$3,0,0,'Données projet'!$E$13+1,1))-AVERAGE(OFFSET($H$3,0,0,'Données projet'!$E$13+1,1))</f>
        <v>247.92503505485405</v>
      </c>
      <c r="CZ46" s="62">
        <f t="shared" si="42"/>
        <v>148.26437652597514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2</v>
      </c>
      <c r="DO46" s="13">
        <f>IF('Données projet'!$A$166&gt;35,DO45+DN46-DW45,IF(A46&lt;'Données projet'!$A$166,$DL$205^A46,IF(A46='Données projet'!$A$166,'Données projet'!$B$166,DO45+DN46-DW45)))</f>
        <v>86</v>
      </c>
      <c r="DP46" s="18">
        <f>DO46*VLOOKUP('Données projet'!$B$14,Paramètres!$A$1:$I$89,3,0)*VLOOKUP('Données projet'!$B$14,Paramètres!$A$1:$I$89,5,0)</f>
        <v>83.179200000000009</v>
      </c>
      <c r="DQ46" s="14">
        <f t="shared" si="43"/>
        <v>22.912743234826866</v>
      </c>
      <c r="DR46" s="22">
        <f t="shared" si="16"/>
        <v>184.77680113399015</v>
      </c>
      <c r="DS46" s="62">
        <f t="shared" si="17"/>
        <v>478.11013446732346</v>
      </c>
      <c r="DT46" s="62">
        <f ca="1">AVERAGE(OFFSET($DS$3,0,0,'Données projet'!$E$14+1,1))-AVERAGE(OFFSET($H$3,0,0,'Données projet'!$E$14+1,1))</f>
        <v>154.0837760161366</v>
      </c>
      <c r="DU46" s="62">
        <f t="shared" si="44"/>
        <v>96.484500841546037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11.926499999999994</v>
      </c>
      <c r="EJ46" s="13">
        <f>IF('Données projet'!$A$192&gt;35,EJ45+EI46-ER45,IF(A46&lt;'Données projet'!$A$192,$EG$205^A46,IF(A46='Données projet'!$A$192,'Données projet'!$B$192,EJ45+EI46-ER45)))</f>
        <v>279.98040277777778</v>
      </c>
      <c r="EK46" s="18">
        <f>EJ46*VLOOKUP('Données projet'!$B$15,Paramètres!$A$1:$I$89,3,0)*VLOOKUP('Données projet'!$B$15,Paramètres!$A$1:$I$89,5,0)</f>
        <v>187.81085418333333</v>
      </c>
      <c r="EL46" s="14">
        <f t="shared" si="45"/>
        <v>47.055637844519296</v>
      </c>
      <c r="EM46" s="22">
        <f t="shared" si="19"/>
        <v>409.05914028184338</v>
      </c>
      <c r="EN46" s="62">
        <f t="shared" si="20"/>
        <v>702.39247361517664</v>
      </c>
      <c r="EO46" s="62">
        <f ca="1">AVERAGE(OFFSET($EN$3,0,0,'Données projet'!$E$15+1,1))-AVERAGE(OFFSET($H$3,0,0,'Données projet'!$E$15+1,1))</f>
        <v>205.35893113421139</v>
      </c>
      <c r="EP46" s="62">
        <f t="shared" si="46"/>
        <v>220.4399811285175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13.378087047941722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13.378087047941722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11.926499999999994</v>
      </c>
      <c r="FE46" s="13">
        <f>IF('Données projet'!$A$218&gt;35,FE45+FD46-FM45,IF(A46&lt;'Données projet'!$A$218,$FB$205^A46,IF(A46='Données projet'!$A$218,'Données projet'!$B$218,FE45+FD46-FM45)))</f>
        <v>279.98040277777778</v>
      </c>
      <c r="FF46" s="18">
        <f>FE46*VLOOKUP('Données projet'!$B$16,Paramètres!$A$1:$I$89,3,0)*VLOOKUP('Données projet'!$B$16,Paramètres!$A$1:$I$89,5,0)</f>
        <v>218.38471416666667</v>
      </c>
      <c r="FG46" s="14">
        <f t="shared" si="47"/>
        <v>53.763660894148046</v>
      </c>
      <c r="FH46" s="22">
        <f t="shared" si="22"/>
        <v>473.99175323091896</v>
      </c>
      <c r="FI46" s="62">
        <f t="shared" si="23"/>
        <v>767.32508656425227</v>
      </c>
      <c r="FJ46" s="62">
        <f ca="1">AVERAGE(OFFSET($FI$3,0,0,'Données projet'!$E$16+1,1))-AVERAGE(OFFSET($H$3,0,0,'Données projet'!$E$16+1,1))</f>
        <v>242.81177364426878</v>
      </c>
      <c r="FK46" s="62">
        <f t="shared" si="48"/>
        <v>260.72115764896671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12.620836837680869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12.620836837680869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11.926499999999994</v>
      </c>
      <c r="FZ46" s="13">
        <f>IF('Données projet'!$A$244&gt;35,FZ45+FY46-GH45,IF(A46&lt;'Données projet'!$A$244,$FW$205^A46,IF(A46='Données projet'!$A$244,'Données projet'!$B$244,FZ45+FY46-GH45)))</f>
        <v>279.98040277777778</v>
      </c>
      <c r="GA46" s="18">
        <f>FZ46*VLOOKUP('Données projet'!$B$17,Paramètres!$A$1:$I$89,3,0)*VLOOKUP('Données projet'!$B$17,Paramètres!$A$1:$I$89,5,0)</f>
        <v>222.75240845000002</v>
      </c>
      <c r="GB46" s="14">
        <f t="shared" si="49"/>
        <v>54.71267452481797</v>
      </c>
      <c r="GC46" s="22">
        <f t="shared" si="25"/>
        <v>483.25168618114122</v>
      </c>
      <c r="GD46" s="62">
        <f t="shared" si="26"/>
        <v>776.58501951447454</v>
      </c>
      <c r="GE46" s="62">
        <f ca="1">AVERAGE(OFFSET($GD$3,0,0,'Données projet'!$E$17+1,1))-AVERAGE(OFFSET($H$3,0,0,'Données projet'!$E$17+1,1))</f>
        <v>248.15263300983543</v>
      </c>
      <c r="GF46" s="62">
        <f t="shared" si="50"/>
        <v>266.46511459244618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15.867033475465758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15.867033475465758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22.8</v>
      </c>
      <c r="N47" s="14">
        <f>IF('Données projet'!$A$36&gt;35,N46+M47-V46,IF(A47&lt;'Données projet'!$A$36,$K$205^A47,IF(A47='Données projet'!$A$36,'Données projet'!$B$36,N46+M47-V46)))</f>
        <v>583.20000000000005</v>
      </c>
      <c r="O47" s="14">
        <f>N47*VLOOKUP('Données projet'!$B$9,Paramètres!$A$1:$I$89,3,0)*VLOOKUP('Données projet'!$B$9,Paramètres!$A$1:$I$89,5,0)</f>
        <v>326.00880000000001</v>
      </c>
      <c r="P47" s="14">
        <f t="shared" si="33"/>
        <v>76.602244480772981</v>
      </c>
      <c r="Q47" s="22">
        <f t="shared" si="53"/>
        <v>701.2142358040129</v>
      </c>
      <c r="R47" s="62">
        <f t="shared" si="0"/>
        <v>994.54756913734627</v>
      </c>
      <c r="S47" s="62">
        <f ca="1">AVERAGE(OFFSET($R$3,0,0,'Données projet'!$E$9+1,1))-AVERAGE(OFFSET($H$3,0,0,'Données projet'!$E$9+1,1))</f>
        <v>382.55387448074327</v>
      </c>
      <c r="T47" s="62">
        <f t="shared" si="34"/>
        <v>476.29465646955543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47.157207480501327</v>
      </c>
      <c r="AA47" s="23">
        <f>EXP(-LN(2)/25)*AA46+(1-EXP(-LN(2)/25))/(LN(2)/25)*Calculateur!V47*Calculateur!X47*VLOOKUP('Données projet'!$B$9,Paramètres!$A$1:$I$89,3,0)*0.475*44/12</f>
        <v>17.821404894107175</v>
      </c>
      <c r="AB47" s="23">
        <f>EXP(-LN(2)/2)*AB46+(1-EXP(-LN(2)/2))/(LN(2)/2)*V47*Y47*VLOOKUP('Données projet'!$B$9,Paramètres!$A$1:$I$89,3,0)*0.475*44/12</f>
        <v>1.8145895449616283</v>
      </c>
      <c r="AC47" s="24">
        <f t="shared" si="3"/>
        <v>66.793201919570137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17.666666666666668</v>
      </c>
      <c r="AI47" s="14">
        <f>IF('Données projet'!$A$62&gt;35,AI46+AH47-AQ46,IF(A47&lt;'Données projet'!$A$62,$AF$205^A47,IF(A47='Données projet'!$A$62,'Données projet'!$B$62,AI46+AH47-AQ46)))</f>
        <v>529.33333333333314</v>
      </c>
      <c r="AJ47" s="14">
        <f>AI47*VLOOKUP('Données projet'!$B$10,Paramètres!$A$1:$I$89,3,0)*VLOOKUP('Données projet'!$B$10,Paramètres!$A$1:$I$89,5,0)</f>
        <v>330.30399999999986</v>
      </c>
      <c r="AK47" s="14">
        <f t="shared" si="35"/>
        <v>77.493330749887136</v>
      </c>
      <c r="AL47" s="22">
        <f t="shared" si="4"/>
        <v>710.24701772271976</v>
      </c>
      <c r="AM47" s="62">
        <f t="shared" si="5"/>
        <v>1003.5803510560531</v>
      </c>
      <c r="AN47" s="62">
        <f ca="1">AVERAGE(OFFSET($AM$3,0,0,'Données projet'!$E$10+1,1))-AVERAGE(OFFSET($H$3,0,0,'Données projet'!$E$10+1,1))</f>
        <v>482.28841373508675</v>
      </c>
      <c r="AO47" s="62">
        <f t="shared" si="36"/>
        <v>746.97309214631684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103.93682789533834</v>
      </c>
      <c r="AV47" s="23">
        <f>EXP(-LN(2)/25)*AV46+(1-EXP(-LN(2)/25))/(LN(2)/25)*Calculateur!AQ47*Calculateur!AS47*VLOOKUP('Données projet'!$B$10,Paramètres!$A$1:$I$89,3,0)*0.475*44/12</f>
        <v>23.468856795393847</v>
      </c>
      <c r="AW47" s="23">
        <f>EXP(-LN(2)/2)*AW46+(1-EXP(-LN(2)/2))/(LN(2)/2)*AQ47*AT47*VLOOKUP('Données projet'!$B$10,Paramètres!$A$1:$I$89,3,0)*0.475*44/12</f>
        <v>6.4137908288832488</v>
      </c>
      <c r="AX47" s="23">
        <f t="shared" si="6"/>
        <v>133.81947551961542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17.666666666666668</v>
      </c>
      <c r="BD47" s="13">
        <f>IF('Données projet'!$A$88&gt;35,BD46+BC47-BL46,IF(A47&lt;'Données projet'!$A$88,$BA$205^A47,IF(A47='Données projet'!$A$88,'Données projet'!$B$88,BD46+BC47-BL46)))</f>
        <v>529.33333333333314</v>
      </c>
      <c r="BE47" s="14">
        <f>BD47*VLOOKUP('Données projet'!$B$11,Paramètres!$A$1:$I$89,3,0)*VLOOKUP('Données projet'!$B$11,Paramètres!$A$1:$I$89,5,0)</f>
        <v>289.01599999999991</v>
      </c>
      <c r="BF47" s="14">
        <f t="shared" si="37"/>
        <v>68.868820248862306</v>
      </c>
      <c r="BG47" s="22">
        <f t="shared" si="7"/>
        <v>623.31606193343498</v>
      </c>
      <c r="BH47" s="62">
        <f t="shared" si="8"/>
        <v>916.64939526676835</v>
      </c>
      <c r="BI47" s="62">
        <f ca="1">AVERAGE(OFFSET($BH$3,0,0,'Données projet'!$E$11+1,1))-AVERAGE(OFFSET($H$3,0,0,'Données projet'!$E$11+1,1))</f>
        <v>417.99456559608217</v>
      </c>
      <c r="BJ47" s="62">
        <f t="shared" si="38"/>
        <v>651.41353014863932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90.944724408421052</v>
      </c>
      <c r="BQ47" s="23">
        <f>EXP(-LN(2)/25)*BQ46+(1-EXP(-LN(2)/25))/(LN(2)/25)*Calculateur!BL47*Calculateur!BN47*VLOOKUP('Données projet'!$B$11,Paramètres!$A$1:$I$89,3,0)*0.475*44/12</f>
        <v>20.779716954254969</v>
      </c>
      <c r="BR47" s="23">
        <f>EXP(-LN(2)/2)*BR46+(1-EXP(-LN(2)/2))/(LN(2)/2)*BL47*BO47*VLOOKUP('Données projet'!$B$11,Paramètres!$A$1:$I$89,3,0)*0.475*44/12</f>
        <v>5.5270356574656772</v>
      </c>
      <c r="BS47" s="24">
        <f t="shared" si="9"/>
        <v>117.25147702014169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6.166666666666667</v>
      </c>
      <c r="BY47" s="13">
        <f>IF('Données projet'!$A$114&gt;35,BY46+BX47-CG46,IF(A47&lt;'Données projet'!$A$114,$BV$205^A47,IF(A47='Données projet'!$A$114,'Données projet'!$B$114,BY46+BX47-CG46)))</f>
        <v>95.333333333333329</v>
      </c>
      <c r="BZ47" s="14">
        <f>BY47*VLOOKUP('Données projet'!$B$12,Paramètres!$A$1:$I$89,3,0)*VLOOKUP('Données projet'!$B$12,Paramètres!$A$1:$I$89,5,0)</f>
        <v>86.257599999999996</v>
      </c>
      <c r="CA47" s="14">
        <f t="shared" si="39"/>
        <v>23.660429354093463</v>
      </c>
      <c r="CB47" s="22">
        <f t="shared" si="10"/>
        <v>191.44056779171277</v>
      </c>
      <c r="CC47" s="62">
        <f t="shared" si="11"/>
        <v>484.77390112504611</v>
      </c>
      <c r="CD47" s="62">
        <f ca="1">AVERAGE(OFFSET($CC$3,0,0,'Données projet'!$E$12+1,1))-AVERAGE(OFFSET($H$3,0,0,'Données projet'!$E$12+1,1))</f>
        <v>213.07277043804817</v>
      </c>
      <c r="CE47" s="62">
        <f t="shared" si="40"/>
        <v>129.14539883354166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6.166666666666667</v>
      </c>
      <c r="CT47" s="13">
        <f>IF('Données projet'!$A$140&gt;35,CT46+CS47-DB46,IF(A47&lt;'Données projet'!$A$140,$CQ$205^A47,IF(A47='Données projet'!$A$140,'Données projet'!$B$140,CT46+CS47-DB46)))</f>
        <v>95.333333333333329</v>
      </c>
      <c r="CU47" s="18">
        <f>CT47*VLOOKUP('Données projet'!$B$13,Paramètres!$A$1:$I$89,3,0)*VLOOKUP('Données projet'!$B$13,Paramètres!$A$1:$I$89,5,0)</f>
        <v>96.668000000000006</v>
      </c>
      <c r="CV47" s="14">
        <f t="shared" si="41"/>
        <v>26.166635702630764</v>
      </c>
      <c r="CW47" s="22">
        <f t="shared" si="13"/>
        <v>213.93699051541526</v>
      </c>
      <c r="CX47" s="62">
        <f t="shared" si="14"/>
        <v>507.2703238487486</v>
      </c>
      <c r="CY47" s="62">
        <f ca="1">AVERAGE(OFFSET($CX$3,0,0,'Données projet'!$E$13+1,1))-AVERAGE(OFFSET($H$3,0,0,'Données projet'!$E$13+1,1))</f>
        <v>247.92503505485405</v>
      </c>
      <c r="CZ47" s="62">
        <f t="shared" si="42"/>
        <v>148.26437652597514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2</v>
      </c>
      <c r="DO47" s="13">
        <f>IF('Données projet'!$A$166&gt;35,DO46+DN47-DW46,IF(A47&lt;'Données projet'!$A$166,$DL$205^A47,IF(A47='Données projet'!$A$166,'Données projet'!$B$166,DO46+DN47-DW46)))</f>
        <v>88</v>
      </c>
      <c r="DP47" s="18">
        <f>DO47*VLOOKUP('Données projet'!$B$14,Paramètres!$A$1:$I$89,3,0)*VLOOKUP('Données projet'!$B$14,Paramètres!$A$1:$I$89,5,0)</f>
        <v>85.113600000000005</v>
      </c>
      <c r="DQ47" s="14">
        <f t="shared" si="43"/>
        <v>23.382941650486877</v>
      </c>
      <c r="DR47" s="22">
        <f t="shared" si="16"/>
        <v>188.96481004126463</v>
      </c>
      <c r="DS47" s="62">
        <f t="shared" si="17"/>
        <v>482.29814337459794</v>
      </c>
      <c r="DT47" s="62">
        <f ca="1">AVERAGE(OFFSET($DS$3,0,0,'Données projet'!$E$14+1,1))-AVERAGE(OFFSET($H$3,0,0,'Données projet'!$E$14+1,1))</f>
        <v>154.0837760161366</v>
      </c>
      <c r="DU47" s="62">
        <f t="shared" si="44"/>
        <v>96.484500841546037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11.926499999999994</v>
      </c>
      <c r="EJ47" s="13">
        <f>IF('Données projet'!$A$192&gt;35,EJ46+EI47-ER46,IF(A47&lt;'Données projet'!$A$192,$EG$205^A47,IF(A47='Données projet'!$A$192,'Données projet'!$B$192,EJ46+EI47-ER46)))</f>
        <v>291.90690277777776</v>
      </c>
      <c r="EK47" s="18">
        <f>EJ47*VLOOKUP('Données projet'!$B$15,Paramètres!$A$1:$I$89,3,0)*VLOOKUP('Données projet'!$B$15,Paramètres!$A$1:$I$89,5,0)</f>
        <v>195.81115038333331</v>
      </c>
      <c r="EL47" s="14">
        <f t="shared" si="45"/>
        <v>48.822454370523211</v>
      </c>
      <c r="EM47" s="22">
        <f t="shared" si="19"/>
        <v>426.07019494630009</v>
      </c>
      <c r="EN47" s="62">
        <f t="shared" si="20"/>
        <v>719.40352827963341</v>
      </c>
      <c r="EO47" s="62">
        <f ca="1">AVERAGE(OFFSET($EN$3,0,0,'Données projet'!$E$15+1,1))-AVERAGE(OFFSET($H$3,0,0,'Données projet'!$E$15+1,1))</f>
        <v>205.35893113421139</v>
      </c>
      <c r="EP47" s="62">
        <f t="shared" si="46"/>
        <v>220.4399811285175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13.115750920758968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13.115750920758968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11.926499999999994</v>
      </c>
      <c r="FE47" s="13">
        <f>IF('Données projet'!$A$218&gt;35,FE46+FD47-FM46,IF(A47&lt;'Données projet'!$A$218,$FB$205^A47,IF(A47='Données projet'!$A$218,'Données projet'!$B$218,FE46+FD47-FM46)))</f>
        <v>291.90690277777776</v>
      </c>
      <c r="FF47" s="18">
        <f>FE47*VLOOKUP('Données projet'!$B$16,Paramètres!$A$1:$I$89,3,0)*VLOOKUP('Données projet'!$B$16,Paramètres!$A$1:$I$89,5,0)</f>
        <v>227.68738416666665</v>
      </c>
      <c r="FG47" s="14">
        <f t="shared" si="47"/>
        <v>55.782346197705458</v>
      </c>
      <c r="FH47" s="22">
        <f t="shared" si="22"/>
        <v>493.7097803846147</v>
      </c>
      <c r="FI47" s="62">
        <f t="shared" si="23"/>
        <v>787.04311371794802</v>
      </c>
      <c r="FJ47" s="62">
        <f ca="1">AVERAGE(OFFSET($FI$3,0,0,'Données projet'!$E$16+1,1))-AVERAGE(OFFSET($H$3,0,0,'Données projet'!$E$16+1,1))</f>
        <v>242.81177364426878</v>
      </c>
      <c r="FK47" s="62">
        <f t="shared" si="48"/>
        <v>260.72115764896671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12.373349925244309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12.373349925244309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11.926499999999994</v>
      </c>
      <c r="FZ47" s="13">
        <f>IF('Données projet'!$A$244&gt;35,FZ46+FY47-GH46,IF(A47&lt;'Données projet'!$A$244,$FW$205^A47,IF(A47='Données projet'!$A$244,'Données projet'!$B$244,FZ46+FY47-GH46)))</f>
        <v>291.90690277777776</v>
      </c>
      <c r="GA47" s="18">
        <f>FZ47*VLOOKUP('Données projet'!$B$17,Paramètres!$A$1:$I$89,3,0)*VLOOKUP('Données projet'!$B$17,Paramètres!$A$1:$I$89,5,0)</f>
        <v>232.24113184999999</v>
      </c>
      <c r="GB47" s="14">
        <f t="shared" si="49"/>
        <v>56.766992816108136</v>
      </c>
      <c r="GC47" s="22">
        <f t="shared" si="25"/>
        <v>503.35581712680488</v>
      </c>
      <c r="GD47" s="62">
        <f t="shared" si="26"/>
        <v>796.68915046013819</v>
      </c>
      <c r="GE47" s="62">
        <f ca="1">AVERAGE(OFFSET($GD$3,0,0,'Données projet'!$E$17+1,1))-AVERAGE(OFFSET($H$3,0,0,'Données projet'!$E$17+1,1))</f>
        <v>248.15263300983543</v>
      </c>
      <c r="GF47" s="62">
        <f t="shared" si="50"/>
        <v>266.46511459244618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15.555890626946677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15.555890626946677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606</v>
      </c>
      <c r="L48" s="13">
        <f>VLOOKUP(A48,'Données projet'!$A$35:$I$55,9,0)</f>
        <v>22.8</v>
      </c>
      <c r="M48" s="13">
        <f t="array" ref="M48">INDEX(L:L,MIN(IF(ISNUMBER(L48:L244),ROW(L48:L244),"")))</f>
        <v>22.8</v>
      </c>
      <c r="N48" s="14">
        <f>IF('Données projet'!$A$36&gt;35,N47+M48-V47,IF(A48&lt;'Données projet'!$A$36,$K$205^A48,IF(A48='Données projet'!$A$36,'Données projet'!$B$36,N47+M48-V47)))</f>
        <v>606</v>
      </c>
      <c r="O48" s="14">
        <f>N48*VLOOKUP('Données projet'!$B$9,Paramètres!$A$1:$I$89,3,0)*VLOOKUP('Données projet'!$B$9,Paramètres!$A$1:$I$89,5,0)</f>
        <v>338.75400000000002</v>
      </c>
      <c r="P48" s="14">
        <f t="shared" si="33"/>
        <v>79.242459951408904</v>
      </c>
      <c r="Q48" s="22">
        <f t="shared" si="53"/>
        <v>728.01050108203719</v>
      </c>
      <c r="R48" s="62">
        <f t="shared" si="0"/>
        <v>1021.3438344153706</v>
      </c>
      <c r="S48" s="62">
        <f ca="1">AVERAGE(OFFSET($R$3,0,0,'Données projet'!$E$9+1,1))-AVERAGE(OFFSET($H$3,0,0,'Données projet'!$E$9+1,1))</f>
        <v>382.55387448074327</v>
      </c>
      <c r="T48" s="62">
        <f t="shared" si="34"/>
        <v>476.29465646955543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66</v>
      </c>
      <c r="W48" s="17">
        <f>IF(ISNA(VLOOKUP(A48,'Données projet'!$A$35:$I$55,5,0)),0%,VLOOKUP(A48,'Données projet'!$A$35:$I$55,5,0)*VLOOKUP('Données projet'!$B$9,Paramètres!$A$1:$I$89,7,0))</f>
        <v>0.38500000000000001</v>
      </c>
      <c r="X48" s="17">
        <f>IF(ISNA(VLOOKUP(A48,'Données projet'!$A$35:$I$55,6,0)),0%,VLOOKUP(A48,'Données projet'!$A$35:$I$55,6,0)*VLOOKUP('Données projet'!$B$9,Paramètres!$A$1:$I$89,7,0))</f>
        <v>9.240000000000001E-2</v>
      </c>
      <c r="Y48" s="17">
        <f>IF(ISNA(VLOOKUP(A48,'Données projet'!$A$35:$I$55,7,0)),0%,VLOOKUP(A48,'Données projet'!$A$35:$I$55,7,0))</f>
        <v>0.13200000000000001</v>
      </c>
      <c r="Z48" s="23">
        <f>EXP(-LN(2)/35)*Z47+(1-EXP(-LN(2)/35))/(LN(2)/35)*V48*W48*VLOOKUP('Données projet'!$B$9,Paramètres!$A$1:$I$89,3,0)*0.475*44/12</f>
        <v>65.075256977174902</v>
      </c>
      <c r="AA48" s="23">
        <f>EXP(-LN(2)/25)*AA47+(1-EXP(-LN(2)/25))/(LN(2)/25)*Calculateur!V48*Calculateur!X48*VLOOKUP('Données projet'!$B$9,Paramètres!$A$1:$I$89,3,0)*0.475*44/12</f>
        <v>21.838537414433894</v>
      </c>
      <c r="AB48" s="23">
        <f>EXP(-LN(2)/2)*AB47+(1-EXP(-LN(2)/2))/(LN(2)/2)*V48*Y48*VLOOKUP('Données projet'!$B$9,Paramètres!$A$1:$I$89,3,0)*0.475*44/12</f>
        <v>6.7970889191248478</v>
      </c>
      <c r="AC48" s="24">
        <f t="shared" si="3"/>
        <v>93.710883310733649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17.666666666666668</v>
      </c>
      <c r="AI48" s="14">
        <f>IF('Données projet'!$A$62&gt;35,AI47+AH48-AQ47,IF(A48&lt;'Données projet'!$A$62,$AF$205^A48,IF(A48='Données projet'!$A$62,'Données projet'!$B$62,AI47+AH48-AQ47)))</f>
        <v>546.99999999999977</v>
      </c>
      <c r="AJ48" s="14">
        <f>AI48*VLOOKUP('Données projet'!$B$10,Paramètres!$A$1:$I$89,3,0)*VLOOKUP('Données projet'!$B$10,Paramètres!$A$1:$I$89,5,0)</f>
        <v>341.32799999999986</v>
      </c>
      <c r="AK48" s="14">
        <f t="shared" si="35"/>
        <v>79.774257349132355</v>
      </c>
      <c r="AL48" s="22">
        <f t="shared" si="4"/>
        <v>733.41976488307193</v>
      </c>
      <c r="AM48" s="62">
        <f t="shared" si="5"/>
        <v>1026.7530982164053</v>
      </c>
      <c r="AN48" s="62">
        <f ca="1">AVERAGE(OFFSET($AM$3,0,0,'Données projet'!$E$10+1,1))-AVERAGE(OFFSET($H$3,0,0,'Données projet'!$E$10+1,1))</f>
        <v>482.28841373508675</v>
      </c>
      <c r="AO48" s="62">
        <f t="shared" si="36"/>
        <v>746.97309214631684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101.89869009551602</v>
      </c>
      <c r="AV48" s="23">
        <f>EXP(-LN(2)/25)*AV47+(1-EXP(-LN(2)/25))/(LN(2)/25)*Calculateur!AQ48*Calculateur!AS48*VLOOKUP('Données projet'!$B$10,Paramètres!$A$1:$I$89,3,0)*0.475*44/12</f>
        <v>22.827099672150261</v>
      </c>
      <c r="AW48" s="23">
        <f>EXP(-LN(2)/2)*AW47+(1-EXP(-LN(2)/2))/(LN(2)/2)*AQ48*AT48*VLOOKUP('Données projet'!$B$10,Paramètres!$A$1:$I$89,3,0)*0.475*44/12</f>
        <v>4.535234988215433</v>
      </c>
      <c r="AX48" s="23">
        <f t="shared" si="6"/>
        <v>129.26102475588169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17.666666666666668</v>
      </c>
      <c r="BD48" s="13">
        <f>IF('Données projet'!$A$88&gt;35,BD47+BC48-BL47,IF(A48&lt;'Données projet'!$A$88,$BA$205^A48,IF(A48='Données projet'!$A$88,'Données projet'!$B$88,BD47+BC48-BL47)))</f>
        <v>546.99999999999977</v>
      </c>
      <c r="BE48" s="14">
        <f>BD48*VLOOKUP('Données projet'!$B$11,Paramètres!$A$1:$I$89,3,0)*VLOOKUP('Données projet'!$B$11,Paramètres!$A$1:$I$89,5,0)</f>
        <v>298.66199999999986</v>
      </c>
      <c r="BF48" s="14">
        <f t="shared" si="37"/>
        <v>70.895894352455414</v>
      </c>
      <c r="BG48" s="22">
        <f t="shared" si="7"/>
        <v>643.64666599719283</v>
      </c>
      <c r="BH48" s="62">
        <f t="shared" si="8"/>
        <v>936.9799993305262</v>
      </c>
      <c r="BI48" s="62">
        <f ca="1">AVERAGE(OFFSET($BH$3,0,0,'Données projet'!$E$11+1,1))-AVERAGE(OFFSET($H$3,0,0,'Données projet'!$E$11+1,1))</f>
        <v>417.99456559608217</v>
      </c>
      <c r="BJ48" s="62">
        <f t="shared" si="38"/>
        <v>651.41353014863932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89.161353833576513</v>
      </c>
      <c r="BQ48" s="23">
        <f>EXP(-LN(2)/25)*BQ47+(1-EXP(-LN(2)/25))/(LN(2)/25)*Calculateur!BL48*Calculateur!BN48*VLOOKUP('Données projet'!$B$11,Paramètres!$A$1:$I$89,3,0)*0.475*44/12</f>
        <v>20.211494501383044</v>
      </c>
      <c r="BR48" s="23">
        <f>EXP(-LN(2)/2)*BR47+(1-EXP(-LN(2)/2))/(LN(2)/2)*BL48*BO48*VLOOKUP('Données projet'!$B$11,Paramètres!$A$1:$I$89,3,0)*0.475*44/12</f>
        <v>3.9082043932538286</v>
      </c>
      <c r="BS48" s="24">
        <f t="shared" si="9"/>
        <v>113.28105272821338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6.166666666666667</v>
      </c>
      <c r="BY48" s="13">
        <f>IF('Données projet'!$A$114&gt;35,BY47+BX48-CG47,IF(A48&lt;'Données projet'!$A$114,$BV$205^A48,IF(A48='Données projet'!$A$114,'Données projet'!$B$114,BY47+BX48-CG47)))</f>
        <v>101.5</v>
      </c>
      <c r="BZ48" s="14">
        <f>BY48*VLOOKUP('Données projet'!$B$12,Paramètres!$A$1:$I$89,3,0)*VLOOKUP('Données projet'!$B$12,Paramètres!$A$1:$I$89,5,0)</f>
        <v>91.837199999999996</v>
      </c>
      <c r="CA48" s="14">
        <f t="shared" si="39"/>
        <v>25.007790936639388</v>
      </c>
      <c r="CB48" s="22">
        <f t="shared" si="10"/>
        <v>203.5050258813136</v>
      </c>
      <c r="CC48" s="62">
        <f t="shared" si="11"/>
        <v>496.83835921464691</v>
      </c>
      <c r="CD48" s="62">
        <f ca="1">AVERAGE(OFFSET($CC$3,0,0,'Données projet'!$E$12+1,1))-AVERAGE(OFFSET($H$3,0,0,'Données projet'!$E$12+1,1))</f>
        <v>213.07277043804817</v>
      </c>
      <c r="CE48" s="62">
        <f t="shared" si="40"/>
        <v>129.14539883354166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6.166666666666667</v>
      </c>
      <c r="CT48" s="13">
        <f>IF('Données projet'!$A$140&gt;35,CT47+CS48-DB47,IF(A48&lt;'Données projet'!$A$140,$CQ$205^A48,IF(A48='Données projet'!$A$140,'Données projet'!$B$140,CT47+CS48-DB47)))</f>
        <v>101.5</v>
      </c>
      <c r="CU48" s="18">
        <f>CT48*VLOOKUP('Données projet'!$B$13,Paramètres!$A$1:$I$89,3,0)*VLOOKUP('Données projet'!$B$13,Paramètres!$A$1:$I$89,5,0)</f>
        <v>102.92100000000002</v>
      </c>
      <c r="CV48" s="14">
        <f t="shared" si="41"/>
        <v>27.656715158188064</v>
      </c>
      <c r="CW48" s="22">
        <f t="shared" si="13"/>
        <v>227.42285390051089</v>
      </c>
      <c r="CX48" s="62">
        <f t="shared" si="14"/>
        <v>520.75618723384423</v>
      </c>
      <c r="CY48" s="62">
        <f ca="1">AVERAGE(OFFSET($CX$3,0,0,'Données projet'!$E$13+1,1))-AVERAGE(OFFSET($H$3,0,0,'Données projet'!$E$13+1,1))</f>
        <v>247.92503505485405</v>
      </c>
      <c r="CZ48" s="62">
        <f t="shared" si="42"/>
        <v>148.26437652597514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2</v>
      </c>
      <c r="DO48" s="13">
        <f>IF('Données projet'!$A$166&gt;35,DO47+DN48-DW47,IF(A48&lt;'Données projet'!$A$166,$DL$205^A48,IF(A48='Données projet'!$A$166,'Données projet'!$B$166,DO47+DN48-DW47)))</f>
        <v>90</v>
      </c>
      <c r="DP48" s="18">
        <f>DO48*VLOOKUP('Données projet'!$B$14,Paramètres!$A$1:$I$89,3,0)*VLOOKUP('Données projet'!$B$14,Paramètres!$A$1:$I$89,5,0)</f>
        <v>87.048000000000002</v>
      </c>
      <c r="DQ48" s="14">
        <f t="shared" si="43"/>
        <v>23.851897708444891</v>
      </c>
      <c r="DR48" s="22">
        <f t="shared" si="16"/>
        <v>193.15065517554152</v>
      </c>
      <c r="DS48" s="62">
        <f t="shared" si="17"/>
        <v>486.48398850887486</v>
      </c>
      <c r="DT48" s="62">
        <f ca="1">AVERAGE(OFFSET($DS$3,0,0,'Données projet'!$E$14+1,1))-AVERAGE(OFFSET($H$3,0,0,'Données projet'!$E$14+1,1))</f>
        <v>154.0837760161366</v>
      </c>
      <c r="DU48" s="62">
        <f t="shared" si="44"/>
        <v>96.484500841546037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303.83340277777774</v>
      </c>
      <c r="EH48" s="13">
        <f>VLOOKUP(A48,'Données projet'!$A$191:$I$211,9,0)</f>
        <v>11.926499999999994</v>
      </c>
      <c r="EI48" s="13">
        <f t="array" ref="EI48">INDEX(EH:EH,MIN(IF(ISNUMBER(EH48:EH244),ROW(EH48:EH244),"")))</f>
        <v>11.926499999999994</v>
      </c>
      <c r="EJ48" s="13">
        <f>IF('Données projet'!$A$192&gt;35,EJ47+EI48-ER47,IF(A48&lt;'Données projet'!$A$192,$EG$205^A48,IF(A48='Données projet'!$A$192,'Données projet'!$B$192,EJ47+EI48-ER47)))</f>
        <v>303.83340277777774</v>
      </c>
      <c r="EK48" s="18">
        <f>EJ48*VLOOKUP('Données projet'!$B$15,Paramètres!$A$1:$I$89,3,0)*VLOOKUP('Données projet'!$B$15,Paramètres!$A$1:$I$89,5,0)</f>
        <v>203.81144658333329</v>
      </c>
      <c r="EL48" s="14">
        <f t="shared" si="45"/>
        <v>50.580885793302279</v>
      </c>
      <c r="EM48" s="22">
        <f t="shared" si="19"/>
        <v>443.06664555597359</v>
      </c>
      <c r="EN48" s="62">
        <f t="shared" si="20"/>
        <v>736.39997888930691</v>
      </c>
      <c r="EO48" s="62">
        <f ca="1">AVERAGE(OFFSET($EN$3,0,0,'Données projet'!$E$15+1,1))-AVERAGE(OFFSET($H$3,0,0,'Données projet'!$E$15+1,1))</f>
        <v>205.35893113421139</v>
      </c>
      <c r="EP48" s="62">
        <f t="shared" si="46"/>
        <v>220.4399811285175</v>
      </c>
      <c r="EQ48" s="16">
        <f>IF(ISNA(VLOOKUP(A48,'Données projet'!$A$191:$I$211,3,0)),0,VLOOKUP(A48,'Données projet'!$A$191:$I$211,3,0))</f>
        <v>4</v>
      </c>
      <c r="ER48" s="16">
        <f>IF(ISNA(VLOOKUP(A48,'Données projet'!$A$191:$I$211,4,0)),0,VLOOKUP(A48,'Données projet'!$A$191:$I$211,4,0))</f>
        <v>50.638900462962958</v>
      </c>
      <c r="ES48" s="17">
        <f>IF(ISNA(VLOOKUP(A48,'Données projet'!$A$191:$I$211,5,0)),0%,VLOOKUP(A48,'Données projet'!$A$191:$I$211,5,0)*VLOOKUP('Données projet'!$B$15,Paramètres!$A$1:$I$89,7,0))</f>
        <v>0.371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26.790073859026592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26.790073859026592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303.83340277777774</v>
      </c>
      <c r="FC48" s="13">
        <f>VLOOKUP(A48,'Données projet'!$A$217:$I$237,9,0)</f>
        <v>11.926499999999994</v>
      </c>
      <c r="FD48" s="13">
        <f t="array" ref="FD48">INDEX(FC:FC,MIN(IF(ISNUMBER(FC48:FC244),ROW(FC48:FC244),"")))</f>
        <v>11.926499999999994</v>
      </c>
      <c r="FE48" s="13">
        <f>IF('Données projet'!$A$218&gt;35,FE47+FD48-FM47,IF(A48&lt;'Données projet'!$A$218,$FB$205^A48,IF(A48='Données projet'!$A$218,'Données projet'!$B$218,FE47+FD48-FM47)))</f>
        <v>303.83340277777774</v>
      </c>
      <c r="FF48" s="18">
        <f>FE48*VLOOKUP('Données projet'!$B$16,Paramètres!$A$1:$I$89,3,0)*VLOOKUP('Données projet'!$B$16,Paramètres!$A$1:$I$89,5,0)</f>
        <v>236.99005416666665</v>
      </c>
      <c r="FG48" s="14">
        <f t="shared" si="47"/>
        <v>57.791451058472262</v>
      </c>
      <c r="FH48" s="22">
        <f t="shared" si="22"/>
        <v>513.4111216004502</v>
      </c>
      <c r="FI48" s="62">
        <f t="shared" si="23"/>
        <v>806.74445493378357</v>
      </c>
      <c r="FJ48" s="62">
        <f ca="1">AVERAGE(OFFSET($FI$3,0,0,'Données projet'!$E$16+1,1))-AVERAGE(OFFSET($H$3,0,0,'Données projet'!$E$16+1,1))</f>
        <v>242.81177364426878</v>
      </c>
      <c r="FK48" s="62">
        <f t="shared" si="48"/>
        <v>260.72115764896671</v>
      </c>
      <c r="FL48" s="16">
        <f>IF(ISNA(VLOOKUP(A48,'Données projet'!$A$217:$I$237,3,0)),0,VLOOKUP(A48,'Données projet'!$A$217:$I$237,3,0))</f>
        <v>4</v>
      </c>
      <c r="FM48" s="16">
        <f>IF(ISNA(VLOOKUP(A48,'Données projet'!$A$217:$I$237,4,0)),0,VLOOKUP(A48,'Données projet'!$A$217:$I$237,4,0))</f>
        <v>50.638900462962958</v>
      </c>
      <c r="FN48" s="17">
        <f>IF(ISNA(VLOOKUP(A48,'Données projet'!$A$217:$I$237,5,0)),0%,VLOOKUP(A48,'Données projet'!$A$217:$I$237,5,0)*VLOOKUP('Données projet'!$B$16,Paramètres!$A$1:$I$89,7,0))</f>
        <v>0.30099999999999999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25.273654583987348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25.273654583987348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303.83340277777774</v>
      </c>
      <c r="FX48" s="13">
        <f>VLOOKUP(A48,'Données projet'!$A$243:$I$263,9,0)</f>
        <v>11.926499999999994</v>
      </c>
      <c r="FY48" s="13">
        <f t="array" ref="FY48">INDEX(FX:FX,MIN(IF(ISNUMBER(FX48:FX244),ROW(FX48:FX244),"")))</f>
        <v>11.926499999999994</v>
      </c>
      <c r="FZ48" s="13">
        <f>IF('Données projet'!$A$244&gt;35,FZ47+FY48-GH47,IF(A48&lt;'Données projet'!$A$244,$FW$205^A48,IF(A48='Données projet'!$A$244,'Données projet'!$B$244,FZ47+FY48-GH47)))</f>
        <v>303.83340277777774</v>
      </c>
      <c r="GA48" s="18">
        <f>FZ48*VLOOKUP('Données projet'!$B$17,Paramètres!$A$1:$I$89,3,0)*VLOOKUP('Données projet'!$B$17,Paramètres!$A$1:$I$89,5,0)</f>
        <v>241.72985524999999</v>
      </c>
      <c r="GB48" s="14">
        <f t="shared" si="49"/>
        <v>58.811561554642985</v>
      </c>
      <c r="GC48" s="22">
        <f t="shared" si="25"/>
        <v>523.44296760141981</v>
      </c>
      <c r="GD48" s="62">
        <f t="shared" si="26"/>
        <v>816.77630093475318</v>
      </c>
      <c r="GE48" s="62">
        <f ca="1">AVERAGE(OFFSET($GD$3,0,0,'Données projet'!$E$17+1,1))-AVERAGE(OFFSET($H$3,0,0,'Données projet'!$E$17+1,1))</f>
        <v>248.15263300983543</v>
      </c>
      <c r="GF48" s="62">
        <f t="shared" si="50"/>
        <v>266.46511459244618</v>
      </c>
      <c r="GG48" s="16">
        <f>IF(ISNA(VLOOKUP(A48,'Données projet'!$A$243:$I$263,3,0)),0,VLOOKUP(A48,'Données projet'!$A$243:$I$263,3,0))</f>
        <v>4</v>
      </c>
      <c r="GH48" s="16">
        <f>IF(ISNA(VLOOKUP(A48,'Données projet'!$A$243:$I$263,4,0)),0,VLOOKUP(A48,'Données projet'!$A$243:$I$263,4,0))</f>
        <v>50.638900462962958</v>
      </c>
      <c r="GI48" s="17">
        <f>IF(ISNA(VLOOKUP(A48,'Données projet'!$A$243:$I$263,5,0)),0%,VLOOKUP(A48,'Données projet'!$A$243:$I$263,5,0)*VLOOKUP('Données projet'!$B$17,Paramètres!$A$1:$I$89,7,0))</f>
        <v>0.371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31.774273646752462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31.774273646752462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17.8</v>
      </c>
      <c r="N49" s="14">
        <f>IF('Données projet'!$A$36&gt;35,N48+M49-V48,IF(A49&lt;'Données projet'!$A$36,$K$205^A49,IF(A49='Données projet'!$A$36,'Données projet'!$B$36,N48+M49-V48)))</f>
        <v>557.79999999999995</v>
      </c>
      <c r="O49" s="14">
        <f>N49*VLOOKUP('Données projet'!$B$9,Paramètres!$A$1:$I$89,3,0)*VLOOKUP('Données projet'!$B$9,Paramètres!$A$1:$I$89,5,0)</f>
        <v>311.81020000000001</v>
      </c>
      <c r="P49" s="14">
        <f t="shared" si="33"/>
        <v>73.646743780370684</v>
      </c>
      <c r="Q49" s="22">
        <f t="shared" si="53"/>
        <v>671.33751041747894</v>
      </c>
      <c r="R49" s="62">
        <f t="shared" si="0"/>
        <v>964.67084375081231</v>
      </c>
      <c r="S49" s="62">
        <f ca="1">AVERAGE(OFFSET($R$3,0,0,'Données projet'!$E$9+1,1))-AVERAGE(OFFSET($H$3,0,0,'Données projet'!$E$9+1,1))</f>
        <v>382.55387448074327</v>
      </c>
      <c r="T49" s="62">
        <f t="shared" si="34"/>
        <v>476.29465646955543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63.799170879839998</v>
      </c>
      <c r="AA49" s="23">
        <f>EXP(-LN(2)/25)*AA48+(1-EXP(-LN(2)/25))/(LN(2)/25)*Calculateur!V49*Calculateur!X49*VLOOKUP('Données projet'!$B$9,Paramètres!$A$1:$I$89,3,0)*0.475*44/12</f>
        <v>21.241361460397428</v>
      </c>
      <c r="AB49" s="23">
        <f>EXP(-LN(2)/2)*AB48+(1-EXP(-LN(2)/2))/(LN(2)/2)*V49*Y49*VLOOKUP('Données projet'!$B$9,Paramètres!$A$1:$I$89,3,0)*0.475*44/12</f>
        <v>4.8062676670411211</v>
      </c>
      <c r="AC49" s="24">
        <f t="shared" si="3"/>
        <v>89.84680000727856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17.666666666666668</v>
      </c>
      <c r="AI49" s="14">
        <f>IF('Données projet'!$A$62&gt;35,AI48+AH49-AQ48,IF(A49&lt;'Données projet'!$A$62,$AF$205^A49,IF(A49='Données projet'!$A$62,'Données projet'!$B$62,AI48+AH49-AQ48)))</f>
        <v>564.6666666666664</v>
      </c>
      <c r="AJ49" s="14">
        <f>AI49*VLOOKUP('Données projet'!$B$10,Paramètres!$A$1:$I$89,3,0)*VLOOKUP('Données projet'!$B$10,Paramètres!$A$1:$I$89,5,0)</f>
        <v>352.3519999999998</v>
      </c>
      <c r="AK49" s="14">
        <f t="shared" si="35"/>
        <v>82.046623524629794</v>
      </c>
      <c r="AL49" s="22">
        <f t="shared" si="4"/>
        <v>756.57760263872979</v>
      </c>
      <c r="AM49" s="62">
        <f t="shared" si="5"/>
        <v>1049.910935972063</v>
      </c>
      <c r="AN49" s="62">
        <f ca="1">AVERAGE(OFFSET($AM$3,0,0,'Données projet'!$E$10+1,1))-AVERAGE(OFFSET($H$3,0,0,'Données projet'!$E$10+1,1))</f>
        <v>482.28841373508675</v>
      </c>
      <c r="AO49" s="62">
        <f t="shared" si="36"/>
        <v>746.97309214631684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99.900518934806897</v>
      </c>
      <c r="AV49" s="23">
        <f>EXP(-LN(2)/25)*AV48+(1-EXP(-LN(2)/25))/(LN(2)/25)*Calculateur!AQ49*Calculateur!AS49*VLOOKUP('Données projet'!$B$10,Paramètres!$A$1:$I$89,3,0)*0.475*44/12</f>
        <v>22.202891431190313</v>
      </c>
      <c r="AW49" s="23">
        <f>EXP(-LN(2)/2)*AW48+(1-EXP(-LN(2)/2))/(LN(2)/2)*AQ49*AT49*VLOOKUP('Données projet'!$B$10,Paramètres!$A$1:$I$89,3,0)*0.475*44/12</f>
        <v>3.2068954144416248</v>
      </c>
      <c r="AX49" s="23">
        <f t="shared" si="6"/>
        <v>125.31030578043882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17.666666666666668</v>
      </c>
      <c r="BD49" s="13">
        <f>IF('Données projet'!$A$88&gt;35,BD48+BC49-BL48,IF(A49&lt;'Données projet'!$A$88,$BA$205^A49,IF(A49='Données projet'!$A$88,'Données projet'!$B$88,BD48+BC49-BL48)))</f>
        <v>564.6666666666664</v>
      </c>
      <c r="BE49" s="14">
        <f>BD49*VLOOKUP('Données projet'!$B$11,Paramètres!$A$1:$I$89,3,0)*VLOOKUP('Données projet'!$B$11,Paramètres!$A$1:$I$89,5,0)</f>
        <v>308.30799999999988</v>
      </c>
      <c r="BF49" s="14">
        <f t="shared" si="37"/>
        <v>72.915360752538575</v>
      </c>
      <c r="BG49" s="22">
        <f t="shared" si="7"/>
        <v>663.96401997733767</v>
      </c>
      <c r="BH49" s="62">
        <f t="shared" si="8"/>
        <v>957.29735331067104</v>
      </c>
      <c r="BI49" s="62">
        <f ca="1">AVERAGE(OFFSET($BH$3,0,0,'Données projet'!$E$11+1,1))-AVERAGE(OFFSET($H$3,0,0,'Données projet'!$E$11+1,1))</f>
        <v>417.99456559608217</v>
      </c>
      <c r="BJ49" s="62">
        <f t="shared" si="38"/>
        <v>651.41353014863932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87.412954067956036</v>
      </c>
      <c r="BQ49" s="23">
        <f>EXP(-LN(2)/25)*BQ48+(1-EXP(-LN(2)/25))/(LN(2)/25)*Calculateur!BL49*Calculateur!BN49*VLOOKUP('Données projet'!$B$11,Paramètres!$A$1:$I$89,3,0)*0.475*44/12</f>
        <v>19.658810121366422</v>
      </c>
      <c r="BR49" s="23">
        <f>EXP(-LN(2)/2)*BR48+(1-EXP(-LN(2)/2))/(LN(2)/2)*BL49*BO49*VLOOKUP('Données projet'!$B$11,Paramètres!$A$1:$I$89,3,0)*0.475*44/12</f>
        <v>2.763517828732839</v>
      </c>
      <c r="BS49" s="24">
        <f t="shared" si="9"/>
        <v>109.83528201805531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6.166666666666667</v>
      </c>
      <c r="BY49" s="13">
        <f>IF('Données projet'!$A$114&gt;35,BY48+BX49-CG48,IF(A49&lt;'Données projet'!$A$114,$BV$205^A49,IF(A49='Données projet'!$A$114,'Données projet'!$B$114,BY48+BX49-CG48)))</f>
        <v>107.66666666666667</v>
      </c>
      <c r="BZ49" s="14">
        <f>BY49*VLOOKUP('Données projet'!$B$12,Paramètres!$A$1:$I$89,3,0)*VLOOKUP('Données projet'!$B$12,Paramètres!$A$1:$I$89,5,0)</f>
        <v>97.416799999999995</v>
      </c>
      <c r="CA49" s="14">
        <f t="shared" si="39"/>
        <v>26.345651528270771</v>
      </c>
      <c r="CB49" s="22">
        <f t="shared" si="10"/>
        <v>215.55293641173822</v>
      </c>
      <c r="CC49" s="62">
        <f t="shared" si="11"/>
        <v>508.88626974507156</v>
      </c>
      <c r="CD49" s="62">
        <f ca="1">AVERAGE(OFFSET($CC$3,0,0,'Données projet'!$E$12+1,1))-AVERAGE(OFFSET($H$3,0,0,'Données projet'!$E$12+1,1))</f>
        <v>213.07277043804817</v>
      </c>
      <c r="CE49" s="62">
        <f t="shared" si="40"/>
        <v>129.14539883354166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6.166666666666667</v>
      </c>
      <c r="CT49" s="13">
        <f>IF('Données projet'!$A$140&gt;35,CT48+CS49-DB48,IF(A49&lt;'Données projet'!$A$140,$CQ$205^A49,IF(A49='Données projet'!$A$140,'Données projet'!$B$140,CT48+CS49-DB48)))</f>
        <v>107.66666666666667</v>
      </c>
      <c r="CU49" s="18">
        <f>CT49*VLOOKUP('Données projet'!$B$13,Paramètres!$A$1:$I$89,3,0)*VLOOKUP('Données projet'!$B$13,Paramètres!$A$1:$I$89,5,0)</f>
        <v>109.17400000000001</v>
      </c>
      <c r="CV49" s="14">
        <f t="shared" si="41"/>
        <v>29.136287240258813</v>
      </c>
      <c r="CW49" s="22">
        <f t="shared" si="13"/>
        <v>240.89041694345076</v>
      </c>
      <c r="CX49" s="62">
        <f t="shared" si="14"/>
        <v>534.22375027678413</v>
      </c>
      <c r="CY49" s="62">
        <f ca="1">AVERAGE(OFFSET($CX$3,0,0,'Données projet'!$E$13+1,1))-AVERAGE(OFFSET($H$3,0,0,'Données projet'!$E$13+1,1))</f>
        <v>247.92503505485405</v>
      </c>
      <c r="CZ49" s="62">
        <f t="shared" si="42"/>
        <v>148.26437652597514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2</v>
      </c>
      <c r="DO49" s="13">
        <f>IF('Données projet'!$A$166&gt;35,DO48+DN49-DW48,IF(A49&lt;'Données projet'!$A$166,$DL$205^A49,IF(A49='Données projet'!$A$166,'Données projet'!$B$166,DO48+DN49-DW48)))</f>
        <v>92</v>
      </c>
      <c r="DP49" s="18">
        <f>DO49*VLOOKUP('Données projet'!$B$14,Paramètres!$A$1:$I$89,3,0)*VLOOKUP('Données projet'!$B$14,Paramètres!$A$1:$I$89,5,0)</f>
        <v>88.982399999999998</v>
      </c>
      <c r="DQ49" s="14">
        <f t="shared" si="43"/>
        <v>24.31964219550628</v>
      </c>
      <c r="DR49" s="22">
        <f t="shared" si="16"/>
        <v>197.3343901571734</v>
      </c>
      <c r="DS49" s="62">
        <f t="shared" si="17"/>
        <v>490.66772349050672</v>
      </c>
      <c r="DT49" s="62">
        <f ca="1">AVERAGE(OFFSET($DS$3,0,0,'Données projet'!$E$14+1,1))-AVERAGE(OFFSET($H$3,0,0,'Données projet'!$E$14+1,1))</f>
        <v>154.0837760161366</v>
      </c>
      <c r="DU49" s="62">
        <f t="shared" si="44"/>
        <v>96.484500841546037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13.93250000000001</v>
      </c>
      <c r="EJ49" s="13">
        <f>IF('Données projet'!$A$192&gt;35,EJ48+EI49-ER48,IF(A49&lt;'Données projet'!$A$192,$EG$205^A49,IF(A49='Données projet'!$A$192,'Données projet'!$B$192,EJ48+EI49-ER48)))</f>
        <v>267.12700231481477</v>
      </c>
      <c r="EK49" s="18">
        <f>EJ49*VLOOKUP('Données projet'!$B$15,Paramètres!$A$1:$I$89,3,0)*VLOOKUP('Données projet'!$B$15,Paramètres!$A$1:$I$89,5,0)</f>
        <v>179.18879315277775</v>
      </c>
      <c r="EL49" s="14">
        <f t="shared" si="45"/>
        <v>45.141660171311834</v>
      </c>
      <c r="EM49" s="22">
        <f t="shared" si="19"/>
        <v>390.7088728727893</v>
      </c>
      <c r="EN49" s="62">
        <f t="shared" si="20"/>
        <v>684.04220620612261</v>
      </c>
      <c r="EO49" s="62">
        <f ca="1">AVERAGE(OFFSET($EN$3,0,0,'Données projet'!$E$15+1,1))-AVERAGE(OFFSET($H$3,0,0,'Données projet'!$E$15+1,1))</f>
        <v>205.35893113421139</v>
      </c>
      <c r="EP49" s="62">
        <f t="shared" si="46"/>
        <v>220.4399811285175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26.264736850982661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26.264736850982661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13.93250000000001</v>
      </c>
      <c r="FE49" s="13">
        <f>IF('Données projet'!$A$218&gt;35,FE48+FD49-FM48,IF(A49&lt;'Données projet'!$A$218,$FB$205^A49,IF(A49='Données projet'!$A$218,'Données projet'!$B$218,FE48+FD49-FM48)))</f>
        <v>267.12700231481477</v>
      </c>
      <c r="FF49" s="18">
        <f>FE49*VLOOKUP('Données projet'!$B$16,Paramètres!$A$1:$I$89,3,0)*VLOOKUP('Données projet'!$B$16,Paramètres!$A$1:$I$89,5,0)</f>
        <v>208.35906180555554</v>
      </c>
      <c r="FG49" s="14">
        <f t="shared" si="47"/>
        <v>51.576835865417046</v>
      </c>
      <c r="FH49" s="22">
        <f t="shared" si="22"/>
        <v>452.7216884436105</v>
      </c>
      <c r="FI49" s="62">
        <f t="shared" si="23"/>
        <v>746.05502177694382</v>
      </c>
      <c r="FJ49" s="62">
        <f ca="1">AVERAGE(OFFSET($FI$3,0,0,'Données projet'!$E$16+1,1))-AVERAGE(OFFSET($H$3,0,0,'Données projet'!$E$16+1,1))</f>
        <v>242.81177364426878</v>
      </c>
      <c r="FK49" s="62">
        <f t="shared" si="48"/>
        <v>260.72115764896671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24.778053633002507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24.778053633002507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13.93250000000001</v>
      </c>
      <c r="FZ49" s="13">
        <f>IF('Données projet'!$A$244&gt;35,FZ48+FY49-GH48,IF(A49&lt;'Données projet'!$A$244,$FW$205^A49,IF(A49='Données projet'!$A$244,'Données projet'!$B$244,FZ48+FY49-GH48)))</f>
        <v>267.12700231481477</v>
      </c>
      <c r="GA49" s="18">
        <f>FZ49*VLOOKUP('Données projet'!$B$17,Paramètres!$A$1:$I$89,3,0)*VLOOKUP('Données projet'!$B$17,Paramètres!$A$1:$I$89,5,0)</f>
        <v>212.52624304166662</v>
      </c>
      <c r="GB49" s="14">
        <f t="shared" si="49"/>
        <v>52.487248576327396</v>
      </c>
      <c r="GC49" s="22">
        <f t="shared" si="25"/>
        <v>461.5651645680062</v>
      </c>
      <c r="GD49" s="62">
        <f t="shared" si="26"/>
        <v>754.89849790133951</v>
      </c>
      <c r="GE49" s="62">
        <f ca="1">AVERAGE(OFFSET($GD$3,0,0,'Données projet'!$E$17+1,1))-AVERAGE(OFFSET($H$3,0,0,'Données projet'!$E$17+1,1))</f>
        <v>248.15263300983543</v>
      </c>
      <c r="GF49" s="62">
        <f t="shared" si="50"/>
        <v>266.46511459244618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31.151199520932916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31.151199520932916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17.8</v>
      </c>
      <c r="N50" s="14">
        <f>IF('Données projet'!$A$36&gt;35,N49+M50-V49,IF(A50&lt;'Données projet'!$A$36,$K$205^A50,IF(A50='Données projet'!$A$36,'Données projet'!$B$36,N49+M50-V49)))</f>
        <v>575.59999999999991</v>
      </c>
      <c r="O50" s="14">
        <f>N50*VLOOKUP('Données projet'!$B$9,Paramètres!$A$1:$I$89,3,0)*VLOOKUP('Données projet'!$B$9,Paramètres!$A$1:$I$89,5,0)</f>
        <v>321.76039999999995</v>
      </c>
      <c r="P50" s="14">
        <f t="shared" si="33"/>
        <v>75.719522083505169</v>
      </c>
      <c r="Q50" s="22">
        <f t="shared" si="53"/>
        <v>692.27753096210472</v>
      </c>
      <c r="R50" s="62">
        <f t="shared" si="0"/>
        <v>985.61086429543798</v>
      </c>
      <c r="S50" s="62">
        <f ca="1">AVERAGE(OFFSET($R$3,0,0,'Données projet'!$E$9+1,1))-AVERAGE(OFFSET($H$3,0,0,'Données projet'!$E$9+1,1))</f>
        <v>382.55387448074327</v>
      </c>
      <c r="T50" s="62">
        <f t="shared" si="34"/>
        <v>476.29465646955543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62.548108052538169</v>
      </c>
      <c r="AA50" s="23">
        <f>EXP(-LN(2)/25)*AA49+(1-EXP(-LN(2)/25))/(LN(2)/25)*Calculateur!V50*Calculateur!X50*VLOOKUP('Données projet'!$B$9,Paramètres!$A$1:$I$89,3,0)*0.475*44/12</f>
        <v>20.66051531422821</v>
      </c>
      <c r="AB50" s="23">
        <f>EXP(-LN(2)/2)*AB49+(1-EXP(-LN(2)/2))/(LN(2)/2)*V50*Y50*VLOOKUP('Données projet'!$B$9,Paramètres!$A$1:$I$89,3,0)*0.475*44/12</f>
        <v>3.3985444595624243</v>
      </c>
      <c r="AC50" s="24">
        <f t="shared" si="3"/>
        <v>86.607167826328805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17.666666666666668</v>
      </c>
      <c r="AI50" s="14">
        <f>IF('Données projet'!$A$62&gt;35,AI49+AH50-AQ49,IF(A50&lt;'Données projet'!$A$62,$AF$205^A50,IF(A50='Données projet'!$A$62,'Données projet'!$B$62,AI49+AH50-AQ49)))</f>
        <v>582.33333333333303</v>
      </c>
      <c r="AJ50" s="14">
        <f>AI50*VLOOKUP('Données projet'!$B$10,Paramètres!$A$1:$I$89,3,0)*VLOOKUP('Données projet'!$B$10,Paramètres!$A$1:$I$89,5,0)</f>
        <v>363.37599999999986</v>
      </c>
      <c r="AK50" s="14">
        <f t="shared" si="35"/>
        <v>84.310727835802666</v>
      </c>
      <c r="AL50" s="22">
        <f t="shared" si="4"/>
        <v>779.72105098068926</v>
      </c>
      <c r="AM50" s="62">
        <f t="shared" si="5"/>
        <v>1073.0543843140226</v>
      </c>
      <c r="AN50" s="62">
        <f ca="1">AVERAGE(OFFSET($AM$3,0,0,'Données projet'!$E$10+1,1))-AVERAGE(OFFSET($H$3,0,0,'Données projet'!$E$10+1,1))</f>
        <v>482.28841373508675</v>
      </c>
      <c r="AO50" s="62">
        <f t="shared" si="36"/>
        <v>746.97309214631684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97.941530691795222</v>
      </c>
      <c r="AV50" s="23">
        <f>EXP(-LN(2)/25)*AV49+(1-EXP(-LN(2)/25))/(LN(2)/25)*Calculateur!AQ50*Calculateur!AS50*VLOOKUP('Données projet'!$B$10,Paramètres!$A$1:$I$89,3,0)*0.475*44/12</f>
        <v>21.595752197405098</v>
      </c>
      <c r="AW50" s="23">
        <f>EXP(-LN(2)/2)*AW49+(1-EXP(-LN(2)/2))/(LN(2)/2)*AQ50*AT50*VLOOKUP('Données projet'!$B$10,Paramètres!$A$1:$I$89,3,0)*0.475*44/12</f>
        <v>2.267617494107717</v>
      </c>
      <c r="AX50" s="23">
        <f t="shared" si="6"/>
        <v>121.80490038330804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17.666666666666668</v>
      </c>
      <c r="BD50" s="13">
        <f>IF('Données projet'!$A$88&gt;35,BD49+BC50-BL49,IF(A50&lt;'Données projet'!$A$88,$BA$205^A50,IF(A50='Données projet'!$A$88,'Données projet'!$B$88,BD49+BC50-BL49)))</f>
        <v>582.33333333333303</v>
      </c>
      <c r="BE50" s="14">
        <f>BD50*VLOOKUP('Données projet'!$B$11,Paramètres!$A$1:$I$89,3,0)*VLOOKUP('Données projet'!$B$11,Paramètres!$A$1:$I$89,5,0)</f>
        <v>317.95399999999984</v>
      </c>
      <c r="BF50" s="14">
        <f t="shared" si="37"/>
        <v>74.927484780786784</v>
      </c>
      <c r="BG50" s="22">
        <f t="shared" si="7"/>
        <v>684.26858599320337</v>
      </c>
      <c r="BH50" s="62">
        <f t="shared" si="8"/>
        <v>977.60191932653674</v>
      </c>
      <c r="BI50" s="62">
        <f ca="1">AVERAGE(OFFSET($BH$3,0,0,'Données projet'!$E$11+1,1))-AVERAGE(OFFSET($H$3,0,0,'Données projet'!$E$11+1,1))</f>
        <v>417.99456559608217</v>
      </c>
      <c r="BJ50" s="62">
        <f t="shared" si="38"/>
        <v>651.41353014863932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85.698839355320814</v>
      </c>
      <c r="BQ50" s="23">
        <f>EXP(-LN(2)/25)*BQ49+(1-EXP(-LN(2)/25))/(LN(2)/25)*Calculateur!BL50*Calculateur!BN50*VLOOKUP('Données projet'!$B$11,Paramètres!$A$1:$I$89,3,0)*0.475*44/12</f>
        <v>19.121238924785764</v>
      </c>
      <c r="BR50" s="23">
        <f>EXP(-LN(2)/2)*BR49+(1-EXP(-LN(2)/2))/(LN(2)/2)*BL50*BO50*VLOOKUP('Données projet'!$B$11,Paramètres!$A$1:$I$89,3,0)*0.475*44/12</f>
        <v>1.9541021966269148</v>
      </c>
      <c r="BS50" s="24">
        <f t="shared" si="9"/>
        <v>106.77418047673349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6.166666666666667</v>
      </c>
      <c r="BY50" s="13">
        <f>IF('Données projet'!$A$114&gt;35,BY49+BX50-CG49,IF(A50&lt;'Données projet'!$A$114,$BV$205^A50,IF(A50='Données projet'!$A$114,'Données projet'!$B$114,BY49+BX50-CG49)))</f>
        <v>113.83333333333334</v>
      </c>
      <c r="BZ50" s="14">
        <f>BY50*VLOOKUP('Données projet'!$B$12,Paramètres!$A$1:$I$89,3,0)*VLOOKUP('Données projet'!$B$12,Paramètres!$A$1:$I$89,5,0)</f>
        <v>102.99640000000001</v>
      </c>
      <c r="CA50" s="14">
        <f t="shared" si="39"/>
        <v>27.674617306062274</v>
      </c>
      <c r="CB50" s="22">
        <f t="shared" si="10"/>
        <v>227.5853551413918</v>
      </c>
      <c r="CC50" s="62">
        <f t="shared" si="11"/>
        <v>520.91868847472506</v>
      </c>
      <c r="CD50" s="62">
        <f ca="1">AVERAGE(OFFSET($CC$3,0,0,'Données projet'!$E$12+1,1))-AVERAGE(OFFSET($H$3,0,0,'Données projet'!$E$12+1,1))</f>
        <v>213.07277043804817</v>
      </c>
      <c r="CE50" s="62">
        <f t="shared" si="40"/>
        <v>129.14539883354166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6.166666666666667</v>
      </c>
      <c r="CT50" s="13">
        <f>IF('Données projet'!$A$140&gt;35,CT49+CS50-DB49,IF(A50&lt;'Données projet'!$A$140,$CQ$205^A50,IF(A50='Données projet'!$A$140,'Données projet'!$B$140,CT49+CS50-DB49)))</f>
        <v>113.83333333333334</v>
      </c>
      <c r="CU50" s="18">
        <f>CT50*VLOOKUP('Données projet'!$B$13,Paramètres!$A$1:$I$89,3,0)*VLOOKUP('Données projet'!$B$13,Paramètres!$A$1:$I$89,5,0)</f>
        <v>115.42700000000002</v>
      </c>
      <c r="CV50" s="14">
        <f t="shared" si="41"/>
        <v>30.606022334593323</v>
      </c>
      <c r="CW50" s="22">
        <f t="shared" si="13"/>
        <v>254.34084723275001</v>
      </c>
      <c r="CX50" s="62">
        <f t="shared" si="14"/>
        <v>547.67418056608335</v>
      </c>
      <c r="CY50" s="62">
        <f ca="1">AVERAGE(OFFSET($CX$3,0,0,'Données projet'!$E$13+1,1))-AVERAGE(OFFSET($H$3,0,0,'Données projet'!$E$13+1,1))</f>
        <v>247.92503505485405</v>
      </c>
      <c r="CZ50" s="62">
        <f t="shared" si="42"/>
        <v>148.26437652597514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2</v>
      </c>
      <c r="DO50" s="13">
        <f>IF('Données projet'!$A$166&gt;35,DO49+DN50-DW49,IF(A50&lt;'Données projet'!$A$166,$DL$205^A50,IF(A50='Données projet'!$A$166,'Données projet'!$B$166,DO49+DN50-DW49)))</f>
        <v>94</v>
      </c>
      <c r="DP50" s="18">
        <f>DO50*VLOOKUP('Données projet'!$B$14,Paramètres!$A$1:$I$89,3,0)*VLOOKUP('Données projet'!$B$14,Paramètres!$A$1:$I$89,5,0)</f>
        <v>90.916800000000009</v>
      </c>
      <c r="DQ50" s="14">
        <f t="shared" si="43"/>
        <v>24.786204483471451</v>
      </c>
      <c r="DR50" s="22">
        <f t="shared" si="16"/>
        <v>201.51606614204613</v>
      </c>
      <c r="DS50" s="62">
        <f t="shared" si="17"/>
        <v>494.84939947537941</v>
      </c>
      <c r="DT50" s="62">
        <f ca="1">AVERAGE(OFFSET($DS$3,0,0,'Données projet'!$E$14+1,1))-AVERAGE(OFFSET($H$3,0,0,'Données projet'!$E$14+1,1))</f>
        <v>154.0837760161366</v>
      </c>
      <c r="DU50" s="62">
        <f t="shared" si="44"/>
        <v>96.484500841546037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13.93250000000001</v>
      </c>
      <c r="EJ50" s="13">
        <f>IF('Données projet'!$A$192&gt;35,EJ49+EI50-ER49,IF(A50&lt;'Données projet'!$A$192,$EG$205^A50,IF(A50='Données projet'!$A$192,'Données projet'!$B$192,EJ49+EI50-ER49)))</f>
        <v>281.05950231481478</v>
      </c>
      <c r="EK50" s="18">
        <f>EJ50*VLOOKUP('Données projet'!$B$15,Paramètres!$A$1:$I$89,3,0)*VLOOKUP('Données projet'!$B$15,Paramètres!$A$1:$I$89,5,0)</f>
        <v>188.53471415277775</v>
      </c>
      <c r="EL50" s="14">
        <f t="shared" si="45"/>
        <v>47.215853132315338</v>
      </c>
      <c r="EM50" s="22">
        <f t="shared" si="19"/>
        <v>410.59890468820385</v>
      </c>
      <c r="EN50" s="62">
        <f t="shared" si="20"/>
        <v>703.93223802153716</v>
      </c>
      <c r="EO50" s="62">
        <f ca="1">AVERAGE(OFFSET($EN$3,0,0,'Données projet'!$E$15+1,1))-AVERAGE(OFFSET($H$3,0,0,'Données projet'!$E$15+1,1))</f>
        <v>205.35893113421139</v>
      </c>
      <c r="EP50" s="62">
        <f t="shared" si="46"/>
        <v>220.4399811285175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25.749701381242534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25.749701381242534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13.93250000000001</v>
      </c>
      <c r="FE50" s="13">
        <f>IF('Données projet'!$A$218&gt;35,FE49+FD50-FM49,IF(A50&lt;'Données projet'!$A$218,$FB$205^A50,IF(A50='Données projet'!$A$218,'Données projet'!$B$218,FE49+FD50-FM49)))</f>
        <v>281.05950231481478</v>
      </c>
      <c r="FF50" s="18">
        <f>FE50*VLOOKUP('Données projet'!$B$16,Paramètres!$A$1:$I$89,3,0)*VLOOKUP('Données projet'!$B$16,Paramètres!$A$1:$I$89,5,0)</f>
        <v>219.22641180555553</v>
      </c>
      <c r="FG50" s="14">
        <f t="shared" si="47"/>
        <v>53.9467156947563</v>
      </c>
      <c r="FH50" s="22">
        <f t="shared" si="22"/>
        <v>475.77653039637636</v>
      </c>
      <c r="FI50" s="62">
        <f t="shared" si="23"/>
        <v>769.10986372970967</v>
      </c>
      <c r="FJ50" s="62">
        <f ca="1">AVERAGE(OFFSET($FI$3,0,0,'Données projet'!$E$16+1,1))-AVERAGE(OFFSET($H$3,0,0,'Données projet'!$E$16+1,1))</f>
        <v>242.81177364426878</v>
      </c>
      <c r="FK50" s="62">
        <f t="shared" si="48"/>
        <v>260.72115764896671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24.292171114379748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24.292171114379748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13.93250000000001</v>
      </c>
      <c r="FZ50" s="13">
        <f>IF('Données projet'!$A$244&gt;35,FZ49+FY50-GH49,IF(A50&lt;'Données projet'!$A$244,$FW$205^A50,IF(A50='Données projet'!$A$244,'Données projet'!$B$244,FZ49+FY50-GH49)))</f>
        <v>281.05950231481478</v>
      </c>
      <c r="GA50" s="18">
        <f>FZ50*VLOOKUP('Données projet'!$B$17,Paramètres!$A$1:$I$89,3,0)*VLOOKUP('Données projet'!$B$17,Paramètres!$A$1:$I$89,5,0)</f>
        <v>223.61094004166665</v>
      </c>
      <c r="GB50" s="14">
        <f t="shared" si="49"/>
        <v>54.89896053211951</v>
      </c>
      <c r="GC50" s="22">
        <f t="shared" si="25"/>
        <v>485.07141016601082</v>
      </c>
      <c r="GD50" s="62">
        <f t="shared" si="26"/>
        <v>778.40474349934414</v>
      </c>
      <c r="GE50" s="62">
        <f ca="1">AVERAGE(OFFSET($GD$3,0,0,'Données projet'!$E$17+1,1))-AVERAGE(OFFSET($H$3,0,0,'Données projet'!$E$17+1,1))</f>
        <v>248.15263300983543</v>
      </c>
      <c r="GF50" s="62">
        <f t="shared" si="50"/>
        <v>266.46511459244618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30.540343498683001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30.540343498683001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17.8</v>
      </c>
      <c r="N51" s="14">
        <f>IF('Données projet'!$A$36&gt;35,N50+M51-V50,IF(A51&lt;'Données projet'!$A$36,$K$205^A51,IF(A51='Données projet'!$A$36,'Données projet'!$B$36,N50+M51-V50)))</f>
        <v>593.39999999999986</v>
      </c>
      <c r="O51" s="14">
        <f>N51*VLOOKUP('Données projet'!$B$9,Paramètres!$A$1:$I$89,3,0)*VLOOKUP('Données projet'!$B$9,Paramètres!$A$1:$I$89,5,0)</f>
        <v>331.71059999999994</v>
      </c>
      <c r="P51" s="14">
        <f t="shared" si="33"/>
        <v>77.784851407016433</v>
      </c>
      <c r="Q51" s="22">
        <f t="shared" si="53"/>
        <v>713.20457786722011</v>
      </c>
      <c r="R51" s="62">
        <f t="shared" si="0"/>
        <v>1006.5379112005535</v>
      </c>
      <c r="S51" s="62">
        <f ca="1">AVERAGE(OFFSET($R$3,0,0,'Données projet'!$E$9+1,1))-AVERAGE(OFFSET($H$3,0,0,'Données projet'!$E$9+1,1))</f>
        <v>382.55387448074327</v>
      </c>
      <c r="T51" s="62">
        <f t="shared" si="34"/>
        <v>476.29465646955543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61.321577804206747</v>
      </c>
      <c r="AA51" s="23">
        <f>EXP(-LN(2)/25)*AA50+(1-EXP(-LN(2)/25))/(LN(2)/25)*Calculateur!V51*Calculateur!X51*VLOOKUP('Données projet'!$B$9,Paramètres!$A$1:$I$89,3,0)*0.475*44/12</f>
        <v>20.095552436471358</v>
      </c>
      <c r="AB51" s="23">
        <f>EXP(-LN(2)/2)*AB50+(1-EXP(-LN(2)/2))/(LN(2)/2)*V51*Y51*VLOOKUP('Données projet'!$B$9,Paramètres!$A$1:$I$89,3,0)*0.475*44/12</f>
        <v>2.403133833520561</v>
      </c>
      <c r="AC51" s="24">
        <f t="shared" si="3"/>
        <v>83.820264074198661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600</v>
      </c>
      <c r="AG51" s="13">
        <f>VLOOKUP(A51,'Données projet'!$A$61:$I$81,9,0)</f>
        <v>17.666666666666668</v>
      </c>
      <c r="AH51" s="13">
        <f t="array" ref="AH51">INDEX(AG:AG,MIN(IF(ISNUMBER(AG51:AG247),ROW(AG51:AG247),"")))</f>
        <v>17.666666666666668</v>
      </c>
      <c r="AI51" s="14">
        <f>IF('Données projet'!$A$62&gt;35,AI50+AH51-AQ50,IF(A51&lt;'Données projet'!$A$62,$AF$205^A51,IF(A51='Données projet'!$A$62,'Données projet'!$B$62,AI50+AH51-AQ50)))</f>
        <v>599.99999999999966</v>
      </c>
      <c r="AJ51" s="14">
        <f>AI51*VLOOKUP('Données projet'!$B$10,Paramètres!$A$1:$I$89,3,0)*VLOOKUP('Données projet'!$B$10,Paramètres!$A$1:$I$89,5,0)</f>
        <v>374.39999999999981</v>
      </c>
      <c r="AK51" s="14">
        <f t="shared" si="35"/>
        <v>86.56684969744741</v>
      </c>
      <c r="AL51" s="22">
        <f t="shared" si="4"/>
        <v>802.85059655638725</v>
      </c>
      <c r="AM51" s="62">
        <f t="shared" si="5"/>
        <v>1096.1839298897205</v>
      </c>
      <c r="AN51" s="62">
        <f ca="1">AVERAGE(OFFSET($AM$3,0,0,'Données projet'!$E$10+1,1))-AVERAGE(OFFSET($H$3,0,0,'Données projet'!$E$10+1,1))</f>
        <v>482.28841373508675</v>
      </c>
      <c r="AO51" s="62">
        <f t="shared" si="36"/>
        <v>746.97309214631684</v>
      </c>
      <c r="AP51" s="16">
        <f>IF(ISNA(VLOOKUP(A51,'Données projet'!$A$61:$I$81,3,0)),0,VLOOKUP(A51,'Données projet'!$A$61:$I$81,3,0))</f>
        <v>4</v>
      </c>
      <c r="AQ51" s="16">
        <f>IF(ISNA(VLOOKUP(A51,'Données projet'!$A$61:$I$81,4,0)),0,VLOOKUP(A51,'Données projet'!$A$61:$I$81,4,0))</f>
        <v>123</v>
      </c>
      <c r="AR51" s="17">
        <f>IF(ISNA(VLOOKUP(A51,'Données projet'!$A$61:$I$81,5,0)),0%,VLOOKUP(A51,'Données projet'!$A$61:$I$81,5,0)*VLOOKUP('Données projet'!$B$10,Paramètres!$A$1:$I$89,7,0))</f>
        <v>0.42</v>
      </c>
      <c r="AS51" s="17">
        <f>IF(ISNA(VLOOKUP(A51,'Données projet'!$A$61:$I$81,6,0)),0%,VLOOKUP(A51,'Données projet'!$A$61:$I$81,6,0)*VLOOKUP('Données projet'!$B$10,Paramètres!$A$1:$I$89,7,0))</f>
        <v>0.1008</v>
      </c>
      <c r="AT51" s="17">
        <f>IF(ISNA(VLOOKUP(A51,'Données projet'!$A$61:$I$81,7,0)),0%,VLOOKUP(A51,'Données projet'!$A$61:$I$81,7,0))</f>
        <v>0.13200000000000001</v>
      </c>
      <c r="AU51" s="23">
        <f>EXP(-LN(2)/35)*AU50+(1-EXP(-LN(2)/35))/(LN(2)/35)*AQ51*AR51*VLOOKUP('Données projet'!$B$10,Paramètres!$A$1:$I$89,3,0)*0.475*44/12</f>
        <v>138.78387654860029</v>
      </c>
      <c r="AV51" s="23">
        <f>EXP(-LN(2)/25)*AV50+(1-EXP(-LN(2)/25))/(LN(2)/25)*Calculateur!AQ51*Calculateur!AS51*VLOOKUP('Données projet'!$B$10,Paramètres!$A$1:$I$89,3,0)*0.475*44/12</f>
        <v>31.227906168394085</v>
      </c>
      <c r="AW51" s="23">
        <f>EXP(-LN(2)/2)*AW50+(1-EXP(-LN(2)/2))/(LN(2)/2)*AQ51*AT51*VLOOKUP('Données projet'!$B$10,Paramètres!$A$1:$I$89,3,0)*0.475*44/12</f>
        <v>13.074392022787984</v>
      </c>
      <c r="AX51" s="23">
        <f t="shared" si="6"/>
        <v>183.08617473978236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>
        <f>VLOOKUP(A51,'Données projet'!$A$87:$I$107,2,0)</f>
        <v>600</v>
      </c>
      <c r="BB51" s="13">
        <f>VLOOKUP(A51,'Données projet'!$A$87:$I$107,9,0)</f>
        <v>17.666666666666668</v>
      </c>
      <c r="BC51" s="13">
        <f t="array" ref="BC51">INDEX(BB:BB,MIN(IF(ISNUMBER(BB51:BB247),ROW(BB51:BB247),"")))</f>
        <v>17.666666666666668</v>
      </c>
      <c r="BD51" s="13">
        <f>IF('Données projet'!$A$88&gt;35,BD50+BC51-BL50,IF(A51&lt;'Données projet'!$A$88,$BA$205^A51,IF(A51='Données projet'!$A$88,'Données projet'!$B$88,BD50+BC51-BL50)))</f>
        <v>599.99999999999966</v>
      </c>
      <c r="BE51" s="14">
        <f>BD51*VLOOKUP('Données projet'!$B$11,Paramètres!$A$1:$I$89,3,0)*VLOOKUP('Données projet'!$B$11,Paramètres!$A$1:$I$89,5,0)</f>
        <v>327.59999999999985</v>
      </c>
      <c r="BF51" s="14">
        <f t="shared" si="37"/>
        <v>76.932514754922536</v>
      </c>
      <c r="BG51" s="22">
        <f t="shared" si="7"/>
        <v>704.56079653148981</v>
      </c>
      <c r="BH51" s="62">
        <f t="shared" si="8"/>
        <v>997.89412986482307</v>
      </c>
      <c r="BI51" s="62">
        <f ca="1">AVERAGE(OFFSET($BH$3,0,0,'Données projet'!$E$11+1,1))-AVERAGE(OFFSET($H$3,0,0,'Données projet'!$E$11+1,1))</f>
        <v>417.99456559608217</v>
      </c>
      <c r="BJ51" s="62">
        <f t="shared" si="38"/>
        <v>651.41353014863932</v>
      </c>
      <c r="BK51" s="16">
        <f>IF(ISNA(VLOOKUP(A51,'Données projet'!$A$87:$I$107,3,0)),0,VLOOKUP(A51,'Données projet'!$A$87:$I$107,3,0))</f>
        <v>4</v>
      </c>
      <c r="BL51" s="16">
        <f>IF(ISNA(VLOOKUP(A51,'Données projet'!$A$87:$I$107,4,0)),0,VLOOKUP(A51,'Données projet'!$A$87:$I$107,4,0))</f>
        <v>123</v>
      </c>
      <c r="BM51" s="17">
        <f>IF(ISNA(VLOOKUP(A51,'Données projet'!$A$87:$I$107,5,0)),0%,VLOOKUP(A51,'Données projet'!$A$87:$I$107,5,0)*VLOOKUP('Données projet'!$B$11,Paramètres!$A$1:$I$89,7,0))</f>
        <v>0.42</v>
      </c>
      <c r="BN51" s="17">
        <f>IF(ISNA(VLOOKUP(A51,'Données projet'!$A$87:$I$107,6,0)),0%,VLOOKUP(A51,'Données projet'!$A$87:$I$107,6,0)*VLOOKUP('Données projet'!$B$11,Paramètres!$A$1:$I$89,7,0))</f>
        <v>0.10200000000000001</v>
      </c>
      <c r="BO51" s="17">
        <f>IF(ISNA(VLOOKUP(A51,'Données projet'!$A$87:$I$107,7,0)),0%,VLOOKUP(A51,'Données projet'!$A$87:$I$107,7,0))</f>
        <v>0.13</v>
      </c>
      <c r="BP51" s="23">
        <f>EXP(-LN(2)/35)*BP50+(1-EXP(-LN(2)/35))/(LN(2)/35)*BL51*BM51*VLOOKUP('Données projet'!$B$11,Paramètres!$A$1:$I$89,3,0)*0.475*44/12</f>
        <v>121.43589198002525</v>
      </c>
      <c r="BQ51" s="23">
        <f>EXP(-LN(2)/25)*BQ50+(1-EXP(-LN(2)/25))/(LN(2)/25)*Calculateur!BL51*Calculateur!BN51*VLOOKUP('Données projet'!$B$11,Paramètres!$A$1:$I$89,3,0)*0.475*44/12</f>
        <v>27.649708586598926</v>
      </c>
      <c r="BR51" s="23">
        <f>EXP(-LN(2)/2)*BR50+(1-EXP(-LN(2)/2))/(LN(2)/2)*BL51*BO51*VLOOKUP('Données projet'!$B$11,Paramètres!$A$1:$I$89,3,0)*0.475*44/12</f>
        <v>11.266758277213132</v>
      </c>
      <c r="BS51" s="24">
        <f t="shared" si="9"/>
        <v>160.35235884383732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>
        <f>VLOOKUP(A51,'Données projet'!$A$113:$I$133,2,0)</f>
        <v>120</v>
      </c>
      <c r="BW51" s="13">
        <f>VLOOKUP(A51,'Données projet'!$A$113:$I$133,9,0)</f>
        <v>6.166666666666667</v>
      </c>
      <c r="BX51" s="13">
        <f t="array" ref="BX51">INDEX(BW:BW,MIN(IF(ISNUMBER(BW51:BW247),ROW(BW51:BW247),"")))</f>
        <v>6.166666666666667</v>
      </c>
      <c r="BY51" s="13">
        <f>IF('Données projet'!$A$114&gt;35,BY50+BX51-CG50,IF(A51&lt;'Données projet'!$A$114,$BV$205^A51,IF(A51='Données projet'!$A$114,'Données projet'!$B$114,BY50+BX51-CG50)))</f>
        <v>120.00000000000001</v>
      </c>
      <c r="BZ51" s="14">
        <f>BY51*VLOOKUP('Données projet'!$B$12,Paramètres!$A$1:$I$89,3,0)*VLOOKUP('Données projet'!$B$12,Paramètres!$A$1:$I$89,5,0)</f>
        <v>108.57600000000002</v>
      </c>
      <c r="CA51" s="14">
        <f t="shared" si="39"/>
        <v>28.995225061228027</v>
      </c>
      <c r="CB51" s="22">
        <f t="shared" si="10"/>
        <v>239.60321698163887</v>
      </c>
      <c r="CC51" s="62">
        <f t="shared" si="11"/>
        <v>532.93655031497224</v>
      </c>
      <c r="CD51" s="62">
        <f ca="1">AVERAGE(OFFSET($CC$3,0,0,'Données projet'!$E$12+1,1))-AVERAGE(OFFSET($H$3,0,0,'Données projet'!$E$12+1,1))</f>
        <v>213.07277043804817</v>
      </c>
      <c r="CE51" s="62">
        <f t="shared" si="40"/>
        <v>129.14539883354166</v>
      </c>
      <c r="CF51" s="16">
        <f>IF(ISNA(VLOOKUP(A51,'Données projet'!$A$113:$I$133,3,0)),0,VLOOKUP(A51,'Données projet'!$A$113:$I$133,3,0))</f>
        <v>2</v>
      </c>
      <c r="CG51" s="16">
        <f>IF(ISNA(VLOOKUP(A51,'Données projet'!$A$113:$I$133,4,0)),0,VLOOKUP(A51,'Données projet'!$A$113:$I$133,4,0))</f>
        <v>28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>
        <f>VLOOKUP(A51,'Données projet'!$A$139:$I$159,2,0)</f>
        <v>120</v>
      </c>
      <c r="CR51" s="13">
        <f>VLOOKUP(A51,'Données projet'!$A$139:$I$159,9,0)</f>
        <v>6.166666666666667</v>
      </c>
      <c r="CS51" s="13">
        <f t="array" ref="CS51">INDEX(CR:CR,MIN(IF(ISNUMBER(CR51:CR247),ROW(CR51:CR247),"")))</f>
        <v>6.166666666666667</v>
      </c>
      <c r="CT51" s="13">
        <f>IF('Données projet'!$A$140&gt;35,CT50+CS51-DB50,IF(A51&lt;'Données projet'!$A$140,$CQ$205^A51,IF(A51='Données projet'!$A$140,'Données projet'!$B$140,CT50+CS51-DB50)))</f>
        <v>120.00000000000001</v>
      </c>
      <c r="CU51" s="18">
        <f>CT51*VLOOKUP('Données projet'!$B$13,Paramètres!$A$1:$I$89,3,0)*VLOOKUP('Données projet'!$B$13,Paramètres!$A$1:$I$89,5,0)</f>
        <v>121.68000000000002</v>
      </c>
      <c r="CV51" s="14">
        <f t="shared" si="41"/>
        <v>32.066514091456284</v>
      </c>
      <c r="CW51" s="22">
        <f t="shared" si="13"/>
        <v>267.77517870928637</v>
      </c>
      <c r="CX51" s="62">
        <f t="shared" si="14"/>
        <v>561.10851204261962</v>
      </c>
      <c r="CY51" s="62">
        <f ca="1">AVERAGE(OFFSET($CX$3,0,0,'Données projet'!$E$13+1,1))-AVERAGE(OFFSET($H$3,0,0,'Données projet'!$E$13+1,1))</f>
        <v>247.92503505485405</v>
      </c>
      <c r="CZ51" s="62">
        <f t="shared" si="42"/>
        <v>148.26437652597514</v>
      </c>
      <c r="DA51" s="16">
        <f>IF(ISNA(VLOOKUP(A51,'Données projet'!$A$139:$I$159,3,0)),0,VLOOKUP(A51,'Données projet'!$A$139:$I$159,3,0))</f>
        <v>2</v>
      </c>
      <c r="DB51" s="16">
        <f>IF(ISNA(VLOOKUP(A51,'Données projet'!$A$139:$I$159,4,0)),0,VLOOKUP(A51,'Données projet'!$A$139:$I$159,4,0))</f>
        <v>28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2</v>
      </c>
      <c r="DO51" s="13">
        <f>IF('Données projet'!$A$166&gt;35,DO50+DN51-DW50,IF(A51&lt;'Données projet'!$A$166,$DL$205^A51,IF(A51='Données projet'!$A$166,'Données projet'!$B$166,DO50+DN51-DW50)))</f>
        <v>96</v>
      </c>
      <c r="DP51" s="18">
        <f>DO51*VLOOKUP('Données projet'!$B$14,Paramètres!$A$1:$I$89,3,0)*VLOOKUP('Données projet'!$B$14,Paramètres!$A$1:$I$89,5,0)</f>
        <v>92.851199999999992</v>
      </c>
      <c r="DQ51" s="14">
        <f t="shared" si="43"/>
        <v>25.251612622871896</v>
      </c>
      <c r="DR51" s="22">
        <f t="shared" si="16"/>
        <v>205.69573198483519</v>
      </c>
      <c r="DS51" s="62">
        <f t="shared" si="17"/>
        <v>499.02906531816848</v>
      </c>
      <c r="DT51" s="62">
        <f ca="1">AVERAGE(OFFSET($DS$3,0,0,'Données projet'!$E$14+1,1))-AVERAGE(OFFSET($H$3,0,0,'Données projet'!$E$14+1,1))</f>
        <v>154.0837760161366</v>
      </c>
      <c r="DU51" s="62">
        <f t="shared" si="44"/>
        <v>96.484500841546037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13.93250000000001</v>
      </c>
      <c r="EJ51" s="13">
        <f>IF('Données projet'!$A$192&gt;35,EJ50+EI51-ER50,IF(A51&lt;'Données projet'!$A$192,$EG$205^A51,IF(A51='Données projet'!$A$192,'Données projet'!$B$192,EJ50+EI51-ER50)))</f>
        <v>294.99200231481478</v>
      </c>
      <c r="EK51" s="18">
        <f>EJ51*VLOOKUP('Données projet'!$B$15,Paramètres!$A$1:$I$89,3,0)*VLOOKUP('Données projet'!$B$15,Paramètres!$A$1:$I$89,5,0)</f>
        <v>197.88063515277776</v>
      </c>
      <c r="EL51" s="14">
        <f t="shared" si="45"/>
        <v>49.27810708145455</v>
      </c>
      <c r="EM51" s="22">
        <f t="shared" si="19"/>
        <v>430.4681427246212</v>
      </c>
      <c r="EN51" s="62">
        <f t="shared" si="20"/>
        <v>723.80147605795446</v>
      </c>
      <c r="EO51" s="62">
        <f ca="1">AVERAGE(OFFSET($EN$3,0,0,'Données projet'!$E$15+1,1))-AVERAGE(OFFSET($H$3,0,0,'Données projet'!$E$15+1,1))</f>
        <v>205.35893113421139</v>
      </c>
      <c r="EP51" s="62">
        <f t="shared" si="46"/>
        <v>220.4399811285175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25.244765442923395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25.244765442923395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13.93250000000001</v>
      </c>
      <c r="FE51" s="13">
        <f>IF('Données projet'!$A$218&gt;35,FE50+FD51-FM50,IF(A51&lt;'Données projet'!$A$218,$FB$205^A51,IF(A51='Données projet'!$A$218,'Données projet'!$B$218,FE50+FD51-FM50)))</f>
        <v>294.99200231481478</v>
      </c>
      <c r="FF51" s="18">
        <f>FE51*VLOOKUP('Données projet'!$B$16,Paramètres!$A$1:$I$89,3,0)*VLOOKUP('Données projet'!$B$16,Paramètres!$A$1:$I$89,5,0)</f>
        <v>230.09376180555554</v>
      </c>
      <c r="FG51" s="14">
        <f t="shared" si="47"/>
        <v>56.302954544721317</v>
      </c>
      <c r="FH51" s="22">
        <f t="shared" si="22"/>
        <v>498.80761431006545</v>
      </c>
      <c r="FI51" s="62">
        <f t="shared" si="23"/>
        <v>792.1409476433987</v>
      </c>
      <c r="FJ51" s="62">
        <f ca="1">AVERAGE(OFFSET($FI$3,0,0,'Données projet'!$E$16+1,1))-AVERAGE(OFFSET($H$3,0,0,'Données projet'!$E$16+1,1))</f>
        <v>242.81177364426878</v>
      </c>
      <c r="FK51" s="62">
        <f t="shared" si="48"/>
        <v>260.72115764896671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23.815816455588106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23.815816455588106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13.93250000000001</v>
      </c>
      <c r="FZ51" s="13">
        <f>IF('Données projet'!$A$244&gt;35,FZ50+FY51-GH50,IF(A51&lt;'Données projet'!$A$244,$FW$205^A51,IF(A51='Données projet'!$A$244,'Données projet'!$B$244,FZ50+FY51-GH50)))</f>
        <v>294.99200231481478</v>
      </c>
      <c r="GA51" s="18">
        <f>FZ51*VLOOKUP('Données projet'!$B$17,Paramètres!$A$1:$I$89,3,0)*VLOOKUP('Données projet'!$B$17,Paramètres!$A$1:$I$89,5,0)</f>
        <v>234.69563704166663</v>
      </c>
      <c r="GB51" s="14">
        <f t="shared" si="49"/>
        <v>57.296790723681049</v>
      </c>
      <c r="GC51" s="22">
        <f t="shared" si="25"/>
        <v>508.55347835798051</v>
      </c>
      <c r="GD51" s="62">
        <f t="shared" si="26"/>
        <v>801.88681169131382</v>
      </c>
      <c r="GE51" s="62">
        <f ca="1">AVERAGE(OFFSET($GD$3,0,0,'Données projet'!$E$17+1,1))-AVERAGE(OFFSET($H$3,0,0,'Données projet'!$E$17+1,1))</f>
        <v>248.15263300983543</v>
      </c>
      <c r="GF51" s="62">
        <f t="shared" si="50"/>
        <v>266.46511459244618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29.941465990444023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29.941465990444023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17.8</v>
      </c>
      <c r="N52" s="14">
        <f>IF('Données projet'!$A$36&gt;35,N51+M52-V51,IF(A52&lt;'Données projet'!$A$36,$K$205^A52,IF(A52='Données projet'!$A$36,'Données projet'!$B$36,N51+M52-V51)))</f>
        <v>611.19999999999982</v>
      </c>
      <c r="O52" s="14">
        <f>N52*VLOOKUP('Données projet'!$B$9,Paramètres!$A$1:$I$89,3,0)*VLOOKUP('Données projet'!$B$9,Paramètres!$A$1:$I$89,5,0)</f>
        <v>341.66079999999988</v>
      </c>
      <c r="P52" s="14">
        <f t="shared" si="33"/>
        <v>79.842980844864144</v>
      </c>
      <c r="Q52" s="22">
        <f t="shared" si="53"/>
        <v>734.11908497147158</v>
      </c>
      <c r="R52" s="62">
        <f t="shared" si="0"/>
        <v>1027.452418304805</v>
      </c>
      <c r="S52" s="62">
        <f ca="1">AVERAGE(OFFSET($R$3,0,0,'Données projet'!$E$9+1,1))-AVERAGE(OFFSET($H$3,0,0,'Données projet'!$E$9+1,1))</f>
        <v>382.55387448074327</v>
      </c>
      <c r="T52" s="62">
        <f t="shared" si="34"/>
        <v>476.29465646955543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60.119099065935529</v>
      </c>
      <c r="AA52" s="23">
        <f>EXP(-LN(2)/25)*AA51+(1-EXP(-LN(2)/25))/(LN(2)/25)*Calculateur!V52*Calculateur!X52*VLOOKUP('Données projet'!$B$9,Paramètres!$A$1:$I$89,3,0)*0.475*44/12</f>
        <v>19.546038498316875</v>
      </c>
      <c r="AB52" s="23">
        <f>EXP(-LN(2)/2)*AB51+(1-EXP(-LN(2)/2))/(LN(2)/2)*V52*Y52*VLOOKUP('Données projet'!$B$9,Paramètres!$A$1:$I$89,3,0)*0.475*44/12</f>
        <v>1.6992722297812126</v>
      </c>
      <c r="AC52" s="24">
        <f t="shared" si="3"/>
        <v>81.36440979403362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16</v>
      </c>
      <c r="AI52" s="14">
        <f>IF('Données projet'!$A$62&gt;35,AI51+AH52-AQ51,IF(A52&lt;'Données projet'!$A$62,$AF$205^A52,IF(A52='Données projet'!$A$62,'Données projet'!$B$62,AI51+AH52-AQ51)))</f>
        <v>492.99999999999966</v>
      </c>
      <c r="AJ52" s="14">
        <f>AI52*VLOOKUP('Données projet'!$B$10,Paramètres!$A$1:$I$89,3,0)*VLOOKUP('Données projet'!$B$10,Paramètres!$A$1:$I$89,5,0)</f>
        <v>307.63199999999978</v>
      </c>
      <c r="AK52" s="14">
        <f t="shared" si="35"/>
        <v>72.774077039465496</v>
      </c>
      <c r="AL52" s="22">
        <f t="shared" si="4"/>
        <v>662.54058417706869</v>
      </c>
      <c r="AM52" s="62">
        <f t="shared" si="5"/>
        <v>955.87391751040195</v>
      </c>
      <c r="AN52" s="62">
        <f ca="1">AVERAGE(OFFSET($AM$3,0,0,'Données projet'!$E$10+1,1))-AVERAGE(OFFSET($H$3,0,0,'Données projet'!$E$10+1,1))</f>
        <v>482.28841373508675</v>
      </c>
      <c r="AO52" s="62">
        <f t="shared" si="36"/>
        <v>746.97309214631684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136.06240937928845</v>
      </c>
      <c r="AV52" s="23">
        <f>EXP(-LN(2)/25)*AV51+(1-EXP(-LN(2)/25))/(LN(2)/25)*Calculateur!AQ52*Calculateur!AS52*VLOOKUP('Données projet'!$B$10,Paramètres!$A$1:$I$89,3,0)*0.475*44/12</f>
        <v>30.373977432015135</v>
      </c>
      <c r="AW52" s="23">
        <f>EXP(-LN(2)/2)*AW51+(1-EXP(-LN(2)/2))/(LN(2)/2)*AQ52*AT52*VLOOKUP('Données projet'!$B$10,Paramètres!$A$1:$I$89,3,0)*0.475*44/12</f>
        <v>9.2449912592046868</v>
      </c>
      <c r="AX52" s="23">
        <f t="shared" si="6"/>
        <v>175.68137807050826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16</v>
      </c>
      <c r="BD52" s="13">
        <f>IF('Données projet'!$A$88&gt;35,BD51+BC52-BL51,IF(A52&lt;'Données projet'!$A$88,$BA$205^A52,IF(A52='Données projet'!$A$88,'Données projet'!$B$88,BD51+BC52-BL51)))</f>
        <v>492.99999999999966</v>
      </c>
      <c r="BE52" s="14">
        <f>BD52*VLOOKUP('Données projet'!$B$11,Paramètres!$A$1:$I$89,3,0)*VLOOKUP('Données projet'!$B$11,Paramètres!$A$1:$I$89,5,0)</f>
        <v>269.17799999999983</v>
      </c>
      <c r="BF52" s="14">
        <f t="shared" si="37"/>
        <v>64.674789196812398</v>
      </c>
      <c r="BG52" s="22">
        <f t="shared" si="7"/>
        <v>581.46027451778127</v>
      </c>
      <c r="BH52" s="62">
        <f t="shared" si="8"/>
        <v>874.79360785111453</v>
      </c>
      <c r="BI52" s="62">
        <f ca="1">AVERAGE(OFFSET($BH$3,0,0,'Données projet'!$E$11+1,1))-AVERAGE(OFFSET($H$3,0,0,'Données projet'!$E$11+1,1))</f>
        <v>417.99456559608217</v>
      </c>
      <c r="BJ52" s="62">
        <f t="shared" si="38"/>
        <v>651.41353014863932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119.05460820687739</v>
      </c>
      <c r="BQ52" s="23">
        <f>EXP(-LN(2)/25)*BQ51+(1-EXP(-LN(2)/25))/(LN(2)/25)*Calculateur!BL52*Calculateur!BN52*VLOOKUP('Données projet'!$B$11,Paramètres!$A$1:$I$89,3,0)*0.475*44/12</f>
        <v>26.893625851263398</v>
      </c>
      <c r="BR52" s="23">
        <f>EXP(-LN(2)/2)*BR51+(1-EXP(-LN(2)/2))/(LN(2)/2)*BL52*BO52*VLOOKUP('Données projet'!$B$11,Paramètres!$A$1:$I$89,3,0)*0.475*44/12</f>
        <v>7.9668011798070699</v>
      </c>
      <c r="BS52" s="24">
        <f t="shared" si="9"/>
        <v>153.91503523794788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5.75</v>
      </c>
      <c r="BY52" s="13">
        <f>IF('Données projet'!$A$114&gt;35,BY51+BX52-CG51,IF(A52&lt;'Données projet'!$A$114,$BV$205^A52,IF(A52='Données projet'!$A$114,'Données projet'!$B$114,BY51+BX52-CG51)))</f>
        <v>97.750000000000014</v>
      </c>
      <c r="BZ52" s="14">
        <f>BY52*VLOOKUP('Données projet'!$B$12,Paramètres!$A$1:$I$89,3,0)*VLOOKUP('Données projet'!$B$12,Paramètres!$A$1:$I$89,5,0)</f>
        <v>88.444200000000009</v>
      </c>
      <c r="CA52" s="14">
        <f t="shared" si="39"/>
        <v>24.189623542231114</v>
      </c>
      <c r="CB52" s="22">
        <f t="shared" si="10"/>
        <v>196.17057600271923</v>
      </c>
      <c r="CC52" s="62">
        <f t="shared" si="11"/>
        <v>489.50390933605252</v>
      </c>
      <c r="CD52" s="62">
        <f ca="1">AVERAGE(OFFSET($CC$3,0,0,'Données projet'!$E$12+1,1))-AVERAGE(OFFSET($H$3,0,0,'Données projet'!$E$12+1,1))</f>
        <v>213.07277043804817</v>
      </c>
      <c r="CE52" s="62">
        <f t="shared" si="40"/>
        <v>129.14539883354166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5.75</v>
      </c>
      <c r="CT52" s="13">
        <f>IF('Données projet'!$A$140&gt;35,CT51+CS52-DB51,IF(A52&lt;'Données projet'!$A$140,$CQ$205^A52,IF(A52='Données projet'!$A$140,'Données projet'!$B$140,CT51+CS52-DB51)))</f>
        <v>97.750000000000014</v>
      </c>
      <c r="CU52" s="18">
        <f>CT52*VLOOKUP('Données projet'!$B$13,Paramètres!$A$1:$I$89,3,0)*VLOOKUP('Données projet'!$B$13,Paramètres!$A$1:$I$89,5,0)</f>
        <v>99.118500000000012</v>
      </c>
      <c r="CV52" s="14">
        <f t="shared" si="41"/>
        <v>26.751884234249314</v>
      </c>
      <c r="CW52" s="22">
        <f t="shared" si="13"/>
        <v>219.22425254131755</v>
      </c>
      <c r="CX52" s="62">
        <f t="shared" si="14"/>
        <v>512.55758587465084</v>
      </c>
      <c r="CY52" s="62">
        <f ca="1">AVERAGE(OFFSET($CX$3,0,0,'Données projet'!$E$13+1,1))-AVERAGE(OFFSET($H$3,0,0,'Données projet'!$E$13+1,1))</f>
        <v>247.92503505485405</v>
      </c>
      <c r="CZ52" s="62">
        <f t="shared" si="42"/>
        <v>148.26437652597514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2</v>
      </c>
      <c r="DO52" s="13">
        <f>IF('Données projet'!$A$166&gt;35,DO51+DN52-DW51,IF(A52&lt;'Données projet'!$A$166,$DL$205^A52,IF(A52='Données projet'!$A$166,'Données projet'!$B$166,DO51+DN52-DW51)))</f>
        <v>98</v>
      </c>
      <c r="DP52" s="18">
        <f>DO52*VLOOKUP('Données projet'!$B$14,Paramètres!$A$1:$I$89,3,0)*VLOOKUP('Données projet'!$B$14,Paramètres!$A$1:$I$89,5,0)</f>
        <v>94.785600000000002</v>
      </c>
      <c r="DQ52" s="14">
        <f t="shared" si="43"/>
        <v>25.715893428674526</v>
      </c>
      <c r="DR52" s="22">
        <f t="shared" si="16"/>
        <v>209.87343438827483</v>
      </c>
      <c r="DS52" s="62">
        <f t="shared" si="17"/>
        <v>503.20676772160812</v>
      </c>
      <c r="DT52" s="62">
        <f ca="1">AVERAGE(OFFSET($DS$3,0,0,'Données projet'!$E$14+1,1))-AVERAGE(OFFSET($H$3,0,0,'Données projet'!$E$14+1,1))</f>
        <v>154.0837760161366</v>
      </c>
      <c r="DU52" s="62">
        <f t="shared" si="44"/>
        <v>96.484500841546037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13.93250000000001</v>
      </c>
      <c r="EJ52" s="13">
        <f>IF('Données projet'!$A$192&gt;35,EJ51+EI52-ER51,IF(A52&lt;'Données projet'!$A$192,$EG$205^A52,IF(A52='Données projet'!$A$192,'Données projet'!$B$192,EJ51+EI52-ER51)))</f>
        <v>308.92450231481479</v>
      </c>
      <c r="EK52" s="18">
        <f>EJ52*VLOOKUP('Données projet'!$B$15,Paramètres!$A$1:$I$89,3,0)*VLOOKUP('Données projet'!$B$15,Paramètres!$A$1:$I$89,5,0)</f>
        <v>207.22655615277776</v>
      </c>
      <c r="EL52" s="14">
        <f t="shared" si="45"/>
        <v>51.32905028558055</v>
      </c>
      <c r="EM52" s="22">
        <f t="shared" si="19"/>
        <v>450.31768121347403</v>
      </c>
      <c r="EN52" s="62">
        <f t="shared" si="20"/>
        <v>743.65101454680735</v>
      </c>
      <c r="EO52" s="62">
        <f ca="1">AVERAGE(OFFSET($EN$3,0,0,'Données projet'!$E$15+1,1))-AVERAGE(OFFSET($H$3,0,0,'Données projet'!$E$15+1,1))</f>
        <v>205.35893113421139</v>
      </c>
      <c r="EP52" s="62">
        <f t="shared" si="46"/>
        <v>220.4399811285175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24.749730990374182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24.749730990374182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13.93250000000001</v>
      </c>
      <c r="FE52" s="13">
        <f>IF('Données projet'!$A$218&gt;35,FE51+FD52-FM51,IF(A52&lt;'Données projet'!$A$218,$FB$205^A52,IF(A52='Données projet'!$A$218,'Données projet'!$B$218,FE51+FD52-FM51)))</f>
        <v>308.92450231481479</v>
      </c>
      <c r="FF52" s="18">
        <f>FE52*VLOOKUP('Données projet'!$B$16,Paramètres!$A$1:$I$89,3,0)*VLOOKUP('Données projet'!$B$16,Paramètres!$A$1:$I$89,5,0)</f>
        <v>240.96111180555553</v>
      </c>
      <c r="FG52" s="14">
        <f t="shared" si="47"/>
        <v>58.646270244832017</v>
      </c>
      <c r="FH52" s="22">
        <f t="shared" si="22"/>
        <v>521.81619040442502</v>
      </c>
      <c r="FI52" s="62">
        <f t="shared" si="23"/>
        <v>815.14952373775827</v>
      </c>
      <c r="FJ52" s="62">
        <f ca="1">AVERAGE(OFFSET($FI$3,0,0,'Données projet'!$E$16+1,1))-AVERAGE(OFFSET($H$3,0,0,'Données projet'!$E$16+1,1))</f>
        <v>242.81177364426878</v>
      </c>
      <c r="FK52" s="62">
        <f t="shared" si="48"/>
        <v>260.72115764896671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23.348802821107718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23.348802821107718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13.93250000000001</v>
      </c>
      <c r="FZ52" s="13">
        <f>IF('Données projet'!$A$244&gt;35,FZ51+FY52-GH51,IF(A52&lt;'Données projet'!$A$244,$FW$205^A52,IF(A52='Données projet'!$A$244,'Données projet'!$B$244,FZ51+FY52-GH51)))</f>
        <v>308.92450231481479</v>
      </c>
      <c r="GA52" s="18">
        <f>FZ52*VLOOKUP('Données projet'!$B$17,Paramètres!$A$1:$I$89,3,0)*VLOOKUP('Données projet'!$B$17,Paramètres!$A$1:$I$89,5,0)</f>
        <v>245.78033404166666</v>
      </c>
      <c r="GB52" s="14">
        <f t="shared" si="49"/>
        <v>59.681469651358206</v>
      </c>
      <c r="GC52" s="22">
        <f t="shared" si="25"/>
        <v>532.01264143201831</v>
      </c>
      <c r="GD52" s="62">
        <f t="shared" si="26"/>
        <v>825.34597476535168</v>
      </c>
      <c r="GE52" s="62">
        <f ca="1">AVERAGE(OFFSET($GD$3,0,0,'Données projet'!$E$17+1,1))-AVERAGE(OFFSET($H$3,0,0,'Données projet'!$E$17+1,1))</f>
        <v>248.15263300983543</v>
      </c>
      <c r="GF52" s="62">
        <f t="shared" si="50"/>
        <v>266.46511459244618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29.354332104862397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29.354332104862397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629</v>
      </c>
      <c r="L53" s="13">
        <f>VLOOKUP(A53,'Données projet'!$A$35:$I$55,9,0)</f>
        <v>17.8</v>
      </c>
      <c r="M53" s="13">
        <f t="array" ref="M53">INDEX(L:L,MIN(IF(ISNUMBER(L53:L249),ROW(L53:L249),"")))</f>
        <v>17.8</v>
      </c>
      <c r="N53" s="14">
        <f>IF('Données projet'!$A$36&gt;35,N52+M53-V52,IF(A53&lt;'Données projet'!$A$36,$K$205^A53,IF(A53='Données projet'!$A$36,'Données projet'!$B$36,N52+M53-V52)))</f>
        <v>628.99999999999977</v>
      </c>
      <c r="O53" s="14">
        <f>N53*VLOOKUP('Données projet'!$B$9,Paramètres!$A$1:$I$89,3,0)*VLOOKUP('Données projet'!$B$9,Paramètres!$A$1:$I$89,5,0)</f>
        <v>351.61099999999988</v>
      </c>
      <c r="P53" s="14">
        <f t="shared" si="33"/>
        <v>81.89414415728541</v>
      </c>
      <c r="Q53" s="22">
        <f t="shared" si="53"/>
        <v>755.02145940727178</v>
      </c>
      <c r="R53" s="62">
        <f t="shared" si="0"/>
        <v>1048.354792740605</v>
      </c>
      <c r="S53" s="62">
        <f ca="1">AVERAGE(OFFSET($R$3,0,0,'Données projet'!$E$9+1,1))-AVERAGE(OFFSET($H$3,0,0,'Données projet'!$E$9+1,1))</f>
        <v>382.55387448074327</v>
      </c>
      <c r="T53" s="62">
        <f t="shared" si="34"/>
        <v>476.29465646955543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48</v>
      </c>
      <c r="W53" s="17">
        <f>IF(ISNA(VLOOKUP(A53,'Données projet'!$A$35:$I$55,5,0)),0%,VLOOKUP(A53,'Données projet'!$A$35:$I$55,5,0)*VLOOKUP('Données projet'!$B$9,Paramètres!$A$1:$I$89,7,0))</f>
        <v>0.38500000000000001</v>
      </c>
      <c r="X53" s="17">
        <f>IF(ISNA(VLOOKUP(A53,'Données projet'!$A$35:$I$55,6,0)),0%,VLOOKUP(A53,'Données projet'!$A$35:$I$55,6,0)*VLOOKUP('Données projet'!$B$9,Paramètres!$A$1:$I$89,7,0))</f>
        <v>9.240000000000001E-2</v>
      </c>
      <c r="Y53" s="17">
        <f>IF(ISNA(VLOOKUP(A53,'Données projet'!$A$35:$I$55,7,0)),0%,VLOOKUP(A53,'Données projet'!$A$35:$I$55,7,0))</f>
        <v>0.13200000000000001</v>
      </c>
      <c r="Z53" s="23">
        <f>EXP(-LN(2)/35)*Z52+(1-EXP(-LN(2)/35))/(LN(2)/35)*V53*W53*VLOOKUP('Données projet'!$B$9,Paramètres!$A$1:$I$89,3,0)*0.475*44/12</f>
        <v>72.64403552759839</v>
      </c>
      <c r="AA53" s="23">
        <f>EXP(-LN(2)/25)*AA52+(1-EXP(-LN(2)/25))/(LN(2)/25)*Calculateur!V53*Calculateur!X53*VLOOKUP('Données projet'!$B$9,Paramètres!$A$1:$I$89,3,0)*0.475*44/12</f>
        <v>22.287521792675662</v>
      </c>
      <c r="AB53" s="23">
        <f>EXP(-LN(2)/2)*AB52+(1-EXP(-LN(2)/2))/(LN(2)/2)*V53*Y53*VLOOKUP('Données projet'!$B$9,Paramètres!$A$1:$I$89,3,0)*0.475*44/12</f>
        <v>5.2117344417146576</v>
      </c>
      <c r="AC53" s="24">
        <f t="shared" si="3"/>
        <v>100.14329176198871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16</v>
      </c>
      <c r="AI53" s="14">
        <f>IF('Données projet'!$A$62&gt;35,AI52+AH53-AQ52,IF(A53&lt;'Données projet'!$A$62,$AF$205^A53,IF(A53='Données projet'!$A$62,'Données projet'!$B$62,AI52+AH53-AQ52)))</f>
        <v>508.99999999999966</v>
      </c>
      <c r="AJ53" s="14">
        <f>AI53*VLOOKUP('Données projet'!$B$10,Paramètres!$A$1:$I$89,3,0)*VLOOKUP('Données projet'!$B$10,Paramètres!$A$1:$I$89,5,0)</f>
        <v>317.61599999999976</v>
      </c>
      <c r="AK53" s="14">
        <f t="shared" si="35"/>
        <v>74.857100423703955</v>
      </c>
      <c r="AL53" s="22">
        <f t="shared" si="4"/>
        <v>683.55731657128399</v>
      </c>
      <c r="AM53" s="62">
        <f t="shared" si="5"/>
        <v>976.89064990461725</v>
      </c>
      <c r="AN53" s="62">
        <f ca="1">AVERAGE(OFFSET($AM$3,0,0,'Données projet'!$E$10+1,1))-AVERAGE(OFFSET($H$3,0,0,'Données projet'!$E$10+1,1))</f>
        <v>482.28841373508675</v>
      </c>
      <c r="AO53" s="62">
        <f t="shared" si="36"/>
        <v>746.97309214631684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133.39430852123576</v>
      </c>
      <c r="AV53" s="23">
        <f>EXP(-LN(2)/25)*AV52+(1-EXP(-LN(2)/25))/(LN(2)/25)*Calculateur!AQ53*Calculateur!AS53*VLOOKUP('Données projet'!$B$10,Paramètres!$A$1:$I$89,3,0)*0.475*44/12</f>
        <v>29.543399421838629</v>
      </c>
      <c r="AW53" s="23">
        <f>EXP(-LN(2)/2)*AW52+(1-EXP(-LN(2)/2))/(LN(2)/2)*AQ53*AT53*VLOOKUP('Données projet'!$B$10,Paramètres!$A$1:$I$89,3,0)*0.475*44/12</f>
        <v>6.5371960113939931</v>
      </c>
      <c r="AX53" s="23">
        <f t="shared" si="6"/>
        <v>169.47490395446837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16</v>
      </c>
      <c r="BD53" s="13">
        <f>IF('Données projet'!$A$88&gt;35,BD52+BC53-BL52,IF(A53&lt;'Données projet'!$A$88,$BA$205^A53,IF(A53='Données projet'!$A$88,'Données projet'!$B$88,BD52+BC53-BL52)))</f>
        <v>508.99999999999966</v>
      </c>
      <c r="BE53" s="14">
        <f>BD53*VLOOKUP('Données projet'!$B$11,Paramètres!$A$1:$I$89,3,0)*VLOOKUP('Données projet'!$B$11,Paramètres!$A$1:$I$89,5,0)</f>
        <v>277.91399999999982</v>
      </c>
      <c r="BF53" s="14">
        <f t="shared" si="37"/>
        <v>66.525985443445521</v>
      </c>
      <c r="BG53" s="22">
        <f t="shared" si="7"/>
        <v>599.89964131400052</v>
      </c>
      <c r="BH53" s="62">
        <f t="shared" si="8"/>
        <v>893.23297464733378</v>
      </c>
      <c r="BI53" s="62">
        <f ca="1">AVERAGE(OFFSET($BH$3,0,0,'Données projet'!$E$11+1,1))-AVERAGE(OFFSET($H$3,0,0,'Données projet'!$E$11+1,1))</f>
        <v>417.99456559608217</v>
      </c>
      <c r="BJ53" s="62">
        <f t="shared" si="38"/>
        <v>651.41353014863932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116.72001995608129</v>
      </c>
      <c r="BQ53" s="23">
        <f>EXP(-LN(2)/25)*BQ52+(1-EXP(-LN(2)/25))/(LN(2)/25)*Calculateur!BL53*Calculateur!BN53*VLOOKUP('Données projet'!$B$11,Paramètres!$A$1:$I$89,3,0)*0.475*44/12</f>
        <v>26.158218238086281</v>
      </c>
      <c r="BR53" s="23">
        <f>EXP(-LN(2)/2)*BR52+(1-EXP(-LN(2)/2))/(LN(2)/2)*BL53*BO53*VLOOKUP('Données projet'!$B$11,Paramètres!$A$1:$I$89,3,0)*0.475*44/12</f>
        <v>5.6333791386065668</v>
      </c>
      <c r="BS53" s="24">
        <f t="shared" si="9"/>
        <v>148.51161733277414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5.75</v>
      </c>
      <c r="BY53" s="13">
        <f>IF('Données projet'!$A$114&gt;35,BY52+BX53-CG52,IF(A53&lt;'Données projet'!$A$114,$BV$205^A53,IF(A53='Données projet'!$A$114,'Données projet'!$B$114,BY52+BX53-CG52)))</f>
        <v>103.50000000000001</v>
      </c>
      <c r="BZ53" s="14">
        <f>BY53*VLOOKUP('Données projet'!$B$12,Paramètres!$A$1:$I$89,3,0)*VLOOKUP('Données projet'!$B$12,Paramètres!$A$1:$I$89,5,0)</f>
        <v>93.646799999999999</v>
      </c>
      <c r="CA53" s="14">
        <f t="shared" si="39"/>
        <v>25.442701819587722</v>
      </c>
      <c r="CB53" s="22">
        <f t="shared" si="10"/>
        <v>207.41421566911529</v>
      </c>
      <c r="CC53" s="62">
        <f t="shared" si="11"/>
        <v>500.74754900244864</v>
      </c>
      <c r="CD53" s="62">
        <f ca="1">AVERAGE(OFFSET($CC$3,0,0,'Données projet'!$E$12+1,1))-AVERAGE(OFFSET($H$3,0,0,'Données projet'!$E$12+1,1))</f>
        <v>213.07277043804817</v>
      </c>
      <c r="CE53" s="62">
        <f t="shared" si="40"/>
        <v>129.14539883354166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5.75</v>
      </c>
      <c r="CT53" s="13">
        <f>IF('Données projet'!$A$140&gt;35,CT52+CS53-DB52,IF(A53&lt;'Données projet'!$A$140,$CQ$205^A53,IF(A53='Données projet'!$A$140,'Données projet'!$B$140,CT52+CS53-DB52)))</f>
        <v>103.50000000000001</v>
      </c>
      <c r="CU53" s="18">
        <f>CT53*VLOOKUP('Données projet'!$B$13,Paramètres!$A$1:$I$89,3,0)*VLOOKUP('Données projet'!$B$13,Paramètres!$A$1:$I$89,5,0)</f>
        <v>104.94900000000001</v>
      </c>
      <c r="CV53" s="14">
        <f t="shared" si="41"/>
        <v>28.137693523665153</v>
      </c>
      <c r="CW53" s="22">
        <f t="shared" si="13"/>
        <v>231.79265788705015</v>
      </c>
      <c r="CX53" s="62">
        <f t="shared" si="14"/>
        <v>525.12599122038341</v>
      </c>
      <c r="CY53" s="62">
        <f ca="1">AVERAGE(OFFSET($CX$3,0,0,'Données projet'!$E$13+1,1))-AVERAGE(OFFSET($H$3,0,0,'Données projet'!$E$13+1,1))</f>
        <v>247.92503505485405</v>
      </c>
      <c r="CZ53" s="62">
        <f t="shared" si="42"/>
        <v>148.26437652597514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2</v>
      </c>
      <c r="DO53" s="13">
        <f>IF('Données projet'!$A$166&gt;35,DO52+DN53-DW52,IF(A53&lt;'Données projet'!$A$166,$DL$205^A53,IF(A53='Données projet'!$A$166,'Données projet'!$B$166,DO52+DN53-DW52)))</f>
        <v>100</v>
      </c>
      <c r="DP53" s="18">
        <f>DO53*VLOOKUP('Données projet'!$B$14,Paramètres!$A$1:$I$89,3,0)*VLOOKUP('Données projet'!$B$14,Paramètres!$A$1:$I$89,5,0)</f>
        <v>96.72</v>
      </c>
      <c r="DQ53" s="14">
        <f t="shared" si="43"/>
        <v>26.179072558792139</v>
      </c>
      <c r="DR53" s="22">
        <f t="shared" si="16"/>
        <v>214.04921803989632</v>
      </c>
      <c r="DS53" s="62">
        <f t="shared" si="17"/>
        <v>507.3825513732296</v>
      </c>
      <c r="DT53" s="62">
        <f ca="1">AVERAGE(OFFSET($DS$3,0,0,'Données projet'!$E$14+1,1))-AVERAGE(OFFSET($H$3,0,0,'Données projet'!$E$14+1,1))</f>
        <v>154.0837760161366</v>
      </c>
      <c r="DU53" s="62">
        <f t="shared" si="44"/>
        <v>96.484500841546037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13.93250000000001</v>
      </c>
      <c r="EJ53" s="13">
        <f>IF('Données projet'!$A$192&gt;35,EJ52+EI53-ER52,IF(A53&lt;'Données projet'!$A$192,$EG$205^A53,IF(A53='Données projet'!$A$192,'Données projet'!$B$192,EJ52+EI53-ER52)))</f>
        <v>322.85700231481479</v>
      </c>
      <c r="EK53" s="18">
        <f>EJ53*VLOOKUP('Données projet'!$B$15,Paramètres!$A$1:$I$89,3,0)*VLOOKUP('Données projet'!$B$15,Paramètres!$A$1:$I$89,5,0)</f>
        <v>216.57247715277776</v>
      </c>
      <c r="EL53" s="14">
        <f t="shared" si="45"/>
        <v>53.3692511383057</v>
      </c>
      <c r="EM53" s="22">
        <f t="shared" si="19"/>
        <v>470.14851010697026</v>
      </c>
      <c r="EN53" s="62">
        <f t="shared" si="20"/>
        <v>763.48184344030358</v>
      </c>
      <c r="EO53" s="62">
        <f ca="1">AVERAGE(OFFSET($EN$3,0,0,'Données projet'!$E$15+1,1))-AVERAGE(OFFSET($H$3,0,0,'Données projet'!$E$15+1,1))</f>
        <v>205.35893113421139</v>
      </c>
      <c r="EP53" s="62">
        <f t="shared" si="46"/>
        <v>220.4399811285175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24.264403861498259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24.264403861498259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13.93250000000001</v>
      </c>
      <c r="FE53" s="13">
        <f>IF('Données projet'!$A$218&gt;35,FE52+FD53-FM52,IF(A53&lt;'Données projet'!$A$218,$FB$205^A53,IF(A53='Données projet'!$A$218,'Données projet'!$B$218,FE52+FD53-FM52)))</f>
        <v>322.85700231481479</v>
      </c>
      <c r="FF53" s="18">
        <f>FE53*VLOOKUP('Données projet'!$B$16,Paramètres!$A$1:$I$89,3,0)*VLOOKUP('Données projet'!$B$16,Paramètres!$A$1:$I$89,5,0)</f>
        <v>251.82846180555555</v>
      </c>
      <c r="FG53" s="14">
        <f t="shared" si="47"/>
        <v>60.977312216132063</v>
      </c>
      <c r="FH53" s="22">
        <f t="shared" si="22"/>
        <v>544.80338975443931</v>
      </c>
      <c r="FI53" s="62">
        <f t="shared" si="23"/>
        <v>838.13672308777268</v>
      </c>
      <c r="FJ53" s="62">
        <f ca="1">AVERAGE(OFFSET($FI$3,0,0,'Données projet'!$E$16+1,1))-AVERAGE(OFFSET($H$3,0,0,'Données projet'!$E$16+1,1))</f>
        <v>242.81177364426878</v>
      </c>
      <c r="FK53" s="62">
        <f t="shared" si="48"/>
        <v>260.72115764896671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22.8909470391493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22.8909470391493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13.93250000000001</v>
      </c>
      <c r="FZ53" s="13">
        <f>IF('Données projet'!$A$244&gt;35,FZ52+FY53-GH52,IF(A53&lt;'Données projet'!$A$244,$FW$205^A53,IF(A53='Données projet'!$A$244,'Données projet'!$B$244,FZ52+FY53-GH52)))</f>
        <v>322.85700231481479</v>
      </c>
      <c r="GA53" s="18">
        <f>FZ53*VLOOKUP('Données projet'!$B$17,Paramètres!$A$1:$I$89,3,0)*VLOOKUP('Données projet'!$B$17,Paramètres!$A$1:$I$89,5,0)</f>
        <v>256.86503104166667</v>
      </c>
      <c r="GB53" s="14">
        <f t="shared" si="49"/>
        <v>62.053658199502841</v>
      </c>
      <c r="GC53" s="22">
        <f t="shared" si="25"/>
        <v>555.45005042837022</v>
      </c>
      <c r="GD53" s="62">
        <f t="shared" si="26"/>
        <v>848.78338376170359</v>
      </c>
      <c r="GE53" s="62">
        <f ca="1">AVERAGE(OFFSET($GD$3,0,0,'Données projet'!$E$17+1,1))-AVERAGE(OFFSET($H$3,0,0,'Données projet'!$E$17+1,1))</f>
        <v>248.15263300983543</v>
      </c>
      <c r="GF53" s="62">
        <f t="shared" si="50"/>
        <v>266.46511459244618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28.778711556660721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28.778711556660721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13.8</v>
      </c>
      <c r="N54" s="14">
        <f>IF('Données projet'!$A$36&gt;35,N53+M54-V53,IF(A54&lt;'Données projet'!$A$36,$K$205^A54,IF(A54='Données projet'!$A$36,'Données projet'!$B$36,N53+M54-V53)))</f>
        <v>594.79999999999973</v>
      </c>
      <c r="O54" s="14">
        <f>N54*VLOOKUP('Données projet'!$B$9,Paramètres!$A$1:$I$89,3,0)*VLOOKUP('Données projet'!$B$9,Paramètres!$A$1:$I$89,5,0)</f>
        <v>332.49319999999983</v>
      </c>
      <c r="P54" s="14">
        <f t="shared" si="33"/>
        <v>77.946984490524827</v>
      </c>
      <c r="Q54" s="22">
        <f t="shared" si="53"/>
        <v>714.84998798766367</v>
      </c>
      <c r="R54" s="62">
        <f t="shared" si="0"/>
        <v>1008.183321320997</v>
      </c>
      <c r="S54" s="62">
        <f ca="1">AVERAGE(OFFSET($R$3,0,0,'Données projet'!$E$9+1,1))-AVERAGE(OFFSET($H$3,0,0,'Données projet'!$E$9+1,1))</f>
        <v>382.55387448074327</v>
      </c>
      <c r="T54" s="62">
        <f t="shared" si="34"/>
        <v>476.29465646955543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71.219530299388765</v>
      </c>
      <c r="AA54" s="23">
        <f>EXP(-LN(2)/25)*AA53+(1-EXP(-LN(2)/25))/(LN(2)/25)*Calculateur!V54*Calculateur!X54*VLOOKUP('Données projet'!$B$9,Paramètres!$A$1:$I$89,3,0)*0.475*44/12</f>
        <v>21.678068337205115</v>
      </c>
      <c r="AB54" s="23">
        <f>EXP(-LN(2)/2)*AB53+(1-EXP(-LN(2)/2))/(LN(2)/2)*V54*Y54*VLOOKUP('Données projet'!$B$9,Paramètres!$A$1:$I$89,3,0)*0.475*44/12</f>
        <v>3.6852527654799201</v>
      </c>
      <c r="AC54" s="24">
        <f t="shared" si="3"/>
        <v>96.5828514020738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16</v>
      </c>
      <c r="AI54" s="14">
        <f>IF('Données projet'!$A$62&gt;35,AI53+AH54-AQ53,IF(A54&lt;'Données projet'!$A$62,$AF$205^A54,IF(A54='Données projet'!$A$62,'Données projet'!$B$62,AI53+AH54-AQ53)))</f>
        <v>524.99999999999966</v>
      </c>
      <c r="AJ54" s="14">
        <f>AI54*VLOOKUP('Données projet'!$B$10,Paramètres!$A$1:$I$89,3,0)*VLOOKUP('Données projet'!$B$10,Paramètres!$A$1:$I$89,5,0)</f>
        <v>327.5999999999998</v>
      </c>
      <c r="AK54" s="14">
        <f t="shared" si="35"/>
        <v>76.932514754922536</v>
      </c>
      <c r="AL54" s="22">
        <f t="shared" si="4"/>
        <v>704.5607965314897</v>
      </c>
      <c r="AM54" s="62">
        <f t="shared" si="5"/>
        <v>997.89412986482307</v>
      </c>
      <c r="AN54" s="62">
        <f ca="1">AVERAGE(OFFSET($AM$3,0,0,'Données projet'!$E$10+1,1))-AVERAGE(OFFSET($H$3,0,0,'Données projet'!$E$10+1,1))</f>
        <v>482.28841373508675</v>
      </c>
      <c r="AO54" s="62">
        <f t="shared" si="36"/>
        <v>746.97309214631684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130.77852749362864</v>
      </c>
      <c r="AV54" s="23">
        <f>EXP(-LN(2)/25)*AV53+(1-EXP(-LN(2)/25))/(LN(2)/25)*Calculateur!AQ54*Calculateur!AS54*VLOOKUP('Données projet'!$B$10,Paramètres!$A$1:$I$89,3,0)*0.475*44/12</f>
        <v>28.735533611028597</v>
      </c>
      <c r="AW54" s="23">
        <f>EXP(-LN(2)/2)*AW53+(1-EXP(-LN(2)/2))/(LN(2)/2)*AQ54*AT54*VLOOKUP('Données projet'!$B$10,Paramètres!$A$1:$I$89,3,0)*0.475*44/12</f>
        <v>4.6224956296023434</v>
      </c>
      <c r="AX54" s="23">
        <f t="shared" si="6"/>
        <v>164.13655673425959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16</v>
      </c>
      <c r="BD54" s="13">
        <f>IF('Données projet'!$A$88&gt;35,BD53+BC54-BL53,IF(A54&lt;'Données projet'!$A$88,$BA$205^A54,IF(A54='Données projet'!$A$88,'Données projet'!$B$88,BD53+BC54-BL53)))</f>
        <v>524.99999999999966</v>
      </c>
      <c r="BE54" s="14">
        <f>BD54*VLOOKUP('Données projet'!$B$11,Paramètres!$A$1:$I$89,3,0)*VLOOKUP('Données projet'!$B$11,Paramètres!$A$1:$I$89,5,0)</f>
        <v>286.64999999999981</v>
      </c>
      <c r="BF54" s="14">
        <f t="shared" si="37"/>
        <v>68.370419475838872</v>
      </c>
      <c r="BG54" s="22">
        <f t="shared" si="7"/>
        <v>618.32723058708575</v>
      </c>
      <c r="BH54" s="62">
        <f t="shared" si="8"/>
        <v>911.66056392041901</v>
      </c>
      <c r="BI54" s="62">
        <f ca="1">AVERAGE(OFFSET($BH$3,0,0,'Données projet'!$E$11+1,1))-AVERAGE(OFFSET($H$3,0,0,'Données projet'!$E$11+1,1))</f>
        <v>417.99456559608217</v>
      </c>
      <c r="BJ54" s="62">
        <f t="shared" si="38"/>
        <v>651.41353014863932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114.43121155692506</v>
      </c>
      <c r="BQ54" s="23">
        <f>EXP(-LN(2)/25)*BQ53+(1-EXP(-LN(2)/25))/(LN(2)/25)*Calculateur!BL54*Calculateur!BN54*VLOOKUP('Données projet'!$B$11,Paramètres!$A$1:$I$89,3,0)*0.475*44/12</f>
        <v>25.4429203847649</v>
      </c>
      <c r="BR54" s="23">
        <f>EXP(-LN(2)/2)*BR53+(1-EXP(-LN(2)/2))/(LN(2)/2)*BL54*BO54*VLOOKUP('Données projet'!$B$11,Paramètres!$A$1:$I$89,3,0)*0.475*44/12</f>
        <v>3.9834005899035354</v>
      </c>
      <c r="BS54" s="24">
        <f t="shared" si="9"/>
        <v>143.85753253159351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5.75</v>
      </c>
      <c r="BY54" s="13">
        <f>IF('Données projet'!$A$114&gt;35,BY53+BX54-CG53,IF(A54&lt;'Données projet'!$A$114,$BV$205^A54,IF(A54='Données projet'!$A$114,'Données projet'!$B$114,BY53+BX54-CG53)))</f>
        <v>109.25000000000001</v>
      </c>
      <c r="BZ54" s="14">
        <f>BY54*VLOOKUP('Données projet'!$B$12,Paramètres!$A$1:$I$89,3,0)*VLOOKUP('Données projet'!$B$12,Paramètres!$A$1:$I$89,5,0)</f>
        <v>98.849400000000003</v>
      </c>
      <c r="CA54" s="14">
        <f t="shared" si="39"/>
        <v>26.687698613342342</v>
      </c>
      <c r="CB54" s="22">
        <f t="shared" si="10"/>
        <v>218.64378008490459</v>
      </c>
      <c r="CC54" s="62">
        <f t="shared" si="11"/>
        <v>511.97711341823788</v>
      </c>
      <c r="CD54" s="62">
        <f ca="1">AVERAGE(OFFSET($CC$3,0,0,'Données projet'!$E$12+1,1))-AVERAGE(OFFSET($H$3,0,0,'Données projet'!$E$12+1,1))</f>
        <v>213.07277043804817</v>
      </c>
      <c r="CE54" s="62">
        <f t="shared" si="40"/>
        <v>129.14539883354166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5.75</v>
      </c>
      <c r="CT54" s="13">
        <f>IF('Données projet'!$A$140&gt;35,CT53+CS54-DB53,IF(A54&lt;'Données projet'!$A$140,$CQ$205^A54,IF(A54='Données projet'!$A$140,'Données projet'!$B$140,CT53+CS54-DB53)))</f>
        <v>109.25000000000001</v>
      </c>
      <c r="CU54" s="18">
        <f>CT54*VLOOKUP('Données projet'!$B$13,Paramètres!$A$1:$I$89,3,0)*VLOOKUP('Données projet'!$B$13,Paramètres!$A$1:$I$89,5,0)</f>
        <v>110.77950000000003</v>
      </c>
      <c r="CV54" s="14">
        <f t="shared" si="41"/>
        <v>29.514565306741407</v>
      </c>
      <c r="CW54" s="22">
        <f t="shared" si="13"/>
        <v>244.34549707590796</v>
      </c>
      <c r="CX54" s="62">
        <f t="shared" si="14"/>
        <v>537.6788304092413</v>
      </c>
      <c r="CY54" s="62">
        <f ca="1">AVERAGE(OFFSET($CX$3,0,0,'Données projet'!$E$13+1,1))-AVERAGE(OFFSET($H$3,0,0,'Données projet'!$E$13+1,1))</f>
        <v>247.92503505485405</v>
      </c>
      <c r="CZ54" s="62">
        <f t="shared" si="42"/>
        <v>148.26437652597514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2</v>
      </c>
      <c r="DO54" s="13">
        <f>IF('Données projet'!$A$166&gt;35,DO53+DN54-DW53,IF(A54&lt;'Données projet'!$A$166,$DL$205^A54,IF(A54='Données projet'!$A$166,'Données projet'!$B$166,DO53+DN54-DW53)))</f>
        <v>102</v>
      </c>
      <c r="DP54" s="18">
        <f>DO54*VLOOKUP('Données projet'!$B$14,Paramètres!$A$1:$I$89,3,0)*VLOOKUP('Données projet'!$B$14,Paramètres!$A$1:$I$89,5,0)</f>
        <v>98.65440000000001</v>
      </c>
      <c r="DQ54" s="14">
        <f t="shared" si="43"/>
        <v>26.641174586135573</v>
      </c>
      <c r="DR54" s="22">
        <f t="shared" si="16"/>
        <v>218.22312573751947</v>
      </c>
      <c r="DS54" s="62">
        <f t="shared" si="17"/>
        <v>511.55645907085278</v>
      </c>
      <c r="DT54" s="62">
        <f ca="1">AVERAGE(OFFSET($DS$3,0,0,'Données projet'!$E$14+1,1))-AVERAGE(OFFSET($H$3,0,0,'Données projet'!$E$14+1,1))</f>
        <v>154.0837760161366</v>
      </c>
      <c r="DU54" s="62">
        <f t="shared" si="44"/>
        <v>96.484500841546037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13.93250000000001</v>
      </c>
      <c r="EJ54" s="13">
        <f>IF('Données projet'!$A$192&gt;35,EJ53+EI54-ER53,IF(A54&lt;'Données projet'!$A$192,$EG$205^A54,IF(A54='Données projet'!$A$192,'Données projet'!$B$192,EJ53+EI54-ER53)))</f>
        <v>336.7895023148148</v>
      </c>
      <c r="EK54" s="18">
        <f>EJ54*VLOOKUP('Données projet'!$B$15,Paramètres!$A$1:$I$89,3,0)*VLOOKUP('Données projet'!$B$15,Paramètres!$A$1:$I$89,5,0)</f>
        <v>225.9183981527778</v>
      </c>
      <c r="EL54" s="14">
        <f t="shared" si="45"/>
        <v>55.399226202207011</v>
      </c>
      <c r="EM54" s="22">
        <f t="shared" si="19"/>
        <v>489.96152908493178</v>
      </c>
      <c r="EN54" s="62">
        <f t="shared" si="20"/>
        <v>783.2948624182651</v>
      </c>
      <c r="EO54" s="62">
        <f ca="1">AVERAGE(OFFSET($EN$3,0,0,'Données projet'!$E$15+1,1))-AVERAGE(OFFSET($H$3,0,0,'Données projet'!$E$15+1,1))</f>
        <v>205.35893113421139</v>
      </c>
      <c r="EP54" s="62">
        <f t="shared" si="46"/>
        <v>220.4399811285175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23.788593701599272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23.788593701599272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13.93250000000001</v>
      </c>
      <c r="FE54" s="13">
        <f>IF('Données projet'!$A$218&gt;35,FE53+FD54-FM53,IF(A54&lt;'Données projet'!$A$218,$FB$205^A54,IF(A54='Données projet'!$A$218,'Données projet'!$B$218,FE53+FD54-FM53)))</f>
        <v>336.7895023148148</v>
      </c>
      <c r="FF54" s="18">
        <f>FE54*VLOOKUP('Données projet'!$B$16,Paramètres!$A$1:$I$89,3,0)*VLOOKUP('Données projet'!$B$16,Paramètres!$A$1:$I$89,5,0)</f>
        <v>262.69581180555554</v>
      </c>
      <c r="FG54" s="14">
        <f t="shared" si="47"/>
        <v>63.296670659848878</v>
      </c>
      <c r="FH54" s="22">
        <f t="shared" si="22"/>
        <v>567.77024029391271</v>
      </c>
      <c r="FI54" s="62">
        <f t="shared" si="23"/>
        <v>861.10357362724608</v>
      </c>
      <c r="FJ54" s="62">
        <f ca="1">AVERAGE(OFFSET($FI$3,0,0,'Données projet'!$E$16+1,1))-AVERAGE(OFFSET($H$3,0,0,'Données projet'!$E$16+1,1))</f>
        <v>242.81177364426878</v>
      </c>
      <c r="FK54" s="62">
        <f t="shared" si="48"/>
        <v>260.72115764896671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22.442069529810635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22.442069529810635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13.93250000000001</v>
      </c>
      <c r="FZ54" s="13">
        <f>IF('Données projet'!$A$244&gt;35,FZ53+FY54-GH53,IF(A54&lt;'Données projet'!$A$244,$FW$205^A54,IF(A54='Données projet'!$A$244,'Données projet'!$B$244,FZ53+FY54-GH53)))</f>
        <v>336.7895023148148</v>
      </c>
      <c r="GA54" s="18">
        <f>FZ54*VLOOKUP('Données projet'!$B$17,Paramètres!$A$1:$I$89,3,0)*VLOOKUP('Données projet'!$B$17,Paramètres!$A$1:$I$89,5,0)</f>
        <v>267.94972804166667</v>
      </c>
      <c r="GB54" s="14">
        <f t="shared" si="49"/>
        <v>64.413956987327367</v>
      </c>
      <c r="GC54" s="22">
        <f t="shared" si="25"/>
        <v>578.86675142549791</v>
      </c>
      <c r="GD54" s="62">
        <f t="shared" si="26"/>
        <v>872.20008475883128</v>
      </c>
      <c r="GE54" s="62">
        <f ca="1">AVERAGE(OFFSET($GD$3,0,0,'Données projet'!$E$17+1,1))-AVERAGE(OFFSET($H$3,0,0,'Données projet'!$E$17+1,1))</f>
        <v>248.15263300983543</v>
      </c>
      <c r="GF54" s="62">
        <f t="shared" si="50"/>
        <v>266.46511459244618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28.214378576315411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28.214378576315411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13.8</v>
      </c>
      <c r="N55" s="14">
        <f>IF('Données projet'!$A$36&gt;35,N54+M55-V54,IF(A55&lt;'Données projet'!$A$36,$K$205^A55,IF(A55='Données projet'!$A$36,'Données projet'!$B$36,N54+M55-V54)))</f>
        <v>608.59999999999968</v>
      </c>
      <c r="O55" s="14">
        <f>N55*VLOOKUP('Données projet'!$B$9,Paramètres!$A$1:$I$89,3,0)*VLOOKUP('Données projet'!$B$9,Paramètres!$A$1:$I$89,5,0)</f>
        <v>340.20739999999984</v>
      </c>
      <c r="P55" s="14">
        <f t="shared" si="33"/>
        <v>79.542795053996059</v>
      </c>
      <c r="Q55" s="22">
        <f t="shared" si="53"/>
        <v>731.06492305237623</v>
      </c>
      <c r="R55" s="62">
        <f t="shared" si="0"/>
        <v>1024.3982563857096</v>
      </c>
      <c r="S55" s="62">
        <f ca="1">AVERAGE(OFFSET($R$3,0,0,'Données projet'!$E$9+1,1))-AVERAGE(OFFSET($H$3,0,0,'Données projet'!$E$9+1,1))</f>
        <v>382.55387448074327</v>
      </c>
      <c r="T55" s="62">
        <f t="shared" si="34"/>
        <v>476.29465646955543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69.822958749841931</v>
      </c>
      <c r="AA55" s="23">
        <f>EXP(-LN(2)/25)*AA54+(1-EXP(-LN(2)/25))/(LN(2)/25)*Calculateur!V55*Calculateur!X55*VLOOKUP('Données projet'!$B$9,Paramètres!$A$1:$I$89,3,0)*0.475*44/12</f>
        <v>21.085280418524174</v>
      </c>
      <c r="AB55" s="23">
        <f>EXP(-LN(2)/2)*AB54+(1-EXP(-LN(2)/2))/(LN(2)/2)*V55*Y55*VLOOKUP('Données projet'!$B$9,Paramètres!$A$1:$I$89,3,0)*0.475*44/12</f>
        <v>2.6058672208573292</v>
      </c>
      <c r="AC55" s="24">
        <f t="shared" si="3"/>
        <v>93.514106389223443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16</v>
      </c>
      <c r="AI55" s="14">
        <f>IF('Données projet'!$A$62&gt;35,AI54+AH55-AQ54,IF(A55&lt;'Données projet'!$A$62,$AF$205^A55,IF(A55='Données projet'!$A$62,'Données projet'!$B$62,AI54+AH55-AQ54)))</f>
        <v>540.99999999999966</v>
      </c>
      <c r="AJ55" s="14">
        <f>AI55*VLOOKUP('Données projet'!$B$10,Paramètres!$A$1:$I$89,3,0)*VLOOKUP('Données projet'!$B$10,Paramètres!$A$1:$I$89,5,0)</f>
        <v>337.58399999999978</v>
      </c>
      <c r="AK55" s="14">
        <f t="shared" si="35"/>
        <v>79.000578543161197</v>
      </c>
      <c r="AL55" s="22">
        <f t="shared" si="4"/>
        <v>725.55147429600538</v>
      </c>
      <c r="AM55" s="62">
        <f t="shared" si="5"/>
        <v>1018.8848076293386</v>
      </c>
      <c r="AN55" s="62">
        <f ca="1">AVERAGE(OFFSET($AM$3,0,0,'Données projet'!$E$10+1,1))-AVERAGE(OFFSET($H$3,0,0,'Données projet'!$E$10+1,1))</f>
        <v>482.28841373508675</v>
      </c>
      <c r="AO55" s="62">
        <f t="shared" si="36"/>
        <v>746.97309214631684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128.21404033650401</v>
      </c>
      <c r="AV55" s="23">
        <f>EXP(-LN(2)/25)*AV54+(1-EXP(-LN(2)/25))/(LN(2)/25)*Calculateur!AQ55*Calculateur!AS55*VLOOKUP('Données projet'!$B$10,Paramètres!$A$1:$I$89,3,0)*0.475*44/12</f>
        <v>27.949758933298984</v>
      </c>
      <c r="AW55" s="23">
        <f>EXP(-LN(2)/2)*AW54+(1-EXP(-LN(2)/2))/(LN(2)/2)*AQ55*AT55*VLOOKUP('Données projet'!$B$10,Paramètres!$A$1:$I$89,3,0)*0.475*44/12</f>
        <v>3.2685980056969965</v>
      </c>
      <c r="AX55" s="23">
        <f t="shared" si="6"/>
        <v>159.43239727549999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16</v>
      </c>
      <c r="BD55" s="13">
        <f>IF('Données projet'!$A$88&gt;35,BD54+BC55-BL54,IF(A55&lt;'Données projet'!$A$88,$BA$205^A55,IF(A55='Données projet'!$A$88,'Données projet'!$B$88,BD54+BC55-BL54)))</f>
        <v>540.99999999999966</v>
      </c>
      <c r="BE55" s="14">
        <f>BD55*VLOOKUP('Données projet'!$B$11,Paramètres!$A$1:$I$89,3,0)*VLOOKUP('Données projet'!$B$11,Paramètres!$A$1:$I$89,5,0)</f>
        <v>295.3859999999998</v>
      </c>
      <c r="BF55" s="14">
        <f t="shared" si="37"/>
        <v>70.208321033523518</v>
      </c>
      <c r="BG55" s="22">
        <f t="shared" si="7"/>
        <v>636.74344246671978</v>
      </c>
      <c r="BH55" s="62">
        <f t="shared" si="8"/>
        <v>930.07677580005316</v>
      </c>
      <c r="BI55" s="62">
        <f ca="1">AVERAGE(OFFSET($BH$3,0,0,'Données projet'!$E$11+1,1))-AVERAGE(OFFSET($H$3,0,0,'Données projet'!$E$11+1,1))</f>
        <v>417.99456559608217</v>
      </c>
      <c r="BJ55" s="62">
        <f t="shared" si="38"/>
        <v>651.41353014863932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112.18728529444101</v>
      </c>
      <c r="BQ55" s="23">
        <f>EXP(-LN(2)/25)*BQ54+(1-EXP(-LN(2)/25))/(LN(2)/25)*Calculateur!BL55*Calculateur!BN55*VLOOKUP('Données projet'!$B$11,Paramètres!$A$1:$I$89,3,0)*0.475*44/12</f>
        <v>24.747182388858473</v>
      </c>
      <c r="BR55" s="23">
        <f>EXP(-LN(2)/2)*BR54+(1-EXP(-LN(2)/2))/(LN(2)/2)*BL55*BO55*VLOOKUP('Données projet'!$B$11,Paramètres!$A$1:$I$89,3,0)*0.475*44/12</f>
        <v>2.8166895693032838</v>
      </c>
      <c r="BS55" s="24">
        <f t="shared" si="9"/>
        <v>139.75115725260278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5.75</v>
      </c>
      <c r="BY55" s="13">
        <f>IF('Données projet'!$A$114&gt;35,BY54+BX55-CG54,IF(A55&lt;'Données projet'!$A$114,$BV$205^A55,IF(A55='Données projet'!$A$114,'Données projet'!$B$114,BY54+BX55-CG54)))</f>
        <v>115.00000000000001</v>
      </c>
      <c r="BZ55" s="14">
        <f>BY55*VLOOKUP('Données projet'!$B$12,Paramètres!$A$1:$I$89,3,0)*VLOOKUP('Données projet'!$B$12,Paramètres!$A$1:$I$89,5,0)</f>
        <v>104.05200000000001</v>
      </c>
      <c r="CA55" s="14">
        <f t="shared" si="39"/>
        <v>27.925087771564417</v>
      </c>
      <c r="CB55" s="22">
        <f t="shared" si="10"/>
        <v>229.86009453547467</v>
      </c>
      <c r="CC55" s="62">
        <f t="shared" si="11"/>
        <v>523.19342786880793</v>
      </c>
      <c r="CD55" s="62">
        <f ca="1">AVERAGE(OFFSET($CC$3,0,0,'Données projet'!$E$12+1,1))-AVERAGE(OFFSET($H$3,0,0,'Données projet'!$E$12+1,1))</f>
        <v>213.07277043804817</v>
      </c>
      <c r="CE55" s="62">
        <f t="shared" si="40"/>
        <v>129.14539883354166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5.75</v>
      </c>
      <c r="CT55" s="13">
        <f>IF('Données projet'!$A$140&gt;35,CT54+CS55-DB54,IF(A55&lt;'Données projet'!$A$140,$CQ$205^A55,IF(A55='Données projet'!$A$140,'Données projet'!$B$140,CT54+CS55-DB54)))</f>
        <v>115.00000000000001</v>
      </c>
      <c r="CU55" s="18">
        <f>CT55*VLOOKUP('Données projet'!$B$13,Paramètres!$A$1:$I$89,3,0)*VLOOKUP('Données projet'!$B$13,Paramètres!$A$1:$I$89,5,0)</f>
        <v>116.61000000000003</v>
      </c>
      <c r="CV55" s="14">
        <f t="shared" si="41"/>
        <v>30.883023623410974</v>
      </c>
      <c r="CW55" s="22">
        <f t="shared" si="13"/>
        <v>256.88368281077419</v>
      </c>
      <c r="CX55" s="62">
        <f t="shared" si="14"/>
        <v>550.21701614410745</v>
      </c>
      <c r="CY55" s="62">
        <f ca="1">AVERAGE(OFFSET($CX$3,0,0,'Données projet'!$E$13+1,1))-AVERAGE(OFFSET($H$3,0,0,'Données projet'!$E$13+1,1))</f>
        <v>247.92503505485405</v>
      </c>
      <c r="CZ55" s="62">
        <f t="shared" si="42"/>
        <v>148.26437652597514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2</v>
      </c>
      <c r="DO55" s="13">
        <f>IF('Données projet'!$A$166&gt;35,DO54+DN55-DW54,IF(A55&lt;'Données projet'!$A$166,$DL$205^A55,IF(A55='Données projet'!$A$166,'Données projet'!$B$166,DO54+DN55-DW54)))</f>
        <v>104</v>
      </c>
      <c r="DP55" s="18">
        <f>DO55*VLOOKUP('Données projet'!$B$14,Paramètres!$A$1:$I$89,3,0)*VLOOKUP('Données projet'!$B$14,Paramètres!$A$1:$I$89,5,0)</f>
        <v>100.58880000000001</v>
      </c>
      <c r="DQ55" s="14">
        <f t="shared" si="43"/>
        <v>27.102223064855139</v>
      </c>
      <c r="DR55" s="22">
        <f t="shared" si="16"/>
        <v>222.3951985046227</v>
      </c>
      <c r="DS55" s="62">
        <f t="shared" si="17"/>
        <v>515.72853183795598</v>
      </c>
      <c r="DT55" s="62">
        <f ca="1">AVERAGE(OFFSET($DS$3,0,0,'Données projet'!$E$14+1,1))-AVERAGE(OFFSET($H$3,0,0,'Données projet'!$E$14+1,1))</f>
        <v>154.0837760161366</v>
      </c>
      <c r="DU55" s="62">
        <f t="shared" si="44"/>
        <v>96.484500841546037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13.93250000000001</v>
      </c>
      <c r="EJ55" s="13">
        <f>IF('Données projet'!$A$192&gt;35,EJ54+EI55-ER54,IF(A55&lt;'Données projet'!$A$192,$EG$205^A55,IF(A55='Données projet'!$A$192,'Données projet'!$B$192,EJ54+EI55-ER54)))</f>
        <v>350.7220023148148</v>
      </c>
      <c r="EK55" s="18">
        <f>EJ55*VLOOKUP('Données projet'!$B$15,Paramètres!$A$1:$I$89,3,0)*VLOOKUP('Données projet'!$B$15,Paramètres!$A$1:$I$89,5,0)</f>
        <v>235.26431915277777</v>
      </c>
      <c r="EL55" s="14">
        <f t="shared" si="45"/>
        <v>57.419446882759672</v>
      </c>
      <c r="EM55" s="22">
        <f t="shared" si="19"/>
        <v>509.75755917856105</v>
      </c>
      <c r="EN55" s="62">
        <f t="shared" si="20"/>
        <v>803.09089251189437</v>
      </c>
      <c r="EO55" s="62">
        <f ca="1">AVERAGE(OFFSET($EN$3,0,0,'Données projet'!$E$15+1,1))-AVERAGE(OFFSET($H$3,0,0,'Données projet'!$E$15+1,1))</f>
        <v>205.35893113421139</v>
      </c>
      <c r="EP55" s="62">
        <f t="shared" si="46"/>
        <v>220.4399811285175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23.322113888720363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23.322113888720363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13.93250000000001</v>
      </c>
      <c r="FE55" s="13">
        <f>IF('Données projet'!$A$218&gt;35,FE54+FD55-FM54,IF(A55&lt;'Données projet'!$A$218,$FB$205^A55,IF(A55='Données projet'!$A$218,'Données projet'!$B$218,FE54+FD55-FM54)))</f>
        <v>350.7220023148148</v>
      </c>
      <c r="FF55" s="18">
        <f>FE55*VLOOKUP('Données projet'!$B$16,Paramètres!$A$1:$I$89,3,0)*VLOOKUP('Données projet'!$B$16,Paramètres!$A$1:$I$89,5,0)</f>
        <v>273.56316180555558</v>
      </c>
      <c r="FG55" s="14">
        <f t="shared" si="47"/>
        <v>65.604884182731269</v>
      </c>
      <c r="FH55" s="22">
        <f t="shared" si="22"/>
        <v>590.71768009626624</v>
      </c>
      <c r="FI55" s="62">
        <f t="shared" si="23"/>
        <v>884.05101342959961</v>
      </c>
      <c r="FJ55" s="62">
        <f ca="1">AVERAGE(OFFSET($FI$3,0,0,'Données projet'!$E$16+1,1))-AVERAGE(OFFSET($H$3,0,0,'Données projet'!$E$16+1,1))</f>
        <v>242.81177364426878</v>
      </c>
      <c r="FK55" s="62">
        <f t="shared" si="48"/>
        <v>260.72115764896671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22.001994234641852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22.001994234641852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13.93250000000001</v>
      </c>
      <c r="FZ55" s="13">
        <f>IF('Données projet'!$A$244&gt;35,FZ54+FY55-GH54,IF(A55&lt;'Données projet'!$A$244,$FW$205^A55,IF(A55='Données projet'!$A$244,'Données projet'!$B$244,FZ54+FY55-GH54)))</f>
        <v>350.7220023148148</v>
      </c>
      <c r="GA55" s="18">
        <f>FZ55*VLOOKUP('Données projet'!$B$17,Paramètres!$A$1:$I$89,3,0)*VLOOKUP('Données projet'!$B$17,Paramètres!$A$1:$I$89,5,0)</f>
        <v>279.03442504166668</v>
      </c>
      <c r="GB55" s="14">
        <f t="shared" si="49"/>
        <v>66.762914128841388</v>
      </c>
      <c r="GC55" s="22">
        <f t="shared" si="25"/>
        <v>602.26369905530157</v>
      </c>
      <c r="GD55" s="62">
        <f t="shared" si="26"/>
        <v>895.59703238863494</v>
      </c>
      <c r="GE55" s="62">
        <f ca="1">AVERAGE(OFFSET($GD$3,0,0,'Données projet'!$E$17+1,1))-AVERAGE(OFFSET($H$3,0,0,'Données projet'!$E$17+1,1))</f>
        <v>248.15263300983543</v>
      </c>
      <c r="GF55" s="62">
        <f t="shared" si="50"/>
        <v>266.46511459244618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27.661111821505543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27.661111821505543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13.8</v>
      </c>
      <c r="N56" s="14">
        <f>IF('Données projet'!$A$36&gt;35,N55+M56-V55,IF(A56&lt;'Données projet'!$A$36,$K$205^A56,IF(A56='Données projet'!$A$36,'Données projet'!$B$36,N55+M56-V55)))</f>
        <v>622.39999999999964</v>
      </c>
      <c r="O56" s="14">
        <f>N56*VLOOKUP('Données projet'!$B$9,Paramètres!$A$1:$I$89,3,0)*VLOOKUP('Données projet'!$B$9,Paramètres!$A$1:$I$89,5,0)</f>
        <v>347.92159999999978</v>
      </c>
      <c r="P56" s="14">
        <f t="shared" si="33"/>
        <v>81.134398856989449</v>
      </c>
      <c r="Q56" s="22">
        <f t="shared" si="53"/>
        <v>747.27253134258956</v>
      </c>
      <c r="R56" s="62">
        <f t="shared" si="0"/>
        <v>1040.6058646759229</v>
      </c>
      <c r="S56" s="62">
        <f ca="1">AVERAGE(OFFSET($R$3,0,0,'Données projet'!$E$9+1,1))-AVERAGE(OFFSET($H$3,0,0,'Données projet'!$E$9+1,1))</f>
        <v>382.55387448074327</v>
      </c>
      <c r="T56" s="62">
        <f t="shared" si="34"/>
        <v>476.29465646955543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68.453773116557173</v>
      </c>
      <c r="AA56" s="23">
        <f>EXP(-LN(2)/25)*AA55+(1-EXP(-LN(2)/25))/(LN(2)/25)*Calculateur!V56*Calculateur!X56*VLOOKUP('Données projet'!$B$9,Paramètres!$A$1:$I$89,3,0)*0.475*44/12</f>
        <v>20.508702316652926</v>
      </c>
      <c r="AB56" s="23">
        <f>EXP(-LN(2)/2)*AB55+(1-EXP(-LN(2)/2))/(LN(2)/2)*V56*Y56*VLOOKUP('Données projet'!$B$9,Paramètres!$A$1:$I$89,3,0)*0.475*44/12</f>
        <v>1.8426263827399603</v>
      </c>
      <c r="AC56" s="24">
        <f t="shared" si="3"/>
        <v>90.805101815950067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16</v>
      </c>
      <c r="AI56" s="14">
        <f>IF('Données projet'!$A$62&gt;35,AI55+AH56-AQ55,IF(A56&lt;'Données projet'!$A$62,$AF$205^A56,IF(A56='Données projet'!$A$62,'Données projet'!$B$62,AI55+AH56-AQ55)))</f>
        <v>556.99999999999966</v>
      </c>
      <c r="AJ56" s="14">
        <f>AI56*VLOOKUP('Données projet'!$B$10,Paramètres!$A$1:$I$89,3,0)*VLOOKUP('Données projet'!$B$10,Paramètres!$A$1:$I$89,5,0)</f>
        <v>347.56799999999981</v>
      </c>
      <c r="AK56" s="14">
        <f t="shared" si="35"/>
        <v>81.061534138422132</v>
      </c>
      <c r="AL56" s="22">
        <f t="shared" si="4"/>
        <v>746.52977195775156</v>
      </c>
      <c r="AM56" s="62">
        <f t="shared" si="5"/>
        <v>1039.8631052910848</v>
      </c>
      <c r="AN56" s="62">
        <f ca="1">AVERAGE(OFFSET($AM$3,0,0,'Données projet'!$E$10+1,1))-AVERAGE(OFFSET($H$3,0,0,'Données projet'!$E$10+1,1))</f>
        <v>482.28841373508675</v>
      </c>
      <c r="AO56" s="62">
        <f t="shared" si="36"/>
        <v>746.97309214631684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125.69984120834789</v>
      </c>
      <c r="AV56" s="23">
        <f>EXP(-LN(2)/25)*AV55+(1-EXP(-LN(2)/25))/(LN(2)/25)*Calculateur!AQ56*Calculateur!AS56*VLOOKUP('Données projet'!$B$10,Paramètres!$A$1:$I$89,3,0)*0.475*44/12</f>
        <v>27.18547130545398</v>
      </c>
      <c r="AW56" s="23">
        <f>EXP(-LN(2)/2)*AW55+(1-EXP(-LN(2)/2))/(LN(2)/2)*AQ56*AT56*VLOOKUP('Données projet'!$B$10,Paramètres!$A$1:$I$89,3,0)*0.475*44/12</f>
        <v>2.3112478148011717</v>
      </c>
      <c r="AX56" s="23">
        <f t="shared" si="6"/>
        <v>155.19656032860303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16</v>
      </c>
      <c r="BD56" s="13">
        <f>IF('Données projet'!$A$88&gt;35,BD55+BC56-BL55,IF(A56&lt;'Données projet'!$A$88,$BA$205^A56,IF(A56='Données projet'!$A$88,'Données projet'!$B$88,BD55+BC56-BL55)))</f>
        <v>556.99999999999966</v>
      </c>
      <c r="BE56" s="14">
        <f>BD56*VLOOKUP('Données projet'!$B$11,Paramètres!$A$1:$I$89,3,0)*VLOOKUP('Données projet'!$B$11,Paramètres!$A$1:$I$89,5,0)</f>
        <v>304.12199999999984</v>
      </c>
      <c r="BF56" s="14">
        <f t="shared" si="37"/>
        <v>72.039905494501397</v>
      </c>
      <c r="BG56" s="22">
        <f t="shared" si="7"/>
        <v>655.14865206958962</v>
      </c>
      <c r="BH56" s="62">
        <f t="shared" si="8"/>
        <v>948.48198540292287</v>
      </c>
      <c r="BI56" s="62">
        <f ca="1">AVERAGE(OFFSET($BH$3,0,0,'Données projet'!$E$11+1,1))-AVERAGE(OFFSET($H$3,0,0,'Données projet'!$E$11+1,1))</f>
        <v>417.99456559608217</v>
      </c>
      <c r="BJ56" s="62">
        <f t="shared" si="38"/>
        <v>651.41353014863932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109.9873610573044</v>
      </c>
      <c r="BQ56" s="23">
        <f>EXP(-LN(2)/25)*BQ55+(1-EXP(-LN(2)/25))/(LN(2)/25)*Calculateur!BL56*Calculateur!BN56*VLOOKUP('Données projet'!$B$11,Paramètres!$A$1:$I$89,3,0)*0.475*44/12</f>
        <v>24.070469385037377</v>
      </c>
      <c r="BR56" s="23">
        <f>EXP(-LN(2)/2)*BR55+(1-EXP(-LN(2)/2))/(LN(2)/2)*BL56*BO56*VLOOKUP('Données projet'!$B$11,Paramètres!$A$1:$I$89,3,0)*0.475*44/12</f>
        <v>1.9917002949517681</v>
      </c>
      <c r="BS56" s="24">
        <f t="shared" si="9"/>
        <v>136.04953073729354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5.75</v>
      </c>
      <c r="BY56" s="13">
        <f>IF('Données projet'!$A$114&gt;35,BY55+BX56-CG55,IF(A56&lt;'Données projet'!$A$114,$BV$205^A56,IF(A56='Données projet'!$A$114,'Données projet'!$B$114,BY55+BX56-CG55)))</f>
        <v>120.75000000000001</v>
      </c>
      <c r="BZ56" s="14">
        <f>BY56*VLOOKUP('Données projet'!$B$12,Paramètres!$A$1:$I$89,3,0)*VLOOKUP('Données projet'!$B$12,Paramètres!$A$1:$I$89,5,0)</f>
        <v>109.2546</v>
      </c>
      <c r="CA56" s="14">
        <f t="shared" si="39"/>
        <v>29.15529308077269</v>
      </c>
      <c r="CB56" s="22">
        <f t="shared" si="10"/>
        <v>241.06389711567908</v>
      </c>
      <c r="CC56" s="62">
        <f t="shared" si="11"/>
        <v>534.39723044901234</v>
      </c>
      <c r="CD56" s="62">
        <f ca="1">AVERAGE(OFFSET($CC$3,0,0,'Données projet'!$E$12+1,1))-AVERAGE(OFFSET($H$3,0,0,'Données projet'!$E$12+1,1))</f>
        <v>213.07277043804817</v>
      </c>
      <c r="CE56" s="62">
        <f t="shared" si="40"/>
        <v>129.14539883354166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5.75</v>
      </c>
      <c r="CT56" s="13">
        <f>IF('Données projet'!$A$140&gt;35,CT55+CS56-DB55,IF(A56&lt;'Données projet'!$A$140,$CQ$205^A56,IF(A56='Données projet'!$A$140,'Données projet'!$B$140,CT55+CS56-DB55)))</f>
        <v>120.75000000000001</v>
      </c>
      <c r="CU56" s="18">
        <f>CT56*VLOOKUP('Données projet'!$B$13,Paramètres!$A$1:$I$89,3,0)*VLOOKUP('Données projet'!$B$13,Paramètres!$A$1:$I$89,5,0)</f>
        <v>122.44050000000003</v>
      </c>
      <c r="CV56" s="14">
        <f t="shared" si="41"/>
        <v>32.24353714933843</v>
      </c>
      <c r="CW56" s="22">
        <f t="shared" si="13"/>
        <v>269.40803136843112</v>
      </c>
      <c r="CX56" s="62">
        <f t="shared" si="14"/>
        <v>562.7413647017645</v>
      </c>
      <c r="CY56" s="62">
        <f ca="1">AVERAGE(OFFSET($CX$3,0,0,'Données projet'!$E$13+1,1))-AVERAGE(OFFSET($H$3,0,0,'Données projet'!$E$13+1,1))</f>
        <v>247.92503505485405</v>
      </c>
      <c r="CZ56" s="62">
        <f t="shared" si="42"/>
        <v>148.26437652597514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2</v>
      </c>
      <c r="DO56" s="13">
        <f>IF('Données projet'!$A$166&gt;35,DO55+DN56-DW55,IF(A56&lt;'Données projet'!$A$166,$DL$205^A56,IF(A56='Données projet'!$A$166,'Données projet'!$B$166,DO55+DN56-DW55)))</f>
        <v>106</v>
      </c>
      <c r="DP56" s="18">
        <f>DO56*VLOOKUP('Données projet'!$B$14,Paramètres!$A$1:$I$89,3,0)*VLOOKUP('Données projet'!$B$14,Paramètres!$A$1:$I$89,5,0)</f>
        <v>102.5232</v>
      </c>
      <c r="DQ56" s="14">
        <f t="shared" si="43"/>
        <v>27.562240591342476</v>
      </c>
      <c r="DR56" s="22">
        <f t="shared" si="16"/>
        <v>226.56547569658815</v>
      </c>
      <c r="DS56" s="62">
        <f t="shared" si="17"/>
        <v>519.89880902992149</v>
      </c>
      <c r="DT56" s="62">
        <f ca="1">AVERAGE(OFFSET($DS$3,0,0,'Données projet'!$E$14+1,1))-AVERAGE(OFFSET($H$3,0,0,'Données projet'!$E$14+1,1))</f>
        <v>154.0837760161366</v>
      </c>
      <c r="DU56" s="62">
        <f t="shared" si="44"/>
        <v>96.484500841546037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13.93250000000001</v>
      </c>
      <c r="EJ56" s="13">
        <f>IF('Données projet'!$A$192&gt;35,EJ55+EI56-ER55,IF(A56&lt;'Données projet'!$A$192,$EG$205^A56,IF(A56='Données projet'!$A$192,'Données projet'!$B$192,EJ55+EI56-ER55)))</f>
        <v>364.65450231481481</v>
      </c>
      <c r="EK56" s="18">
        <f>EJ56*VLOOKUP('Données projet'!$B$15,Paramètres!$A$1:$I$89,3,0)*VLOOKUP('Données projet'!$B$15,Paramètres!$A$1:$I$89,5,0)</f>
        <v>244.61024015277775</v>
      </c>
      <c r="EL56" s="14">
        <f t="shared" si="45"/>
        <v>59.430345011930463</v>
      </c>
      <c r="EM56" s="22">
        <f t="shared" si="19"/>
        <v>529.53735249520003</v>
      </c>
      <c r="EN56" s="62">
        <f t="shared" si="20"/>
        <v>822.8706858285334</v>
      </c>
      <c r="EO56" s="62">
        <f ca="1">AVERAGE(OFFSET($EN$3,0,0,'Données projet'!$E$15+1,1))-AVERAGE(OFFSET($H$3,0,0,'Données projet'!$E$15+1,1))</f>
        <v>205.35893113421139</v>
      </c>
      <c r="EP56" s="62">
        <f t="shared" si="46"/>
        <v>220.4399811285175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22.864781460447418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22.864781460447418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13.93250000000001</v>
      </c>
      <c r="FE56" s="13">
        <f>IF('Données projet'!$A$218&gt;35,FE55+FD56-FM55,IF(A56&lt;'Données projet'!$A$218,$FB$205^A56,IF(A56='Données projet'!$A$218,'Données projet'!$B$218,FE55+FD56-FM55)))</f>
        <v>364.65450231481481</v>
      </c>
      <c r="FF56" s="18">
        <f>FE56*VLOOKUP('Données projet'!$B$16,Paramètres!$A$1:$I$89,3,0)*VLOOKUP('Données projet'!$B$16,Paramètres!$A$1:$I$89,5,0)</f>
        <v>284.43051180555557</v>
      </c>
      <c r="FG56" s="14">
        <f t="shared" si="47"/>
        <v>67.902446176612671</v>
      </c>
      <c r="FH56" s="22">
        <f t="shared" si="22"/>
        <v>613.64656848560969</v>
      </c>
      <c r="FI56" s="62">
        <f t="shared" si="23"/>
        <v>906.97990181894306</v>
      </c>
      <c r="FJ56" s="62">
        <f ca="1">AVERAGE(OFFSET($FI$3,0,0,'Données projet'!$E$16+1,1))-AVERAGE(OFFSET($H$3,0,0,'Données projet'!$E$16+1,1))</f>
        <v>242.81177364426878</v>
      </c>
      <c r="FK56" s="62">
        <f t="shared" si="48"/>
        <v>260.72115764896671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21.570548547591905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21.570548547591905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13.93250000000001</v>
      </c>
      <c r="FZ56" s="13">
        <f>IF('Données projet'!$A$244&gt;35,FZ55+FY56-GH55,IF(A56&lt;'Données projet'!$A$244,$FW$205^A56,IF(A56='Données projet'!$A$244,'Données projet'!$B$244,FZ55+FY56-GH55)))</f>
        <v>364.65450231481481</v>
      </c>
      <c r="GA56" s="18">
        <f>FZ56*VLOOKUP('Données projet'!$B$17,Paramètres!$A$1:$I$89,3,0)*VLOOKUP('Données projet'!$B$17,Paramètres!$A$1:$I$89,5,0)</f>
        <v>290.11912204166669</v>
      </c>
      <c r="GB56" s="14">
        <f t="shared" si="49"/>
        <v>69.101031725024427</v>
      </c>
      <c r="GC56" s="22">
        <f t="shared" si="25"/>
        <v>625.64176781032029</v>
      </c>
      <c r="GD56" s="62">
        <f t="shared" si="26"/>
        <v>918.97510114365355</v>
      </c>
      <c r="GE56" s="62">
        <f ca="1">AVERAGE(OFFSET($GD$3,0,0,'Données projet'!$E$17+1,1))-AVERAGE(OFFSET($H$3,0,0,'Données projet'!$E$17+1,1))</f>
        <v>248.15263300983543</v>
      </c>
      <c r="GF56" s="62">
        <f t="shared" si="50"/>
        <v>266.46511459244618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27.118694290298098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27.118694290298098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13.8</v>
      </c>
      <c r="N57" s="14">
        <f>IF('Données projet'!$A$36&gt;35,N56+M57-V56,IF(A57&lt;'Données projet'!$A$36,$K$205^A57,IF(A57='Données projet'!$A$36,'Données projet'!$B$36,N56+M57-V56)))</f>
        <v>636.19999999999959</v>
      </c>
      <c r="O57" s="14">
        <f>N57*VLOOKUP('Données projet'!$B$9,Paramètres!$A$1:$I$89,3,0)*VLOOKUP('Données projet'!$B$9,Paramètres!$A$1:$I$89,5,0)</f>
        <v>355.63579999999973</v>
      </c>
      <c r="P57" s="14">
        <f t="shared" si="33"/>
        <v>82.721899912765039</v>
      </c>
      <c r="Q57" s="22">
        <f t="shared" si="53"/>
        <v>763.47299401473185</v>
      </c>
      <c r="R57" s="62">
        <f t="shared" si="0"/>
        <v>1056.8063273480652</v>
      </c>
      <c r="S57" s="62">
        <f ca="1">AVERAGE(OFFSET($R$3,0,0,'Données projet'!$E$9+1,1))-AVERAGE(OFFSET($H$3,0,0,'Données projet'!$E$9+1,1))</f>
        <v>382.55387448074327</v>
      </c>
      <c r="T57" s="62">
        <f t="shared" si="34"/>
        <v>476.29465646955543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67.11143637842035</v>
      </c>
      <c r="AA57" s="23">
        <f>EXP(-LN(2)/25)*AA56+(1-EXP(-LN(2)/25))/(LN(2)/25)*Calculateur!V57*Calculateur!X57*VLOOKUP('Données projet'!$B$9,Paramètres!$A$1:$I$89,3,0)*0.475*44/12</f>
        <v>19.947890773298269</v>
      </c>
      <c r="AB57" s="23">
        <f>EXP(-LN(2)/2)*AB56+(1-EXP(-LN(2)/2))/(LN(2)/2)*V57*Y57*VLOOKUP('Données projet'!$B$9,Paramètres!$A$1:$I$89,3,0)*0.475*44/12</f>
        <v>1.3029336104286648</v>
      </c>
      <c r="AC57" s="24">
        <f t="shared" si="3"/>
        <v>88.362260762147287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>
        <f>VLOOKUP(A57,'Données projet'!$A$61:$I$81,2,0)</f>
        <v>573</v>
      </c>
      <c r="AG57" s="13">
        <f>VLOOKUP(A57,'Données projet'!$A$61:$I$81,9,0)</f>
        <v>16</v>
      </c>
      <c r="AH57" s="13">
        <f t="array" ref="AH57">INDEX(AG:AG,MIN(IF(ISNUMBER(AG57:AG253),ROW(AG57:AG253),"")))</f>
        <v>16</v>
      </c>
      <c r="AI57" s="14">
        <f>IF('Données projet'!$A$62&gt;35,AI56+AH57-AQ56,IF(A57&lt;'Données projet'!$A$62,$AF$205^A57,IF(A57='Données projet'!$A$62,'Données projet'!$B$62,AI56+AH57-AQ56)))</f>
        <v>572.99999999999966</v>
      </c>
      <c r="AJ57" s="14">
        <f>AI57*VLOOKUP('Données projet'!$B$10,Paramètres!$A$1:$I$89,3,0)*VLOOKUP('Données projet'!$B$10,Paramètres!$A$1:$I$89,5,0)</f>
        <v>357.55199999999979</v>
      </c>
      <c r="AK57" s="14">
        <f t="shared" si="35"/>
        <v>83.115609175699532</v>
      </c>
      <c r="AL57" s="22">
        <f t="shared" si="4"/>
        <v>767.49608598100974</v>
      </c>
      <c r="AM57" s="62">
        <f t="shared" si="5"/>
        <v>1060.8294193143431</v>
      </c>
      <c r="AN57" s="62">
        <f ca="1">AVERAGE(OFFSET($AM$3,0,0,'Données projet'!$E$10+1,1))-AVERAGE(OFFSET($H$3,0,0,'Données projet'!$E$10+1,1))</f>
        <v>482.28841373508675</v>
      </c>
      <c r="AO57" s="62">
        <f t="shared" si="36"/>
        <v>746.97309214631684</v>
      </c>
      <c r="AP57" s="16">
        <f>IF(ISNA(VLOOKUP(A57,'Données projet'!$A$61:$I$81,3,0)),0,VLOOKUP(A57,'Données projet'!$A$61:$I$81,3,0))</f>
        <v>5</v>
      </c>
      <c r="AQ57" s="16">
        <f>IF(ISNA(VLOOKUP(A57,'Données projet'!$A$61:$I$81,4,0)),0,VLOOKUP(A57,'Données projet'!$A$61:$I$81,4,0))</f>
        <v>119</v>
      </c>
      <c r="AR57" s="17">
        <f>IF(ISNA(VLOOKUP(A57,'Données projet'!$A$61:$I$81,5,0)),0%,VLOOKUP(A57,'Données projet'!$A$61:$I$81,5,0)*VLOOKUP('Données projet'!$B$10,Paramètres!$A$1:$I$89,7,0))</f>
        <v>0.42</v>
      </c>
      <c r="AS57" s="17">
        <f>IF(ISNA(VLOOKUP(A57,'Données projet'!$A$61:$I$81,6,0)),0%,VLOOKUP(A57,'Données projet'!$A$61:$I$81,6,0)*VLOOKUP('Données projet'!$B$10,Paramètres!$A$1:$I$89,7,0))</f>
        <v>0.1008</v>
      </c>
      <c r="AT57" s="17">
        <f>IF(ISNA(VLOOKUP(A57,'Données projet'!$A$61:$I$81,7,0)),0%,VLOOKUP(A57,'Données projet'!$A$61:$I$81,7,0))</f>
        <v>0.13200000000000001</v>
      </c>
      <c r="AU57" s="23">
        <f>EXP(-LN(2)/35)*AU56+(1-EXP(-LN(2)/35))/(LN(2)/35)*AQ57*AR57*VLOOKUP('Données projet'!$B$10,Paramètres!$A$1:$I$89,3,0)*0.475*44/12</f>
        <v>164.60719947689461</v>
      </c>
      <c r="AV57" s="23">
        <f>EXP(-LN(2)/25)*AV56+(1-EXP(-LN(2)/25))/(LN(2)/25)*Calculateur!AQ57*Calculateur!AS57*VLOOKUP('Données projet'!$B$10,Paramètres!$A$1:$I$89,3,0)*0.475*44/12</f>
        <v>36.332328879320272</v>
      </c>
      <c r="AW57" s="23">
        <f>EXP(-LN(2)/2)*AW56+(1-EXP(-LN(2)/2))/(LN(2)/2)*AQ57*AT57*VLOOKUP('Données projet'!$B$10,Paramètres!$A$1:$I$89,3,0)*0.475*44/12</f>
        <v>12.732204478885031</v>
      </c>
      <c r="AX57" s="23">
        <f t="shared" si="6"/>
        <v>213.6717328350999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>
        <f>VLOOKUP(A57,'Données projet'!$A$87:$I$107,2,0)</f>
        <v>573</v>
      </c>
      <c r="BB57" s="13">
        <f>VLOOKUP(A57,'Données projet'!$A$87:$I$107,9,0)</f>
        <v>16</v>
      </c>
      <c r="BC57" s="13">
        <f t="array" ref="BC57">INDEX(BB:BB,MIN(IF(ISNUMBER(BB57:BB253),ROW(BB57:BB253),"")))</f>
        <v>16</v>
      </c>
      <c r="BD57" s="13">
        <f>IF('Données projet'!$A$88&gt;35,BD56+BC57-BL56,IF(A57&lt;'Données projet'!$A$88,$BA$205^A57,IF(A57='Données projet'!$A$88,'Données projet'!$B$88,BD56+BC57-BL56)))</f>
        <v>572.99999999999966</v>
      </c>
      <c r="BE57" s="14">
        <f>BD57*VLOOKUP('Données projet'!$B$11,Paramètres!$A$1:$I$89,3,0)*VLOOKUP('Données projet'!$B$11,Paramètres!$A$1:$I$89,5,0)</f>
        <v>312.85799999999983</v>
      </c>
      <c r="BF57" s="14">
        <f t="shared" si="37"/>
        <v>73.865375159452455</v>
      </c>
      <c r="BG57" s="22">
        <f t="shared" si="7"/>
        <v>673.54321173604603</v>
      </c>
      <c r="BH57" s="62">
        <f t="shared" si="8"/>
        <v>966.87654506937929</v>
      </c>
      <c r="BI57" s="62">
        <f ca="1">AVERAGE(OFFSET($BH$3,0,0,'Données projet'!$E$11+1,1))-AVERAGE(OFFSET($H$3,0,0,'Données projet'!$E$11+1,1))</f>
        <v>417.99456559608217</v>
      </c>
      <c r="BJ57" s="62">
        <f t="shared" si="38"/>
        <v>651.41353014863932</v>
      </c>
      <c r="BK57" s="16">
        <f>IF(ISNA(VLOOKUP(A57,'Données projet'!$A$87:$I$107,3,0)),0,VLOOKUP(A57,'Données projet'!$A$87:$I$107,3,0))</f>
        <v>5</v>
      </c>
      <c r="BL57" s="16">
        <f>IF(ISNA(VLOOKUP(A57,'Données projet'!$A$87:$I$107,4,0)),0,VLOOKUP(A57,'Données projet'!$A$87:$I$107,4,0))</f>
        <v>119</v>
      </c>
      <c r="BM57" s="17">
        <f>IF(ISNA(VLOOKUP(A57,'Données projet'!$A$87:$I$107,5,0)),0%,VLOOKUP(A57,'Données projet'!$A$87:$I$107,5,0)*VLOOKUP('Données projet'!$B$11,Paramètres!$A$1:$I$89,7,0))</f>
        <v>0.42</v>
      </c>
      <c r="BN57" s="17">
        <f>IF(ISNA(VLOOKUP(A57,'Données projet'!$A$87:$I$107,6,0)),0%,VLOOKUP(A57,'Données projet'!$A$87:$I$107,6,0)*VLOOKUP('Données projet'!$B$11,Paramètres!$A$1:$I$89,7,0))</f>
        <v>0.10200000000000001</v>
      </c>
      <c r="BO57" s="17">
        <f>IF(ISNA(VLOOKUP(A57,'Données projet'!$A$87:$I$107,7,0)),0%,VLOOKUP(A57,'Données projet'!$A$87:$I$107,7,0))</f>
        <v>0.13</v>
      </c>
      <c r="BP57" s="23">
        <f>EXP(-LN(2)/35)*BP56+(1-EXP(-LN(2)/35))/(LN(2)/35)*BL57*BM57*VLOOKUP('Données projet'!$B$11,Paramètres!$A$1:$I$89,3,0)*0.475*44/12</f>
        <v>144.0312995422828</v>
      </c>
      <c r="BQ57" s="23">
        <f>EXP(-LN(2)/25)*BQ56+(1-EXP(-LN(2)/25))/(LN(2)/25)*Calculateur!BL57*Calculateur!BN57*VLOOKUP('Données projet'!$B$11,Paramètres!$A$1:$I$89,3,0)*0.475*44/12</f>
        <v>32.169249528564819</v>
      </c>
      <c r="BR57" s="23">
        <f>EXP(-LN(2)/2)*BR56+(1-EXP(-LN(2)/2))/(LN(2)/2)*BL57*BO57*VLOOKUP('Données projet'!$B$11,Paramètres!$A$1:$I$89,3,0)*0.475*44/12</f>
        <v>10.971880753584639</v>
      </c>
      <c r="BS57" s="24">
        <f t="shared" si="9"/>
        <v>187.17242982443224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5.75</v>
      </c>
      <c r="BY57" s="13">
        <f>IF('Données projet'!$A$114&gt;35,BY56+BX57-CG56,IF(A57&lt;'Données projet'!$A$114,$BV$205^A57,IF(A57='Données projet'!$A$114,'Données projet'!$B$114,BY56+BX57-CG56)))</f>
        <v>126.50000000000001</v>
      </c>
      <c r="BZ57" s="14">
        <f>BY57*VLOOKUP('Données projet'!$B$12,Paramètres!$A$1:$I$89,3,0)*VLOOKUP('Données projet'!$B$12,Paramètres!$A$1:$I$89,5,0)</f>
        <v>114.45720000000001</v>
      </c>
      <c r="CA57" s="14">
        <f t="shared" si="39"/>
        <v>30.378695686262596</v>
      </c>
      <c r="CB57" s="22">
        <f t="shared" si="10"/>
        <v>252.25585165357404</v>
      </c>
      <c r="CC57" s="62">
        <f t="shared" si="11"/>
        <v>545.58918498690741</v>
      </c>
      <c r="CD57" s="62">
        <f ca="1">AVERAGE(OFFSET($CC$3,0,0,'Données projet'!$E$12+1,1))-AVERAGE(OFFSET($H$3,0,0,'Données projet'!$E$12+1,1))</f>
        <v>213.07277043804817</v>
      </c>
      <c r="CE57" s="62">
        <f t="shared" si="40"/>
        <v>129.14539883354166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5.75</v>
      </c>
      <c r="CT57" s="13">
        <f>IF('Données projet'!$A$140&gt;35,CT56+CS57-DB56,IF(A57&lt;'Données projet'!$A$140,$CQ$205^A57,IF(A57='Données projet'!$A$140,'Données projet'!$B$140,CT56+CS57-DB56)))</f>
        <v>126.50000000000001</v>
      </c>
      <c r="CU57" s="18">
        <f>CT57*VLOOKUP('Données projet'!$B$13,Paramètres!$A$1:$I$89,3,0)*VLOOKUP('Données projet'!$B$13,Paramètres!$A$1:$I$89,5,0)</f>
        <v>128.27100000000002</v>
      </c>
      <c r="CV57" s="14">
        <f t="shared" si="41"/>
        <v>33.596527402237875</v>
      </c>
      <c r="CW57" s="22">
        <f t="shared" si="13"/>
        <v>281.91927689223098</v>
      </c>
      <c r="CX57" s="62">
        <f t="shared" si="14"/>
        <v>575.25261022556424</v>
      </c>
      <c r="CY57" s="62">
        <f ca="1">AVERAGE(OFFSET($CX$3,0,0,'Données projet'!$E$13+1,1))-AVERAGE(OFFSET($H$3,0,0,'Données projet'!$E$13+1,1))</f>
        <v>247.92503505485405</v>
      </c>
      <c r="CZ57" s="62">
        <f t="shared" si="42"/>
        <v>148.26437652597514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2</v>
      </c>
      <c r="DO57" s="13">
        <f>IF('Données projet'!$A$166&gt;35,DO56+DN57-DW56,IF(A57&lt;'Données projet'!$A$166,$DL$205^A57,IF(A57='Données projet'!$A$166,'Données projet'!$B$166,DO56+DN57-DW56)))</f>
        <v>108</v>
      </c>
      <c r="DP57" s="18">
        <f>DO57*VLOOKUP('Données projet'!$B$14,Paramètres!$A$1:$I$89,3,0)*VLOOKUP('Données projet'!$B$14,Paramètres!$A$1:$I$89,5,0)</f>
        <v>104.4576</v>
      </c>
      <c r="DQ57" s="14">
        <f t="shared" si="43"/>
        <v>28.021248860498272</v>
      </c>
      <c r="DR57" s="22">
        <f t="shared" si="16"/>
        <v>230.73399509870114</v>
      </c>
      <c r="DS57" s="62">
        <f t="shared" si="17"/>
        <v>524.0673284320344</v>
      </c>
      <c r="DT57" s="62">
        <f ca="1">AVERAGE(OFFSET($DS$3,0,0,'Données projet'!$E$14+1,1))-AVERAGE(OFFSET($H$3,0,0,'Données projet'!$E$14+1,1))</f>
        <v>154.0837760161366</v>
      </c>
      <c r="DU57" s="62">
        <f t="shared" si="44"/>
        <v>96.484500841546037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13.93250000000001</v>
      </c>
      <c r="EJ57" s="13">
        <f>IF('Données projet'!$A$192&gt;35,EJ56+EI57-ER56,IF(A57&lt;'Données projet'!$A$192,$EG$205^A57,IF(A57='Données projet'!$A$192,'Données projet'!$B$192,EJ56+EI57-ER56)))</f>
        <v>378.58700231481481</v>
      </c>
      <c r="EK57" s="18">
        <f>EJ57*VLOOKUP('Données projet'!$B$15,Paramètres!$A$1:$I$89,3,0)*VLOOKUP('Données projet'!$B$15,Paramètres!$A$1:$I$89,5,0)</f>
        <v>253.95616115277778</v>
      </c>
      <c r="EL57" s="14">
        <f t="shared" si="45"/>
        <v>61.432317554433659</v>
      </c>
      <c r="EM57" s="22">
        <f t="shared" si="19"/>
        <v>549.30160041505997</v>
      </c>
      <c r="EN57" s="62">
        <f t="shared" si="20"/>
        <v>842.63493374839322</v>
      </c>
      <c r="EO57" s="62">
        <f ca="1">AVERAGE(OFFSET($EN$3,0,0,'Données projet'!$E$15+1,1))-AVERAGE(OFFSET($H$3,0,0,'Données projet'!$E$15+1,1))</f>
        <v>205.35893113421139</v>
      </c>
      <c r="EP57" s="62">
        <f t="shared" si="46"/>
        <v>220.4399811285175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22.416417042147668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22.416417042147668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13.93250000000001</v>
      </c>
      <c r="FE57" s="13">
        <f>IF('Données projet'!$A$218&gt;35,FE56+FD57-FM56,IF(A57&lt;'Données projet'!$A$218,$FB$205^A57,IF(A57='Données projet'!$A$218,'Données projet'!$B$218,FE56+FD57-FM56)))</f>
        <v>378.58700231481481</v>
      </c>
      <c r="FF57" s="18">
        <f>FE57*VLOOKUP('Données projet'!$B$16,Paramètres!$A$1:$I$89,3,0)*VLOOKUP('Données projet'!$B$16,Paramètres!$A$1:$I$89,5,0)</f>
        <v>295.29786180555556</v>
      </c>
      <c r="FG57" s="14">
        <f t="shared" si="47"/>
        <v>70.189810195567873</v>
      </c>
      <c r="FH57" s="22">
        <f t="shared" si="22"/>
        <v>636.55769540195661</v>
      </c>
      <c r="FI57" s="62">
        <f t="shared" si="23"/>
        <v>929.89102873528986</v>
      </c>
      <c r="FJ57" s="62">
        <f ca="1">AVERAGE(OFFSET($FI$3,0,0,'Données projet'!$E$16+1,1))-AVERAGE(OFFSET($H$3,0,0,'Données projet'!$E$16+1,1))</f>
        <v>242.81177364426878</v>
      </c>
      <c r="FK57" s="62">
        <f t="shared" si="48"/>
        <v>260.72115764896671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21.147563247309122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21.147563247309122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13.93250000000001</v>
      </c>
      <c r="FZ57" s="13">
        <f>IF('Données projet'!$A$244&gt;35,FZ56+FY57-GH56,IF(A57&lt;'Données projet'!$A$244,$FW$205^A57,IF(A57='Données projet'!$A$244,'Données projet'!$B$244,FZ56+FY57-GH56)))</f>
        <v>378.58700231481481</v>
      </c>
      <c r="GA57" s="18">
        <f>FZ57*VLOOKUP('Données projet'!$B$17,Paramètres!$A$1:$I$89,3,0)*VLOOKUP('Données projet'!$B$17,Paramètres!$A$1:$I$89,5,0)</f>
        <v>301.20381904166669</v>
      </c>
      <c r="GB57" s="14">
        <f t="shared" si="49"/>
        <v>71.428771335897864</v>
      </c>
      <c r="GC57" s="22">
        <f t="shared" si="25"/>
        <v>649.00176157425824</v>
      </c>
      <c r="GD57" s="62">
        <f t="shared" si="26"/>
        <v>942.33509490759161</v>
      </c>
      <c r="GE57" s="62">
        <f ca="1">AVERAGE(OFFSET($GD$3,0,0,'Données projet'!$E$17+1,1))-AVERAGE(OFFSET($H$3,0,0,'Données projet'!$E$17+1,1))</f>
        <v>248.15263300983543</v>
      </c>
      <c r="GF57" s="62">
        <f t="shared" si="50"/>
        <v>266.46511459244618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26.586913236035603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26.586913236035603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650</v>
      </c>
      <c r="L58" s="13">
        <f>VLOOKUP(A58,'Données projet'!$A$35:$I$55,9,0)</f>
        <v>13.8</v>
      </c>
      <c r="M58" s="13">
        <f t="array" ref="M58">INDEX(L:L,MIN(IF(ISNUMBER(L58:L254),ROW(L58:L254),"")))</f>
        <v>13.8</v>
      </c>
      <c r="N58" s="14">
        <f>IF('Données projet'!$A$36&gt;35,N57+M58-V57,IF(A58&lt;'Données projet'!$A$36,$K$205^A58,IF(A58='Données projet'!$A$36,'Données projet'!$B$36,N57+M58-V57)))</f>
        <v>649.99999999999955</v>
      </c>
      <c r="O58" s="14">
        <f>N58*VLOOKUP('Données projet'!$B$9,Paramètres!$A$1:$I$89,3,0)*VLOOKUP('Données projet'!$B$9,Paramètres!$A$1:$I$89,5,0)</f>
        <v>363.34999999999974</v>
      </c>
      <c r="P58" s="14">
        <f t="shared" si="33"/>
        <v>84.305397464498199</v>
      </c>
      <c r="Q58" s="22">
        <f t="shared" si="53"/>
        <v>779.66648391733395</v>
      </c>
      <c r="R58" s="62">
        <f t="shared" si="0"/>
        <v>1072.9998172506673</v>
      </c>
      <c r="S58" s="62">
        <f ca="1">AVERAGE(OFFSET($R$3,0,0,'Données projet'!$E$9+1,1))-AVERAGE(OFFSET($H$3,0,0,'Données projet'!$E$9+1,1))</f>
        <v>382.55387448074327</v>
      </c>
      <c r="T58" s="62">
        <f t="shared" si="34"/>
        <v>476.29465646955543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35</v>
      </c>
      <c r="W58" s="17">
        <f>IF(ISNA(VLOOKUP(A58,'Données projet'!$A$35:$I$55,5,0)),0%,VLOOKUP(A58,'Données projet'!$A$35:$I$55,5,0)*VLOOKUP('Données projet'!$B$9,Paramètres!$A$1:$I$89,7,0))</f>
        <v>0.38500000000000001</v>
      </c>
      <c r="X58" s="17">
        <f>IF(ISNA(VLOOKUP(A58,'Données projet'!$A$35:$I$55,6,0)),0%,VLOOKUP(A58,'Données projet'!$A$35:$I$55,6,0)*VLOOKUP('Données projet'!$B$9,Paramètres!$A$1:$I$89,7,0))</f>
        <v>9.240000000000001E-2</v>
      </c>
      <c r="Y58" s="17">
        <f>IF(ISNA(VLOOKUP(A58,'Données projet'!$A$35:$I$55,7,0)),0%,VLOOKUP(A58,'Données projet'!$A$35:$I$55,7,0))</f>
        <v>0.13200000000000001</v>
      </c>
      <c r="Z58" s="23">
        <f>EXP(-LN(2)/35)*Z57+(1-EXP(-LN(2)/35))/(LN(2)/35)*V58*W58*VLOOKUP('Données projet'!$B$9,Paramètres!$A$1:$I$89,3,0)*0.475*44/12</f>
        <v>75.787801969683557</v>
      </c>
      <c r="AA58" s="23">
        <f>EXP(-LN(2)/25)*AA57+(1-EXP(-LN(2)/25))/(LN(2)/25)*Calculateur!V58*Calculateur!X58*VLOOKUP('Données projet'!$B$9,Paramètres!$A$1:$I$89,3,0)*0.475*44/12</f>
        <v>21.791143319300659</v>
      </c>
      <c r="AB58" s="23">
        <f>EXP(-LN(2)/2)*AB57+(1-EXP(-LN(2)/2))/(LN(2)/2)*V58*Y58*VLOOKUP('Données projet'!$B$9,Paramètres!$A$1:$I$89,3,0)*0.475*44/12</f>
        <v>3.8453936783158809</v>
      </c>
      <c r="AC58" s="24">
        <f t="shared" si="3"/>
        <v>101.4243389673001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13.333333333333334</v>
      </c>
      <c r="AI58" s="14">
        <f>IF('Données projet'!$A$62&gt;35,AI57+AH58-AQ57,IF(A58&lt;'Données projet'!$A$62,$AF$205^A58,IF(A58='Données projet'!$A$62,'Données projet'!$B$62,AI57+AH58-AQ57)))</f>
        <v>467.33333333333303</v>
      </c>
      <c r="AJ58" s="14">
        <f>AI58*VLOOKUP('Données projet'!$B$10,Paramètres!$A$1:$I$89,3,0)*VLOOKUP('Données projet'!$B$10,Paramètres!$A$1:$I$89,5,0)</f>
        <v>291.61599999999981</v>
      </c>
      <c r="AK58" s="14">
        <f t="shared" si="35"/>
        <v>69.415966121585768</v>
      </c>
      <c r="AL58" s="22">
        <f t="shared" si="4"/>
        <v>628.79734099509483</v>
      </c>
      <c r="AM58" s="62">
        <f t="shared" si="5"/>
        <v>922.13067432842809</v>
      </c>
      <c r="AN58" s="62">
        <f ca="1">AVERAGE(OFFSET($AM$3,0,0,'Données projet'!$E$10+1,1))-AVERAGE(OFFSET($H$3,0,0,'Données projet'!$E$10+1,1))</f>
        <v>482.28841373508675</v>
      </c>
      <c r="AO58" s="62">
        <f t="shared" si="36"/>
        <v>746.97309214631684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161.37935269563067</v>
      </c>
      <c r="AV58" s="23">
        <f>EXP(-LN(2)/25)*AV57+(1-EXP(-LN(2)/25))/(LN(2)/25)*Calculateur!AQ58*Calculateur!AS58*VLOOKUP('Données projet'!$B$10,Paramètres!$A$1:$I$89,3,0)*0.475*44/12</f>
        <v>35.33881943548112</v>
      </c>
      <c r="AW58" s="23">
        <f>EXP(-LN(2)/2)*AW57+(1-EXP(-LN(2)/2))/(LN(2)/2)*AQ58*AT58*VLOOKUP('Données projet'!$B$10,Paramètres!$A$1:$I$89,3,0)*0.475*44/12</f>
        <v>9.0030281264733389</v>
      </c>
      <c r="AX58" s="23">
        <f t="shared" si="6"/>
        <v>205.72120025758514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13.333333333333334</v>
      </c>
      <c r="BD58" s="13">
        <f>IF('Données projet'!$A$88&gt;35,BD57+BC58-BL57,IF(A58&lt;'Données projet'!$A$88,$BA$205^A58,IF(A58='Données projet'!$A$88,'Données projet'!$B$88,BD57+BC58-BL57)))</f>
        <v>467.33333333333303</v>
      </c>
      <c r="BE58" s="14">
        <f>BD58*VLOOKUP('Données projet'!$B$11,Paramètres!$A$1:$I$89,3,0)*VLOOKUP('Données projet'!$B$11,Paramètres!$A$1:$I$89,5,0)</f>
        <v>255.16399999999982</v>
      </c>
      <c r="BF58" s="14">
        <f t="shared" si="37"/>
        <v>61.690414477836441</v>
      </c>
      <c r="BG58" s="22">
        <f t="shared" si="7"/>
        <v>551.85477188223149</v>
      </c>
      <c r="BH58" s="62">
        <f t="shared" si="8"/>
        <v>845.18810521556475</v>
      </c>
      <c r="BI58" s="62">
        <f ca="1">AVERAGE(OFFSET($BH$3,0,0,'Données projet'!$E$11+1,1))-AVERAGE(OFFSET($H$3,0,0,'Données projet'!$E$11+1,1))</f>
        <v>417.99456559608217</v>
      </c>
      <c r="BJ58" s="62">
        <f t="shared" si="38"/>
        <v>651.41353014863932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141.20693360867685</v>
      </c>
      <c r="BQ58" s="23">
        <f>EXP(-LN(2)/25)*BQ57+(1-EXP(-LN(2)/25))/(LN(2)/25)*Calculateur!BL58*Calculateur!BN58*VLOOKUP('Données projet'!$B$11,Paramètres!$A$1:$I$89,3,0)*0.475*44/12</f>
        <v>31.289579708498906</v>
      </c>
      <c r="BR58" s="23">
        <f>EXP(-LN(2)/2)*BR57+(1-EXP(-LN(2)/2))/(LN(2)/2)*BL58*BO58*VLOOKUP('Données projet'!$B$11,Paramètres!$A$1:$I$89,3,0)*0.475*44/12</f>
        <v>7.7582912832298661</v>
      </c>
      <c r="BS58" s="24">
        <f t="shared" si="9"/>
        <v>180.25480460040563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5.75</v>
      </c>
      <c r="BY58" s="13">
        <f>IF('Données projet'!$A$114&gt;35,BY57+BX58-CG57,IF(A58&lt;'Données projet'!$A$114,$BV$205^A58,IF(A58='Données projet'!$A$114,'Données projet'!$B$114,BY57+BX58-CG57)))</f>
        <v>132.25</v>
      </c>
      <c r="BZ58" s="14">
        <f>BY58*VLOOKUP('Données projet'!$B$12,Paramètres!$A$1:$I$89,3,0)*VLOOKUP('Données projet'!$B$12,Paramètres!$A$1:$I$89,5,0)</f>
        <v>119.6598</v>
      </c>
      <c r="CA58" s="14">
        <f t="shared" si="39"/>
        <v>31.595640125146211</v>
      </c>
      <c r="CB58" s="22">
        <f t="shared" si="10"/>
        <v>263.43655821796295</v>
      </c>
      <c r="CC58" s="62">
        <f t="shared" si="11"/>
        <v>556.76989155129627</v>
      </c>
      <c r="CD58" s="62">
        <f ca="1">AVERAGE(OFFSET($CC$3,0,0,'Données projet'!$E$12+1,1))-AVERAGE(OFFSET($H$3,0,0,'Données projet'!$E$12+1,1))</f>
        <v>213.07277043804817</v>
      </c>
      <c r="CE58" s="62">
        <f t="shared" si="40"/>
        <v>129.14539883354166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5.75</v>
      </c>
      <c r="CT58" s="13">
        <f>IF('Données projet'!$A$140&gt;35,CT57+CS58-DB57,IF(A58&lt;'Données projet'!$A$140,$CQ$205^A58,IF(A58='Données projet'!$A$140,'Données projet'!$B$140,CT57+CS58-DB57)))</f>
        <v>132.25</v>
      </c>
      <c r="CU58" s="18">
        <f>CT58*VLOOKUP('Données projet'!$B$13,Paramètres!$A$1:$I$89,3,0)*VLOOKUP('Données projet'!$B$13,Paramètres!$A$1:$I$89,5,0)</f>
        <v>134.10150000000002</v>
      </c>
      <c r="CV58" s="14">
        <f t="shared" si="41"/>
        <v>34.942375413956256</v>
      </c>
      <c r="CW58" s="22">
        <f t="shared" si="13"/>
        <v>294.41808301264047</v>
      </c>
      <c r="CX58" s="62">
        <f t="shared" si="14"/>
        <v>587.75141634597378</v>
      </c>
      <c r="CY58" s="62">
        <f ca="1">AVERAGE(OFFSET($CX$3,0,0,'Données projet'!$E$13+1,1))-AVERAGE(OFFSET($H$3,0,0,'Données projet'!$E$13+1,1))</f>
        <v>247.92503505485405</v>
      </c>
      <c r="CZ58" s="62">
        <f t="shared" si="42"/>
        <v>148.26437652597514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2</v>
      </c>
      <c r="DO58" s="13">
        <f>IF('Données projet'!$A$166&gt;35,DO57+DN58-DW57,IF(A58&lt;'Données projet'!$A$166,$DL$205^A58,IF(A58='Données projet'!$A$166,'Données projet'!$B$166,DO57+DN58-DW57)))</f>
        <v>110</v>
      </c>
      <c r="DP58" s="18">
        <f>DO58*VLOOKUP('Données projet'!$B$14,Paramètres!$A$1:$I$89,3,0)*VLOOKUP('Données projet'!$B$14,Paramètres!$A$1:$I$89,5,0)</f>
        <v>106.39200000000001</v>
      </c>
      <c r="DQ58" s="14">
        <f t="shared" si="43"/>
        <v>28.479268717714096</v>
      </c>
      <c r="DR58" s="22">
        <f t="shared" si="16"/>
        <v>234.90079301668541</v>
      </c>
      <c r="DS58" s="62">
        <f t="shared" si="17"/>
        <v>528.23412635001876</v>
      </c>
      <c r="DT58" s="62">
        <f ca="1">AVERAGE(OFFSET($DS$3,0,0,'Données projet'!$E$14+1,1))-AVERAGE(OFFSET($H$3,0,0,'Données projet'!$E$14+1,1))</f>
        <v>154.0837760161366</v>
      </c>
      <c r="DU58" s="62">
        <f t="shared" si="44"/>
        <v>96.484500841546037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392.51950231481487</v>
      </c>
      <c r="EH58" s="13">
        <f>VLOOKUP(A58,'Données projet'!$A$191:$I$211,9,0)</f>
        <v>13.93250000000001</v>
      </c>
      <c r="EI58" s="13">
        <f t="array" ref="EI58">INDEX(EH:EH,MIN(IF(ISNUMBER(EH58:EH254),ROW(EH58:EH254),"")))</f>
        <v>13.93250000000001</v>
      </c>
      <c r="EJ58" s="13">
        <f>IF('Données projet'!$A$192&gt;35,EJ57+EI58-ER57,IF(A58&lt;'Données projet'!$A$192,$EG$205^A58,IF(A58='Données projet'!$A$192,'Données projet'!$B$192,EJ57+EI58-ER57)))</f>
        <v>392.51950231481482</v>
      </c>
      <c r="EK58" s="18">
        <f>EJ58*VLOOKUP('Données projet'!$B$15,Paramètres!$A$1:$I$89,3,0)*VLOOKUP('Données projet'!$B$15,Paramètres!$A$1:$I$89,5,0)</f>
        <v>263.30208215277776</v>
      </c>
      <c r="EL58" s="14">
        <f t="shared" si="45"/>
        <v>63.425730601727153</v>
      </c>
      <c r="EM58" s="22">
        <f t="shared" si="19"/>
        <v>569.05094054742926</v>
      </c>
      <c r="EN58" s="62">
        <f t="shared" si="20"/>
        <v>862.38427388076252</v>
      </c>
      <c r="EO58" s="62">
        <f ca="1">AVERAGE(OFFSET($EN$3,0,0,'Données projet'!$E$15+1,1))-AVERAGE(OFFSET($H$3,0,0,'Données projet'!$E$15+1,1))</f>
        <v>205.35893113421139</v>
      </c>
      <c r="EP58" s="62">
        <f t="shared" si="46"/>
        <v>220.4399811285175</v>
      </c>
      <c r="EQ58" s="16" t="str">
        <f>IF(ISNA(VLOOKUP(A58,'Données projet'!$A$191:$I$211,3,0)),0,VLOOKUP(A58,'Données projet'!$A$191:$I$211,3,0))</f>
        <v>CR</v>
      </c>
      <c r="ER58" s="16">
        <f>IF(ISNA(VLOOKUP(A58,'Données projet'!$A$191:$I$211,4,0)),0,VLOOKUP(A58,'Données projet'!$A$191:$I$211,4,0))</f>
        <v>392.51950231481487</v>
      </c>
      <c r="ES58" s="17">
        <f>IF(ISNA(VLOOKUP(A58,'Données projet'!$A$191:$I$211,5,0)),0%,VLOOKUP(A58,'Données projet'!$A$191:$I$211,5,0)*VLOOKUP('Données projet'!$B$15,Paramètres!$A$1:$I$89,7,0))</f>
        <v>0.371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129.96479892432623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129.96479892432623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392.51950231481487</v>
      </c>
      <c r="FC58" s="13">
        <f>VLOOKUP(A58,'Données projet'!$A$217:$I$237,9,0)</f>
        <v>13.93250000000001</v>
      </c>
      <c r="FD58" s="13">
        <f t="array" ref="FD58">INDEX(FC:FC,MIN(IF(ISNUMBER(FC58:FC254),ROW(FC58:FC254),"")))</f>
        <v>13.93250000000001</v>
      </c>
      <c r="FE58" s="13">
        <f>IF('Données projet'!$A$218&gt;35,FE57+FD58-FM57,IF(A58&lt;'Données projet'!$A$218,$FB$205^A58,IF(A58='Données projet'!$A$218,'Données projet'!$B$218,FE57+FD58-FM57)))</f>
        <v>392.51950231481482</v>
      </c>
      <c r="FF58" s="18">
        <f>FE58*VLOOKUP('Données projet'!$B$16,Paramètres!$A$1:$I$89,3,0)*VLOOKUP('Données projet'!$B$16,Paramètres!$A$1:$I$89,5,0)</f>
        <v>306.16521180555554</v>
      </c>
      <c r="FG58" s="14">
        <f t="shared" si="47"/>
        <v>72.467394519273668</v>
      </c>
      <c r="FH58" s="22">
        <f t="shared" si="22"/>
        <v>659.45178934907756</v>
      </c>
      <c r="FI58" s="62">
        <f t="shared" si="23"/>
        <v>952.78512268241093</v>
      </c>
      <c r="FJ58" s="62">
        <f ca="1">AVERAGE(OFFSET($FI$3,0,0,'Données projet'!$E$16+1,1))-AVERAGE(OFFSET($H$3,0,0,'Données projet'!$E$16+1,1))</f>
        <v>242.81177364426878</v>
      </c>
      <c r="FK58" s="62">
        <f t="shared" si="48"/>
        <v>260.72115764896671</v>
      </c>
      <c r="FL58" s="16" t="str">
        <f>IF(ISNA(VLOOKUP(A58,'Données projet'!$A$217:$I$237,3,0)),0,VLOOKUP(A58,'Données projet'!$A$217:$I$237,3,0))</f>
        <v>CR</v>
      </c>
      <c r="FM58" s="16">
        <f>IF(ISNA(VLOOKUP(A58,'Données projet'!$A$217:$I$237,4,0)),0,VLOOKUP(A58,'Données projet'!$A$217:$I$237,4,0))</f>
        <v>392.51950231481487</v>
      </c>
      <c r="FN58" s="17">
        <f>IF(ISNA(VLOOKUP(A58,'Données projet'!$A$217:$I$237,5,0)),0%,VLOOKUP(A58,'Données projet'!$A$217:$I$237,5,0)*VLOOKUP('Données projet'!$B$16,Paramètres!$A$1:$I$89,7,0))</f>
        <v>0.30099999999999999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122.60830087200588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122.60830087200588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392.51950231481487</v>
      </c>
      <c r="FX58" s="13">
        <f>VLOOKUP(A58,'Données projet'!$A$243:$I$263,9,0)</f>
        <v>13.93250000000001</v>
      </c>
      <c r="FY58" s="13">
        <f t="array" ref="FY58">INDEX(FX:FX,MIN(IF(ISNUMBER(FX58:FX254),ROW(FX58:FX254),"")))</f>
        <v>13.93250000000001</v>
      </c>
      <c r="FZ58" s="13">
        <f>IF('Données projet'!$A$244&gt;35,FZ57+FY58-GH57,IF(A58&lt;'Données projet'!$A$244,$FW$205^A58,IF(A58='Données projet'!$A$244,'Données projet'!$B$244,FZ57+FY58-GH57)))</f>
        <v>392.51950231481482</v>
      </c>
      <c r="GA58" s="18">
        <f>FZ58*VLOOKUP('Données projet'!$B$17,Paramètres!$A$1:$I$89,3,0)*VLOOKUP('Données projet'!$B$17,Paramètres!$A$1:$I$89,5,0)</f>
        <v>312.2885160416667</v>
      </c>
      <c r="GB58" s="14">
        <f t="shared" si="49"/>
        <v>73.746558624436219</v>
      </c>
      <c r="GC58" s="22">
        <f t="shared" si="25"/>
        <v>672.34442171012915</v>
      </c>
      <c r="GD58" s="62">
        <f t="shared" si="26"/>
        <v>965.67775504346241</v>
      </c>
      <c r="GE58" s="62">
        <f ca="1">AVERAGE(OFFSET($GD$3,0,0,'Données projet'!$E$17+1,1))-AVERAGE(OFFSET($H$3,0,0,'Données projet'!$E$17+1,1))</f>
        <v>248.15263300983543</v>
      </c>
      <c r="GF58" s="62">
        <f t="shared" si="50"/>
        <v>266.46511459244618</v>
      </c>
      <c r="GG58" s="16" t="str">
        <f>IF(ISNA(VLOOKUP(A58,'Données projet'!$A$243:$I$263,3,0)),0,VLOOKUP(A58,'Données projet'!$A$243:$I$263,3,0))</f>
        <v>CR</v>
      </c>
      <c r="GH58" s="16">
        <f>IF(ISNA(VLOOKUP(A58,'Données projet'!$A$243:$I$263,4,0)),0,VLOOKUP(A58,'Données projet'!$A$243:$I$263,4,0))</f>
        <v>392.51950231481487</v>
      </c>
      <c r="GI58" s="17">
        <f>IF(ISNA(VLOOKUP(A58,'Données projet'!$A$243:$I$263,5,0)),0%,VLOOKUP(A58,'Données projet'!$A$243:$I$263,5,0)*VLOOKUP('Données projet'!$B$17,Paramètres!$A$1:$I$89,7,0))</f>
        <v>0.371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154.1442963986195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154.1442963986195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10.199999999999999</v>
      </c>
      <c r="N59" s="14">
        <f>IF('Données projet'!$A$36&gt;35,N58+M59-V58,IF(A59&lt;'Données projet'!$A$36,$K$205^A59,IF(A59='Données projet'!$A$36,'Données projet'!$B$36,N58+M59-V58)))</f>
        <v>625.19999999999959</v>
      </c>
      <c r="O59" s="14">
        <f>N59*VLOOKUP('Données projet'!$B$9,Paramètres!$A$1:$I$89,3,0)*VLOOKUP('Données projet'!$B$9,Paramètres!$A$1:$I$89,5,0)</f>
        <v>349.48679999999979</v>
      </c>
      <c r="P59" s="14">
        <f t="shared" si="33"/>
        <v>81.45682900536228</v>
      </c>
      <c r="Q59" s="22">
        <f t="shared" si="53"/>
        <v>750.56015385100557</v>
      </c>
      <c r="R59" s="62">
        <f t="shared" si="0"/>
        <v>1043.8934871843389</v>
      </c>
      <c r="S59" s="62">
        <f ca="1">AVERAGE(OFFSET($R$3,0,0,'Données projet'!$E$9+1,1))-AVERAGE(OFFSET($H$3,0,0,'Données projet'!$E$9+1,1))</f>
        <v>382.55387448074327</v>
      </c>
      <c r="T59" s="62">
        <f t="shared" si="34"/>
        <v>476.29465646955543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74.30164939905282</v>
      </c>
      <c r="AA59" s="23">
        <f>EXP(-LN(2)/25)*AA58+(1-EXP(-LN(2)/25))/(LN(2)/25)*Calculateur!V59*Calculateur!X59*VLOOKUP('Données projet'!$B$9,Paramètres!$A$1:$I$89,3,0)*0.475*44/12</f>
        <v>21.19526335928796</v>
      </c>
      <c r="AB59" s="23">
        <f>EXP(-LN(2)/2)*AB58+(1-EXP(-LN(2)/2))/(LN(2)/2)*V59*Y59*VLOOKUP('Données projet'!$B$9,Paramètres!$A$1:$I$89,3,0)*0.475*44/12</f>
        <v>2.719103946269041</v>
      </c>
      <c r="AC59" s="24">
        <f t="shared" si="3"/>
        <v>98.216016704609828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13.333333333333334</v>
      </c>
      <c r="AI59" s="14">
        <f>IF('Données projet'!$A$62&gt;35,AI58+AH59-AQ58,IF(A59&lt;'Données projet'!$A$62,$AF$205^A59,IF(A59='Données projet'!$A$62,'Données projet'!$B$62,AI58+AH59-AQ58)))</f>
        <v>480.66666666666634</v>
      </c>
      <c r="AJ59" s="14">
        <f>AI59*VLOOKUP('Données projet'!$B$10,Paramètres!$A$1:$I$89,3,0)*VLOOKUP('Données projet'!$B$10,Paramètres!$A$1:$I$89,5,0)</f>
        <v>299.93599999999981</v>
      </c>
      <c r="AK59" s="14">
        <f t="shared" si="35"/>
        <v>71.16304645082424</v>
      </c>
      <c r="AL59" s="22">
        <f t="shared" si="4"/>
        <v>646.33083923518518</v>
      </c>
      <c r="AM59" s="62">
        <f t="shared" si="5"/>
        <v>939.66417256851855</v>
      </c>
      <c r="AN59" s="62">
        <f ca="1">AVERAGE(OFFSET($AM$3,0,0,'Données projet'!$E$10+1,1))-AVERAGE(OFFSET($H$3,0,0,'Données projet'!$E$10+1,1))</f>
        <v>482.28841373508675</v>
      </c>
      <c r="AO59" s="62">
        <f t="shared" si="36"/>
        <v>746.97309214631684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158.21480202095518</v>
      </c>
      <c r="AV59" s="23">
        <f>EXP(-LN(2)/25)*AV58+(1-EXP(-LN(2)/25))/(LN(2)/25)*Calculateur!AQ59*Calculateur!AS59*VLOOKUP('Données projet'!$B$10,Paramètres!$A$1:$I$89,3,0)*0.475*44/12</f>
        <v>34.372477559630141</v>
      </c>
      <c r="AW59" s="23">
        <f>EXP(-LN(2)/2)*AW58+(1-EXP(-LN(2)/2))/(LN(2)/2)*AQ59*AT59*VLOOKUP('Données projet'!$B$10,Paramètres!$A$1:$I$89,3,0)*0.475*44/12</f>
        <v>6.3661022394425162</v>
      </c>
      <c r="AX59" s="23">
        <f t="shared" si="6"/>
        <v>198.95338182002783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13.333333333333334</v>
      </c>
      <c r="BD59" s="13">
        <f>IF('Données projet'!$A$88&gt;35,BD58+BC59-BL58,IF(A59&lt;'Données projet'!$A$88,$BA$205^A59,IF(A59='Données projet'!$A$88,'Données projet'!$B$88,BD58+BC59-BL58)))</f>
        <v>480.66666666666634</v>
      </c>
      <c r="BE59" s="14">
        <f>BD59*VLOOKUP('Données projet'!$B$11,Paramètres!$A$1:$I$89,3,0)*VLOOKUP('Données projet'!$B$11,Paramètres!$A$1:$I$89,5,0)</f>
        <v>262.44399999999985</v>
      </c>
      <c r="BF59" s="14">
        <f t="shared" si="37"/>
        <v>63.243055976018816</v>
      </c>
      <c r="BG59" s="22">
        <f t="shared" si="7"/>
        <v>567.23828915823242</v>
      </c>
      <c r="BH59" s="62">
        <f t="shared" si="8"/>
        <v>860.57162249156568</v>
      </c>
      <c r="BI59" s="62">
        <f ca="1">AVERAGE(OFFSET($BH$3,0,0,'Données projet'!$E$11+1,1))-AVERAGE(OFFSET($H$3,0,0,'Données projet'!$E$11+1,1))</f>
        <v>417.99456559608217</v>
      </c>
      <c r="BJ59" s="62">
        <f t="shared" si="38"/>
        <v>651.41353014863932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138.43795176833578</v>
      </c>
      <c r="BQ59" s="23">
        <f>EXP(-LN(2)/25)*BQ58+(1-EXP(-LN(2)/25))/(LN(2)/25)*Calculateur!BL59*Calculateur!BN59*VLOOKUP('Données projet'!$B$11,Paramètres!$A$1:$I$89,3,0)*0.475*44/12</f>
        <v>30.433964505922518</v>
      </c>
      <c r="BR59" s="23">
        <f>EXP(-LN(2)/2)*BR58+(1-EXP(-LN(2)/2))/(LN(2)/2)*BL59*BO59*VLOOKUP('Données projet'!$B$11,Paramètres!$A$1:$I$89,3,0)*0.475*44/12</f>
        <v>5.4859403767923203</v>
      </c>
      <c r="BS59" s="24">
        <f t="shared" si="9"/>
        <v>174.35785665105061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>
        <f>VLOOKUP(A59,'Données projet'!$A$113:$I$133,2,0)</f>
        <v>138</v>
      </c>
      <c r="BW59" s="13">
        <f>VLOOKUP(A59,'Données projet'!$A$113:$I$133,9,0)</f>
        <v>5.75</v>
      </c>
      <c r="BX59" s="13">
        <f t="array" ref="BX59">INDEX(BW:BW,MIN(IF(ISNUMBER(BW59:BW255),ROW(BW59:BW255),"")))</f>
        <v>5.75</v>
      </c>
      <c r="BY59" s="13">
        <f>IF('Données projet'!$A$114&gt;35,BY58+BX59-CG58,IF(A59&lt;'Données projet'!$A$114,$BV$205^A59,IF(A59='Données projet'!$A$114,'Données projet'!$B$114,BY58+BX59-CG58)))</f>
        <v>138</v>
      </c>
      <c r="BZ59" s="14">
        <f>BY59*VLOOKUP('Données projet'!$B$12,Paramètres!$A$1:$I$89,3,0)*VLOOKUP('Données projet'!$B$12,Paramètres!$A$1:$I$89,5,0)</f>
        <v>124.86239999999999</v>
      </c>
      <c r="CA59" s="14">
        <f t="shared" si="39"/>
        <v>32.806439280561598</v>
      </c>
      <c r="CB59" s="22">
        <f t="shared" si="10"/>
        <v>274.60656174697812</v>
      </c>
      <c r="CC59" s="62">
        <f t="shared" si="11"/>
        <v>567.93989508031143</v>
      </c>
      <c r="CD59" s="62">
        <f ca="1">AVERAGE(OFFSET($CC$3,0,0,'Données projet'!$E$12+1,1))-AVERAGE(OFFSET($H$3,0,0,'Données projet'!$E$12+1,1))</f>
        <v>213.07277043804817</v>
      </c>
      <c r="CE59" s="62">
        <f t="shared" si="40"/>
        <v>129.14539883354166</v>
      </c>
      <c r="CF59" s="16">
        <f>IF(ISNA(VLOOKUP(A59,'Données projet'!$A$113:$I$133,3,0)),0,VLOOKUP(A59,'Données projet'!$A$113:$I$133,3,0))</f>
        <v>3</v>
      </c>
      <c r="CG59" s="16">
        <f>IF(ISNA(VLOOKUP(A59,'Données projet'!$A$113:$I$133,4,0)),0,VLOOKUP(A59,'Données projet'!$A$113:$I$133,4,0))</f>
        <v>36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>
        <f>VLOOKUP(A59,'Données projet'!$A$139:$I$159,2,0)</f>
        <v>138</v>
      </c>
      <c r="CR59" s="13">
        <f>VLOOKUP(A59,'Données projet'!$A$139:$I$159,9,0)</f>
        <v>5.75</v>
      </c>
      <c r="CS59" s="13">
        <f t="array" ref="CS59">INDEX(CR:CR,MIN(IF(ISNUMBER(CR59:CR255),ROW(CR59:CR255),"")))</f>
        <v>5.75</v>
      </c>
      <c r="CT59" s="13">
        <f>IF('Données projet'!$A$140&gt;35,CT58+CS59-DB58,IF(A59&lt;'Données projet'!$A$140,$CQ$205^A59,IF(A59='Données projet'!$A$140,'Données projet'!$B$140,CT58+CS59-DB58)))</f>
        <v>138</v>
      </c>
      <c r="CU59" s="18">
        <f>CT59*VLOOKUP('Données projet'!$B$13,Paramètres!$A$1:$I$89,3,0)*VLOOKUP('Données projet'!$B$13,Paramètres!$A$1:$I$89,5,0)</f>
        <v>139.93200000000002</v>
      </c>
      <c r="CV59" s="14">
        <f t="shared" si="41"/>
        <v>36.281427209452353</v>
      </c>
      <c r="CW59" s="22">
        <f t="shared" si="13"/>
        <v>306.90505238979614</v>
      </c>
      <c r="CX59" s="62">
        <f t="shared" si="14"/>
        <v>600.23838572312945</v>
      </c>
      <c r="CY59" s="62">
        <f ca="1">AVERAGE(OFFSET($CX$3,0,0,'Données projet'!$E$13+1,1))-AVERAGE(OFFSET($H$3,0,0,'Données projet'!$E$13+1,1))</f>
        <v>247.92503505485405</v>
      </c>
      <c r="CZ59" s="62">
        <f t="shared" si="42"/>
        <v>148.26437652597514</v>
      </c>
      <c r="DA59" s="16">
        <f>IF(ISNA(VLOOKUP(A59,'Données projet'!$A$139:$I$159,3,0)),0,VLOOKUP(A59,'Données projet'!$A$139:$I$159,3,0))</f>
        <v>3</v>
      </c>
      <c r="DB59" s="16">
        <f>IF(ISNA(VLOOKUP(A59,'Données projet'!$A$139:$I$159,4,0)),0,VLOOKUP(A59,'Données projet'!$A$139:$I$159,4,0))</f>
        <v>36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>
        <f>VLOOKUP(A59,'Données projet'!$A$165:$I$185,2,0)</f>
        <v>112</v>
      </c>
      <c r="DM59" s="13">
        <f>VLOOKUP(A59,'Données projet'!$A$165:$I$185,9,0)</f>
        <v>2</v>
      </c>
      <c r="DN59" s="13">
        <f t="array" ref="DN59">INDEX(DM:DM,MIN(IF(ISNUMBER(DM59:DM255),ROW(DM59:DM255),"")))</f>
        <v>2</v>
      </c>
      <c r="DO59" s="13">
        <f>IF('Données projet'!$A$166&gt;35,DO58+DN59-DW58,IF(A59&lt;'Données projet'!$A$166,$DL$205^A59,IF(A59='Données projet'!$A$166,'Données projet'!$B$166,DO58+DN59-DW58)))</f>
        <v>112</v>
      </c>
      <c r="DP59" s="18">
        <f>DO59*VLOOKUP('Données projet'!$B$14,Paramètres!$A$1:$I$89,3,0)*VLOOKUP('Données projet'!$B$14,Paramètres!$A$1:$I$89,5,0)</f>
        <v>108.32640000000001</v>
      </c>
      <c r="DQ59" s="14">
        <f t="shared" si="43"/>
        <v>28.936320206966883</v>
      </c>
      <c r="DR59" s="22">
        <f t="shared" si="16"/>
        <v>239.06590436046736</v>
      </c>
      <c r="DS59" s="62">
        <f t="shared" si="17"/>
        <v>532.39923769380061</v>
      </c>
      <c r="DT59" s="62">
        <f ca="1">AVERAGE(OFFSET($DS$3,0,0,'Données projet'!$E$14+1,1))-AVERAGE(OFFSET($H$3,0,0,'Données projet'!$E$14+1,1))</f>
        <v>154.0837760161366</v>
      </c>
      <c r="DU59" s="62">
        <f t="shared" si="44"/>
        <v>96.484500841546037</v>
      </c>
      <c r="DV59" s="16">
        <f>IF(ISNA(VLOOKUP(A59,'Données projet'!$A$165:$I$185,3,0)),0,VLOOKUP(A59,'Données projet'!$A$165:$I$185,3,0))</f>
        <v>1</v>
      </c>
      <c r="DW59" s="16">
        <f>IF(ISNA(VLOOKUP(A59,'Données projet'!$A$165:$I$185,4,0)),0,VLOOKUP(A59,'Données projet'!$A$165:$I$185,4,0))</f>
        <v>33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-5.6843418860808015E-14</v>
      </c>
      <c r="EK59" s="18">
        <f>EJ59*VLOOKUP('Données projet'!$B$15,Paramètres!$A$1:$I$89,3,0)*VLOOKUP('Données projet'!$B$15,Paramètres!$A$1:$I$89,5,0)</f>
        <v>-3.813056537183002E-14</v>
      </c>
      <c r="EL59" s="14" t="e">
        <f t="shared" si="45"/>
        <v>#NUM!</v>
      </c>
      <c r="EM59" s="22" t="e">
        <f t="shared" si="19"/>
        <v>#NUM!</v>
      </c>
      <c r="EN59" s="62" t="e">
        <f t="shared" si="20"/>
        <v>#NUM!</v>
      </c>
      <c r="EO59" s="62">
        <f ca="1">AVERAGE(OFFSET($EN$3,0,0,'Données projet'!$E$15+1,1))-AVERAGE(OFFSET($H$3,0,0,'Données projet'!$E$15+1,1))</f>
        <v>205.35893113421139</v>
      </c>
      <c r="EP59" s="62">
        <f t="shared" si="46"/>
        <v>220.4399811285175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127.41626848812021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127.41626848812021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-5.6843418860808015E-14</v>
      </c>
      <c r="FF59" s="18">
        <f>FE59*VLOOKUP('Données projet'!$B$16,Paramètres!$A$1:$I$89,3,0)*VLOOKUP('Données projet'!$B$16,Paramètres!$A$1:$I$89,5,0)</f>
        <v>-4.4337866711430253E-14</v>
      </c>
      <c r="FG59" s="14" t="e">
        <f t="shared" si="47"/>
        <v>#NUM!</v>
      </c>
      <c r="FH59" s="22" t="e">
        <f t="shared" si="22"/>
        <v>#NUM!</v>
      </c>
      <c r="FI59" s="62" t="e">
        <f t="shared" si="23"/>
        <v>#NUM!</v>
      </c>
      <c r="FJ59" s="62">
        <f ca="1">AVERAGE(OFFSET($FI$3,0,0,'Données projet'!$E$16+1,1))-AVERAGE(OFFSET($H$3,0,0,'Données projet'!$E$16+1,1))</f>
        <v>242.81177364426878</v>
      </c>
      <c r="FK59" s="62">
        <f t="shared" si="48"/>
        <v>260.72115764896671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120.2040268755851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120.2040268755851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-5.6843418860808015E-14</v>
      </c>
      <c r="GA59" s="18">
        <f>FZ59*VLOOKUP('Données projet'!$B$17,Paramètres!$A$1:$I$89,3,0)*VLOOKUP('Données projet'!$B$17,Paramètres!$A$1:$I$89,5,0)</f>
        <v>-4.5224624045658861E-14</v>
      </c>
      <c r="GB59" s="14" t="e">
        <f t="shared" si="49"/>
        <v>#NUM!</v>
      </c>
      <c r="GC59" s="22" t="e">
        <f t="shared" si="25"/>
        <v>#NUM!</v>
      </c>
      <c r="GD59" s="62" t="e">
        <f t="shared" si="26"/>
        <v>#NUM!</v>
      </c>
      <c r="GE59" s="62">
        <f ca="1">AVERAGE(OFFSET($GD$3,0,0,'Données projet'!$E$17+1,1))-AVERAGE(OFFSET($H$3,0,0,'Données projet'!$E$17+1,1))</f>
        <v>248.15263300983543</v>
      </c>
      <c r="GF59" s="62">
        <f t="shared" si="50"/>
        <v>266.46511459244618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151.12162076497981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151.12162076497981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10.199999999999999</v>
      </c>
      <c r="N60" s="14">
        <f>IF('Données projet'!$A$36&gt;35,N59+M60-V59,IF(A60&lt;'Données projet'!$A$36,$K$205^A60,IF(A60='Données projet'!$A$36,'Données projet'!$B$36,N59+M60-V59)))</f>
        <v>635.39999999999964</v>
      </c>
      <c r="O60" s="14">
        <f>N60*VLOOKUP('Données projet'!$B$9,Paramètres!$A$1:$I$89,3,0)*VLOOKUP('Données projet'!$B$9,Paramètres!$A$1:$I$89,5,0)</f>
        <v>355.18859999999984</v>
      </c>
      <c r="P60" s="14">
        <f t="shared" si="33"/>
        <v>82.629981116726043</v>
      </c>
      <c r="Q60" s="22">
        <f t="shared" si="53"/>
        <v>762.53402877829774</v>
      </c>
      <c r="R60" s="62">
        <f t="shared" si="0"/>
        <v>1055.8673621116311</v>
      </c>
      <c r="S60" s="62">
        <f ca="1">AVERAGE(OFFSET($R$3,0,0,'Données projet'!$E$9+1,1))-AVERAGE(OFFSET($H$3,0,0,'Données projet'!$E$9+1,1))</f>
        <v>382.55387448074327</v>
      </c>
      <c r="T60" s="62">
        <f t="shared" si="34"/>
        <v>476.29465646955543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72.844639373868603</v>
      </c>
      <c r="AA60" s="23">
        <f>EXP(-LN(2)/25)*AA59+(1-EXP(-LN(2)/25))/(LN(2)/25)*Calculateur!V60*Calculateur!X60*VLOOKUP('Données projet'!$B$9,Paramètres!$A$1:$I$89,3,0)*0.475*44/12</f>
        <v>20.615677768117774</v>
      </c>
      <c r="AB60" s="23">
        <f>EXP(-LN(2)/2)*AB59+(1-EXP(-LN(2)/2))/(LN(2)/2)*V60*Y60*VLOOKUP('Données projet'!$B$9,Paramètres!$A$1:$I$89,3,0)*0.475*44/12</f>
        <v>1.9226968391579407</v>
      </c>
      <c r="AC60" s="24">
        <f t="shared" si="3"/>
        <v>95.383013981144316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13.333333333333334</v>
      </c>
      <c r="AI60" s="14">
        <f>IF('Données projet'!$A$62&gt;35,AI59+AH60-AQ59,IF(A60&lt;'Données projet'!$A$62,$AF$205^A60,IF(A60='Données projet'!$A$62,'Données projet'!$B$62,AI59+AH60-AQ59)))</f>
        <v>493.99999999999966</v>
      </c>
      <c r="AJ60" s="14">
        <f>AI60*VLOOKUP('Données projet'!$B$10,Paramètres!$A$1:$I$89,3,0)*VLOOKUP('Données projet'!$B$10,Paramètres!$A$1:$I$89,5,0)</f>
        <v>308.2559999999998</v>
      </c>
      <c r="AK60" s="14">
        <f t="shared" si="35"/>
        <v>72.904494055753887</v>
      </c>
      <c r="AL60" s="22">
        <f t="shared" si="4"/>
        <v>663.85452714710436</v>
      </c>
      <c r="AM60" s="62">
        <f t="shared" si="5"/>
        <v>957.18786048043762</v>
      </c>
      <c r="AN60" s="62">
        <f ca="1">AVERAGE(OFFSET($AM$3,0,0,'Données projet'!$E$10+1,1))-AVERAGE(OFFSET($H$3,0,0,'Données projet'!$E$10+1,1))</f>
        <v>482.28841373508675</v>
      </c>
      <c r="AO60" s="62">
        <f t="shared" si="36"/>
        <v>746.97309214631684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155.11230625482474</v>
      </c>
      <c r="AV60" s="23">
        <f>EXP(-LN(2)/25)*AV59+(1-EXP(-LN(2)/25))/(LN(2)/25)*Calculateur!AQ60*Calculateur!AS60*VLOOKUP('Données projet'!$B$10,Paramètres!$A$1:$I$89,3,0)*0.475*44/12</f>
        <v>33.432560353192017</v>
      </c>
      <c r="AW60" s="23">
        <f>EXP(-LN(2)/2)*AW59+(1-EXP(-LN(2)/2))/(LN(2)/2)*AQ60*AT60*VLOOKUP('Données projet'!$B$10,Paramètres!$A$1:$I$89,3,0)*0.475*44/12</f>
        <v>4.5015140632366695</v>
      </c>
      <c r="AX60" s="23">
        <f t="shared" si="6"/>
        <v>193.04638067125344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13.333333333333334</v>
      </c>
      <c r="BD60" s="13">
        <f>IF('Données projet'!$A$88&gt;35,BD59+BC60-BL59,IF(A60&lt;'Données projet'!$A$88,$BA$205^A60,IF(A60='Données projet'!$A$88,'Données projet'!$B$88,BD59+BC60-BL59)))</f>
        <v>493.99999999999966</v>
      </c>
      <c r="BE60" s="14">
        <f>BD60*VLOOKUP('Données projet'!$B$11,Paramètres!$A$1:$I$89,3,0)*VLOOKUP('Données projet'!$B$11,Paramètres!$A$1:$I$89,5,0)</f>
        <v>269.72399999999982</v>
      </c>
      <c r="BF60" s="14">
        <f t="shared" si="37"/>
        <v>64.790691635967349</v>
      </c>
      <c r="BG60" s="22">
        <f t="shared" si="7"/>
        <v>582.61308793264277</v>
      </c>
      <c r="BH60" s="62">
        <f t="shared" si="8"/>
        <v>875.94642126597614</v>
      </c>
      <c r="BI60" s="62">
        <f ca="1">AVERAGE(OFFSET($BH$3,0,0,'Données projet'!$E$11+1,1))-AVERAGE(OFFSET($H$3,0,0,'Données projet'!$E$11+1,1))</f>
        <v>417.99456559608217</v>
      </c>
      <c r="BJ60" s="62">
        <f t="shared" si="38"/>
        <v>651.41353014863932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135.72326797297166</v>
      </c>
      <c r="BQ60" s="23">
        <f>EXP(-LN(2)/25)*BQ59+(1-EXP(-LN(2)/25))/(LN(2)/25)*Calculateur!BL60*Calculateur!BN60*VLOOKUP('Données projet'!$B$11,Paramètres!$A$1:$I$89,3,0)*0.475*44/12</f>
        <v>29.601746146055429</v>
      </c>
      <c r="BR60" s="23">
        <f>EXP(-LN(2)/2)*BR59+(1-EXP(-LN(2)/2))/(LN(2)/2)*BL60*BO60*VLOOKUP('Données projet'!$B$11,Paramètres!$A$1:$I$89,3,0)*0.475*44/12</f>
        <v>3.8791456416149335</v>
      </c>
      <c r="BS60" s="24">
        <f t="shared" si="9"/>
        <v>169.20415976064203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6.625</v>
      </c>
      <c r="BY60" s="13">
        <f>IF('Données projet'!$A$114&gt;35,BY59+BX60-CG59,IF(A60&lt;'Données projet'!$A$114,$BV$205^A60,IF(A60='Données projet'!$A$114,'Données projet'!$B$114,BY59+BX60-CG59)))</f>
        <v>108.625</v>
      </c>
      <c r="BZ60" s="14">
        <f>BY60*VLOOKUP('Données projet'!$B$12,Paramètres!$A$1:$I$89,3,0)*VLOOKUP('Données projet'!$B$12,Paramètres!$A$1:$I$89,5,0)</f>
        <v>98.283900000000003</v>
      </c>
      <c r="CA60" s="14">
        <f t="shared" si="39"/>
        <v>26.552749421787905</v>
      </c>
      <c r="CB60" s="22">
        <f t="shared" si="10"/>
        <v>217.42383107628061</v>
      </c>
      <c r="CC60" s="62">
        <f t="shared" si="11"/>
        <v>510.75716440961389</v>
      </c>
      <c r="CD60" s="62">
        <f ca="1">AVERAGE(OFFSET($CC$3,0,0,'Données projet'!$E$12+1,1))-AVERAGE(OFFSET($H$3,0,0,'Données projet'!$E$12+1,1))</f>
        <v>213.07277043804817</v>
      </c>
      <c r="CE60" s="62">
        <f t="shared" si="40"/>
        <v>129.14539883354166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6.625</v>
      </c>
      <c r="CT60" s="13">
        <f>IF('Données projet'!$A$140&gt;35,CT59+CS60-DB59,IF(A60&lt;'Données projet'!$A$140,$CQ$205^A60,IF(A60='Données projet'!$A$140,'Données projet'!$B$140,CT59+CS60-DB59)))</f>
        <v>108.625</v>
      </c>
      <c r="CU60" s="18">
        <f>CT60*VLOOKUP('Données projet'!$B$13,Paramètres!$A$1:$I$89,3,0)*VLOOKUP('Données projet'!$B$13,Paramètres!$A$1:$I$89,5,0)</f>
        <v>110.14575000000001</v>
      </c>
      <c r="CV60" s="14">
        <f t="shared" si="41"/>
        <v>29.365321762555343</v>
      </c>
      <c r="CW60" s="22">
        <f t="shared" si="13"/>
        <v>242.98178331978389</v>
      </c>
      <c r="CX60" s="62">
        <f t="shared" si="14"/>
        <v>536.31511665311723</v>
      </c>
      <c r="CY60" s="62">
        <f ca="1">AVERAGE(OFFSET($CX$3,0,0,'Données projet'!$E$13+1,1))-AVERAGE(OFFSET($H$3,0,0,'Données projet'!$E$13+1,1))</f>
        <v>247.92503505485405</v>
      </c>
      <c r="CZ60" s="62">
        <f t="shared" si="42"/>
        <v>148.26437652597514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</v>
      </c>
      <c r="DO60" s="13">
        <f>IF('Données projet'!$A$166&gt;35,DO59+DN60-DW59,IF(A60&lt;'Données projet'!$A$166,$DL$205^A60,IF(A60='Données projet'!$A$166,'Données projet'!$B$166,DO59+DN60-DW59)))</f>
        <v>84</v>
      </c>
      <c r="DP60" s="18">
        <f>DO60*VLOOKUP('Données projet'!$B$14,Paramètres!$A$1:$I$89,3,0)*VLOOKUP('Données projet'!$B$14,Paramètres!$A$1:$I$89,5,0)</f>
        <v>81.244799999999998</v>
      </c>
      <c r="DQ60" s="14">
        <f t="shared" si="43"/>
        <v>22.441270156928962</v>
      </c>
      <c r="DR60" s="22">
        <f t="shared" si="16"/>
        <v>180.58657218998462</v>
      </c>
      <c r="DS60" s="62">
        <f t="shared" si="17"/>
        <v>473.91990552331794</v>
      </c>
      <c r="DT60" s="62">
        <f ca="1">AVERAGE(OFFSET($DS$3,0,0,'Données projet'!$E$14+1,1))-AVERAGE(OFFSET($H$3,0,0,'Données projet'!$E$14+1,1))</f>
        <v>154.0837760161366</v>
      </c>
      <c r="DU60" s="62">
        <f t="shared" si="44"/>
        <v>96.484500841546037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-5.6843418860808015E-14</v>
      </c>
      <c r="EK60" s="18">
        <f>EJ60*VLOOKUP('Données projet'!$B$15,Paramètres!$A$1:$I$89,3,0)*VLOOKUP('Données projet'!$B$15,Paramètres!$A$1:$I$89,5,0)</f>
        <v>-3.813056537183002E-14</v>
      </c>
      <c r="EL60" s="14" t="e">
        <f t="shared" si="45"/>
        <v>#NUM!</v>
      </c>
      <c r="EM60" s="22" t="e">
        <f t="shared" si="19"/>
        <v>#NUM!</v>
      </c>
      <c r="EN60" s="62" t="e">
        <f t="shared" si="20"/>
        <v>#NUM!</v>
      </c>
      <c r="EO60" s="62">
        <f ca="1">AVERAGE(OFFSET($EN$3,0,0,'Données projet'!$E$15+1,1))-AVERAGE(OFFSET($H$3,0,0,'Données projet'!$E$15+1,1))</f>
        <v>205.35893113421139</v>
      </c>
      <c r="EP60" s="62">
        <f t="shared" si="46"/>
        <v>220.4399811285175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124.91771317931811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124.91771317931811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-5.6843418860808015E-14</v>
      </c>
      <c r="FF60" s="18">
        <f>FE60*VLOOKUP('Données projet'!$B$16,Paramètres!$A$1:$I$89,3,0)*VLOOKUP('Données projet'!$B$16,Paramètres!$A$1:$I$89,5,0)</f>
        <v>-4.4337866711430253E-14</v>
      </c>
      <c r="FG60" s="14" t="e">
        <f t="shared" si="47"/>
        <v>#NUM!</v>
      </c>
      <c r="FH60" s="22" t="e">
        <f t="shared" si="22"/>
        <v>#NUM!</v>
      </c>
      <c r="FI60" s="62" t="e">
        <f t="shared" si="23"/>
        <v>#NUM!</v>
      </c>
      <c r="FJ60" s="62">
        <f ca="1">AVERAGE(OFFSET($FI$3,0,0,'Données projet'!$E$16+1,1))-AVERAGE(OFFSET($H$3,0,0,'Données projet'!$E$16+1,1))</f>
        <v>242.81177364426878</v>
      </c>
      <c r="FK60" s="62">
        <f t="shared" si="48"/>
        <v>260.72115764896671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117.84689922577179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117.84689922577179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-5.6843418860808015E-14</v>
      </c>
      <c r="GA60" s="18">
        <f>FZ60*VLOOKUP('Données projet'!$B$17,Paramètres!$A$1:$I$89,3,0)*VLOOKUP('Données projet'!$B$17,Paramètres!$A$1:$I$89,5,0)</f>
        <v>-4.5224624045658861E-14</v>
      </c>
      <c r="GB60" s="14" t="e">
        <f t="shared" si="49"/>
        <v>#NUM!</v>
      </c>
      <c r="GC60" s="22" t="e">
        <f t="shared" si="25"/>
        <v>#NUM!</v>
      </c>
      <c r="GD60" s="62" t="e">
        <f t="shared" si="26"/>
        <v>#NUM!</v>
      </c>
      <c r="GE60" s="62">
        <f ca="1">AVERAGE(OFFSET($GD$3,0,0,'Données projet'!$E$17+1,1))-AVERAGE(OFFSET($H$3,0,0,'Données projet'!$E$17+1,1))</f>
        <v>248.15263300983543</v>
      </c>
      <c r="GF60" s="62">
        <f t="shared" si="50"/>
        <v>266.46511459244618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148.15821795686568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148.15821795686568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10.199999999999999</v>
      </c>
      <c r="N61" s="14">
        <f>IF('Données projet'!$A$36&gt;35,N60+M61-V60,IF(A61&lt;'Données projet'!$A$36,$K$205^A61,IF(A61='Données projet'!$A$36,'Données projet'!$B$36,N60+M61-V60)))</f>
        <v>645.59999999999968</v>
      </c>
      <c r="O61" s="14">
        <f>N61*VLOOKUP('Données projet'!$B$9,Paramètres!$A$1:$I$89,3,0)*VLOOKUP('Données projet'!$B$9,Paramètres!$A$1:$I$89,5,0)</f>
        <v>360.89039999999977</v>
      </c>
      <c r="P61" s="14">
        <f t="shared" si="33"/>
        <v>83.800943075865291</v>
      </c>
      <c r="Q61" s="22">
        <f t="shared" si="53"/>
        <v>774.50408919046504</v>
      </c>
      <c r="R61" s="62">
        <f t="shared" si="0"/>
        <v>1067.8374225237983</v>
      </c>
      <c r="S61" s="62">
        <f ca="1">AVERAGE(OFFSET($R$3,0,0,'Données projet'!$E$9+1,1))-AVERAGE(OFFSET($H$3,0,0,'Données projet'!$E$9+1,1))</f>
        <v>382.55387448074327</v>
      </c>
      <c r="T61" s="62">
        <f t="shared" si="34"/>
        <v>476.29465646955543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71.416200426589882</v>
      </c>
      <c r="AA61" s="23">
        <f>EXP(-LN(2)/25)*AA60+(1-EXP(-LN(2)/25))/(LN(2)/25)*Calculateur!V61*Calculateur!X61*VLOOKUP('Données projet'!$B$9,Paramètres!$A$1:$I$89,3,0)*0.475*44/12</f>
        <v>20.051940975417217</v>
      </c>
      <c r="AB61" s="23">
        <f>EXP(-LN(2)/2)*AB60+(1-EXP(-LN(2)/2))/(LN(2)/2)*V61*Y61*VLOOKUP('Données projet'!$B$9,Paramètres!$A$1:$I$89,3,0)*0.475*44/12</f>
        <v>1.3595519731345207</v>
      </c>
      <c r="AC61" s="24">
        <f t="shared" si="3"/>
        <v>92.827693375141607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13.333333333333334</v>
      </c>
      <c r="AI61" s="14">
        <f>IF('Données projet'!$A$62&gt;35,AI60+AH61-AQ60,IF(A61&lt;'Données projet'!$A$62,$AF$205^A61,IF(A61='Données projet'!$A$62,'Données projet'!$B$62,AI60+AH61-AQ60)))</f>
        <v>507.33333333333297</v>
      </c>
      <c r="AJ61" s="14">
        <f>AI61*VLOOKUP('Données projet'!$B$10,Paramètres!$A$1:$I$89,3,0)*VLOOKUP('Données projet'!$B$10,Paramètres!$A$1:$I$89,5,0)</f>
        <v>316.57599999999974</v>
      </c>
      <c r="AK61" s="14">
        <f t="shared" si="35"/>
        <v>74.640478438390105</v>
      </c>
      <c r="AL61" s="22">
        <f t="shared" si="4"/>
        <v>681.36869994686231</v>
      </c>
      <c r="AM61" s="62">
        <f t="shared" si="5"/>
        <v>974.70203328019556</v>
      </c>
      <c r="AN61" s="62">
        <f ca="1">AVERAGE(OFFSET($AM$3,0,0,'Données projet'!$E$10+1,1))-AVERAGE(OFFSET($H$3,0,0,'Données projet'!$E$10+1,1))</f>
        <v>482.28841373508675</v>
      </c>
      <c r="AO61" s="62">
        <f t="shared" si="36"/>
        <v>746.97309214631684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152.07064853833256</v>
      </c>
      <c r="AV61" s="23">
        <f>EXP(-LN(2)/25)*AV60+(1-EXP(-LN(2)/25))/(LN(2)/25)*Calculateur!AQ61*Calculateur!AS61*VLOOKUP('Données projet'!$B$10,Paramètres!$A$1:$I$89,3,0)*0.475*44/12</f>
        <v>32.51834523219204</v>
      </c>
      <c r="AW61" s="23">
        <f>EXP(-LN(2)/2)*AW60+(1-EXP(-LN(2)/2))/(LN(2)/2)*AQ61*AT61*VLOOKUP('Données projet'!$B$10,Paramètres!$A$1:$I$89,3,0)*0.475*44/12</f>
        <v>3.1830511197212581</v>
      </c>
      <c r="AX61" s="23">
        <f t="shared" si="6"/>
        <v>187.77204489024587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13.333333333333334</v>
      </c>
      <c r="BD61" s="13">
        <f>IF('Données projet'!$A$88&gt;35,BD60+BC61-BL60,IF(A61&lt;'Données projet'!$A$88,$BA$205^A61,IF(A61='Données projet'!$A$88,'Données projet'!$B$88,BD60+BC61-BL60)))</f>
        <v>507.33333333333297</v>
      </c>
      <c r="BE61" s="14">
        <f>BD61*VLOOKUP('Données projet'!$B$11,Paramètres!$A$1:$I$89,3,0)*VLOOKUP('Données projet'!$B$11,Paramètres!$A$1:$I$89,5,0)</f>
        <v>277.00399999999979</v>
      </c>
      <c r="BF61" s="14">
        <f t="shared" si="37"/>
        <v>66.333472095210681</v>
      </c>
      <c r="BG61" s="22">
        <f t="shared" si="7"/>
        <v>597.97943056582483</v>
      </c>
      <c r="BH61" s="62">
        <f t="shared" si="8"/>
        <v>891.3127638991582</v>
      </c>
      <c r="BI61" s="62">
        <f ca="1">AVERAGE(OFFSET($BH$3,0,0,'Données projet'!$E$11+1,1))-AVERAGE(OFFSET($H$3,0,0,'Données projet'!$E$11+1,1))</f>
        <v>417.99456559608217</v>
      </c>
      <c r="BJ61" s="62">
        <f t="shared" si="38"/>
        <v>651.41353014863932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133.061817471041</v>
      </c>
      <c r="BQ61" s="23">
        <f>EXP(-LN(2)/25)*BQ60+(1-EXP(-LN(2)/25))/(LN(2)/25)*Calculateur!BL61*Calculateur!BN61*VLOOKUP('Données projet'!$B$11,Paramètres!$A$1:$I$89,3,0)*0.475*44/12</f>
        <v>28.792284841003369</v>
      </c>
      <c r="BR61" s="23">
        <f>EXP(-LN(2)/2)*BR60+(1-EXP(-LN(2)/2))/(LN(2)/2)*BL61*BO61*VLOOKUP('Données projet'!$B$11,Paramètres!$A$1:$I$89,3,0)*0.475*44/12</f>
        <v>2.7429701883961606</v>
      </c>
      <c r="BS61" s="24">
        <f t="shared" si="9"/>
        <v>164.59707250044053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6.625</v>
      </c>
      <c r="BY61" s="13">
        <f>IF('Données projet'!$A$114&gt;35,BY60+BX61-CG60,IF(A61&lt;'Données projet'!$A$114,$BV$205^A61,IF(A61='Données projet'!$A$114,'Données projet'!$B$114,BY60+BX61-CG60)))</f>
        <v>115.25</v>
      </c>
      <c r="BZ61" s="14">
        <f>BY61*VLOOKUP('Données projet'!$B$12,Paramètres!$A$1:$I$89,3,0)*VLOOKUP('Données projet'!$B$12,Paramètres!$A$1:$I$89,5,0)</f>
        <v>104.2782</v>
      </c>
      <c r="CA61" s="14">
        <f t="shared" si="39"/>
        <v>27.978721441571697</v>
      </c>
      <c r="CB61" s="22">
        <f t="shared" si="10"/>
        <v>230.34747151073736</v>
      </c>
      <c r="CC61" s="62">
        <f t="shared" si="11"/>
        <v>523.68080484407074</v>
      </c>
      <c r="CD61" s="62">
        <f ca="1">AVERAGE(OFFSET($CC$3,0,0,'Données projet'!$E$12+1,1))-AVERAGE(OFFSET($H$3,0,0,'Données projet'!$E$12+1,1))</f>
        <v>213.07277043804817</v>
      </c>
      <c r="CE61" s="62">
        <f t="shared" si="40"/>
        <v>129.14539883354166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6.625</v>
      </c>
      <c r="CT61" s="13">
        <f>IF('Données projet'!$A$140&gt;35,CT60+CS61-DB60,IF(A61&lt;'Données projet'!$A$140,$CQ$205^A61,IF(A61='Données projet'!$A$140,'Données projet'!$B$140,CT60+CS61-DB60)))</f>
        <v>115.25</v>
      </c>
      <c r="CU61" s="18">
        <f>CT61*VLOOKUP('Données projet'!$B$13,Paramètres!$A$1:$I$89,3,0)*VLOOKUP('Données projet'!$B$13,Paramètres!$A$1:$I$89,5,0)</f>
        <v>116.86350000000002</v>
      </c>
      <c r="CV61" s="14">
        <f t="shared" si="41"/>
        <v>30.9423383840805</v>
      </c>
      <c r="CW61" s="22">
        <f t="shared" si="13"/>
        <v>257.42850185227354</v>
      </c>
      <c r="CX61" s="62">
        <f t="shared" si="14"/>
        <v>550.76183518560686</v>
      </c>
      <c r="CY61" s="62">
        <f ca="1">AVERAGE(OFFSET($CX$3,0,0,'Données projet'!$E$13+1,1))-AVERAGE(OFFSET($H$3,0,0,'Données projet'!$E$13+1,1))</f>
        <v>247.92503505485405</v>
      </c>
      <c r="CZ61" s="62">
        <f t="shared" si="42"/>
        <v>148.26437652597514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</v>
      </c>
      <c r="DO61" s="13">
        <f>IF('Données projet'!$A$166&gt;35,DO60+DN61-DW60,IF(A61&lt;'Données projet'!$A$166,$DL$205^A61,IF(A61='Données projet'!$A$166,'Données projet'!$B$166,DO60+DN61-DW60)))</f>
        <v>89</v>
      </c>
      <c r="DP61" s="18">
        <f>DO61*VLOOKUP('Données projet'!$B$14,Paramètres!$A$1:$I$89,3,0)*VLOOKUP('Données projet'!$B$14,Paramètres!$A$1:$I$89,5,0)</f>
        <v>86.080799999999996</v>
      </c>
      <c r="DQ61" s="14">
        <f t="shared" si="43"/>
        <v>23.617573015681714</v>
      </c>
      <c r="DR61" s="22">
        <f t="shared" si="16"/>
        <v>191.05799966897897</v>
      </c>
      <c r="DS61" s="62">
        <f t="shared" si="17"/>
        <v>484.39133300231231</v>
      </c>
      <c r="DT61" s="62">
        <f ca="1">AVERAGE(OFFSET($DS$3,0,0,'Données projet'!$E$14+1,1))-AVERAGE(OFFSET($H$3,0,0,'Données projet'!$E$14+1,1))</f>
        <v>154.0837760161366</v>
      </c>
      <c r="DU61" s="62">
        <f t="shared" si="44"/>
        <v>96.484500841546037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-5.6843418860808015E-14</v>
      </c>
      <c r="EK61" s="18">
        <f>EJ61*VLOOKUP('Données projet'!$B$15,Paramètres!$A$1:$I$89,3,0)*VLOOKUP('Données projet'!$B$15,Paramètres!$A$1:$I$89,5,0)</f>
        <v>-3.813056537183002E-14</v>
      </c>
      <c r="EL61" s="14" t="e">
        <f t="shared" si="45"/>
        <v>#NUM!</v>
      </c>
      <c r="EM61" s="22" t="e">
        <f t="shared" si="19"/>
        <v>#NUM!</v>
      </c>
      <c r="EN61" s="62" t="e">
        <f t="shared" si="20"/>
        <v>#NUM!</v>
      </c>
      <c r="EO61" s="62">
        <f ca="1">AVERAGE(OFFSET($EN$3,0,0,'Données projet'!$E$15+1,1))-AVERAGE(OFFSET($H$3,0,0,'Données projet'!$E$15+1,1))</f>
        <v>205.35893113421139</v>
      </c>
      <c r="EP61" s="62">
        <f t="shared" si="46"/>
        <v>220.4399811285175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122.46815301615337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122.46815301615337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-5.6843418860808015E-14</v>
      </c>
      <c r="FF61" s="18">
        <f>FE61*VLOOKUP('Données projet'!$B$16,Paramètres!$A$1:$I$89,3,0)*VLOOKUP('Données projet'!$B$16,Paramètres!$A$1:$I$89,5,0)</f>
        <v>-4.4337866711430253E-14</v>
      </c>
      <c r="FG61" s="14" t="e">
        <f t="shared" si="47"/>
        <v>#NUM!</v>
      </c>
      <c r="FH61" s="22" t="e">
        <f t="shared" si="22"/>
        <v>#NUM!</v>
      </c>
      <c r="FI61" s="62" t="e">
        <f t="shared" si="23"/>
        <v>#NUM!</v>
      </c>
      <c r="FJ61" s="62">
        <f ca="1">AVERAGE(OFFSET($FI$3,0,0,'Données projet'!$E$16+1,1))-AVERAGE(OFFSET($H$3,0,0,'Données projet'!$E$16+1,1))</f>
        <v>242.81177364426878</v>
      </c>
      <c r="FK61" s="62">
        <f t="shared" si="48"/>
        <v>260.72115764896671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115.53599341146543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115.53599341146543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-5.6843418860808015E-14</v>
      </c>
      <c r="GA61" s="18">
        <f>FZ61*VLOOKUP('Données projet'!$B$17,Paramètres!$A$1:$I$89,3,0)*VLOOKUP('Données projet'!$B$17,Paramètres!$A$1:$I$89,5,0)</f>
        <v>-4.5224624045658861E-14</v>
      </c>
      <c r="GB61" s="14" t="e">
        <f t="shared" si="49"/>
        <v>#NUM!</v>
      </c>
      <c r="GC61" s="22" t="e">
        <f t="shared" si="25"/>
        <v>#NUM!</v>
      </c>
      <c r="GD61" s="62" t="e">
        <f t="shared" si="26"/>
        <v>#NUM!</v>
      </c>
      <c r="GE61" s="62">
        <f ca="1">AVERAGE(OFFSET($GD$3,0,0,'Données projet'!$E$17+1,1))-AVERAGE(OFFSET($H$3,0,0,'Données projet'!$E$17+1,1))</f>
        <v>248.15263300983543</v>
      </c>
      <c r="GF61" s="62">
        <f t="shared" si="50"/>
        <v>266.46511459244618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145.25292567032145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145.25292567032145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10.199999999999999</v>
      </c>
      <c r="N62" s="14">
        <f>IF('Données projet'!$A$36&gt;35,N61+M62-V61,IF(A62&lt;'Données projet'!$A$36,$K$205^A62,IF(A62='Données projet'!$A$36,'Données projet'!$B$36,N61+M62-V61)))</f>
        <v>655.79999999999973</v>
      </c>
      <c r="O62" s="14">
        <f>N62*VLOOKUP('Données projet'!$B$9,Paramètres!$A$1:$I$89,3,0)*VLOOKUP('Données projet'!$B$9,Paramètres!$A$1:$I$89,5,0)</f>
        <v>366.59219999999982</v>
      </c>
      <c r="P62" s="14">
        <f t="shared" si="33"/>
        <v>84.969753481055022</v>
      </c>
      <c r="Q62" s="22">
        <f t="shared" si="53"/>
        <v>786.47040231283711</v>
      </c>
      <c r="R62" s="62">
        <f t="shared" si="0"/>
        <v>1079.8037356461705</v>
      </c>
      <c r="S62" s="62">
        <f ca="1">AVERAGE(OFFSET($R$3,0,0,'Données projet'!$E$9+1,1))-AVERAGE(OFFSET($H$3,0,0,'Données projet'!$E$9+1,1))</f>
        <v>382.55387448074327</v>
      </c>
      <c r="T62" s="62">
        <f t="shared" si="34"/>
        <v>476.29465646955543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70.015772295805561</v>
      </c>
      <c r="AA62" s="23">
        <f>EXP(-LN(2)/25)*AA61+(1-EXP(-LN(2)/25))/(LN(2)/25)*Calculateur!V62*Calculateur!X62*VLOOKUP('Données projet'!$B$9,Paramètres!$A$1:$I$89,3,0)*0.475*44/12</f>
        <v>19.503619594958685</v>
      </c>
      <c r="AB62" s="23">
        <f>EXP(-LN(2)/2)*AB61+(1-EXP(-LN(2)/2))/(LN(2)/2)*V62*Y62*VLOOKUP('Données projet'!$B$9,Paramètres!$A$1:$I$89,3,0)*0.475*44/12</f>
        <v>0.96134841957897055</v>
      </c>
      <c r="AC62" s="24">
        <f t="shared" si="3"/>
        <v>90.480740310343208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13.333333333333334</v>
      </c>
      <c r="AI62" s="14">
        <f>IF('Données projet'!$A$62&gt;35,AI61+AH62-AQ61,IF(A62&lt;'Données projet'!$A$62,$AF$205^A62,IF(A62='Données projet'!$A$62,'Données projet'!$B$62,AI61+AH62-AQ61)))</f>
        <v>520.66666666666629</v>
      </c>
      <c r="AJ62" s="14">
        <f>AI62*VLOOKUP('Données projet'!$B$10,Paramètres!$A$1:$I$89,3,0)*VLOOKUP('Données projet'!$B$10,Paramètres!$A$1:$I$89,5,0)</f>
        <v>324.89599999999979</v>
      </c>
      <c r="AK62" s="14">
        <f t="shared" si="35"/>
        <v>76.371159683916659</v>
      </c>
      <c r="AL62" s="22">
        <f t="shared" si="4"/>
        <v>698.87363644948789</v>
      </c>
      <c r="AM62" s="62">
        <f t="shared" si="5"/>
        <v>992.20696978282126</v>
      </c>
      <c r="AN62" s="62">
        <f ca="1">AVERAGE(OFFSET($AM$3,0,0,'Données projet'!$E$10+1,1))-AVERAGE(OFFSET($H$3,0,0,'Données projet'!$E$10+1,1))</f>
        <v>482.28841373508675</v>
      </c>
      <c r="AO62" s="62">
        <f t="shared" si="36"/>
        <v>746.97309214631684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149.08863587443278</v>
      </c>
      <c r="AV62" s="23">
        <f>EXP(-LN(2)/25)*AV61+(1-EXP(-LN(2)/25))/(LN(2)/25)*Calculateur!AQ62*Calculateur!AS62*VLOOKUP('Données projet'!$B$10,Paramètres!$A$1:$I$89,3,0)*0.475*44/12</f>
        <v>31.629129371752295</v>
      </c>
      <c r="AW62" s="23">
        <f>EXP(-LN(2)/2)*AW61+(1-EXP(-LN(2)/2))/(LN(2)/2)*AQ62*AT62*VLOOKUP('Données projet'!$B$10,Paramètres!$A$1:$I$89,3,0)*0.475*44/12</f>
        <v>2.2507570316183347</v>
      </c>
      <c r="AX62" s="23">
        <f t="shared" si="6"/>
        <v>182.9685222778034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13.333333333333334</v>
      </c>
      <c r="BD62" s="13">
        <f>IF('Données projet'!$A$88&gt;35,BD61+BC62-BL61,IF(A62&lt;'Données projet'!$A$88,$BA$205^A62,IF(A62='Données projet'!$A$88,'Données projet'!$B$88,BD61+BC62-BL61)))</f>
        <v>520.66666666666629</v>
      </c>
      <c r="BE62" s="14">
        <f>BD62*VLOOKUP('Données projet'!$B$11,Paramètres!$A$1:$I$89,3,0)*VLOOKUP('Données projet'!$B$11,Paramètres!$A$1:$I$89,5,0)</f>
        <v>284.28399999999982</v>
      </c>
      <c r="BF62" s="14">
        <f t="shared" si="37"/>
        <v>67.871539622478807</v>
      </c>
      <c r="BG62" s="22">
        <f t="shared" si="7"/>
        <v>613.33756484248352</v>
      </c>
      <c r="BH62" s="62">
        <f t="shared" si="8"/>
        <v>906.67089817581677</v>
      </c>
      <c r="BI62" s="62">
        <f ca="1">AVERAGE(OFFSET($BH$3,0,0,'Données projet'!$E$11+1,1))-AVERAGE(OFFSET($H$3,0,0,'Données projet'!$E$11+1,1))</f>
        <v>417.99456559608217</v>
      </c>
      <c r="BJ62" s="62">
        <f t="shared" si="38"/>
        <v>651.41353014863932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130.45255639012868</v>
      </c>
      <c r="BQ62" s="23">
        <f>EXP(-LN(2)/25)*BQ61+(1-EXP(-LN(2)/25))/(LN(2)/25)*Calculateur!BL62*Calculateur!BN62*VLOOKUP('Données projet'!$B$11,Paramètres!$A$1:$I$89,3,0)*0.475*44/12</f>
        <v>28.004958297905677</v>
      </c>
      <c r="BR62" s="23">
        <f>EXP(-LN(2)/2)*BR61+(1-EXP(-LN(2)/2))/(LN(2)/2)*BL62*BO62*VLOOKUP('Données projet'!$B$11,Paramètres!$A$1:$I$89,3,0)*0.475*44/12</f>
        <v>1.9395728208074672</v>
      </c>
      <c r="BS62" s="24">
        <f t="shared" si="9"/>
        <v>160.39708750884182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6.625</v>
      </c>
      <c r="BY62" s="13">
        <f>IF('Données projet'!$A$114&gt;35,BY61+BX62-CG61,IF(A62&lt;'Données projet'!$A$114,$BV$205^A62,IF(A62='Données projet'!$A$114,'Données projet'!$B$114,BY61+BX62-CG61)))</f>
        <v>121.875</v>
      </c>
      <c r="BZ62" s="14">
        <f>BY62*VLOOKUP('Données projet'!$B$12,Paramètres!$A$1:$I$89,3,0)*VLOOKUP('Données projet'!$B$12,Paramètres!$A$1:$I$89,5,0)</f>
        <v>110.27250000000001</v>
      </c>
      <c r="CA62" s="14">
        <f t="shared" si="39"/>
        <v>29.395178449871299</v>
      </c>
      <c r="CB62" s="22">
        <f t="shared" si="10"/>
        <v>243.2545399668592</v>
      </c>
      <c r="CC62" s="62">
        <f t="shared" si="11"/>
        <v>536.58787330019254</v>
      </c>
      <c r="CD62" s="62">
        <f ca="1">AVERAGE(OFFSET($CC$3,0,0,'Données projet'!$E$12+1,1))-AVERAGE(OFFSET($H$3,0,0,'Données projet'!$E$12+1,1))</f>
        <v>213.07277043804817</v>
      </c>
      <c r="CE62" s="62">
        <f t="shared" si="40"/>
        <v>129.14539883354166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6.625</v>
      </c>
      <c r="CT62" s="13">
        <f>IF('Données projet'!$A$140&gt;35,CT61+CS62-DB61,IF(A62&lt;'Données projet'!$A$140,$CQ$205^A62,IF(A62='Données projet'!$A$140,'Données projet'!$B$140,CT61+CS62-DB61)))</f>
        <v>121.875</v>
      </c>
      <c r="CU62" s="18">
        <f>CT62*VLOOKUP('Données projet'!$B$13,Paramètres!$A$1:$I$89,3,0)*VLOOKUP('Données projet'!$B$13,Paramètres!$A$1:$I$89,5,0)</f>
        <v>123.58125</v>
      </c>
      <c r="CV62" s="14">
        <f t="shared" si="41"/>
        <v>32.508832126435216</v>
      </c>
      <c r="CW62" s="22">
        <f t="shared" si="13"/>
        <v>271.85689303687468</v>
      </c>
      <c r="CX62" s="62">
        <f t="shared" si="14"/>
        <v>565.19022637020794</v>
      </c>
      <c r="CY62" s="62">
        <f ca="1">AVERAGE(OFFSET($CX$3,0,0,'Données projet'!$E$13+1,1))-AVERAGE(OFFSET($H$3,0,0,'Données projet'!$E$13+1,1))</f>
        <v>247.92503505485405</v>
      </c>
      <c r="CZ62" s="62">
        <f t="shared" si="42"/>
        <v>148.26437652597514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</v>
      </c>
      <c r="DO62" s="13">
        <f>IF('Données projet'!$A$166&gt;35,DO61+DN62-DW61,IF(A62&lt;'Données projet'!$A$166,$DL$205^A62,IF(A62='Données projet'!$A$166,'Données projet'!$B$166,DO61+DN62-DW61)))</f>
        <v>94</v>
      </c>
      <c r="DP62" s="18">
        <f>DO62*VLOOKUP('Données projet'!$B$14,Paramètres!$A$1:$I$89,3,0)*VLOOKUP('Données projet'!$B$14,Paramètres!$A$1:$I$89,5,0)</f>
        <v>90.916800000000009</v>
      </c>
      <c r="DQ62" s="14">
        <f t="shared" si="43"/>
        <v>24.786204483471451</v>
      </c>
      <c r="DR62" s="22">
        <f t="shared" si="16"/>
        <v>201.51606614204613</v>
      </c>
      <c r="DS62" s="62">
        <f t="shared" si="17"/>
        <v>494.84939947537941</v>
      </c>
      <c r="DT62" s="62">
        <f ca="1">AVERAGE(OFFSET($DS$3,0,0,'Données projet'!$E$14+1,1))-AVERAGE(OFFSET($H$3,0,0,'Données projet'!$E$14+1,1))</f>
        <v>154.0837760161366</v>
      </c>
      <c r="DU62" s="62">
        <f t="shared" si="44"/>
        <v>96.484500841546037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-5.6843418860808015E-14</v>
      </c>
      <c r="EK62" s="18">
        <f>EJ62*VLOOKUP('Données projet'!$B$15,Paramètres!$A$1:$I$89,3,0)*VLOOKUP('Données projet'!$B$15,Paramètres!$A$1:$I$89,5,0)</f>
        <v>-3.813056537183002E-14</v>
      </c>
      <c r="EL62" s="14" t="e">
        <f t="shared" si="45"/>
        <v>#NUM!</v>
      </c>
      <c r="EM62" s="22" t="e">
        <f t="shared" si="19"/>
        <v>#NUM!</v>
      </c>
      <c r="EN62" s="62" t="e">
        <f t="shared" si="20"/>
        <v>#NUM!</v>
      </c>
      <c r="EO62" s="62">
        <f ca="1">AVERAGE(OFFSET($EN$3,0,0,'Données projet'!$E$15+1,1))-AVERAGE(OFFSET($H$3,0,0,'Données projet'!$E$15+1,1))</f>
        <v>205.35893113421139</v>
      </c>
      <c r="EP62" s="62">
        <f t="shared" si="46"/>
        <v>220.4399811285175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120.06662723370411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120.06662723370411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-5.6843418860808015E-14</v>
      </c>
      <c r="FF62" s="18">
        <f>FE62*VLOOKUP('Données projet'!$B$16,Paramètres!$A$1:$I$89,3,0)*VLOOKUP('Données projet'!$B$16,Paramètres!$A$1:$I$89,5,0)</f>
        <v>-4.4337866711430253E-14</v>
      </c>
      <c r="FG62" s="14" t="e">
        <f t="shared" si="47"/>
        <v>#NUM!</v>
      </c>
      <c r="FH62" s="22" t="e">
        <f t="shared" si="22"/>
        <v>#NUM!</v>
      </c>
      <c r="FI62" s="62" t="e">
        <f t="shared" si="23"/>
        <v>#NUM!</v>
      </c>
      <c r="FJ62" s="62">
        <f ca="1">AVERAGE(OFFSET($FI$3,0,0,'Données projet'!$E$16+1,1))-AVERAGE(OFFSET($H$3,0,0,'Données projet'!$E$16+1,1))</f>
        <v>242.81177364426878</v>
      </c>
      <c r="FK62" s="62">
        <f t="shared" si="48"/>
        <v>260.72115764896671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113.27040305066424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113.27040305066424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-5.6843418860808015E-14</v>
      </c>
      <c r="GA62" s="18">
        <f>FZ62*VLOOKUP('Données projet'!$B$17,Paramètres!$A$1:$I$89,3,0)*VLOOKUP('Données projet'!$B$17,Paramètres!$A$1:$I$89,5,0)</f>
        <v>-4.5224624045658861E-14</v>
      </c>
      <c r="GB62" s="14" t="e">
        <f t="shared" si="49"/>
        <v>#NUM!</v>
      </c>
      <c r="GC62" s="22" t="e">
        <f t="shared" si="25"/>
        <v>#NUM!</v>
      </c>
      <c r="GD62" s="62" t="e">
        <f t="shared" si="26"/>
        <v>#NUM!</v>
      </c>
      <c r="GE62" s="62">
        <f ca="1">AVERAGE(OFFSET($GD$3,0,0,'Données projet'!$E$17+1,1))-AVERAGE(OFFSET($H$3,0,0,'Données projet'!$E$17+1,1))</f>
        <v>248.15263300983543</v>
      </c>
      <c r="GF62" s="62">
        <f t="shared" si="50"/>
        <v>266.46511459244618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142.40460439346302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142.40460439346302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666</v>
      </c>
      <c r="L63" s="13">
        <f>VLOOKUP(A63,'Données projet'!$A$35:$I$55,9,0)</f>
        <v>10.199999999999999</v>
      </c>
      <c r="M63" s="13">
        <f t="array" ref="M63">INDEX(L:L,MIN(IF(ISNUMBER(L63:L259),ROW(L63:L259),"")))</f>
        <v>10.199999999999999</v>
      </c>
      <c r="N63" s="14">
        <f>IF('Données projet'!$A$36&gt;35,N62+M63-V62,IF(A63&lt;'Données projet'!$A$36,$K$205^A63,IF(A63='Données projet'!$A$36,'Données projet'!$B$36,N62+M63-V62)))</f>
        <v>665.99999999999977</v>
      </c>
      <c r="O63" s="14">
        <f>N63*VLOOKUP('Données projet'!$B$9,Paramètres!$A$1:$I$89,3,0)*VLOOKUP('Données projet'!$B$9,Paramètres!$A$1:$I$89,5,0)</f>
        <v>372.29399999999987</v>
      </c>
      <c r="P63" s="14">
        <f t="shared" si="33"/>
        <v>86.136449661008839</v>
      </c>
      <c r="Q63" s="22">
        <f t="shared" si="53"/>
        <v>798.43303315959008</v>
      </c>
      <c r="R63" s="62">
        <f t="shared" si="0"/>
        <v>1091.7663664929235</v>
      </c>
      <c r="S63" s="62">
        <f ca="1">AVERAGE(OFFSET($R$3,0,0,'Données projet'!$E$9+1,1))-AVERAGE(OFFSET($H$3,0,0,'Données projet'!$E$9+1,1))</f>
        <v>382.55387448074327</v>
      </c>
      <c r="T63" s="62">
        <f t="shared" si="34"/>
        <v>476.29465646955543</v>
      </c>
      <c r="U63" s="16" t="str">
        <f>IF(ISNA(VLOOKUP(A63,'Données projet'!$A$35:$I$55,3,0)),0,VLOOKUP(A63,'Données projet'!$A$35:$I$55,3,0))</f>
        <v>CR</v>
      </c>
      <c r="V63" s="16">
        <f>IF(ISNA(VLOOKUP(A63,'Données projet'!$A$35:$I$55,4,0)),0,VLOOKUP(A63,'Données projet'!$A$35:$I$55,4,0))</f>
        <v>666</v>
      </c>
      <c r="W63" s="17">
        <f>IF(ISNA(VLOOKUP(A63,'Données projet'!$A$35:$I$55,5,0)),0%,VLOOKUP(A63,'Données projet'!$A$35:$I$55,5,0)*VLOOKUP('Données projet'!$B$9,Paramètres!$A$1:$I$89,7,0))</f>
        <v>0.38500000000000001</v>
      </c>
      <c r="X63" s="17">
        <f>IF(ISNA(VLOOKUP(A63,'Données projet'!$A$35:$I$55,6,0)),0%,VLOOKUP(A63,'Données projet'!$A$35:$I$55,6,0)*VLOOKUP('Données projet'!$B$9,Paramètres!$A$1:$I$89,7,0))</f>
        <v>9.240000000000001E-2</v>
      </c>
      <c r="Y63" s="17">
        <f>IF(ISNA(VLOOKUP(A63,'Données projet'!$A$35:$I$55,7,0)),0%,VLOOKUP(A63,'Données projet'!$A$35:$I$55,7,0))</f>
        <v>0.13200000000000001</v>
      </c>
      <c r="Z63" s="23">
        <f>EXP(-LN(2)/35)*Z62+(1-EXP(-LN(2)/35))/(LN(2)/35)*V63*W63*VLOOKUP('Données projet'!$B$9,Paramètres!$A$1:$I$89,3,0)*0.475*44/12</f>
        <v>258.78352084525125</v>
      </c>
      <c r="AA63" s="23">
        <f>EXP(-LN(2)/25)*AA62+(1-EXP(-LN(2)/25))/(LN(2)/25)*Calculateur!V63*Calculateur!X63*VLOOKUP('Données projet'!$B$9,Paramètres!$A$1:$I$89,3,0)*0.475*44/12</f>
        <v>64.424386178036201</v>
      </c>
      <c r="AB63" s="23">
        <f>EXP(-LN(2)/2)*AB62+(1-EXP(-LN(2)/2))/(LN(2)/2)*V63*Y63*VLOOKUP('Données projet'!$B$9,Paramètres!$A$1:$I$89,3,0)*0.475*44/12</f>
        <v>56.320850395309243</v>
      </c>
      <c r="AC63" s="24">
        <f t="shared" si="3"/>
        <v>379.52875741859674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534</v>
      </c>
      <c r="AG63" s="13">
        <f>VLOOKUP(A63,'Données projet'!$A$61:$I$81,9,0)</f>
        <v>13.333333333333334</v>
      </c>
      <c r="AH63" s="13">
        <f t="array" ref="AH63">INDEX(AG:AG,MIN(IF(ISNUMBER(AG63:AG259),ROW(AG63:AG259),"")))</f>
        <v>13.333333333333334</v>
      </c>
      <c r="AI63" s="14">
        <f>IF('Données projet'!$A$62&gt;35,AI62+AH63-AQ62,IF(A63&lt;'Données projet'!$A$62,$AF$205^A63,IF(A63='Données projet'!$A$62,'Données projet'!$B$62,AI62+AH63-AQ62)))</f>
        <v>533.99999999999966</v>
      </c>
      <c r="AJ63" s="14">
        <f>AI63*VLOOKUP('Données projet'!$B$10,Paramètres!$A$1:$I$89,3,0)*VLOOKUP('Données projet'!$B$10,Paramètres!$A$1:$I$89,5,0)</f>
        <v>333.21599999999978</v>
      </c>
      <c r="AK63" s="14">
        <f t="shared" si="35"/>
        <v>78.096689211412567</v>
      </c>
      <c r="AL63" s="22">
        <f t="shared" si="4"/>
        <v>716.36960037654308</v>
      </c>
      <c r="AM63" s="62">
        <f t="shared" si="5"/>
        <v>1009.7029337098763</v>
      </c>
      <c r="AN63" s="62">
        <f ca="1">AVERAGE(OFFSET($AM$3,0,0,'Données projet'!$E$10+1,1))-AVERAGE(OFFSET($H$3,0,0,'Données projet'!$E$10+1,1))</f>
        <v>482.28841373508675</v>
      </c>
      <c r="AO63" s="62">
        <f t="shared" si="36"/>
        <v>746.97309214631684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112</v>
      </c>
      <c r="AR63" s="17">
        <f>IF(ISNA(VLOOKUP(A63,'Données projet'!$A$61:$I$81,5,0)),0%,VLOOKUP(A63,'Données projet'!$A$61:$I$81,5,0)*VLOOKUP('Données projet'!$B$10,Paramètres!$A$1:$I$89,7,0))</f>
        <v>0.42</v>
      </c>
      <c r="AS63" s="17">
        <f>IF(ISNA(VLOOKUP(A63,'Données projet'!$A$61:$I$81,6,0)),0%,VLOOKUP(A63,'Données projet'!$A$61:$I$81,6,0)*VLOOKUP('Données projet'!$B$10,Paramètres!$A$1:$I$89,7,0))</f>
        <v>0.1008</v>
      </c>
      <c r="AT63" s="17">
        <f>IF(ISNA(VLOOKUP(A63,'Données projet'!$A$61:$I$81,7,0)),0%,VLOOKUP(A63,'Données projet'!$A$61:$I$81,7,0))</f>
        <v>0.13200000000000001</v>
      </c>
      <c r="AU63" s="23">
        <f>EXP(-LN(2)/35)*AU62+(1-EXP(-LN(2)/35))/(LN(2)/35)*AQ63*AR63*VLOOKUP('Données projet'!$B$10,Paramètres!$A$1:$I$89,3,0)*0.475*44/12</f>
        <v>185.10369205796255</v>
      </c>
      <c r="AV63" s="23">
        <f>EXP(-LN(2)/25)*AV62+(1-EXP(-LN(2)/25))/(LN(2)/25)*Calculateur!AQ63*Calculateur!AS63*VLOOKUP('Données projet'!$B$10,Paramètres!$A$1:$I$89,3,0)*0.475*44/12</f>
        <v>40.072695722329385</v>
      </c>
      <c r="AW63" s="23">
        <f>EXP(-LN(2)/2)*AW62+(1-EXP(-LN(2)/2))/(LN(2)/2)*AQ63*AT63*VLOOKUP('Données projet'!$B$10,Paramètres!$A$1:$I$89,3,0)*0.475*44/12</f>
        <v>12.036613066718544</v>
      </c>
      <c r="AX63" s="23">
        <f t="shared" si="6"/>
        <v>237.21300084701045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534</v>
      </c>
      <c r="BB63" s="13">
        <f>VLOOKUP(A63,'Données projet'!$A$87:$I$107,9,0)</f>
        <v>13.333333333333334</v>
      </c>
      <c r="BC63" s="13">
        <f t="array" ref="BC63">INDEX(BB:BB,MIN(IF(ISNUMBER(BB63:BB259),ROW(BB63:BB259),"")))</f>
        <v>13.333333333333334</v>
      </c>
      <c r="BD63" s="13">
        <f>IF('Données projet'!$A$88&gt;35,BD62+BC63-BL62,IF(A63&lt;'Données projet'!$A$88,$BA$205^A63,IF(A63='Données projet'!$A$88,'Données projet'!$B$88,BD62+BC63-BL62)))</f>
        <v>533.99999999999966</v>
      </c>
      <c r="BE63" s="14">
        <f>BD63*VLOOKUP('Données projet'!$B$11,Paramètres!$A$1:$I$89,3,0)*VLOOKUP('Données projet'!$B$11,Paramètres!$A$1:$I$89,5,0)</f>
        <v>291.56399999999985</v>
      </c>
      <c r="BF63" s="14">
        <f t="shared" si="37"/>
        <v>69.40502878487861</v>
      </c>
      <c r="BG63" s="22">
        <f t="shared" si="7"/>
        <v>628.68772513366332</v>
      </c>
      <c r="BH63" s="62">
        <f t="shared" si="8"/>
        <v>922.02105846699669</v>
      </c>
      <c r="BI63" s="62">
        <f ca="1">AVERAGE(OFFSET($BH$3,0,0,'Données projet'!$E$11+1,1))-AVERAGE(OFFSET($H$3,0,0,'Données projet'!$E$11+1,1))</f>
        <v>417.99456559608217</v>
      </c>
      <c r="BJ63" s="62">
        <f t="shared" si="38"/>
        <v>651.41353014863932</v>
      </c>
      <c r="BK63" s="16">
        <f>IF(ISNA(VLOOKUP(A63,'Données projet'!$A$87:$I$107,3,0)),0,VLOOKUP(A63,'Données projet'!$A$87:$I$107,3,0))</f>
        <v>6</v>
      </c>
      <c r="BL63" s="16">
        <f>IF(ISNA(VLOOKUP(A63,'Données projet'!$A$87:$I$107,4,0)),0,VLOOKUP(A63,'Données projet'!$A$87:$I$107,4,0))</f>
        <v>112</v>
      </c>
      <c r="BM63" s="17">
        <f>IF(ISNA(VLOOKUP(A63,'Données projet'!$A$87:$I$107,5,0)),0%,VLOOKUP(A63,'Données projet'!$A$87:$I$107,5,0)*VLOOKUP('Données projet'!$B$11,Paramètres!$A$1:$I$89,7,0))</f>
        <v>0.42</v>
      </c>
      <c r="BN63" s="17">
        <f>IF(ISNA(VLOOKUP(A63,'Données projet'!$A$87:$I$107,6,0)),0%,VLOOKUP(A63,'Données projet'!$A$87:$I$107,6,0)*VLOOKUP('Données projet'!$B$11,Paramètres!$A$1:$I$89,7,0))</f>
        <v>0.10200000000000001</v>
      </c>
      <c r="BO63" s="17">
        <f>IF(ISNA(VLOOKUP(A63,'Données projet'!$A$87:$I$107,7,0)),0%,VLOOKUP(A63,'Données projet'!$A$87:$I$107,7,0))</f>
        <v>0.13</v>
      </c>
      <c r="BP63" s="23">
        <f>EXP(-LN(2)/35)*BP62+(1-EXP(-LN(2)/35))/(LN(2)/35)*BL63*BM63*VLOOKUP('Données projet'!$B$11,Paramètres!$A$1:$I$89,3,0)*0.475*44/12</f>
        <v>161.96573055071721</v>
      </c>
      <c r="BQ63" s="23">
        <f>EXP(-LN(2)/25)*BQ62+(1-EXP(-LN(2)/25))/(LN(2)/25)*Calculateur!BL63*Calculateur!BN63*VLOOKUP('Données projet'!$B$11,Paramètres!$A$1:$I$89,3,0)*0.475*44/12</f>
        <v>35.481032670812475</v>
      </c>
      <c r="BR63" s="23">
        <f>EXP(-LN(2)/2)*BR62+(1-EXP(-LN(2)/2))/(LN(2)/2)*BL63*BO63*VLOOKUP('Données projet'!$B$11,Paramètres!$A$1:$I$89,3,0)*0.475*44/12</f>
        <v>10.372460123782078</v>
      </c>
      <c r="BS63" s="24">
        <f t="shared" si="9"/>
        <v>207.81922334531177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6.625</v>
      </c>
      <c r="BY63" s="13">
        <f>IF('Données projet'!$A$114&gt;35,BY62+BX63-CG62,IF(A63&lt;'Données projet'!$A$114,$BV$205^A63,IF(A63='Données projet'!$A$114,'Données projet'!$B$114,BY62+BX63-CG62)))</f>
        <v>128.5</v>
      </c>
      <c r="BZ63" s="14">
        <f>BY63*VLOOKUP('Données projet'!$B$12,Paramètres!$A$1:$I$89,3,0)*VLOOKUP('Données projet'!$B$12,Paramètres!$A$1:$I$89,5,0)</f>
        <v>116.2668</v>
      </c>
      <c r="CA63" s="14">
        <f t="shared" si="39"/>
        <v>30.802696637636817</v>
      </c>
      <c r="CB63" s="22">
        <f t="shared" si="10"/>
        <v>256.14603997721747</v>
      </c>
      <c r="CC63" s="62">
        <f t="shared" si="11"/>
        <v>549.47937331055073</v>
      </c>
      <c r="CD63" s="62">
        <f ca="1">AVERAGE(OFFSET($CC$3,0,0,'Données projet'!$E$12+1,1))-AVERAGE(OFFSET($H$3,0,0,'Données projet'!$E$12+1,1))</f>
        <v>213.07277043804817</v>
      </c>
      <c r="CE63" s="62">
        <f t="shared" si="40"/>
        <v>129.14539883354166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6.625</v>
      </c>
      <c r="CT63" s="13">
        <f>IF('Données projet'!$A$140&gt;35,CT62+CS63-DB62,IF(A63&lt;'Données projet'!$A$140,$CQ$205^A63,IF(A63='Données projet'!$A$140,'Données projet'!$B$140,CT62+CS63-DB62)))</f>
        <v>128.5</v>
      </c>
      <c r="CU63" s="18">
        <f>CT63*VLOOKUP('Données projet'!$B$13,Paramètres!$A$1:$I$89,3,0)*VLOOKUP('Données projet'!$B$13,Paramètres!$A$1:$I$89,5,0)</f>
        <v>130.29900000000001</v>
      </c>
      <c r="CV63" s="14">
        <f t="shared" si="41"/>
        <v>34.065440212996258</v>
      </c>
      <c r="CW63" s="22">
        <f t="shared" si="13"/>
        <v>286.26806670430182</v>
      </c>
      <c r="CX63" s="62">
        <f t="shared" si="14"/>
        <v>579.60140003763513</v>
      </c>
      <c r="CY63" s="62">
        <f ca="1">AVERAGE(OFFSET($CX$3,0,0,'Données projet'!$E$13+1,1))-AVERAGE(OFFSET($H$3,0,0,'Données projet'!$E$13+1,1))</f>
        <v>247.92503505485405</v>
      </c>
      <c r="CZ63" s="62">
        <f t="shared" si="42"/>
        <v>148.26437652597514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5</v>
      </c>
      <c r="DO63" s="13">
        <f>IF('Données projet'!$A$166&gt;35,DO62+DN63-DW62,IF(A63&lt;'Données projet'!$A$166,$DL$205^A63,IF(A63='Données projet'!$A$166,'Données projet'!$B$166,DO62+DN63-DW62)))</f>
        <v>99</v>
      </c>
      <c r="DP63" s="18">
        <f>DO63*VLOOKUP('Données projet'!$B$14,Paramètres!$A$1:$I$89,3,0)*VLOOKUP('Données projet'!$B$14,Paramètres!$A$1:$I$89,5,0)</f>
        <v>95.752800000000008</v>
      </c>
      <c r="DQ63" s="14">
        <f t="shared" si="43"/>
        <v>25.94761914276048</v>
      </c>
      <c r="DR63" s="22">
        <f t="shared" si="16"/>
        <v>211.96156334030786</v>
      </c>
      <c r="DS63" s="62">
        <f t="shared" si="17"/>
        <v>505.29489667364118</v>
      </c>
      <c r="DT63" s="62">
        <f ca="1">AVERAGE(OFFSET($DS$3,0,0,'Données projet'!$E$14+1,1))-AVERAGE(OFFSET($H$3,0,0,'Données projet'!$E$14+1,1))</f>
        <v>154.0837760161366</v>
      </c>
      <c r="DU63" s="62">
        <f t="shared" si="44"/>
        <v>96.484500841546037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-5.6843418860808015E-14</v>
      </c>
      <c r="EK63" s="18">
        <f>EJ63*VLOOKUP('Données projet'!$B$15,Paramètres!$A$1:$I$89,3,0)*VLOOKUP('Données projet'!$B$15,Paramètres!$A$1:$I$89,5,0)</f>
        <v>-3.813056537183002E-14</v>
      </c>
      <c r="EL63" s="14" t="e">
        <f t="shared" si="45"/>
        <v>#NUM!</v>
      </c>
      <c r="EM63" s="22" t="e">
        <f t="shared" si="19"/>
        <v>#NUM!</v>
      </c>
      <c r="EN63" s="62" t="e">
        <f t="shared" si="20"/>
        <v>#NUM!</v>
      </c>
      <c r="EO63" s="62">
        <f ca="1">AVERAGE(OFFSET($EN$3,0,0,'Données projet'!$E$15+1,1))-AVERAGE(OFFSET($H$3,0,0,'Données projet'!$E$15+1,1))</f>
        <v>205.35893113421139</v>
      </c>
      <c r="EP63" s="62">
        <f t="shared" si="46"/>
        <v>220.4399811285175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117.71219390706258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117.71219390706258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-5.6843418860808015E-14</v>
      </c>
      <c r="FF63" s="18">
        <f>FE63*VLOOKUP('Données projet'!$B$16,Paramètres!$A$1:$I$89,3,0)*VLOOKUP('Données projet'!$B$16,Paramètres!$A$1:$I$89,5,0)</f>
        <v>-4.4337866711430253E-14</v>
      </c>
      <c r="FG63" s="14" t="e">
        <f t="shared" si="47"/>
        <v>#NUM!</v>
      </c>
      <c r="FH63" s="22" t="e">
        <f t="shared" si="22"/>
        <v>#NUM!</v>
      </c>
      <c r="FI63" s="62" t="e">
        <f t="shared" si="23"/>
        <v>#NUM!</v>
      </c>
      <c r="FJ63" s="62">
        <f ca="1">AVERAGE(OFFSET($FI$3,0,0,'Données projet'!$E$16+1,1))-AVERAGE(OFFSET($H$3,0,0,'Données projet'!$E$16+1,1))</f>
        <v>242.81177364426878</v>
      </c>
      <c r="FK63" s="62">
        <f t="shared" si="48"/>
        <v>260.72115764896671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111.0492395349647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111.0492395349647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-5.6843418860808015E-14</v>
      </c>
      <c r="GA63" s="18">
        <f>FZ63*VLOOKUP('Données projet'!$B$17,Paramètres!$A$1:$I$89,3,0)*VLOOKUP('Données projet'!$B$17,Paramètres!$A$1:$I$89,5,0)</f>
        <v>-4.5224624045658861E-14</v>
      </c>
      <c r="GB63" s="14" t="e">
        <f t="shared" si="49"/>
        <v>#NUM!</v>
      </c>
      <c r="GC63" s="22" t="e">
        <f t="shared" si="25"/>
        <v>#NUM!</v>
      </c>
      <c r="GD63" s="62" t="e">
        <f t="shared" si="26"/>
        <v>#NUM!</v>
      </c>
      <c r="GE63" s="62">
        <f ca="1">AVERAGE(OFFSET($GD$3,0,0,'Données projet'!$E$17+1,1))-AVERAGE(OFFSET($H$3,0,0,'Données projet'!$E$17+1,1))</f>
        <v>248.15263300983543</v>
      </c>
      <c r="GF63" s="62">
        <f t="shared" si="50"/>
        <v>266.46511459244618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139.61213695953936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139.61213695953936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-1.2710188457276673E-13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382.55387448074327</v>
      </c>
      <c r="T64" s="62">
        <f t="shared" si="34"/>
        <v>476.29465646955543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253.70893384383794</v>
      </c>
      <c r="AA64" s="23">
        <f>EXP(-LN(2)/25)*AA63+(1-EXP(-LN(2)/25))/(LN(2)/25)*Calculateur!V64*Calculateur!X64*VLOOKUP('Données projet'!$B$9,Paramètres!$A$1:$I$89,3,0)*0.475*44/12</f>
        <v>62.662697950066573</v>
      </c>
      <c r="AB64" s="23">
        <f>EXP(-LN(2)/2)*AB63+(1-EXP(-LN(2)/2))/(LN(2)/2)*V64*Y64*VLOOKUP('Données projet'!$B$9,Paramètres!$A$1:$I$89,3,0)*0.475*44/12</f>
        <v>39.824855236716218</v>
      </c>
      <c r="AC64" s="24">
        <f t="shared" si="3"/>
        <v>356.19648703062069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13.333333333333334</v>
      </c>
      <c r="AI64" s="14">
        <f>IF('Données projet'!$A$62&gt;35,AI63+AH64-AQ63,IF(A64&lt;'Données projet'!$A$62,$AF$205^A64,IF(A64='Données projet'!$A$62,'Données projet'!$B$62,AI63+AH64-AQ63)))</f>
        <v>435.33333333333303</v>
      </c>
      <c r="AJ64" s="14">
        <f>AI64*VLOOKUP('Données projet'!$B$10,Paramètres!$A$1:$I$89,3,0)*VLOOKUP('Données projet'!$B$10,Paramètres!$A$1:$I$89,5,0)</f>
        <v>271.6479999999998</v>
      </c>
      <c r="AK64" s="14">
        <f t="shared" si="35"/>
        <v>65.198892519225097</v>
      </c>
      <c r="AL64" s="22">
        <f t="shared" si="4"/>
        <v>586.67500447098337</v>
      </c>
      <c r="AM64" s="62">
        <f t="shared" si="5"/>
        <v>880.00833780431662</v>
      </c>
      <c r="AN64" s="62">
        <f ca="1">AVERAGE(OFFSET($AM$3,0,0,'Données projet'!$E$10+1,1))-AVERAGE(OFFSET($H$3,0,0,'Données projet'!$E$10+1,1))</f>
        <v>482.28841373508675</v>
      </c>
      <c r="AO64" s="62">
        <f t="shared" si="36"/>
        <v>746.97309214631684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181.47392155880991</v>
      </c>
      <c r="AV64" s="23">
        <f>EXP(-LN(2)/25)*AV63+(1-EXP(-LN(2)/25))/(LN(2)/25)*Calculateur!AQ64*Calculateur!AS64*VLOOKUP('Données projet'!$B$10,Paramètres!$A$1:$I$89,3,0)*0.475*44/12</f>
        <v>38.976905750470806</v>
      </c>
      <c r="AW64" s="23">
        <f>EXP(-LN(2)/2)*AW63+(1-EXP(-LN(2)/2))/(LN(2)/2)*AQ64*AT64*VLOOKUP('Données projet'!$B$10,Paramètres!$A$1:$I$89,3,0)*0.475*44/12</f>
        <v>8.5111707219952883</v>
      </c>
      <c r="AX64" s="23">
        <f t="shared" si="6"/>
        <v>228.96199803127601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13.333333333333334</v>
      </c>
      <c r="BD64" s="13">
        <f>IF('Données projet'!$A$88&gt;35,BD63+BC64-BL63,IF(A64&lt;'Données projet'!$A$88,$BA$205^A64,IF(A64='Données projet'!$A$88,'Données projet'!$B$88,BD63+BC64-BL63)))</f>
        <v>435.33333333333303</v>
      </c>
      <c r="BE64" s="14">
        <f>BD64*VLOOKUP('Données projet'!$B$11,Paramètres!$A$1:$I$89,3,0)*VLOOKUP('Données projet'!$B$11,Paramètres!$A$1:$I$89,5,0)</f>
        <v>237.69199999999984</v>
      </c>
      <c r="BF64" s="14">
        <f t="shared" si="37"/>
        <v>57.942674109900096</v>
      </c>
      <c r="BG64" s="22">
        <f t="shared" si="7"/>
        <v>514.89705740807574</v>
      </c>
      <c r="BH64" s="62">
        <f t="shared" si="8"/>
        <v>808.23039074140911</v>
      </c>
      <c r="BI64" s="62">
        <f ca="1">AVERAGE(OFFSET($BH$3,0,0,'Données projet'!$E$11+1,1))-AVERAGE(OFFSET($H$3,0,0,'Données projet'!$E$11+1,1))</f>
        <v>417.99456559608217</v>
      </c>
      <c r="BJ64" s="62">
        <f t="shared" si="38"/>
        <v>651.41353014863932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158.78968136395864</v>
      </c>
      <c r="BQ64" s="23">
        <f>EXP(-LN(2)/25)*BQ63+(1-EXP(-LN(2)/25))/(LN(2)/25)*Calculateur!BL64*Calculateur!BN64*VLOOKUP('Données projet'!$B$11,Paramètres!$A$1:$I$89,3,0)*0.475*44/12</f>
        <v>34.510801966562695</v>
      </c>
      <c r="BR64" s="23">
        <f>EXP(-LN(2)/2)*BR63+(1-EXP(-LN(2)/2))/(LN(2)/2)*BL64*BO64*VLOOKUP('Données projet'!$B$11,Paramètres!$A$1:$I$89,3,0)*0.475*44/12</f>
        <v>7.3344368911133637</v>
      </c>
      <c r="BS64" s="24">
        <f t="shared" si="9"/>
        <v>200.6349202216347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6.625</v>
      </c>
      <c r="BY64" s="13">
        <f>IF('Données projet'!$A$114&gt;35,BY63+BX64-CG63,IF(A64&lt;'Données projet'!$A$114,$BV$205^A64,IF(A64='Données projet'!$A$114,'Données projet'!$B$114,BY63+BX64-CG63)))</f>
        <v>135.125</v>
      </c>
      <c r="BZ64" s="14">
        <f>BY64*VLOOKUP('Données projet'!$B$12,Paramètres!$A$1:$I$89,3,0)*VLOOKUP('Données projet'!$B$12,Paramètres!$A$1:$I$89,5,0)</f>
        <v>122.26109999999998</v>
      </c>
      <c r="CA64" s="14">
        <f t="shared" si="39"/>
        <v>32.201789427344288</v>
      </c>
      <c r="CB64" s="22">
        <f t="shared" si="10"/>
        <v>269.02286575262457</v>
      </c>
      <c r="CC64" s="62">
        <f t="shared" si="11"/>
        <v>562.35619908595788</v>
      </c>
      <c r="CD64" s="62">
        <f ca="1">AVERAGE(OFFSET($CC$3,0,0,'Données projet'!$E$12+1,1))-AVERAGE(OFFSET($H$3,0,0,'Données projet'!$E$12+1,1))</f>
        <v>213.07277043804817</v>
      </c>
      <c r="CE64" s="62">
        <f t="shared" si="40"/>
        <v>129.14539883354166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6.625</v>
      </c>
      <c r="CT64" s="13">
        <f>IF('Données projet'!$A$140&gt;35,CT63+CS64-DB63,IF(A64&lt;'Données projet'!$A$140,$CQ$205^A64,IF(A64='Données projet'!$A$140,'Données projet'!$B$140,CT63+CS64-DB63)))</f>
        <v>135.125</v>
      </c>
      <c r="CU64" s="18">
        <f>CT64*VLOOKUP('Données projet'!$B$13,Paramètres!$A$1:$I$89,3,0)*VLOOKUP('Données projet'!$B$13,Paramètres!$A$1:$I$89,5,0)</f>
        <v>137.01675</v>
      </c>
      <c r="CV64" s="14">
        <f t="shared" si="41"/>
        <v>35.61273044998083</v>
      </c>
      <c r="CW64" s="22">
        <f t="shared" si="13"/>
        <v>300.66301178371663</v>
      </c>
      <c r="CX64" s="62">
        <f t="shared" si="14"/>
        <v>593.99634511704994</v>
      </c>
      <c r="CY64" s="62">
        <f ca="1">AVERAGE(OFFSET($CX$3,0,0,'Données projet'!$E$13+1,1))-AVERAGE(OFFSET($H$3,0,0,'Données projet'!$E$13+1,1))</f>
        <v>247.92503505485405</v>
      </c>
      <c r="CZ64" s="62">
        <f t="shared" si="42"/>
        <v>148.26437652597514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</v>
      </c>
      <c r="DO64" s="13">
        <f>IF('Données projet'!$A$166&gt;35,DO63+DN64-DW63,IF(A64&lt;'Données projet'!$A$166,$DL$205^A64,IF(A64='Données projet'!$A$166,'Données projet'!$B$166,DO63+DN64-DW63)))</f>
        <v>104</v>
      </c>
      <c r="DP64" s="18">
        <f>DO64*VLOOKUP('Données projet'!$B$14,Paramètres!$A$1:$I$89,3,0)*VLOOKUP('Données projet'!$B$14,Paramètres!$A$1:$I$89,5,0)</f>
        <v>100.58880000000001</v>
      </c>
      <c r="DQ64" s="14">
        <f t="shared" si="43"/>
        <v>27.102223064855139</v>
      </c>
      <c r="DR64" s="22">
        <f t="shared" si="16"/>
        <v>222.3951985046227</v>
      </c>
      <c r="DS64" s="62">
        <f t="shared" si="17"/>
        <v>515.72853183795598</v>
      </c>
      <c r="DT64" s="62">
        <f ca="1">AVERAGE(OFFSET($DS$3,0,0,'Données projet'!$E$14+1,1))-AVERAGE(OFFSET($H$3,0,0,'Données projet'!$E$14+1,1))</f>
        <v>154.0837760161366</v>
      </c>
      <c r="DU64" s="62">
        <f t="shared" si="44"/>
        <v>96.484500841546037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-5.6843418860808015E-14</v>
      </c>
      <c r="EK64" s="18">
        <f>EJ64*VLOOKUP('Données projet'!$B$15,Paramètres!$A$1:$I$89,3,0)*VLOOKUP('Données projet'!$B$15,Paramètres!$A$1:$I$89,5,0)</f>
        <v>-3.813056537183002E-14</v>
      </c>
      <c r="EL64" s="14" t="e">
        <f t="shared" si="45"/>
        <v>#NUM!</v>
      </c>
      <c r="EM64" s="22" t="e">
        <f t="shared" si="19"/>
        <v>#NUM!</v>
      </c>
      <c r="EN64" s="62" t="e">
        <f t="shared" si="20"/>
        <v>#NUM!</v>
      </c>
      <c r="EO64" s="62">
        <f ca="1">AVERAGE(OFFSET($EN$3,0,0,'Données projet'!$E$15+1,1))-AVERAGE(OFFSET($H$3,0,0,'Données projet'!$E$15+1,1))</f>
        <v>205.35893113421139</v>
      </c>
      <c r="EP64" s="62">
        <f t="shared" si="46"/>
        <v>220.4399811285175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115.40392958189398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115.40392958189398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-5.6843418860808015E-14</v>
      </c>
      <c r="FF64" s="18">
        <f>FE64*VLOOKUP('Données projet'!$B$16,Paramètres!$A$1:$I$89,3,0)*VLOOKUP('Données projet'!$B$16,Paramètres!$A$1:$I$89,5,0)</f>
        <v>-4.4337866711430253E-14</v>
      </c>
      <c r="FG64" s="14" t="e">
        <f t="shared" si="47"/>
        <v>#NUM!</v>
      </c>
      <c r="FH64" s="22" t="e">
        <f t="shared" si="22"/>
        <v>#NUM!</v>
      </c>
      <c r="FI64" s="62" t="e">
        <f t="shared" si="23"/>
        <v>#NUM!</v>
      </c>
      <c r="FJ64" s="62">
        <f ca="1">AVERAGE(OFFSET($FI$3,0,0,'Données projet'!$E$16+1,1))-AVERAGE(OFFSET($H$3,0,0,'Données projet'!$E$16+1,1))</f>
        <v>242.81177364426878</v>
      </c>
      <c r="FK64" s="62">
        <f t="shared" si="48"/>
        <v>260.72115764896671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108.87163168103204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108.87163168103204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-5.6843418860808015E-14</v>
      </c>
      <c r="GA64" s="18">
        <f>FZ64*VLOOKUP('Données projet'!$B$17,Paramètres!$A$1:$I$89,3,0)*VLOOKUP('Données projet'!$B$17,Paramètres!$A$1:$I$89,5,0)</f>
        <v>-4.5224624045658861E-14</v>
      </c>
      <c r="GB64" s="14" t="e">
        <f t="shared" si="49"/>
        <v>#NUM!</v>
      </c>
      <c r="GC64" s="22" t="e">
        <f t="shared" si="25"/>
        <v>#NUM!</v>
      </c>
      <c r="GD64" s="62" t="e">
        <f t="shared" si="26"/>
        <v>#NUM!</v>
      </c>
      <c r="GE64" s="62">
        <f ca="1">AVERAGE(OFFSET($GD$3,0,0,'Données projet'!$E$17+1,1))-AVERAGE(OFFSET($H$3,0,0,'Données projet'!$E$17+1,1))</f>
        <v>248.15263300983543</v>
      </c>
      <c r="GF64" s="62">
        <f t="shared" si="50"/>
        <v>266.46511459244618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136.87442810875797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136.87442810875797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-1.2710188457276673E-13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382.55387448074327</v>
      </c>
      <c r="T65" s="62">
        <f t="shared" si="34"/>
        <v>476.29465646955543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248.73385639832992</v>
      </c>
      <c r="AA65" s="23">
        <f>EXP(-LN(2)/25)*AA64+(1-EXP(-LN(2)/25))/(LN(2)/25)*Calculateur!V65*Calculateur!X65*VLOOKUP('Données projet'!$B$9,Paramètres!$A$1:$I$89,3,0)*0.475*44/12</f>
        <v>60.949183179333936</v>
      </c>
      <c r="AB65" s="23">
        <f>EXP(-LN(2)/2)*AB64+(1-EXP(-LN(2)/2))/(LN(2)/2)*V65*Y65*VLOOKUP('Données projet'!$B$9,Paramètres!$A$1:$I$89,3,0)*0.475*44/12</f>
        <v>28.160425197654629</v>
      </c>
      <c r="AC65" s="24">
        <f t="shared" si="3"/>
        <v>337.84346477531847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13.333333333333334</v>
      </c>
      <c r="AI65" s="14">
        <f>IF('Données projet'!$A$62&gt;35,AI64+AH65-AQ64,IF(A65&lt;'Données projet'!$A$62,$AF$205^A65,IF(A65='Données projet'!$A$62,'Données projet'!$B$62,AI64+AH65-AQ64)))</f>
        <v>448.66666666666634</v>
      </c>
      <c r="AJ65" s="14">
        <f>AI65*VLOOKUP('Données projet'!$B$10,Paramètres!$A$1:$I$89,3,0)*VLOOKUP('Données projet'!$B$10,Paramètres!$A$1:$I$89,5,0)</f>
        <v>279.96799999999979</v>
      </c>
      <c r="AK65" s="14">
        <f t="shared" si="35"/>
        <v>66.960246316234532</v>
      </c>
      <c r="AL65" s="22">
        <f t="shared" si="4"/>
        <v>604.23336233410805</v>
      </c>
      <c r="AM65" s="62">
        <f t="shared" si="5"/>
        <v>897.56669566744131</v>
      </c>
      <c r="AN65" s="62">
        <f ca="1">AVERAGE(OFFSET($AM$3,0,0,'Données projet'!$E$10+1,1))-AVERAGE(OFFSET($H$3,0,0,'Données projet'!$E$10+1,1))</f>
        <v>482.28841373508675</v>
      </c>
      <c r="AO65" s="62">
        <f t="shared" si="36"/>
        <v>746.97309214631684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177.91532864520426</v>
      </c>
      <c r="AV65" s="23">
        <f>EXP(-LN(2)/25)*AV64+(1-EXP(-LN(2)/25))/(LN(2)/25)*Calculateur!AQ65*Calculateur!AS65*VLOOKUP('Données projet'!$B$10,Paramètres!$A$1:$I$89,3,0)*0.475*44/12</f>
        <v>37.91108021301779</v>
      </c>
      <c r="AW65" s="23">
        <f>EXP(-LN(2)/2)*AW64+(1-EXP(-LN(2)/2))/(LN(2)/2)*AQ65*AT65*VLOOKUP('Données projet'!$B$10,Paramètres!$A$1:$I$89,3,0)*0.475*44/12</f>
        <v>6.0183065333592722</v>
      </c>
      <c r="AX65" s="23">
        <f t="shared" si="6"/>
        <v>221.8447153915813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13.333333333333334</v>
      </c>
      <c r="BD65" s="13">
        <f>IF('Données projet'!$A$88&gt;35,BD64+BC65-BL64,IF(A65&lt;'Données projet'!$A$88,$BA$205^A65,IF(A65='Données projet'!$A$88,'Données projet'!$B$88,BD64+BC65-BL64)))</f>
        <v>448.66666666666634</v>
      </c>
      <c r="BE65" s="14">
        <f>BD65*VLOOKUP('Données projet'!$B$11,Paramètres!$A$1:$I$89,3,0)*VLOOKUP('Données projet'!$B$11,Paramètres!$A$1:$I$89,5,0)</f>
        <v>244.97199999999981</v>
      </c>
      <c r="BF65" s="14">
        <f t="shared" si="37"/>
        <v>59.508000530471662</v>
      </c>
      <c r="BG65" s="22">
        <f t="shared" si="7"/>
        <v>530.3026675905711</v>
      </c>
      <c r="BH65" s="62">
        <f t="shared" si="8"/>
        <v>823.63600092390448</v>
      </c>
      <c r="BI65" s="62">
        <f ca="1">AVERAGE(OFFSET($BH$3,0,0,'Données projet'!$E$11+1,1))-AVERAGE(OFFSET($H$3,0,0,'Données projet'!$E$11+1,1))</f>
        <v>417.99456559608217</v>
      </c>
      <c r="BJ65" s="62">
        <f t="shared" si="38"/>
        <v>651.41353014863932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155.67591256455367</v>
      </c>
      <c r="BQ65" s="23">
        <f>EXP(-LN(2)/25)*BQ64+(1-EXP(-LN(2)/25))/(LN(2)/25)*Calculateur!BL65*Calculateur!BN65*VLOOKUP('Données projet'!$B$11,Paramètres!$A$1:$I$89,3,0)*0.475*44/12</f>
        <v>33.567102271942836</v>
      </c>
      <c r="BR65" s="23">
        <f>EXP(-LN(2)/2)*BR64+(1-EXP(-LN(2)/2))/(LN(2)/2)*BL65*BO65*VLOOKUP('Données projet'!$B$11,Paramètres!$A$1:$I$89,3,0)*0.475*44/12</f>
        <v>5.18623006189104</v>
      </c>
      <c r="BS65" s="24">
        <f t="shared" si="9"/>
        <v>194.42924489838757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6.625</v>
      </c>
      <c r="BY65" s="13">
        <f>IF('Données projet'!$A$114&gt;35,BY64+BX65-CG64,IF(A65&lt;'Données projet'!$A$114,$BV$205^A65,IF(A65='Données projet'!$A$114,'Données projet'!$B$114,BY64+BX65-CG64)))</f>
        <v>141.75</v>
      </c>
      <c r="BZ65" s="14">
        <f>BY65*VLOOKUP('Données projet'!$B$12,Paramètres!$A$1:$I$89,3,0)*VLOOKUP('Données projet'!$B$12,Paramètres!$A$1:$I$89,5,0)</f>
        <v>128.25539999999998</v>
      </c>
      <c r="CA65" s="14">
        <f t="shared" si="39"/>
        <v>33.592917052375554</v>
      </c>
      <c r="CB65" s="22">
        <f t="shared" si="10"/>
        <v>281.88581886622069</v>
      </c>
      <c r="CC65" s="62">
        <f t="shared" si="11"/>
        <v>575.21915219955395</v>
      </c>
      <c r="CD65" s="62">
        <f ca="1">AVERAGE(OFFSET($CC$3,0,0,'Données projet'!$E$12+1,1))-AVERAGE(OFFSET($H$3,0,0,'Données projet'!$E$12+1,1))</f>
        <v>213.07277043804817</v>
      </c>
      <c r="CE65" s="62">
        <f t="shared" si="40"/>
        <v>129.14539883354166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6.625</v>
      </c>
      <c r="CT65" s="13">
        <f>IF('Données projet'!$A$140&gt;35,CT64+CS65-DB64,IF(A65&lt;'Données projet'!$A$140,$CQ$205^A65,IF(A65='Données projet'!$A$140,'Données projet'!$B$140,CT64+CS65-DB64)))</f>
        <v>141.75</v>
      </c>
      <c r="CU65" s="18">
        <f>CT65*VLOOKUP('Données projet'!$B$13,Paramètres!$A$1:$I$89,3,0)*VLOOKUP('Données projet'!$B$13,Paramètres!$A$1:$I$89,5,0)</f>
        <v>143.7345</v>
      </c>
      <c r="CV65" s="14">
        <f t="shared" si="41"/>
        <v>37.151211820512735</v>
      </c>
      <c r="CW65" s="22">
        <f t="shared" si="13"/>
        <v>315.04261475405968</v>
      </c>
      <c r="CX65" s="62">
        <f t="shared" si="14"/>
        <v>608.375948087393</v>
      </c>
      <c r="CY65" s="62">
        <f ca="1">AVERAGE(OFFSET($CX$3,0,0,'Données projet'!$E$13+1,1))-AVERAGE(OFFSET($H$3,0,0,'Données projet'!$E$13+1,1))</f>
        <v>247.92503505485405</v>
      </c>
      <c r="CZ65" s="62">
        <f t="shared" si="42"/>
        <v>148.26437652597514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</v>
      </c>
      <c r="DO65" s="13">
        <f>IF('Données projet'!$A$166&gt;35,DO64+DN65-DW64,IF(A65&lt;'Données projet'!$A$166,$DL$205^A65,IF(A65='Données projet'!$A$166,'Données projet'!$B$166,DO64+DN65-DW64)))</f>
        <v>109</v>
      </c>
      <c r="DP65" s="18">
        <f>DO65*VLOOKUP('Données projet'!$B$14,Paramètres!$A$1:$I$89,3,0)*VLOOKUP('Données projet'!$B$14,Paramètres!$A$1:$I$89,5,0)</f>
        <v>105.4248</v>
      </c>
      <c r="DQ65" s="14">
        <f t="shared" si="43"/>
        <v>28.250381069605584</v>
      </c>
      <c r="DR65" s="22">
        <f t="shared" si="16"/>
        <v>232.81760702956308</v>
      </c>
      <c r="DS65" s="62">
        <f t="shared" si="17"/>
        <v>526.15094036289634</v>
      </c>
      <c r="DT65" s="62">
        <f ca="1">AVERAGE(OFFSET($DS$3,0,0,'Données projet'!$E$14+1,1))-AVERAGE(OFFSET($H$3,0,0,'Données projet'!$E$14+1,1))</f>
        <v>154.0837760161366</v>
      </c>
      <c r="DU65" s="62">
        <f t="shared" si="44"/>
        <v>96.484500841546037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-5.6843418860808015E-14</v>
      </c>
      <c r="EK65" s="18">
        <f>EJ65*VLOOKUP('Données projet'!$B$15,Paramètres!$A$1:$I$89,3,0)*VLOOKUP('Données projet'!$B$15,Paramètres!$A$1:$I$89,5,0)</f>
        <v>-3.813056537183002E-14</v>
      </c>
      <c r="EL65" s="14" t="e">
        <f t="shared" si="45"/>
        <v>#NUM!</v>
      </c>
      <c r="EM65" s="22" t="e">
        <f t="shared" si="19"/>
        <v>#NUM!</v>
      </c>
      <c r="EN65" s="62" t="e">
        <f t="shared" si="20"/>
        <v>#NUM!</v>
      </c>
      <c r="EO65" s="62">
        <f ca="1">AVERAGE(OFFSET($EN$3,0,0,'Données projet'!$E$15+1,1))-AVERAGE(OFFSET($H$3,0,0,'Données projet'!$E$15+1,1))</f>
        <v>205.35893113421139</v>
      </c>
      <c r="EP65" s="62">
        <f t="shared" si="46"/>
        <v>220.4399811285175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113.1409289122397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113.1409289122397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-5.6843418860808015E-14</v>
      </c>
      <c r="FF65" s="18">
        <f>FE65*VLOOKUP('Données projet'!$B$16,Paramètres!$A$1:$I$89,3,0)*VLOOKUP('Données projet'!$B$16,Paramètres!$A$1:$I$89,5,0)</f>
        <v>-4.4337866711430253E-14</v>
      </c>
      <c r="FG65" s="14" t="e">
        <f t="shared" si="47"/>
        <v>#NUM!</v>
      </c>
      <c r="FH65" s="22" t="e">
        <f t="shared" si="22"/>
        <v>#NUM!</v>
      </c>
      <c r="FI65" s="62" t="e">
        <f t="shared" si="23"/>
        <v>#NUM!</v>
      </c>
      <c r="FJ65" s="62">
        <f ca="1">AVERAGE(OFFSET($FI$3,0,0,'Données projet'!$E$16+1,1))-AVERAGE(OFFSET($H$3,0,0,'Données projet'!$E$16+1,1))</f>
        <v>242.81177364426878</v>
      </c>
      <c r="FK65" s="62">
        <f t="shared" si="48"/>
        <v>260.72115764896671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106.73672538890537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106.73672538890537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-5.6843418860808015E-14</v>
      </c>
      <c r="GA65" s="18">
        <f>FZ65*VLOOKUP('Données projet'!$B$17,Paramètres!$A$1:$I$89,3,0)*VLOOKUP('Données projet'!$B$17,Paramètres!$A$1:$I$89,5,0)</f>
        <v>-4.5224624045658861E-14</v>
      </c>
      <c r="GB65" s="14" t="e">
        <f t="shared" si="49"/>
        <v>#NUM!</v>
      </c>
      <c r="GC65" s="22" t="e">
        <f t="shared" si="25"/>
        <v>#NUM!</v>
      </c>
      <c r="GD65" s="62" t="e">
        <f t="shared" si="26"/>
        <v>#NUM!</v>
      </c>
      <c r="GE65" s="62">
        <f ca="1">AVERAGE(OFFSET($GD$3,0,0,'Données projet'!$E$17+1,1))-AVERAGE(OFFSET($H$3,0,0,'Données projet'!$E$17+1,1))</f>
        <v>248.15263300983543</v>
      </c>
      <c r="GF65" s="62">
        <f t="shared" si="50"/>
        <v>266.46511459244618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134.19040405870291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134.19040405870291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-1.2710188457276673E-13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382.55387448074327</v>
      </c>
      <c r="T66" s="62">
        <f t="shared" si="34"/>
        <v>476.29465646955543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243.8563371870307</v>
      </c>
      <c r="AA66" s="23">
        <f>EXP(-LN(2)/25)*AA65+(1-EXP(-LN(2)/25))/(LN(2)/25)*Calculateur!V66*Calculateur!X66*VLOOKUP('Données projet'!$B$9,Paramètres!$A$1:$I$89,3,0)*0.475*44/12</f>
        <v>59.282524560116805</v>
      </c>
      <c r="AB66" s="23">
        <f>EXP(-LN(2)/2)*AB65+(1-EXP(-LN(2)/2))/(LN(2)/2)*V66*Y66*VLOOKUP('Données projet'!$B$9,Paramètres!$A$1:$I$89,3,0)*0.475*44/12</f>
        <v>19.912427618358112</v>
      </c>
      <c r="AC66" s="24">
        <f t="shared" si="3"/>
        <v>323.05128936550562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13.333333333333334</v>
      </c>
      <c r="AI66" s="14">
        <f>IF('Données projet'!$A$62&gt;35,AI65+AH66-AQ65,IF(A66&lt;'Données projet'!$A$62,$AF$205^A66,IF(A66='Données projet'!$A$62,'Données projet'!$B$62,AI65+AH66-AQ65)))</f>
        <v>461.99999999999966</v>
      </c>
      <c r="AJ66" s="14">
        <f>AI66*VLOOKUP('Données projet'!$B$10,Paramètres!$A$1:$I$89,3,0)*VLOOKUP('Données projet'!$B$10,Paramètres!$A$1:$I$89,5,0)</f>
        <v>288.28799999999978</v>
      </c>
      <c r="AK66" s="14">
        <f t="shared" si="35"/>
        <v>68.715516926722387</v>
      </c>
      <c r="AL66" s="22">
        <f t="shared" si="4"/>
        <v>621.78112531404111</v>
      </c>
      <c r="AM66" s="62">
        <f t="shared" si="5"/>
        <v>915.11445864737448</v>
      </c>
      <c r="AN66" s="62">
        <f ca="1">AVERAGE(OFFSET($AM$3,0,0,'Données projet'!$E$10+1,1))-AVERAGE(OFFSET($H$3,0,0,'Données projet'!$E$10+1,1))</f>
        <v>482.28841373508675</v>
      </c>
      <c r="AO66" s="62">
        <f t="shared" si="36"/>
        <v>746.97309214631684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174.42651756810704</v>
      </c>
      <c r="AV66" s="23">
        <f>EXP(-LN(2)/25)*AV65+(1-EXP(-LN(2)/25))/(LN(2)/25)*Calculateur!AQ66*Calculateur!AS66*VLOOKUP('Données projet'!$B$10,Paramètres!$A$1:$I$89,3,0)*0.475*44/12</f>
        <v>36.874399730935757</v>
      </c>
      <c r="AW66" s="23">
        <f>EXP(-LN(2)/2)*AW65+(1-EXP(-LN(2)/2))/(LN(2)/2)*AQ66*AT66*VLOOKUP('Données projet'!$B$10,Paramètres!$A$1:$I$89,3,0)*0.475*44/12</f>
        <v>4.2555853609976442</v>
      </c>
      <c r="AX66" s="23">
        <f t="shared" si="6"/>
        <v>215.55650266004045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13.333333333333334</v>
      </c>
      <c r="BD66" s="13">
        <f>IF('Données projet'!$A$88&gt;35,BD65+BC66-BL65,IF(A66&lt;'Données projet'!$A$88,$BA$205^A66,IF(A66='Données projet'!$A$88,'Données projet'!$B$88,BD65+BC66-BL65)))</f>
        <v>461.99999999999966</v>
      </c>
      <c r="BE66" s="14">
        <f>BD66*VLOOKUP('Données projet'!$B$11,Paramètres!$A$1:$I$89,3,0)*VLOOKUP('Données projet'!$B$11,Paramètres!$A$1:$I$89,5,0)</f>
        <v>252.25199999999981</v>
      </c>
      <c r="BF66" s="14">
        <f t="shared" si="37"/>
        <v>61.067920784150772</v>
      </c>
      <c r="BG66" s="22">
        <f t="shared" si="7"/>
        <v>545.6988620323956</v>
      </c>
      <c r="BH66" s="62">
        <f t="shared" si="8"/>
        <v>839.03219536572897</v>
      </c>
      <c r="BI66" s="62">
        <f ca="1">AVERAGE(OFFSET($BH$3,0,0,'Données projet'!$E$11+1,1))-AVERAGE(OFFSET($H$3,0,0,'Données projet'!$E$11+1,1))</f>
        <v>417.99456559608217</v>
      </c>
      <c r="BJ66" s="62">
        <f t="shared" si="38"/>
        <v>651.41353014863932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152.6232028720936</v>
      </c>
      <c r="BQ66" s="23">
        <f>EXP(-LN(2)/25)*BQ65+(1-EXP(-LN(2)/25))/(LN(2)/25)*Calculateur!BL66*Calculateur!BN66*VLOOKUP('Données projet'!$B$11,Paramètres!$A$1:$I$89,3,0)*0.475*44/12</f>
        <v>32.649208095099368</v>
      </c>
      <c r="BR66" s="23">
        <f>EXP(-LN(2)/2)*BR65+(1-EXP(-LN(2)/2))/(LN(2)/2)*BL66*BO66*VLOOKUP('Données projet'!$B$11,Paramètres!$A$1:$I$89,3,0)*0.475*44/12</f>
        <v>3.6672184455566827</v>
      </c>
      <c r="BS66" s="24">
        <f t="shared" si="9"/>
        <v>188.93962941274964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6.625</v>
      </c>
      <c r="BY66" s="13">
        <f>IF('Données projet'!$A$114&gt;35,BY65+BX66-CG65,IF(A66&lt;'Données projet'!$A$114,$BV$205^A66,IF(A66='Données projet'!$A$114,'Données projet'!$B$114,BY65+BX66-CG65)))</f>
        <v>148.375</v>
      </c>
      <c r="BZ66" s="14">
        <f>BY66*VLOOKUP('Données projet'!$B$12,Paramètres!$A$1:$I$89,3,0)*VLOOKUP('Données projet'!$B$12,Paramètres!$A$1:$I$89,5,0)</f>
        <v>134.24969999999999</v>
      </c>
      <c r="CA66" s="14">
        <f t="shared" si="39"/>
        <v>34.97649429485336</v>
      </c>
      <c r="CB66" s="22">
        <f t="shared" si="10"/>
        <v>294.73562173020292</v>
      </c>
      <c r="CC66" s="62">
        <f t="shared" si="11"/>
        <v>588.06895506353624</v>
      </c>
      <c r="CD66" s="62">
        <f ca="1">AVERAGE(OFFSET($CC$3,0,0,'Données projet'!$E$12+1,1))-AVERAGE(OFFSET($H$3,0,0,'Données projet'!$E$12+1,1))</f>
        <v>213.07277043804817</v>
      </c>
      <c r="CE66" s="62">
        <f t="shared" si="40"/>
        <v>129.14539883354166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6.625</v>
      </c>
      <c r="CT66" s="13">
        <f>IF('Données projet'!$A$140&gt;35,CT65+CS66-DB65,IF(A66&lt;'Données projet'!$A$140,$CQ$205^A66,IF(A66='Données projet'!$A$140,'Données projet'!$B$140,CT65+CS66-DB65)))</f>
        <v>148.375</v>
      </c>
      <c r="CU66" s="18">
        <f>CT66*VLOOKUP('Données projet'!$B$13,Paramètres!$A$1:$I$89,3,0)*VLOOKUP('Données projet'!$B$13,Paramètres!$A$1:$I$89,5,0)</f>
        <v>150.45225000000002</v>
      </c>
      <c r="CV66" s="14">
        <f t="shared" si="41"/>
        <v>38.681343042079284</v>
      </c>
      <c r="CW66" s="22">
        <f t="shared" si="13"/>
        <v>329.40767454828807</v>
      </c>
      <c r="CX66" s="62">
        <f t="shared" si="14"/>
        <v>622.74100788162139</v>
      </c>
      <c r="CY66" s="62">
        <f ca="1">AVERAGE(OFFSET($CX$3,0,0,'Données projet'!$E$13+1,1))-AVERAGE(OFFSET($H$3,0,0,'Données projet'!$E$13+1,1))</f>
        <v>247.92503505485405</v>
      </c>
      <c r="CZ66" s="62">
        <f t="shared" si="42"/>
        <v>148.26437652597514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</v>
      </c>
      <c r="DO66" s="13">
        <f>IF('Données projet'!$A$166&gt;35,DO65+DN66-DW65,IF(A66&lt;'Données projet'!$A$166,$DL$205^A66,IF(A66='Données projet'!$A$166,'Données projet'!$B$166,DO65+DN66-DW65)))</f>
        <v>114</v>
      </c>
      <c r="DP66" s="18">
        <f>DO66*VLOOKUP('Données projet'!$B$14,Paramètres!$A$1:$I$89,3,0)*VLOOKUP('Données projet'!$B$14,Paramètres!$A$1:$I$89,5,0)</f>
        <v>110.26079999999999</v>
      </c>
      <c r="DQ66" s="14">
        <f t="shared" si="43"/>
        <v>29.392422615380774</v>
      </c>
      <c r="DR66" s="22">
        <f t="shared" si="16"/>
        <v>243.22936272178819</v>
      </c>
      <c r="DS66" s="62">
        <f t="shared" si="17"/>
        <v>536.56269605512148</v>
      </c>
      <c r="DT66" s="62">
        <f ca="1">AVERAGE(OFFSET($DS$3,0,0,'Données projet'!$E$14+1,1))-AVERAGE(OFFSET($H$3,0,0,'Données projet'!$E$14+1,1))</f>
        <v>154.0837760161366</v>
      </c>
      <c r="DU66" s="62">
        <f t="shared" si="44"/>
        <v>96.484500841546037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-5.6843418860808015E-14</v>
      </c>
      <c r="EK66" s="18">
        <f>EJ66*VLOOKUP('Données projet'!$B$15,Paramètres!$A$1:$I$89,3,0)*VLOOKUP('Données projet'!$B$15,Paramètres!$A$1:$I$89,5,0)</f>
        <v>-3.813056537183002E-14</v>
      </c>
      <c r="EL66" s="14" t="e">
        <f t="shared" si="45"/>
        <v>#NUM!</v>
      </c>
      <c r="EM66" s="22" t="e">
        <f t="shared" si="19"/>
        <v>#NUM!</v>
      </c>
      <c r="EN66" s="62" t="e">
        <f t="shared" si="20"/>
        <v>#NUM!</v>
      </c>
      <c r="EO66" s="62">
        <f ca="1">AVERAGE(OFFSET($EN$3,0,0,'Données projet'!$E$15+1,1))-AVERAGE(OFFSET($H$3,0,0,'Données projet'!$E$15+1,1))</f>
        <v>205.35893113421139</v>
      </c>
      <c r="EP66" s="62">
        <f t="shared" si="46"/>
        <v>220.4399811285175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110.92230430542322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110.92230430542322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-5.6843418860808015E-14</v>
      </c>
      <c r="FF66" s="18">
        <f>FE66*VLOOKUP('Données projet'!$B$16,Paramètres!$A$1:$I$89,3,0)*VLOOKUP('Données projet'!$B$16,Paramètres!$A$1:$I$89,5,0)</f>
        <v>-4.4337866711430253E-14</v>
      </c>
      <c r="FG66" s="14" t="e">
        <f t="shared" si="47"/>
        <v>#NUM!</v>
      </c>
      <c r="FH66" s="22" t="e">
        <f t="shared" si="22"/>
        <v>#NUM!</v>
      </c>
      <c r="FI66" s="62" t="e">
        <f t="shared" si="23"/>
        <v>#NUM!</v>
      </c>
      <c r="FJ66" s="62">
        <f ca="1">AVERAGE(OFFSET($FI$3,0,0,'Données projet'!$E$16+1,1))-AVERAGE(OFFSET($H$3,0,0,'Données projet'!$E$16+1,1))</f>
        <v>242.81177364426878</v>
      </c>
      <c r="FK66" s="62">
        <f t="shared" si="48"/>
        <v>260.72115764896671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104.64368330700304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104.64368330700304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-5.6843418860808015E-14</v>
      </c>
      <c r="GA66" s="18">
        <f>FZ66*VLOOKUP('Données projet'!$B$17,Paramètres!$A$1:$I$89,3,0)*VLOOKUP('Données projet'!$B$17,Paramètres!$A$1:$I$89,5,0)</f>
        <v>-4.5224624045658861E-14</v>
      </c>
      <c r="GB66" s="14" t="e">
        <f t="shared" si="49"/>
        <v>#NUM!</v>
      </c>
      <c r="GC66" s="22" t="e">
        <f t="shared" si="25"/>
        <v>#NUM!</v>
      </c>
      <c r="GD66" s="62" t="e">
        <f t="shared" si="26"/>
        <v>#NUM!</v>
      </c>
      <c r="GE66" s="62">
        <f ca="1">AVERAGE(OFFSET($GD$3,0,0,'Données projet'!$E$17+1,1))-AVERAGE(OFFSET($H$3,0,0,'Données projet'!$E$17+1,1))</f>
        <v>248.15263300983543</v>
      </c>
      <c r="GF66" s="62">
        <f t="shared" si="50"/>
        <v>266.46511459244618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131.55901208317638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131.55901208317638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-1.2710188457276673E-13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382.55387448074327</v>
      </c>
      <c r="T67" s="62">
        <f t="shared" si="34"/>
        <v>476.29465646955543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239.07446315247208</v>
      </c>
      <c r="AA67" s="23">
        <f>EXP(-LN(2)/25)*AA66+(1-EXP(-LN(2)/25))/(LN(2)/25)*Calculateur!V67*Calculateur!X67*VLOOKUP('Données projet'!$B$9,Paramètres!$A$1:$I$89,3,0)*0.475*44/12</f>
        <v>57.661440808487939</v>
      </c>
      <c r="AB67" s="23">
        <f>EXP(-LN(2)/2)*AB66+(1-EXP(-LN(2)/2))/(LN(2)/2)*V67*Y67*VLOOKUP('Données projet'!$B$9,Paramètres!$A$1:$I$89,3,0)*0.475*44/12</f>
        <v>14.080212598827316</v>
      </c>
      <c r="AC67" s="24">
        <f t="shared" si="3"/>
        <v>310.8161165597873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13.333333333333334</v>
      </c>
      <c r="AI67" s="14">
        <f>IF('Données projet'!$A$62&gt;35,AI66+AH67-AQ66,IF(A67&lt;'Données projet'!$A$62,$AF$205^A67,IF(A67='Données projet'!$A$62,'Données projet'!$B$62,AI66+AH67-AQ66)))</f>
        <v>475.33333333333297</v>
      </c>
      <c r="AJ67" s="14">
        <f>AI67*VLOOKUP('Données projet'!$B$10,Paramètres!$A$1:$I$89,3,0)*VLOOKUP('Données projet'!$B$10,Paramètres!$A$1:$I$89,5,0)</f>
        <v>296.60799999999978</v>
      </c>
      <c r="AK67" s="14">
        <f t="shared" si="35"/>
        <v>70.464900073149323</v>
      </c>
      <c r="AL67" s="22">
        <f t="shared" si="4"/>
        <v>639.31863429406792</v>
      </c>
      <c r="AM67" s="62">
        <f t="shared" si="5"/>
        <v>932.65196762740129</v>
      </c>
      <c r="AN67" s="62">
        <f ca="1">AVERAGE(OFFSET($AM$3,0,0,'Données projet'!$E$10+1,1))-AVERAGE(OFFSET($H$3,0,0,'Données projet'!$E$10+1,1))</f>
        <v>482.28841373508675</v>
      </c>
      <c r="AO67" s="62">
        <f t="shared" si="36"/>
        <v>746.97309214631684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171.00611994826707</v>
      </c>
      <c r="AV67" s="23">
        <f>EXP(-LN(2)/25)*AV66+(1-EXP(-LN(2)/25))/(LN(2)/25)*Calculateur!AQ67*Calculateur!AS67*VLOOKUP('Données projet'!$B$10,Paramètres!$A$1:$I$89,3,0)*0.475*44/12</f>
        <v>35.866067331152912</v>
      </c>
      <c r="AW67" s="23">
        <f>EXP(-LN(2)/2)*AW66+(1-EXP(-LN(2)/2))/(LN(2)/2)*AQ67*AT67*VLOOKUP('Données projet'!$B$10,Paramètres!$A$1:$I$89,3,0)*0.475*44/12</f>
        <v>3.0091532666796361</v>
      </c>
      <c r="AX67" s="23">
        <f t="shared" si="6"/>
        <v>209.88134054609964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13.333333333333334</v>
      </c>
      <c r="BD67" s="13">
        <f>IF('Données projet'!$A$88&gt;35,BD66+BC67-BL66,IF(A67&lt;'Données projet'!$A$88,$BA$205^A67,IF(A67='Données projet'!$A$88,'Données projet'!$B$88,BD66+BC67-BL66)))</f>
        <v>475.33333333333297</v>
      </c>
      <c r="BE67" s="14">
        <f>BD67*VLOOKUP('Données projet'!$B$11,Paramètres!$A$1:$I$89,3,0)*VLOOKUP('Données projet'!$B$11,Paramètres!$A$1:$I$89,5,0)</f>
        <v>259.53199999999981</v>
      </c>
      <c r="BF67" s="14">
        <f t="shared" si="37"/>
        <v>62.622608810743841</v>
      </c>
      <c r="BG67" s="22">
        <f t="shared" si="7"/>
        <v>561.08594367871183</v>
      </c>
      <c r="BH67" s="62">
        <f t="shared" si="8"/>
        <v>854.41927701204509</v>
      </c>
      <c r="BI67" s="62">
        <f ca="1">AVERAGE(OFFSET($BH$3,0,0,'Données projet'!$E$11+1,1))-AVERAGE(OFFSET($H$3,0,0,'Données projet'!$E$11+1,1))</f>
        <v>417.99456559608217</v>
      </c>
      <c r="BJ67" s="62">
        <f t="shared" si="38"/>
        <v>651.41353014863932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149.63035495473363</v>
      </c>
      <c r="BQ67" s="23">
        <f>EXP(-LN(2)/25)*BQ66+(1-EXP(-LN(2)/25))/(LN(2)/25)*Calculateur!BL67*Calculateur!BN67*VLOOKUP('Données projet'!$B$11,Paramètres!$A$1:$I$89,3,0)*0.475*44/12</f>
        <v>31.756413782791643</v>
      </c>
      <c r="BR67" s="23">
        <f>EXP(-LN(2)/2)*BR66+(1-EXP(-LN(2)/2))/(LN(2)/2)*BL67*BO67*VLOOKUP('Données projet'!$B$11,Paramètres!$A$1:$I$89,3,0)*0.475*44/12</f>
        <v>2.5931150309455204</v>
      </c>
      <c r="BS67" s="24">
        <f t="shared" si="9"/>
        <v>183.97988376847078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>
        <f>VLOOKUP(A67,'Données projet'!$A$113:$I$133,2,0)</f>
        <v>155</v>
      </c>
      <c r="BW67" s="13">
        <f>VLOOKUP(A67,'Données projet'!$A$113:$I$133,9,0)</f>
        <v>6.625</v>
      </c>
      <c r="BX67" s="13">
        <f t="array" ref="BX67">INDEX(BW:BW,MIN(IF(ISNUMBER(BW67:BW263),ROW(BW67:BW263),"")))</f>
        <v>6.625</v>
      </c>
      <c r="BY67" s="13">
        <f>IF('Données projet'!$A$114&gt;35,BY66+BX67-CG66,IF(A67&lt;'Données projet'!$A$114,$BV$205^A67,IF(A67='Données projet'!$A$114,'Données projet'!$B$114,BY66+BX67-CG66)))</f>
        <v>155</v>
      </c>
      <c r="BZ67" s="14">
        <f>BY67*VLOOKUP('Données projet'!$B$12,Paramètres!$A$1:$I$89,3,0)*VLOOKUP('Données projet'!$B$12,Paramètres!$A$1:$I$89,5,0)</f>
        <v>140.244</v>
      </c>
      <c r="CA67" s="14">
        <f t="shared" si="39"/>
        <v>36.352896802451752</v>
      </c>
      <c r="CB67" s="22">
        <f t="shared" si="10"/>
        <v>307.57292859760338</v>
      </c>
      <c r="CC67" s="62">
        <f t="shared" si="11"/>
        <v>600.90626193093669</v>
      </c>
      <c r="CD67" s="62">
        <f ca="1">AVERAGE(OFFSET($CC$3,0,0,'Données projet'!$E$12+1,1))-AVERAGE(OFFSET($H$3,0,0,'Données projet'!$E$12+1,1))</f>
        <v>213.07277043804817</v>
      </c>
      <c r="CE67" s="62">
        <f t="shared" si="40"/>
        <v>129.14539883354166</v>
      </c>
      <c r="CF67" s="16">
        <f>IF(ISNA(VLOOKUP(A67,'Données projet'!$A$113:$I$133,3,0)),0,VLOOKUP(A67,'Données projet'!$A$113:$I$133,3,0))</f>
        <v>4</v>
      </c>
      <c r="CG67" s="16">
        <f>IF(ISNA(VLOOKUP(A67,'Données projet'!$A$113:$I$133,4,0)),0,VLOOKUP(A67,'Données projet'!$A$113:$I$133,4,0))</f>
        <v>41</v>
      </c>
      <c r="CH67" s="17">
        <f>IF(ISNA(VLOOKUP(A67,'Données projet'!$A$113:$I$133,5,0)),0%,VLOOKUP(A67,'Données projet'!$A$113:$I$133,5,0)*VLOOKUP('Données projet'!$B$12,Paramètres!$A$1:$I$89,7,0))</f>
        <v>0.30099999999999999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12.343833486212839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12.343833486212839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>
        <f>VLOOKUP(A67,'Données projet'!$A$139:$I$159,2,0)</f>
        <v>155</v>
      </c>
      <c r="CR67" s="13">
        <f>VLOOKUP(A67,'Données projet'!$A$139:$I$159,9,0)</f>
        <v>6.625</v>
      </c>
      <c r="CS67" s="13">
        <f t="array" ref="CS67">INDEX(CR:CR,MIN(IF(ISNUMBER(CR67:CR263),ROW(CR67:CR263),"")))</f>
        <v>6.625</v>
      </c>
      <c r="CT67" s="13">
        <f>IF('Données projet'!$A$140&gt;35,CT66+CS67-DB66,IF(A67&lt;'Données projet'!$A$140,$CQ$205^A67,IF(A67='Données projet'!$A$140,'Données projet'!$B$140,CT66+CS67-DB66)))</f>
        <v>155</v>
      </c>
      <c r="CU67" s="18">
        <f>CT67*VLOOKUP('Données projet'!$B$13,Paramètres!$A$1:$I$89,3,0)*VLOOKUP('Données projet'!$B$13,Paramètres!$A$1:$I$89,5,0)</f>
        <v>157.17000000000002</v>
      </c>
      <c r="CV67" s="14">
        <f t="shared" si="41"/>
        <v>40.203539552443232</v>
      </c>
      <c r="CW67" s="22">
        <f t="shared" si="13"/>
        <v>343.75891472050535</v>
      </c>
      <c r="CX67" s="62">
        <f t="shared" si="14"/>
        <v>637.0922480538386</v>
      </c>
      <c r="CY67" s="62">
        <f ca="1">AVERAGE(OFFSET($CX$3,0,0,'Données projet'!$E$13+1,1))-AVERAGE(OFFSET($H$3,0,0,'Données projet'!$E$13+1,1))</f>
        <v>247.92503505485405</v>
      </c>
      <c r="CZ67" s="62">
        <f t="shared" si="42"/>
        <v>148.26437652597514</v>
      </c>
      <c r="DA67" s="16">
        <f>IF(ISNA(VLOOKUP(A67,'Données projet'!$A$139:$I$159,3,0)),0,VLOOKUP(A67,'Données projet'!$A$139:$I$159,3,0))</f>
        <v>4</v>
      </c>
      <c r="DB67" s="16">
        <f>IF(ISNA(VLOOKUP(A67,'Données projet'!$A$139:$I$159,4,0)),0,VLOOKUP(A67,'Données projet'!$A$139:$I$159,4,0))</f>
        <v>41</v>
      </c>
      <c r="DC67" s="17">
        <f>IF(ISNA(VLOOKUP(A67,'Données projet'!$A$139:$I$159,5,0)),0%,VLOOKUP(A67,'Données projet'!$A$139:$I$159,5,0)*VLOOKUP('Données projet'!$B$13,Paramètres!$A$1:$I$89,7,0))</f>
        <v>0.30099999999999999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13.833606493169563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13.833606493169563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>
        <f>VLOOKUP(A67,'Données projet'!$A$165:$I$185,2,0)</f>
        <v>119</v>
      </c>
      <c r="DM67" s="13">
        <f>VLOOKUP(A67,'Données projet'!$A$165:$I$185,9,0)</f>
        <v>5</v>
      </c>
      <c r="DN67" s="13">
        <f t="array" ref="DN67">INDEX(DM:DM,MIN(IF(ISNUMBER(DM67:DM263),ROW(DM67:DM263),"")))</f>
        <v>5</v>
      </c>
      <c r="DO67" s="13">
        <f>IF('Données projet'!$A$166&gt;35,DO66+DN67-DW66,IF(A67&lt;'Données projet'!$A$166,$DL$205^A67,IF(A67='Données projet'!$A$166,'Données projet'!$B$166,DO66+DN67-DW66)))</f>
        <v>119</v>
      </c>
      <c r="DP67" s="18">
        <f>DO67*VLOOKUP('Données projet'!$B$14,Paramètres!$A$1:$I$89,3,0)*VLOOKUP('Données projet'!$B$14,Paramètres!$A$1:$I$89,5,0)</f>
        <v>115.0968</v>
      </c>
      <c r="DQ67" s="14">
        <f t="shared" si="43"/>
        <v>30.528646626547697</v>
      </c>
      <c r="DR67" s="22">
        <f t="shared" si="16"/>
        <v>253.6309862079039</v>
      </c>
      <c r="DS67" s="62">
        <f t="shared" si="17"/>
        <v>546.96431954123727</v>
      </c>
      <c r="DT67" s="62">
        <f ca="1">AVERAGE(OFFSET($DS$3,0,0,'Données projet'!$E$14+1,1))-AVERAGE(OFFSET($H$3,0,0,'Données projet'!$E$14+1,1))</f>
        <v>154.0837760161366</v>
      </c>
      <c r="DU67" s="62">
        <f t="shared" si="44"/>
        <v>96.484500841546037</v>
      </c>
      <c r="DV67" s="16">
        <f>IF(ISNA(VLOOKUP(A67,'Données projet'!$A$165:$I$185,3,0)),0,VLOOKUP(A67,'Données projet'!$A$165:$I$185,3,0))</f>
        <v>2</v>
      </c>
      <c r="DW67" s="16">
        <f>IF(ISNA(VLOOKUP(A67,'Données projet'!$A$165:$I$185,4,0)),0,VLOOKUP(A67,'Données projet'!$A$165:$I$185,4,0))</f>
        <v>34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-5.6843418860808015E-14</v>
      </c>
      <c r="EK67" s="18">
        <f>EJ67*VLOOKUP('Données projet'!$B$15,Paramètres!$A$1:$I$89,3,0)*VLOOKUP('Données projet'!$B$15,Paramètres!$A$1:$I$89,5,0)</f>
        <v>-3.813056537183002E-14</v>
      </c>
      <c r="EL67" s="14" t="e">
        <f t="shared" si="45"/>
        <v>#NUM!</v>
      </c>
      <c r="EM67" s="22" t="e">
        <f t="shared" si="19"/>
        <v>#NUM!</v>
      </c>
      <c r="EN67" s="62" t="e">
        <f t="shared" si="20"/>
        <v>#NUM!</v>
      </c>
      <c r="EO67" s="62">
        <f ca="1">AVERAGE(OFFSET($EN$3,0,0,'Données projet'!$E$15+1,1))-AVERAGE(OFFSET($H$3,0,0,'Données projet'!$E$15+1,1))</f>
        <v>205.35893113421139</v>
      </c>
      <c r="EP67" s="62">
        <f t="shared" si="46"/>
        <v>220.4399811285175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108.74718557391904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108.74718557391904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-5.6843418860808015E-14</v>
      </c>
      <c r="FF67" s="18">
        <f>FE67*VLOOKUP('Données projet'!$B$16,Paramètres!$A$1:$I$89,3,0)*VLOOKUP('Données projet'!$B$16,Paramètres!$A$1:$I$89,5,0)</f>
        <v>-4.4337866711430253E-14</v>
      </c>
      <c r="FG67" s="14" t="e">
        <f t="shared" si="47"/>
        <v>#NUM!</v>
      </c>
      <c r="FH67" s="22" t="e">
        <f t="shared" si="22"/>
        <v>#NUM!</v>
      </c>
      <c r="FI67" s="62" t="e">
        <f t="shared" si="23"/>
        <v>#NUM!</v>
      </c>
      <c r="FJ67" s="62">
        <f ca="1">AVERAGE(OFFSET($FI$3,0,0,'Données projet'!$E$16+1,1))-AVERAGE(OFFSET($H$3,0,0,'Données projet'!$E$16+1,1))</f>
        <v>242.81177364426878</v>
      </c>
      <c r="FK67" s="62">
        <f t="shared" si="48"/>
        <v>260.72115764896671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102.59168450369721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102.59168450369721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-5.6843418860808015E-14</v>
      </c>
      <c r="GA67" s="18">
        <f>FZ67*VLOOKUP('Données projet'!$B$17,Paramètres!$A$1:$I$89,3,0)*VLOOKUP('Données projet'!$B$17,Paramètres!$A$1:$I$89,5,0)</f>
        <v>-4.5224624045658861E-14</v>
      </c>
      <c r="GB67" s="14" t="e">
        <f t="shared" si="49"/>
        <v>#NUM!</v>
      </c>
      <c r="GC67" s="22" t="e">
        <f t="shared" si="25"/>
        <v>#NUM!</v>
      </c>
      <c r="GD67" s="62" t="e">
        <f t="shared" si="26"/>
        <v>#NUM!</v>
      </c>
      <c r="GE67" s="62">
        <f ca="1">AVERAGE(OFFSET($GD$3,0,0,'Données projet'!$E$17+1,1))-AVERAGE(OFFSET($H$3,0,0,'Données projet'!$E$17+1,1))</f>
        <v>248.15263300983543</v>
      </c>
      <c r="GF67" s="62">
        <f t="shared" si="50"/>
        <v>266.46511459244618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128.97922009929931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128.97922009929931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-1.2710188457276673E-13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382.55387448074327</v>
      </c>
      <c r="T68" s="62">
        <f t="shared" si="34"/>
        <v>476.29465646955543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234.38635875107599</v>
      </c>
      <c r="AA68" s="23">
        <f>EXP(-LN(2)/25)*AA67+(1-EXP(-LN(2)/25))/(LN(2)/25)*Calculateur!V68*Calculateur!X68*VLOOKUP('Données projet'!$B$9,Paramètres!$A$1:$I$89,3,0)*0.475*44/12</f>
        <v>56.084685677296449</v>
      </c>
      <c r="AB68" s="23">
        <f>EXP(-LN(2)/2)*AB67+(1-EXP(-LN(2)/2))/(LN(2)/2)*V68*Y68*VLOOKUP('Données projet'!$B$9,Paramètres!$A$1:$I$89,3,0)*0.475*44/12</f>
        <v>9.956213809179058</v>
      </c>
      <c r="AC68" s="24">
        <f t="shared" ref="AC68:AC131" si="57">SUM(Z68:AB68)</f>
        <v>300.42725823755154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13.333333333333334</v>
      </c>
      <c r="AI68" s="14">
        <f>IF('Données projet'!$A$62&gt;35,AI67+AH68-AQ67,IF(A68&lt;'Données projet'!$A$62,$AF$205^A68,IF(A68='Données projet'!$A$62,'Données projet'!$B$62,AI67+AH68-AQ67)))</f>
        <v>488.66666666666629</v>
      </c>
      <c r="AJ68" s="14">
        <f>AI68*VLOOKUP('Données projet'!$B$10,Paramètres!$A$1:$I$89,3,0)*VLOOKUP('Données projet'!$B$10,Paramètres!$A$1:$I$89,5,0)</f>
        <v>304.92799999999977</v>
      </c>
      <c r="AK68" s="14">
        <f t="shared" si="35"/>
        <v>72.208579873050681</v>
      </c>
      <c r="AL68" s="22">
        <f t="shared" ref="AL68:AL131" si="58">(AJ68+AK68)*0.475*44/12</f>
        <v>656.8462099455628</v>
      </c>
      <c r="AM68" s="62">
        <f t="shared" ref="AM68:AM131" si="59">AL68+(AD68+AE68)*44/12</f>
        <v>950.17954327889606</v>
      </c>
      <c r="AN68" s="62">
        <f ca="1">AVERAGE(OFFSET($AM$3,0,0,'Données projet'!$E$10+1,1))-AVERAGE(OFFSET($H$3,0,0,'Données projet'!$E$10+1,1))</f>
        <v>482.28841373508675</v>
      </c>
      <c r="AO68" s="62">
        <f t="shared" si="36"/>
        <v>746.97309214631684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167.6527942395156</v>
      </c>
      <c r="AV68" s="23">
        <f>EXP(-LN(2)/25)*AV67+(1-EXP(-LN(2)/25))/(LN(2)/25)*Calculateur!AQ68*Calculateur!AS68*VLOOKUP('Données projet'!$B$10,Paramètres!$A$1:$I$89,3,0)*0.475*44/12</f>
        <v>34.885307833868026</v>
      </c>
      <c r="AW68" s="23">
        <f>EXP(-LN(2)/2)*AW67+(1-EXP(-LN(2)/2))/(LN(2)/2)*AQ68*AT68*VLOOKUP('Données projet'!$B$10,Paramètres!$A$1:$I$89,3,0)*0.475*44/12</f>
        <v>2.1277926804988221</v>
      </c>
      <c r="AX68" s="23">
        <f t="shared" ref="AX68:AX131" si="60">SUM(AU68:AW68)</f>
        <v>204.66589475388247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13.333333333333334</v>
      </c>
      <c r="BD68" s="13">
        <f>IF('Données projet'!$A$88&gt;35,BD67+BC68-BL67,IF(A68&lt;'Données projet'!$A$88,$BA$205^A68,IF(A68='Données projet'!$A$88,'Données projet'!$B$88,BD67+BC68-BL67)))</f>
        <v>488.66666666666629</v>
      </c>
      <c r="BE68" s="14">
        <f>BD68*VLOOKUP('Données projet'!$B$11,Paramètres!$A$1:$I$89,3,0)*VLOOKUP('Données projet'!$B$11,Paramètres!$A$1:$I$89,5,0)</f>
        <v>266.81199999999978</v>
      </c>
      <c r="BF68" s="14">
        <f t="shared" si="37"/>
        <v>64.17222823668591</v>
      </c>
      <c r="BG68" s="22">
        <f t="shared" ref="BG68:BG131" si="61">(BE68+BF68)*0.475*44/12</f>
        <v>576.46419751222754</v>
      </c>
      <c r="BH68" s="62">
        <f t="shared" ref="BH68:BH131" si="62">BG68+(AY68+AZ68)*44/12</f>
        <v>869.79753084556091</v>
      </c>
      <c r="BI68" s="62">
        <f ca="1">AVERAGE(OFFSET($BH$3,0,0,'Données projet'!$E$11+1,1))-AVERAGE(OFFSET($H$3,0,0,'Données projet'!$E$11+1,1))</f>
        <v>417.99456559608217</v>
      </c>
      <c r="BJ68" s="62">
        <f t="shared" si="38"/>
        <v>651.41353014863932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146.6961949595761</v>
      </c>
      <c r="BQ68" s="23">
        <f>EXP(-LN(2)/25)*BQ67+(1-EXP(-LN(2)/25))/(LN(2)/25)*Calculateur!BL68*Calculateur!BN68*VLOOKUP('Données projet'!$B$11,Paramètres!$A$1:$I$89,3,0)*0.475*44/12</f>
        <v>30.888032977903986</v>
      </c>
      <c r="BR68" s="23">
        <f>EXP(-LN(2)/2)*BR67+(1-EXP(-LN(2)/2))/(LN(2)/2)*BL68*BO68*VLOOKUP('Données projet'!$B$11,Paramètres!$A$1:$I$89,3,0)*0.475*44/12</f>
        <v>1.8336092227783416</v>
      </c>
      <c r="BS68" s="24">
        <f t="shared" ref="BS68:BS131" si="63">SUM(BP68:BR68)</f>
        <v>179.41783716025841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5.75</v>
      </c>
      <c r="BY68" s="13">
        <f>IF('Données projet'!$A$114&gt;35,BY67+BX68-CG67,IF(A68&lt;'Données projet'!$A$114,$BV$205^A68,IF(A68='Données projet'!$A$114,'Données projet'!$B$114,BY67+BX68-CG67)))</f>
        <v>119.75</v>
      </c>
      <c r="BZ68" s="14">
        <f>BY68*VLOOKUP('Données projet'!$B$12,Paramètres!$A$1:$I$89,3,0)*VLOOKUP('Données projet'!$B$12,Paramètres!$A$1:$I$89,5,0)</f>
        <v>108.3498</v>
      </c>
      <c r="CA68" s="14">
        <f t="shared" si="39"/>
        <v>28.941843207640417</v>
      </c>
      <c r="CB68" s="22">
        <f t="shared" ref="CB68:CB131" si="64">(BZ68+CA68)*0.475*44/12</f>
        <v>239.11627858664042</v>
      </c>
      <c r="CC68" s="62">
        <f t="shared" ref="CC68:CC131" si="65">CB68+(BT68+BU68)*44/12</f>
        <v>532.44961191997368</v>
      </c>
      <c r="CD68" s="62">
        <f ca="1">AVERAGE(OFFSET($CC$3,0,0,'Données projet'!$E$12+1,1))-AVERAGE(OFFSET($H$3,0,0,'Données projet'!$E$12+1,1))</f>
        <v>213.07277043804817</v>
      </c>
      <c r="CE68" s="62">
        <f t="shared" si="40"/>
        <v>129.14539883354166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12.101778440543205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12.101778440543205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5.75</v>
      </c>
      <c r="CT68" s="13">
        <f>IF('Données projet'!$A$140&gt;35,CT67+CS68-DB67,IF(A68&lt;'Données projet'!$A$140,$CQ$205^A68,IF(A68='Données projet'!$A$140,'Données projet'!$B$140,CT67+CS68-DB67)))</f>
        <v>119.75</v>
      </c>
      <c r="CU68" s="18">
        <f>CT68*VLOOKUP('Données projet'!$B$13,Paramètres!$A$1:$I$89,3,0)*VLOOKUP('Données projet'!$B$13,Paramètres!$A$1:$I$89,5,0)</f>
        <v>121.42650000000002</v>
      </c>
      <c r="CV68" s="14">
        <f t="shared" si="41"/>
        <v>32.007477820598567</v>
      </c>
      <c r="CW68" s="22">
        <f t="shared" ref="CW68:CW131" si="67">(CU68+CV68)*0.475*44/12</f>
        <v>267.23084470420918</v>
      </c>
      <c r="CX68" s="62">
        <f t="shared" ref="CX68:CX131" si="68">CW68+(CO68+CP68)*44/12</f>
        <v>560.56417803754243</v>
      </c>
      <c r="CY68" s="62">
        <f ca="1">AVERAGE(OFFSET($CX$3,0,0,'Données projet'!$E$13+1,1))-AVERAGE(OFFSET($H$3,0,0,'Données projet'!$E$13+1,1))</f>
        <v>247.92503505485405</v>
      </c>
      <c r="CZ68" s="62">
        <f t="shared" si="42"/>
        <v>148.26437652597514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13.562337907505318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13.562337907505318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4.125</v>
      </c>
      <c r="DO68" s="13">
        <f>IF('Données projet'!$A$166&gt;35,DO67+DN68-DW67,IF(A68&lt;'Données projet'!$A$166,$DL$205^A68,IF(A68='Données projet'!$A$166,'Données projet'!$B$166,DO67+DN68-DW67)))</f>
        <v>89.125</v>
      </c>
      <c r="DP68" s="18">
        <f>DO68*VLOOKUP('Données projet'!$B$14,Paramètres!$A$1:$I$89,3,0)*VLOOKUP('Données projet'!$B$14,Paramètres!$A$1:$I$89,5,0)</f>
        <v>86.201700000000002</v>
      </c>
      <c r="DQ68" s="14">
        <f t="shared" si="43"/>
        <v>23.646880294592613</v>
      </c>
      <c r="DR68" s="22">
        <f t="shared" ref="DR68:DR131" si="70">(DP68+DQ68)*0.475*44/12</f>
        <v>191.31961067974876</v>
      </c>
      <c r="DS68" s="62">
        <f t="shared" ref="DS68:DS131" si="71">DR68+(DJ68+DK68)*44/12</f>
        <v>484.65294401308211</v>
      </c>
      <c r="DT68" s="62">
        <f ca="1">AVERAGE(OFFSET($DS$3,0,0,'Données projet'!$E$14+1,1))-AVERAGE(OFFSET($H$3,0,0,'Données projet'!$E$14+1,1))</f>
        <v>154.0837760161366</v>
      </c>
      <c r="DU68" s="62">
        <f t="shared" si="44"/>
        <v>96.484500841546037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-5.6843418860808015E-14</v>
      </c>
      <c r="EK68" s="18">
        <f>EJ68*VLOOKUP('Données projet'!$B$15,Paramètres!$A$1:$I$89,3,0)*VLOOKUP('Données projet'!$B$15,Paramètres!$A$1:$I$89,5,0)</f>
        <v>-3.813056537183002E-14</v>
      </c>
      <c r="EL68" s="14" t="e">
        <f t="shared" si="45"/>
        <v>#NUM!</v>
      </c>
      <c r="EM68" s="22" t="e">
        <f t="shared" ref="EM68:EM131" si="73">(EK68+EL68)*0.475*44/12</f>
        <v>#NUM!</v>
      </c>
      <c r="EN68" s="62" t="e">
        <f t="shared" ref="EN68:EN131" si="74">EM68+(EE68+EF68)*44/12</f>
        <v>#NUM!</v>
      </c>
      <c r="EO68" s="62">
        <f ca="1">AVERAGE(OFFSET($EN$3,0,0,'Données projet'!$E$15+1,1))-AVERAGE(OFFSET($H$3,0,0,'Données projet'!$E$15+1,1))</f>
        <v>205.35893113421139</v>
      </c>
      <c r="EP68" s="62">
        <f t="shared" si="46"/>
        <v>220.4399811285175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106.61471959404822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106.61471959404822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-5.6843418860808015E-14</v>
      </c>
      <c r="FF68" s="18">
        <f>FE68*VLOOKUP('Données projet'!$B$16,Paramètres!$A$1:$I$89,3,0)*VLOOKUP('Données projet'!$B$16,Paramètres!$A$1:$I$89,5,0)</f>
        <v>-4.4337866711430253E-14</v>
      </c>
      <c r="FG68" s="14" t="e">
        <f t="shared" si="47"/>
        <v>#NUM!</v>
      </c>
      <c r="FH68" s="22" t="e">
        <f t="shared" ref="FH68:FH131" si="76">(FF68+FG68)*0.475*44/12</f>
        <v>#NUM!</v>
      </c>
      <c r="FI68" s="62" t="e">
        <f t="shared" ref="FI68:FI131" si="77">FH68+(EZ68+FA68)*44/12</f>
        <v>#NUM!</v>
      </c>
      <c r="FJ68" s="62">
        <f ca="1">AVERAGE(OFFSET($FI$3,0,0,'Données projet'!$E$16+1,1))-AVERAGE(OFFSET($H$3,0,0,'Données projet'!$E$16+1,1))</f>
        <v>242.81177364426878</v>
      </c>
      <c r="FK68" s="62">
        <f t="shared" si="48"/>
        <v>260.72115764896671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100.5799241453285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100.5799241453285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-5.6843418860808015E-14</v>
      </c>
      <c r="GA68" s="18">
        <f>FZ68*VLOOKUP('Données projet'!$B$17,Paramètres!$A$1:$I$89,3,0)*VLOOKUP('Données projet'!$B$17,Paramètres!$A$1:$I$89,5,0)</f>
        <v>-4.5224624045658861E-14</v>
      </c>
      <c r="GB68" s="14" t="e">
        <f t="shared" si="49"/>
        <v>#NUM!</v>
      </c>
      <c r="GC68" s="22" t="e">
        <f t="shared" ref="GC68:GC131" si="79">(GA68+GB68)*0.475*44/12</f>
        <v>#NUM!</v>
      </c>
      <c r="GD68" s="62" t="e">
        <f t="shared" ref="GD68:GD131" si="80">GC68+(FU68+FV68)*44/12</f>
        <v>#NUM!</v>
      </c>
      <c r="GE68" s="62">
        <f ca="1">AVERAGE(OFFSET($GD$3,0,0,'Données projet'!$E$17+1,1))-AVERAGE(OFFSET($H$3,0,0,'Données projet'!$E$17+1,1))</f>
        <v>248.15263300983543</v>
      </c>
      <c r="GF68" s="62">
        <f t="shared" si="50"/>
        <v>266.46511459244618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126.45001626270835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126.45001626270835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-1.2710188457276673E-13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382.55387448074327</v>
      </c>
      <c r="T69" s="62">
        <f t="shared" ref="T69:T132" si="88">$T$3</f>
        <v>476.29465646955543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229.79018521752994</v>
      </c>
      <c r="AA69" s="23">
        <f>EXP(-LN(2)/25)*AA68+(1-EXP(-LN(2)/25))/(LN(2)/25)*Calculateur!V69*Calculateur!X69*VLOOKUP('Données projet'!$B$9,Paramètres!$A$1:$I$89,3,0)*0.475*44/12</f>
        <v>54.55104699808534</v>
      </c>
      <c r="AB69" s="23">
        <f>EXP(-LN(2)/2)*AB68+(1-EXP(-LN(2)/2))/(LN(2)/2)*V69*Y69*VLOOKUP('Données projet'!$B$9,Paramètres!$A$1:$I$89,3,0)*0.475*44/12</f>
        <v>7.0401062994136598</v>
      </c>
      <c r="AC69" s="24">
        <f t="shared" si="57"/>
        <v>291.38133851502892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502</v>
      </c>
      <c r="AG69" s="13">
        <f>VLOOKUP(A69,'Données projet'!$A$61:$I$81,9,0)</f>
        <v>13.333333333333334</v>
      </c>
      <c r="AH69" s="13">
        <f t="array" ref="AH69">INDEX(AG:AG,MIN(IF(ISNUMBER(AG69:AG265),ROW(AG69:AG265),"")))</f>
        <v>13.333333333333334</v>
      </c>
      <c r="AI69" s="14">
        <f>IF('Données projet'!$A$62&gt;35,AI68+AH69-AQ68,IF(A69&lt;'Données projet'!$A$62,$AF$205^A69,IF(A69='Données projet'!$A$62,'Données projet'!$B$62,AI68+AH69-AQ68)))</f>
        <v>501.9999999999996</v>
      </c>
      <c r="AJ69" s="14">
        <f>AI69*VLOOKUP('Données projet'!$B$10,Paramètres!$A$1:$I$89,3,0)*VLOOKUP('Données projet'!$B$10,Paramètres!$A$1:$I$89,5,0)</f>
        <v>313.24799999999976</v>
      </c>
      <c r="AK69" s="14">
        <f t="shared" ref="AK69:AK132" si="89">EXP(-1.0587+0.8836*LN(AJ69)+0.284)</f>
        <v>73.946729824749326</v>
      </c>
      <c r="AL69" s="22">
        <f t="shared" si="58"/>
        <v>674.36415444477132</v>
      </c>
      <c r="AM69" s="62">
        <f t="shared" si="59"/>
        <v>967.69748777810469</v>
      </c>
      <c r="AN69" s="62">
        <f ca="1">AVERAGE(OFFSET($AM$3,0,0,'Données projet'!$E$10+1,1))-AVERAGE(OFFSET($H$3,0,0,'Données projet'!$E$10+1,1))</f>
        <v>482.28841373508675</v>
      </c>
      <c r="AO69" s="62">
        <f t="shared" ref="AO69:AO132" si="90">$AO$3</f>
        <v>746.97309214631684</v>
      </c>
      <c r="AP69" s="16">
        <f>IF(ISNA(VLOOKUP(A69,'Données projet'!$A$61:$I$81,3,0)),0,VLOOKUP(A69,'Données projet'!$A$61:$I$81,3,0))</f>
        <v>7</v>
      </c>
      <c r="AQ69" s="16">
        <f>IF(ISNA(VLOOKUP(A69,'Données projet'!$A$61:$I$81,4,0)),0,VLOOKUP(A69,'Données projet'!$A$61:$I$81,4,0))</f>
        <v>109</v>
      </c>
      <c r="AR69" s="17">
        <f>IF(ISNA(VLOOKUP(A69,'Données projet'!$A$61:$I$81,5,0)),0%,VLOOKUP(A69,'Données projet'!$A$61:$I$81,5,0)*VLOOKUP('Données projet'!$B$10,Paramètres!$A$1:$I$89,7,0))</f>
        <v>0.42</v>
      </c>
      <c r="AS69" s="17">
        <f>IF(ISNA(VLOOKUP(A69,'Données projet'!$A$61:$I$81,6,0)),0%,VLOOKUP(A69,'Données projet'!$A$61:$I$81,6,0)*VLOOKUP('Données projet'!$B$10,Paramètres!$A$1:$I$89,7,0))</f>
        <v>0.1008</v>
      </c>
      <c r="AT69" s="17">
        <f>IF(ISNA(VLOOKUP(A69,'Données projet'!$A$61:$I$81,7,0)),0%,VLOOKUP(A69,'Données projet'!$A$61:$I$81,7,0))</f>
        <v>0.13200000000000001</v>
      </c>
      <c r="AU69" s="23">
        <f>EXP(-LN(2)/35)*AU68+(1-EXP(-LN(2)/35))/(LN(2)/35)*AQ69*AR69*VLOOKUP('Données projet'!$B$10,Paramètres!$A$1:$I$89,3,0)*0.475*44/12</f>
        <v>202.26082056307985</v>
      </c>
      <c r="AV69" s="23">
        <f>EXP(-LN(2)/25)*AV68+(1-EXP(-LN(2)/25))/(LN(2)/25)*Calculateur!AQ69*Calculateur!AS69*VLOOKUP('Données projet'!$B$10,Paramètres!$A$1:$I$89,3,0)*0.475*44/12</f>
        <v>42.990499887541667</v>
      </c>
      <c r="AW69" s="23">
        <f>EXP(-LN(2)/2)*AW68+(1-EXP(-LN(2)/2))/(LN(2)/2)*AQ69*AT69*VLOOKUP('Données projet'!$B$10,Paramètres!$A$1:$I$89,3,0)*0.475*44/12</f>
        <v>11.669885010549752</v>
      </c>
      <c r="AX69" s="23">
        <f t="shared" si="60"/>
        <v>256.92120546117127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502</v>
      </c>
      <c r="BB69" s="13">
        <f>VLOOKUP(A69,'Données projet'!$A$87:$I$107,9,0)</f>
        <v>13.333333333333334</v>
      </c>
      <c r="BC69" s="13">
        <f t="array" ref="BC69">INDEX(BB:BB,MIN(IF(ISNUMBER(BB69:BB265),ROW(BB69:BB265),"")))</f>
        <v>13.333333333333334</v>
      </c>
      <c r="BD69" s="13">
        <f>IF('Données projet'!$A$88&gt;35,BD68+BC69-BL68,IF(A69&lt;'Données projet'!$A$88,$BA$205^A69,IF(A69='Données projet'!$A$88,'Données projet'!$B$88,BD68+BC69-BL68)))</f>
        <v>501.9999999999996</v>
      </c>
      <c r="BE69" s="14">
        <f>BD69*VLOOKUP('Données projet'!$B$11,Paramètres!$A$1:$I$89,3,0)*VLOOKUP('Données projet'!$B$11,Paramètres!$A$1:$I$89,5,0)</f>
        <v>274.09199999999981</v>
      </c>
      <c r="BF69" s="14">
        <f t="shared" ref="BF69:BF132" si="91">EXP(-1.0587+0.8836*LN(BE69)+0.284)</f>
        <v>65.716933251049639</v>
      </c>
      <c r="BG69" s="22">
        <f t="shared" si="61"/>
        <v>591.83389207891116</v>
      </c>
      <c r="BH69" s="62">
        <f t="shared" si="62"/>
        <v>885.16722541224453</v>
      </c>
      <c r="BI69" s="62">
        <f ca="1">AVERAGE(OFFSET($BH$3,0,0,'Données projet'!$E$11+1,1))-AVERAGE(OFFSET($H$3,0,0,'Données projet'!$E$11+1,1))</f>
        <v>417.99456559608217</v>
      </c>
      <c r="BJ69" s="62">
        <f t="shared" ref="BJ69:BJ132" si="92">$BJ$3</f>
        <v>651.41353014863932</v>
      </c>
      <c r="BK69" s="16">
        <f>IF(ISNA(VLOOKUP(A69,'Données projet'!$A$87:$I$107,3,0)),0,VLOOKUP(A69,'Données projet'!$A$87:$I$107,3,0))</f>
        <v>7</v>
      </c>
      <c r="BL69" s="16">
        <f>IF(ISNA(VLOOKUP(A69,'Données projet'!$A$87:$I$107,4,0)),0,VLOOKUP(A69,'Données projet'!$A$87:$I$107,4,0))</f>
        <v>109</v>
      </c>
      <c r="BM69" s="17">
        <f>IF(ISNA(VLOOKUP(A69,'Données projet'!$A$87:$I$107,5,0)),0%,VLOOKUP(A69,'Données projet'!$A$87:$I$107,5,0)*VLOOKUP('Données projet'!$B$11,Paramètres!$A$1:$I$89,7,0))</f>
        <v>0.42</v>
      </c>
      <c r="BN69" s="17">
        <f>IF(ISNA(VLOOKUP(A69,'Données projet'!$A$87:$I$107,6,0)),0%,VLOOKUP(A69,'Données projet'!$A$87:$I$107,6,0)*VLOOKUP('Données projet'!$B$11,Paramètres!$A$1:$I$89,7,0))</f>
        <v>0.10200000000000001</v>
      </c>
      <c r="BO69" s="17">
        <f>IF(ISNA(VLOOKUP(A69,'Données projet'!$A$87:$I$107,7,0)),0%,VLOOKUP(A69,'Données projet'!$A$87:$I$107,7,0))</f>
        <v>0.13</v>
      </c>
      <c r="BP69" s="23">
        <f>EXP(-LN(2)/35)*BP68+(1-EXP(-LN(2)/35))/(LN(2)/35)*BL69*BM69*VLOOKUP('Données projet'!$B$11,Paramètres!$A$1:$I$89,3,0)*0.475*44/12</f>
        <v>176.97821799269485</v>
      </c>
      <c r="BQ69" s="23">
        <f>EXP(-LN(2)/25)*BQ68+(1-EXP(-LN(2)/25))/(LN(2)/25)*Calculateur!BL69*Calculateur!BN69*VLOOKUP('Données projet'!$B$11,Paramètres!$A$1:$I$89,3,0)*0.475*44/12</f>
        <v>38.064505108760855</v>
      </c>
      <c r="BR69" s="23">
        <f>EXP(-LN(2)/2)*BR68+(1-EXP(-LN(2)/2))/(LN(2)/2)*BL69*BO69*VLOOKUP('Données projet'!$B$11,Paramètres!$A$1:$I$89,3,0)*0.475*44/12</f>
        <v>10.056434999621473</v>
      </c>
      <c r="BS69" s="24">
        <f t="shared" si="63"/>
        <v>225.09915810107717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5.75</v>
      </c>
      <c r="BY69" s="13">
        <f>IF('Données projet'!$A$114&gt;35,BY68+BX69-CG68,IF(A69&lt;'Données projet'!$A$114,$BV$205^A69,IF(A69='Données projet'!$A$114,'Données projet'!$B$114,BY68+BX69-CG68)))</f>
        <v>125.5</v>
      </c>
      <c r="BZ69" s="14">
        <f>BY69*VLOOKUP('Données projet'!$B$12,Paramètres!$A$1:$I$89,3,0)*VLOOKUP('Données projet'!$B$12,Paramètres!$A$1:$I$89,5,0)</f>
        <v>113.55239999999999</v>
      </c>
      <c r="CA69" s="14">
        <f t="shared" ref="CA69:CA132" si="93">EXP(-1.0587+0.8836*LN(BZ69)+0.284)</f>
        <v>30.166403182577518</v>
      </c>
      <c r="CB69" s="22">
        <f t="shared" si="64"/>
        <v>250.3102488763225</v>
      </c>
      <c r="CC69" s="62">
        <f t="shared" si="65"/>
        <v>543.64358220965585</v>
      </c>
      <c r="CD69" s="62">
        <f ca="1">AVERAGE(OFFSET($CC$3,0,0,'Données projet'!$E$12+1,1))-AVERAGE(OFFSET($H$3,0,0,'Données projet'!$E$12+1,1))</f>
        <v>213.07277043804817</v>
      </c>
      <c r="CE69" s="62">
        <f t="shared" ref="CE69:CE132" si="94">$CE$3</f>
        <v>129.14539883354166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11.864469946680153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11.864469946680153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5.75</v>
      </c>
      <c r="CT69" s="13">
        <f>IF('Données projet'!$A$140&gt;35,CT68+CS69-DB68,IF(A69&lt;'Données projet'!$A$140,$CQ$205^A69,IF(A69='Données projet'!$A$140,'Données projet'!$B$140,CT68+CS69-DB68)))</f>
        <v>125.5</v>
      </c>
      <c r="CU69" s="18">
        <f>CT69*VLOOKUP('Données projet'!$B$13,Paramètres!$A$1:$I$89,3,0)*VLOOKUP('Données projet'!$B$13,Paramètres!$A$1:$I$89,5,0)</f>
        <v>127.25700000000001</v>
      </c>
      <c r="CV69" s="14">
        <f t="shared" ref="CV69:CV132" si="95">EXP(-1.0587+0.8836*LN(CU69)+0.284)</f>
        <v>33.36174803609903</v>
      </c>
      <c r="CW69" s="22">
        <f t="shared" si="67"/>
        <v>279.74431949620583</v>
      </c>
      <c r="CX69" s="62">
        <f t="shared" si="68"/>
        <v>573.07765282953915</v>
      </c>
      <c r="CY69" s="62">
        <f ca="1">AVERAGE(OFFSET($CX$3,0,0,'Données projet'!$E$13+1,1))-AVERAGE(OFFSET($H$3,0,0,'Données projet'!$E$13+1,1))</f>
        <v>247.92503505485405</v>
      </c>
      <c r="CZ69" s="62">
        <f t="shared" ref="CZ69:CZ132" si="96">$CZ$3</f>
        <v>148.26437652597514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13.296388733348449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13.296388733348449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4.125</v>
      </c>
      <c r="DO69" s="13">
        <f>IF('Données projet'!$A$166&gt;35,DO68+DN69-DW68,IF(A69&lt;'Données projet'!$A$166,$DL$205^A69,IF(A69='Données projet'!$A$166,'Données projet'!$B$166,DO68+DN69-DW68)))</f>
        <v>93.25</v>
      </c>
      <c r="DP69" s="18">
        <f>DO69*VLOOKUP('Données projet'!$B$14,Paramètres!$A$1:$I$89,3,0)*VLOOKUP('Données projet'!$B$14,Paramètres!$A$1:$I$89,5,0)</f>
        <v>90.191400000000002</v>
      </c>
      <c r="DQ69" s="14">
        <f t="shared" ref="DQ69:DQ132" si="97">EXP(-1.0587+0.8836*LN(DP69)+0.284)</f>
        <v>24.611380356075738</v>
      </c>
      <c r="DR69" s="22">
        <f t="shared" si="70"/>
        <v>199.94817578683191</v>
      </c>
      <c r="DS69" s="62">
        <f t="shared" si="71"/>
        <v>493.2815091201652</v>
      </c>
      <c r="DT69" s="62">
        <f ca="1">AVERAGE(OFFSET($DS$3,0,0,'Données projet'!$E$14+1,1))-AVERAGE(OFFSET($H$3,0,0,'Données projet'!$E$14+1,1))</f>
        <v>154.0837760161366</v>
      </c>
      <c r="DU69" s="62">
        <f t="shared" ref="DU69:DU132" si="98">$DU$3</f>
        <v>96.484500841546037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-5.6843418860808015E-14</v>
      </c>
      <c r="EK69" s="18">
        <f>EJ69*VLOOKUP('Données projet'!$B$15,Paramètres!$A$1:$I$89,3,0)*VLOOKUP('Données projet'!$B$15,Paramètres!$A$1:$I$89,5,0)</f>
        <v>-3.813056537183002E-14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2" t="e">
        <f t="shared" si="74"/>
        <v>#NUM!</v>
      </c>
      <c r="EO69" s="62">
        <f ca="1">AVERAGE(OFFSET($EN$3,0,0,'Données projet'!$E$15+1,1))-AVERAGE(OFFSET($H$3,0,0,'Données projet'!$E$15+1,1))</f>
        <v>205.35893113421139</v>
      </c>
      <c r="EP69" s="62">
        <f t="shared" ref="EP69:EP132" si="100">$EP$3</f>
        <v>220.4399811285175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104.52406997136686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104.52406997136686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-5.6843418860808015E-14</v>
      </c>
      <c r="FF69" s="18">
        <f>FE69*VLOOKUP('Données projet'!$B$16,Paramètres!$A$1:$I$89,3,0)*VLOOKUP('Données projet'!$B$16,Paramètres!$A$1:$I$89,5,0)</f>
        <v>-4.4337866711430253E-14</v>
      </c>
      <c r="FG69" s="14" t="e">
        <f t="shared" ref="FG69:FG132" si="101">EXP(-1.0587+0.8836*LN(FF69)+0.284)</f>
        <v>#NUM!</v>
      </c>
      <c r="FH69" s="22" t="e">
        <f t="shared" si="76"/>
        <v>#NUM!</v>
      </c>
      <c r="FI69" s="62" t="e">
        <f t="shared" si="77"/>
        <v>#NUM!</v>
      </c>
      <c r="FJ69" s="62">
        <f ca="1">AVERAGE(OFFSET($FI$3,0,0,'Données projet'!$E$16+1,1))-AVERAGE(OFFSET($H$3,0,0,'Données projet'!$E$16+1,1))</f>
        <v>242.81177364426878</v>
      </c>
      <c r="FK69" s="62">
        <f t="shared" ref="FK69:FK132" si="102">$FK$3</f>
        <v>260.72115764896671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98.607613180534756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98.607613180534756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-5.6843418860808015E-14</v>
      </c>
      <c r="GA69" s="18">
        <f>FZ69*VLOOKUP('Données projet'!$B$17,Paramètres!$A$1:$I$89,3,0)*VLOOKUP('Données projet'!$B$17,Paramètres!$A$1:$I$89,5,0)</f>
        <v>-4.5224624045658861E-14</v>
      </c>
      <c r="GB69" s="14" t="e">
        <f t="shared" ref="GB69:GB132" si="103">EXP(-1.0587+0.8836*LN(GA69)+0.284)</f>
        <v>#NUM!</v>
      </c>
      <c r="GC69" s="22" t="e">
        <f t="shared" si="79"/>
        <v>#NUM!</v>
      </c>
      <c r="GD69" s="62" t="e">
        <f t="shared" si="80"/>
        <v>#NUM!</v>
      </c>
      <c r="GE69" s="62">
        <f ca="1">AVERAGE(OFFSET($GD$3,0,0,'Données projet'!$E$17+1,1))-AVERAGE(OFFSET($H$3,0,0,'Données projet'!$E$17+1,1))</f>
        <v>248.15263300983543</v>
      </c>
      <c r="GF69" s="62">
        <f t="shared" ref="GF69:GF132" si="104">$GF$3</f>
        <v>266.46511459244618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123.97040857069091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123.97040857069091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-1.2710188457276673E-13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382.55387448074327</v>
      </c>
      <c r="T70" s="62">
        <f t="shared" si="88"/>
        <v>476.29465646955543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225.2841398435877</v>
      </c>
      <c r="AA70" s="23">
        <f>EXP(-LN(2)/25)*AA69+(1-EXP(-LN(2)/25))/(LN(2)/25)*Calculateur!V70*Calculateur!X70*VLOOKUP('Données projet'!$B$9,Paramètres!$A$1:$I$89,3,0)*0.475*44/12</f>
        <v>53.059345749207814</v>
      </c>
      <c r="AB70" s="23">
        <f>EXP(-LN(2)/2)*AB69+(1-EXP(-LN(2)/2))/(LN(2)/2)*V70*Y70*VLOOKUP('Données projet'!$B$9,Paramètres!$A$1:$I$89,3,0)*0.475*44/12</f>
        <v>4.9781069045895299</v>
      </c>
      <c r="AC70" s="24">
        <f t="shared" si="57"/>
        <v>283.32159249738504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11.666666666666666</v>
      </c>
      <c r="AI70" s="14">
        <f>IF('Données projet'!$A$62&gt;35,AI69+AH70-AQ69,IF(A70&lt;'Données projet'!$A$62,$AF$205^A70,IF(A70='Données projet'!$A$62,'Données projet'!$B$62,AI69+AH70-AQ69)))</f>
        <v>404.66666666666629</v>
      </c>
      <c r="AJ70" s="14">
        <f>AI70*VLOOKUP('Données projet'!$B$10,Paramètres!$A$1:$I$89,3,0)*VLOOKUP('Données projet'!$B$10,Paramètres!$A$1:$I$89,5,0)</f>
        <v>252.51199999999977</v>
      </c>
      <c r="AK70" s="14">
        <f t="shared" si="89"/>
        <v>61.123534450545591</v>
      </c>
      <c r="AL70" s="22">
        <f t="shared" si="58"/>
        <v>546.24855583469991</v>
      </c>
      <c r="AM70" s="62">
        <f t="shared" si="59"/>
        <v>839.58188916803329</v>
      </c>
      <c r="AN70" s="62">
        <f ca="1">AVERAGE(OFFSET($AM$3,0,0,'Données projet'!$E$10+1,1))-AVERAGE(OFFSET($H$3,0,0,'Données projet'!$E$10+1,1))</f>
        <v>482.28841373508675</v>
      </c>
      <c r="AO70" s="62">
        <f t="shared" si="90"/>
        <v>746.97309214631684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198.29460923875692</v>
      </c>
      <c r="AV70" s="23">
        <f>EXP(-LN(2)/25)*AV69+(1-EXP(-LN(2)/25))/(LN(2)/25)*Calculateur!AQ70*Calculateur!AS70*VLOOKUP('Données projet'!$B$10,Paramètres!$A$1:$I$89,3,0)*0.475*44/12</f>
        <v>41.81492240734471</v>
      </c>
      <c r="AW70" s="23">
        <f>EXP(-LN(2)/2)*AW69+(1-EXP(-LN(2)/2))/(LN(2)/2)*AQ70*AT70*VLOOKUP('Données projet'!$B$10,Paramètres!$A$1:$I$89,3,0)*0.475*44/12</f>
        <v>8.2518548266269747</v>
      </c>
      <c r="AX70" s="23">
        <f t="shared" si="60"/>
        <v>248.36138647272861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11.666666666666666</v>
      </c>
      <c r="BD70" s="13">
        <f>IF('Données projet'!$A$88&gt;35,BD69+BC70-BL69,IF(A70&lt;'Données projet'!$A$88,$BA$205^A70,IF(A70='Données projet'!$A$88,'Données projet'!$B$88,BD69+BC70-BL69)))</f>
        <v>404.66666666666629</v>
      </c>
      <c r="BE70" s="14">
        <f>BD70*VLOOKUP('Données projet'!$B$11,Paramètres!$A$1:$I$89,3,0)*VLOOKUP('Données projet'!$B$11,Paramètres!$A$1:$I$89,5,0)</f>
        <v>220.94799999999981</v>
      </c>
      <c r="BF70" s="14">
        <f t="shared" si="91"/>
        <v>54.320877246019023</v>
      </c>
      <c r="BG70" s="22">
        <f t="shared" si="61"/>
        <v>479.4266278701495</v>
      </c>
      <c r="BH70" s="62">
        <f t="shared" si="62"/>
        <v>772.75996120348282</v>
      </c>
      <c r="BI70" s="62">
        <f ca="1">AVERAGE(OFFSET($BH$3,0,0,'Données projet'!$E$11+1,1))-AVERAGE(OFFSET($H$3,0,0,'Données projet'!$E$11+1,1))</f>
        <v>417.99456559608217</v>
      </c>
      <c r="BJ70" s="62">
        <f t="shared" si="92"/>
        <v>651.41353014863932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173.5077830839123</v>
      </c>
      <c r="BQ70" s="23">
        <f>EXP(-LN(2)/25)*BQ69+(1-EXP(-LN(2)/25))/(LN(2)/25)*Calculateur!BL70*Calculateur!BN70*VLOOKUP('Données projet'!$B$11,Paramètres!$A$1:$I$89,3,0)*0.475*44/12</f>
        <v>37.023629214836461</v>
      </c>
      <c r="BR70" s="23">
        <f>EXP(-LN(2)/2)*BR69+(1-EXP(-LN(2)/2))/(LN(2)/2)*BL70*BO70*VLOOKUP('Données projet'!$B$11,Paramètres!$A$1:$I$89,3,0)*0.475*44/12</f>
        <v>7.1109733827940795</v>
      </c>
      <c r="BS70" s="24">
        <f t="shared" si="63"/>
        <v>217.64238568154283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5.75</v>
      </c>
      <c r="BY70" s="13">
        <f>IF('Données projet'!$A$114&gt;35,BY69+BX70-CG69,IF(A70&lt;'Données projet'!$A$114,$BV$205^A70,IF(A70='Données projet'!$A$114,'Données projet'!$B$114,BY69+BX70-CG69)))</f>
        <v>131.25</v>
      </c>
      <c r="BZ70" s="14">
        <f>BY70*VLOOKUP('Données projet'!$B$12,Paramètres!$A$1:$I$89,3,0)*VLOOKUP('Données projet'!$B$12,Paramètres!$A$1:$I$89,5,0)</f>
        <v>118.75500000000001</v>
      </c>
      <c r="CA70" s="14">
        <f t="shared" si="93"/>
        <v>31.384447472481</v>
      </c>
      <c r="CB70" s="22">
        <f t="shared" si="64"/>
        <v>261.49287101457111</v>
      </c>
      <c r="CC70" s="62">
        <f t="shared" si="65"/>
        <v>554.82620434790442</v>
      </c>
      <c r="CD70" s="62">
        <f ca="1">AVERAGE(OFFSET($CC$3,0,0,'Données projet'!$E$12+1,1))-AVERAGE(OFFSET($H$3,0,0,'Données projet'!$E$12+1,1))</f>
        <v>213.07277043804817</v>
      </c>
      <c r="CE70" s="62">
        <f t="shared" si="94"/>
        <v>129.14539883354166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11.631814927637866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11.631814927637866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5.75</v>
      </c>
      <c r="CT70" s="13">
        <f>IF('Données projet'!$A$140&gt;35,CT69+CS70-DB69,IF(A70&lt;'Données projet'!$A$140,$CQ$205^A70,IF(A70='Données projet'!$A$140,'Données projet'!$B$140,CT69+CS70-DB69)))</f>
        <v>131.25</v>
      </c>
      <c r="CU70" s="18">
        <f>CT70*VLOOKUP('Données projet'!$B$13,Paramètres!$A$1:$I$89,3,0)*VLOOKUP('Données projet'!$B$13,Paramètres!$A$1:$I$89,5,0)</f>
        <v>133.08750000000001</v>
      </c>
      <c r="CV70" s="14">
        <f t="shared" si="95"/>
        <v>34.708812399411578</v>
      </c>
      <c r="CW70" s="22">
        <f t="shared" si="67"/>
        <v>292.24524409564179</v>
      </c>
      <c r="CX70" s="62">
        <f t="shared" si="68"/>
        <v>585.57857742897511</v>
      </c>
      <c r="CY70" s="62">
        <f ca="1">AVERAGE(OFFSET($CX$3,0,0,'Données projet'!$E$13+1,1))-AVERAGE(OFFSET($H$3,0,0,'Données projet'!$E$13+1,1))</f>
        <v>247.92503505485405</v>
      </c>
      <c r="CZ70" s="62">
        <f t="shared" si="96"/>
        <v>148.26437652597514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13.035654660283818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13.035654660283818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4.125</v>
      </c>
      <c r="DO70" s="13">
        <f>IF('Données projet'!$A$166&gt;35,DO69+DN70-DW69,IF(A70&lt;'Données projet'!$A$166,$DL$205^A70,IF(A70='Données projet'!$A$166,'Données projet'!$B$166,DO69+DN70-DW69)))</f>
        <v>97.375</v>
      </c>
      <c r="DP70" s="18">
        <f>DO70*VLOOKUP('Données projet'!$B$14,Paramètres!$A$1:$I$89,3,0)*VLOOKUP('Données projet'!$B$14,Paramètres!$A$1:$I$89,5,0)</f>
        <v>94.181100000000001</v>
      </c>
      <c r="DQ70" s="14">
        <f t="shared" si="97"/>
        <v>25.570925204627805</v>
      </c>
      <c r="DR70" s="22">
        <f t="shared" si="70"/>
        <v>208.56811056472677</v>
      </c>
      <c r="DS70" s="62">
        <f t="shared" si="71"/>
        <v>501.90144389806005</v>
      </c>
      <c r="DT70" s="62">
        <f ca="1">AVERAGE(OFFSET($DS$3,0,0,'Données projet'!$E$14+1,1))-AVERAGE(OFFSET($H$3,0,0,'Données projet'!$E$14+1,1))</f>
        <v>154.0837760161366</v>
      </c>
      <c r="DU70" s="62">
        <f t="shared" si="98"/>
        <v>96.484500841546037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-5.6843418860808015E-14</v>
      </c>
      <c r="EK70" s="18">
        <f>EJ70*VLOOKUP('Données projet'!$B$15,Paramètres!$A$1:$I$89,3,0)*VLOOKUP('Données projet'!$B$15,Paramètres!$A$1:$I$89,5,0)</f>
        <v>-3.813056537183002E-14</v>
      </c>
      <c r="EL70" s="14" t="e">
        <f t="shared" si="99"/>
        <v>#NUM!</v>
      </c>
      <c r="EM70" s="22" t="e">
        <f t="shared" si="73"/>
        <v>#NUM!</v>
      </c>
      <c r="EN70" s="62" t="e">
        <f t="shared" si="74"/>
        <v>#NUM!</v>
      </c>
      <c r="EO70" s="62">
        <f ca="1">AVERAGE(OFFSET($EN$3,0,0,'Données projet'!$E$15+1,1))-AVERAGE(OFFSET($H$3,0,0,'Données projet'!$E$15+1,1))</f>
        <v>205.35893113421139</v>
      </c>
      <c r="EP70" s="62">
        <f t="shared" si="100"/>
        <v>220.4399811285175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102.47441671261591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102.47441671261591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-5.6843418860808015E-14</v>
      </c>
      <c r="FF70" s="18">
        <f>FE70*VLOOKUP('Données projet'!$B$16,Paramètres!$A$1:$I$89,3,0)*VLOOKUP('Données projet'!$B$16,Paramètres!$A$1:$I$89,5,0)</f>
        <v>-4.4337866711430253E-14</v>
      </c>
      <c r="FG70" s="14" t="e">
        <f t="shared" si="101"/>
        <v>#NUM!</v>
      </c>
      <c r="FH70" s="22" t="e">
        <f t="shared" si="76"/>
        <v>#NUM!</v>
      </c>
      <c r="FI70" s="62" t="e">
        <f t="shared" si="77"/>
        <v>#NUM!</v>
      </c>
      <c r="FJ70" s="62">
        <f ca="1">AVERAGE(OFFSET($FI$3,0,0,'Données projet'!$E$16+1,1))-AVERAGE(OFFSET($H$3,0,0,'Données projet'!$E$16+1,1))</f>
        <v>242.81177364426878</v>
      </c>
      <c r="FK70" s="62">
        <f t="shared" si="102"/>
        <v>260.72115764896671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96.673978030769717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96.673978030769717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-5.6843418860808015E-14</v>
      </c>
      <c r="GA70" s="18">
        <f>FZ70*VLOOKUP('Données projet'!$B$17,Paramètres!$A$1:$I$89,3,0)*VLOOKUP('Données projet'!$B$17,Paramètres!$A$1:$I$89,5,0)</f>
        <v>-4.5224624045658861E-14</v>
      </c>
      <c r="GB70" s="14" t="e">
        <f t="shared" si="103"/>
        <v>#NUM!</v>
      </c>
      <c r="GC70" s="22" t="e">
        <f t="shared" si="79"/>
        <v>#NUM!</v>
      </c>
      <c r="GD70" s="62" t="e">
        <f t="shared" si="80"/>
        <v>#NUM!</v>
      </c>
      <c r="GE70" s="62">
        <f ca="1">AVERAGE(OFFSET($GD$3,0,0,'Données projet'!$E$17+1,1))-AVERAGE(OFFSET($H$3,0,0,'Données projet'!$E$17+1,1))</f>
        <v>248.15263300983543</v>
      </c>
      <c r="GF70" s="62">
        <f t="shared" si="104"/>
        <v>266.46511459244618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121.53942447310257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121.53942447310257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-1.2710188457276673E-13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382.55387448074327</v>
      </c>
      <c r="T71" s="62">
        <f t="shared" si="88"/>
        <v>476.29465646955543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220.86645527101217</v>
      </c>
      <c r="AA71" s="23">
        <f>EXP(-LN(2)/25)*AA70+(1-EXP(-LN(2)/25))/(LN(2)/25)*Calculateur!V71*Calculateur!X71*VLOOKUP('Données projet'!$B$9,Paramètres!$A$1:$I$89,3,0)*0.475*44/12</f>
        <v>51.608435149426001</v>
      </c>
      <c r="AB71" s="23">
        <f>EXP(-LN(2)/2)*AB70+(1-EXP(-LN(2)/2))/(LN(2)/2)*V71*Y71*VLOOKUP('Données projet'!$B$9,Paramètres!$A$1:$I$89,3,0)*0.475*44/12</f>
        <v>3.5200531497068304</v>
      </c>
      <c r="AC71" s="24">
        <f t="shared" si="57"/>
        <v>275.99494357014498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11.666666666666666</v>
      </c>
      <c r="AI71" s="14">
        <f>IF('Données projet'!$A$62&gt;35,AI70+AH71-AQ70,IF(A71&lt;'Données projet'!$A$62,$AF$205^A71,IF(A71='Données projet'!$A$62,'Données projet'!$B$62,AI70+AH71-AQ70)))</f>
        <v>416.33333333333297</v>
      </c>
      <c r="AJ71" s="14">
        <f>AI71*VLOOKUP('Données projet'!$B$10,Paramètres!$A$1:$I$89,3,0)*VLOOKUP('Données projet'!$B$10,Paramètres!$A$1:$I$89,5,0)</f>
        <v>259.7919999999998</v>
      </c>
      <c r="AK71" s="14">
        <f t="shared" si="89"/>
        <v>62.678038696678357</v>
      </c>
      <c r="AL71" s="22">
        <f t="shared" si="58"/>
        <v>561.63531739671441</v>
      </c>
      <c r="AM71" s="62">
        <f t="shared" si="59"/>
        <v>854.96865073004778</v>
      </c>
      <c r="AN71" s="62">
        <f ca="1">AVERAGE(OFFSET($AM$3,0,0,'Données projet'!$E$10+1,1))-AVERAGE(OFFSET($H$3,0,0,'Données projet'!$E$10+1,1))</f>
        <v>482.28841373508675</v>
      </c>
      <c r="AO71" s="62">
        <f t="shared" si="90"/>
        <v>746.97309214631684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194.40617289935392</v>
      </c>
      <c r="AV71" s="23">
        <f>EXP(-LN(2)/25)*AV70+(1-EXP(-LN(2)/25))/(LN(2)/25)*Calculateur!AQ71*Calculateur!AS71*VLOOKUP('Données projet'!$B$10,Paramètres!$A$1:$I$89,3,0)*0.475*44/12</f>
        <v>40.671491155164667</v>
      </c>
      <c r="AW71" s="23">
        <f>EXP(-LN(2)/2)*AW70+(1-EXP(-LN(2)/2))/(LN(2)/2)*AQ71*AT71*VLOOKUP('Données projet'!$B$10,Paramètres!$A$1:$I$89,3,0)*0.475*44/12</f>
        <v>5.8349425052748769</v>
      </c>
      <c r="AX71" s="23">
        <f t="shared" si="60"/>
        <v>240.91260655979346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11.666666666666666</v>
      </c>
      <c r="BD71" s="13">
        <f>IF('Données projet'!$A$88&gt;35,BD70+BC71-BL70,IF(A71&lt;'Données projet'!$A$88,$BA$205^A71,IF(A71='Données projet'!$A$88,'Données projet'!$B$88,BD70+BC71-BL70)))</f>
        <v>416.33333333333297</v>
      </c>
      <c r="BE71" s="14">
        <f>BD71*VLOOKUP('Données projet'!$B$11,Paramètres!$A$1:$I$89,3,0)*VLOOKUP('Données projet'!$B$11,Paramètres!$A$1:$I$89,5,0)</f>
        <v>227.31799999999981</v>
      </c>
      <c r="BF71" s="14">
        <f t="shared" si="91"/>
        <v>55.702375143541857</v>
      </c>
      <c r="BG71" s="22">
        <f t="shared" si="61"/>
        <v>492.92715337500175</v>
      </c>
      <c r="BH71" s="62">
        <f t="shared" si="62"/>
        <v>786.26048670833507</v>
      </c>
      <c r="BI71" s="62">
        <f ca="1">AVERAGE(OFFSET($BH$3,0,0,'Données projet'!$E$11+1,1))-AVERAGE(OFFSET($H$3,0,0,'Données projet'!$E$11+1,1))</f>
        <v>417.99456559608217</v>
      </c>
      <c r="BJ71" s="62">
        <f t="shared" si="92"/>
        <v>651.41353014863932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170.10540128693469</v>
      </c>
      <c r="BQ71" s="23">
        <f>EXP(-LN(2)/25)*BQ70+(1-EXP(-LN(2)/25))/(LN(2)/25)*Calculateur!BL71*Calculateur!BN71*VLOOKUP('Données projet'!$B$11,Paramètres!$A$1:$I$89,3,0)*0.475*44/12</f>
        <v>36.011216126968719</v>
      </c>
      <c r="BR71" s="23">
        <f>EXP(-LN(2)/2)*BR70+(1-EXP(-LN(2)/2))/(LN(2)/2)*BL71*BO71*VLOOKUP('Données projet'!$B$11,Paramètres!$A$1:$I$89,3,0)*0.475*44/12</f>
        <v>5.0282174998107374</v>
      </c>
      <c r="BS71" s="24">
        <f t="shared" si="63"/>
        <v>211.14483491371416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5.75</v>
      </c>
      <c r="BY71" s="13">
        <f>IF('Données projet'!$A$114&gt;35,BY70+BX71-CG70,IF(A71&lt;'Données projet'!$A$114,$BV$205^A71,IF(A71='Données projet'!$A$114,'Données projet'!$B$114,BY70+BX71-CG70)))</f>
        <v>137</v>
      </c>
      <c r="BZ71" s="14">
        <f>BY71*VLOOKUP('Données projet'!$B$12,Paramètres!$A$1:$I$89,3,0)*VLOOKUP('Données projet'!$B$12,Paramètres!$A$1:$I$89,5,0)</f>
        <v>123.9576</v>
      </c>
      <c r="CA71" s="14">
        <f t="shared" si="93"/>
        <v>32.59629414926458</v>
      </c>
      <c r="CB71" s="22">
        <f t="shared" si="64"/>
        <v>272.6646989766358</v>
      </c>
      <c r="CC71" s="62">
        <f t="shared" si="65"/>
        <v>565.99803230996918</v>
      </c>
      <c r="CD71" s="62">
        <f ca="1">AVERAGE(OFFSET($CC$3,0,0,'Données projet'!$E$12+1,1))-AVERAGE(OFFSET($H$3,0,0,'Données projet'!$E$12+1,1))</f>
        <v>213.07277043804817</v>
      </c>
      <c r="CE71" s="62">
        <f t="shared" si="94"/>
        <v>129.14539883354166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11.403722131613449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11.403722131613449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5.75</v>
      </c>
      <c r="CT71" s="13">
        <f>IF('Données projet'!$A$140&gt;35,CT70+CS71-DB70,IF(A71&lt;'Données projet'!$A$140,$CQ$205^A71,IF(A71='Données projet'!$A$140,'Données projet'!$B$140,CT70+CS71-DB70)))</f>
        <v>137</v>
      </c>
      <c r="CU71" s="18">
        <f>CT71*VLOOKUP('Données projet'!$B$13,Paramètres!$A$1:$I$89,3,0)*VLOOKUP('Données projet'!$B$13,Paramètres!$A$1:$I$89,5,0)</f>
        <v>138.91800000000001</v>
      </c>
      <c r="CV71" s="14">
        <f t="shared" si="95"/>
        <v>36.049022673886341</v>
      </c>
      <c r="CW71" s="22">
        <f t="shared" si="67"/>
        <v>304.73423115701871</v>
      </c>
      <c r="CX71" s="62">
        <f t="shared" si="68"/>
        <v>598.06756449035197</v>
      </c>
      <c r="CY71" s="62">
        <f ca="1">AVERAGE(OFFSET($CX$3,0,0,'Données projet'!$E$13+1,1))-AVERAGE(OFFSET($H$3,0,0,'Données projet'!$E$13+1,1))</f>
        <v>247.92503505485405</v>
      </c>
      <c r="CZ71" s="62">
        <f t="shared" si="96"/>
        <v>148.26437652597514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12.780033423359903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12.780033423359903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4.125</v>
      </c>
      <c r="DO71" s="13">
        <f>IF('Données projet'!$A$166&gt;35,DO70+DN71-DW70,IF(A71&lt;'Données projet'!$A$166,$DL$205^A71,IF(A71='Données projet'!$A$166,'Données projet'!$B$166,DO70+DN71-DW70)))</f>
        <v>101.5</v>
      </c>
      <c r="DP71" s="18">
        <f>DO71*VLOOKUP('Données projet'!$B$14,Paramètres!$A$1:$I$89,3,0)*VLOOKUP('Données projet'!$B$14,Paramètres!$A$1:$I$89,5,0)</f>
        <v>98.1708</v>
      </c>
      <c r="DQ71" s="14">
        <f t="shared" si="97"/>
        <v>26.525748752747578</v>
      </c>
      <c r="DR71" s="22">
        <f t="shared" si="70"/>
        <v>217.17982241103536</v>
      </c>
      <c r="DS71" s="62">
        <f t="shared" si="71"/>
        <v>510.51315574436865</v>
      </c>
      <c r="DT71" s="62">
        <f ca="1">AVERAGE(OFFSET($DS$3,0,0,'Données projet'!$E$14+1,1))-AVERAGE(OFFSET($H$3,0,0,'Données projet'!$E$14+1,1))</f>
        <v>154.0837760161366</v>
      </c>
      <c r="DU71" s="62">
        <f t="shared" si="98"/>
        <v>96.484500841546037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-5.6843418860808015E-14</v>
      </c>
      <c r="EK71" s="18">
        <f>EJ71*VLOOKUP('Données projet'!$B$15,Paramètres!$A$1:$I$89,3,0)*VLOOKUP('Données projet'!$B$15,Paramètres!$A$1:$I$89,5,0)</f>
        <v>-3.813056537183002E-14</v>
      </c>
      <c r="EL71" s="14" t="e">
        <f t="shared" si="99"/>
        <v>#NUM!</v>
      </c>
      <c r="EM71" s="22" t="e">
        <f t="shared" si="73"/>
        <v>#NUM!</v>
      </c>
      <c r="EN71" s="62" t="e">
        <f t="shared" si="74"/>
        <v>#NUM!</v>
      </c>
      <c r="EO71" s="62">
        <f ca="1">AVERAGE(OFFSET($EN$3,0,0,'Données projet'!$E$15+1,1))-AVERAGE(OFFSET($H$3,0,0,'Données projet'!$E$15+1,1))</f>
        <v>205.35893113421139</v>
      </c>
      <c r="EP71" s="62">
        <f t="shared" si="100"/>
        <v>220.4399811285175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100.46495590410402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100.46495590410402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-5.6843418860808015E-14</v>
      </c>
      <c r="FF71" s="18">
        <f>FE71*VLOOKUP('Données projet'!$B$16,Paramètres!$A$1:$I$89,3,0)*VLOOKUP('Données projet'!$B$16,Paramètres!$A$1:$I$89,5,0)</f>
        <v>-4.4337866711430253E-14</v>
      </c>
      <c r="FG71" s="14" t="e">
        <f t="shared" si="101"/>
        <v>#NUM!</v>
      </c>
      <c r="FH71" s="22" t="e">
        <f t="shared" si="76"/>
        <v>#NUM!</v>
      </c>
      <c r="FI71" s="62" t="e">
        <f t="shared" si="77"/>
        <v>#NUM!</v>
      </c>
      <c r="FJ71" s="62">
        <f ca="1">AVERAGE(OFFSET($FI$3,0,0,'Données projet'!$E$16+1,1))-AVERAGE(OFFSET($H$3,0,0,'Données projet'!$E$16+1,1))</f>
        <v>242.81177364426878</v>
      </c>
      <c r="FK71" s="62">
        <f t="shared" si="102"/>
        <v>260.72115764896671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94.778260286890585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94.778260286890585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-5.6843418860808015E-14</v>
      </c>
      <c r="GA71" s="18">
        <f>FZ71*VLOOKUP('Données projet'!$B$17,Paramètres!$A$1:$I$89,3,0)*VLOOKUP('Données projet'!$B$17,Paramètres!$A$1:$I$89,5,0)</f>
        <v>-4.5224624045658861E-14</v>
      </c>
      <c r="GB71" s="14" t="e">
        <f t="shared" si="103"/>
        <v>#NUM!</v>
      </c>
      <c r="GC71" s="22" t="e">
        <f t="shared" si="79"/>
        <v>#NUM!</v>
      </c>
      <c r="GD71" s="62" t="e">
        <f t="shared" si="80"/>
        <v>#NUM!</v>
      </c>
      <c r="GE71" s="62">
        <f ca="1">AVERAGE(OFFSET($GD$3,0,0,'Données projet'!$E$17+1,1))-AVERAGE(OFFSET($H$3,0,0,'Données projet'!$E$17+1,1))</f>
        <v>248.15263300983543</v>
      </c>
      <c r="GF71" s="62">
        <f t="shared" si="104"/>
        <v>266.46511459244618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119.15611049091406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119.15611049091406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-1.2710188457276673E-13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382.55387448074327</v>
      </c>
      <c r="T72" s="62">
        <f t="shared" si="88"/>
        <v>476.29465646955543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216.53539879838331</v>
      </c>
      <c r="AA72" s="23">
        <f>EXP(-LN(2)/25)*AA71+(1-EXP(-LN(2)/25))/(LN(2)/25)*Calculateur!V72*Calculateur!X72*VLOOKUP('Données projet'!$B$9,Paramètres!$A$1:$I$89,3,0)*0.475*44/12</f>
        <v>50.197199776295292</v>
      </c>
      <c r="AB72" s="23">
        <f>EXP(-LN(2)/2)*AB71+(1-EXP(-LN(2)/2))/(LN(2)/2)*V72*Y72*VLOOKUP('Données projet'!$B$9,Paramètres!$A$1:$I$89,3,0)*0.475*44/12</f>
        <v>2.4890534522947654</v>
      </c>
      <c r="AC72" s="24">
        <f t="shared" si="57"/>
        <v>269.22165202697335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11.666666666666666</v>
      </c>
      <c r="AI72" s="14">
        <f>IF('Données projet'!$A$62&gt;35,AI71+AH72-AQ71,IF(A72&lt;'Données projet'!$A$62,$AF$205^A72,IF(A72='Données projet'!$A$62,'Données projet'!$B$62,AI71+AH72-AQ71)))</f>
        <v>427.99999999999966</v>
      </c>
      <c r="AJ72" s="14">
        <f>AI72*VLOOKUP('Données projet'!$B$10,Paramètres!$A$1:$I$89,3,0)*VLOOKUP('Données projet'!$B$10,Paramètres!$A$1:$I$89,5,0)</f>
        <v>267.07199999999978</v>
      </c>
      <c r="AK72" s="14">
        <f t="shared" si="89"/>
        <v>64.227480006516515</v>
      </c>
      <c r="AL72" s="22">
        <f t="shared" si="58"/>
        <v>577.01326101134919</v>
      </c>
      <c r="AM72" s="62">
        <f t="shared" si="59"/>
        <v>870.34659434468244</v>
      </c>
      <c r="AN72" s="62">
        <f ca="1">AVERAGE(OFFSET($AM$3,0,0,'Données projet'!$E$10+1,1))-AVERAGE(OFFSET($H$3,0,0,'Données projet'!$E$10+1,1))</f>
        <v>482.28841373508675</v>
      </c>
      <c r="AO72" s="62">
        <f t="shared" si="90"/>
        <v>746.97309214631684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190.59398642485465</v>
      </c>
      <c r="AV72" s="23">
        <f>EXP(-LN(2)/25)*AV71+(1-EXP(-LN(2)/25))/(LN(2)/25)*Calculateur!AQ72*Calculateur!AS72*VLOOKUP('Données projet'!$B$10,Paramètres!$A$1:$I$89,3,0)*0.475*44/12</f>
        <v>39.559327090705928</v>
      </c>
      <c r="AW72" s="23">
        <f>EXP(-LN(2)/2)*AW71+(1-EXP(-LN(2)/2))/(LN(2)/2)*AQ72*AT72*VLOOKUP('Données projet'!$B$10,Paramètres!$A$1:$I$89,3,0)*0.475*44/12</f>
        <v>4.1259274133134882</v>
      </c>
      <c r="AX72" s="23">
        <f t="shared" si="60"/>
        <v>234.27924092887406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11.666666666666666</v>
      </c>
      <c r="BD72" s="13">
        <f>IF('Données projet'!$A$88&gt;35,BD71+BC72-BL71,IF(A72&lt;'Données projet'!$A$88,$BA$205^A72,IF(A72='Données projet'!$A$88,'Données projet'!$B$88,BD71+BC72-BL71)))</f>
        <v>427.99999999999966</v>
      </c>
      <c r="BE72" s="14">
        <f>BD72*VLOOKUP('Données projet'!$B$11,Paramètres!$A$1:$I$89,3,0)*VLOOKUP('Données projet'!$B$11,Paramètres!$A$1:$I$89,5,0)</f>
        <v>233.68799999999982</v>
      </c>
      <c r="BF72" s="14">
        <f t="shared" si="91"/>
        <v>57.079373577094941</v>
      </c>
      <c r="BG72" s="22">
        <f t="shared" si="61"/>
        <v>506.41984231344003</v>
      </c>
      <c r="BH72" s="62">
        <f t="shared" si="62"/>
        <v>799.75317564677334</v>
      </c>
      <c r="BI72" s="62">
        <f ca="1">AVERAGE(OFFSET($BH$3,0,0,'Données projet'!$E$11+1,1))-AVERAGE(OFFSET($H$3,0,0,'Données projet'!$E$11+1,1))</f>
        <v>417.99456559608217</v>
      </c>
      <c r="BJ72" s="62">
        <f t="shared" si="92"/>
        <v>651.41353014863932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166.76973812174782</v>
      </c>
      <c r="BQ72" s="23">
        <f>EXP(-LN(2)/25)*BQ71+(1-EXP(-LN(2)/25))/(LN(2)/25)*Calculateur!BL72*Calculateur!BN72*VLOOKUP('Données projet'!$B$11,Paramètres!$A$1:$I$89,3,0)*0.475*44/12</f>
        <v>35.026487528229211</v>
      </c>
      <c r="BR72" s="23">
        <f>EXP(-LN(2)/2)*BR71+(1-EXP(-LN(2)/2))/(LN(2)/2)*BL72*BO72*VLOOKUP('Données projet'!$B$11,Paramètres!$A$1:$I$89,3,0)*0.475*44/12</f>
        <v>3.5554866913970402</v>
      </c>
      <c r="BS72" s="24">
        <f t="shared" si="63"/>
        <v>205.35171234137408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5.75</v>
      </c>
      <c r="BY72" s="13">
        <f>IF('Données projet'!$A$114&gt;35,BY71+BX72-CG71,IF(A72&lt;'Données projet'!$A$114,$BV$205^A72,IF(A72='Données projet'!$A$114,'Données projet'!$B$114,BY71+BX72-CG71)))</f>
        <v>142.75</v>
      </c>
      <c r="BZ72" s="14">
        <f>BY72*VLOOKUP('Données projet'!$B$12,Paramètres!$A$1:$I$89,3,0)*VLOOKUP('Données projet'!$B$12,Paramètres!$A$1:$I$89,5,0)</f>
        <v>129.16019999999997</v>
      </c>
      <c r="CA72" s="14">
        <f t="shared" si="93"/>
        <v>33.80223307495099</v>
      </c>
      <c r="CB72" s="22">
        <f t="shared" si="64"/>
        <v>283.82623760553963</v>
      </c>
      <c r="CC72" s="62">
        <f t="shared" si="65"/>
        <v>577.159570938873</v>
      </c>
      <c r="CD72" s="62">
        <f ca="1">AVERAGE(OFFSET($CC$3,0,0,'Données projet'!$E$12+1,1))-AVERAGE(OFFSET($H$3,0,0,'Données projet'!$E$12+1,1))</f>
        <v>213.07277043804817</v>
      </c>
      <c r="CE72" s="62">
        <f t="shared" si="94"/>
        <v>129.14539883354166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11.180102096196203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11.180102096196203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5.75</v>
      </c>
      <c r="CT72" s="13">
        <f>IF('Données projet'!$A$140&gt;35,CT71+CS72-DB71,IF(A72&lt;'Données projet'!$A$140,$CQ$205^A72,IF(A72='Données projet'!$A$140,'Données projet'!$B$140,CT71+CS72-DB71)))</f>
        <v>142.75</v>
      </c>
      <c r="CU72" s="18">
        <f>CT72*VLOOKUP('Données projet'!$B$13,Paramètres!$A$1:$I$89,3,0)*VLOOKUP('Données projet'!$B$13,Paramètres!$A$1:$I$89,5,0)</f>
        <v>144.74850000000001</v>
      </c>
      <c r="CV72" s="14">
        <f t="shared" si="95"/>
        <v>37.38269942487895</v>
      </c>
      <c r="CW72" s="22">
        <f t="shared" si="67"/>
        <v>317.21183899833085</v>
      </c>
      <c r="CX72" s="62">
        <f t="shared" si="68"/>
        <v>610.54517233166416</v>
      </c>
      <c r="CY72" s="62">
        <f ca="1">AVERAGE(OFFSET($CX$3,0,0,'Données projet'!$E$13+1,1))-AVERAGE(OFFSET($H$3,0,0,'Données projet'!$E$13+1,1))</f>
        <v>247.92503505485405</v>
      </c>
      <c r="CZ72" s="62">
        <f t="shared" si="96"/>
        <v>148.26437652597514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12.529424762978506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12.529424762978506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4.125</v>
      </c>
      <c r="DO72" s="13">
        <f>IF('Données projet'!$A$166&gt;35,DO71+DN72-DW71,IF(A72&lt;'Données projet'!$A$166,$DL$205^A72,IF(A72='Données projet'!$A$166,'Données projet'!$B$166,DO71+DN72-DW71)))</f>
        <v>105.625</v>
      </c>
      <c r="DP72" s="18">
        <f>DO72*VLOOKUP('Données projet'!$B$14,Paramètres!$A$1:$I$89,3,0)*VLOOKUP('Données projet'!$B$14,Paramètres!$A$1:$I$89,5,0)</f>
        <v>102.1605</v>
      </c>
      <c r="DQ72" s="14">
        <f t="shared" si="97"/>
        <v>27.476064824374706</v>
      </c>
      <c r="DR72" s="22">
        <f t="shared" si="70"/>
        <v>225.78368373578596</v>
      </c>
      <c r="DS72" s="62">
        <f t="shared" si="71"/>
        <v>519.11701706911924</v>
      </c>
      <c r="DT72" s="62">
        <f ca="1">AVERAGE(OFFSET($DS$3,0,0,'Données projet'!$E$14+1,1))-AVERAGE(OFFSET($H$3,0,0,'Données projet'!$E$14+1,1))</f>
        <v>154.0837760161366</v>
      </c>
      <c r="DU72" s="62">
        <f t="shared" si="98"/>
        <v>96.484500841546037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-5.6843418860808015E-14</v>
      </c>
      <c r="EK72" s="18">
        <f>EJ72*VLOOKUP('Données projet'!$B$15,Paramètres!$A$1:$I$89,3,0)*VLOOKUP('Données projet'!$B$15,Paramètres!$A$1:$I$89,5,0)</f>
        <v>-3.813056537183002E-14</v>
      </c>
      <c r="EL72" s="14" t="e">
        <f t="shared" si="99"/>
        <v>#NUM!</v>
      </c>
      <c r="EM72" s="22" t="e">
        <f t="shared" si="73"/>
        <v>#NUM!</v>
      </c>
      <c r="EN72" s="62" t="e">
        <f t="shared" si="74"/>
        <v>#NUM!</v>
      </c>
      <c r="EO72" s="62">
        <f ca="1">AVERAGE(OFFSET($EN$3,0,0,'Données projet'!$E$15+1,1))-AVERAGE(OFFSET($H$3,0,0,'Données projet'!$E$15+1,1))</f>
        <v>205.35893113421139</v>
      </c>
      <c r="EP72" s="62">
        <f t="shared" si="100"/>
        <v>220.4399811285175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98.494899396396974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98.494899396396974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-5.6843418860808015E-14</v>
      </c>
      <c r="FF72" s="18">
        <f>FE72*VLOOKUP('Données projet'!$B$16,Paramètres!$A$1:$I$89,3,0)*VLOOKUP('Données projet'!$B$16,Paramètres!$A$1:$I$89,5,0)</f>
        <v>-4.4337866711430253E-14</v>
      </c>
      <c r="FG72" s="14" t="e">
        <f t="shared" si="101"/>
        <v>#NUM!</v>
      </c>
      <c r="FH72" s="22" t="e">
        <f t="shared" si="76"/>
        <v>#NUM!</v>
      </c>
      <c r="FI72" s="62" t="e">
        <f t="shared" si="77"/>
        <v>#NUM!</v>
      </c>
      <c r="FJ72" s="62">
        <f ca="1">AVERAGE(OFFSET($FI$3,0,0,'Données projet'!$E$16+1,1))-AVERAGE(OFFSET($H$3,0,0,'Données projet'!$E$16+1,1))</f>
        <v>242.81177364426878</v>
      </c>
      <c r="FK72" s="62">
        <f t="shared" si="102"/>
        <v>260.72115764896671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92.919716411695262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92.919716411695262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-5.6843418860808015E-14</v>
      </c>
      <c r="GA72" s="18">
        <f>FZ72*VLOOKUP('Données projet'!$B$17,Paramètres!$A$1:$I$89,3,0)*VLOOKUP('Données projet'!$B$17,Paramètres!$A$1:$I$89,5,0)</f>
        <v>-4.5224624045658861E-14</v>
      </c>
      <c r="GB72" s="14" t="e">
        <f t="shared" si="103"/>
        <v>#NUM!</v>
      </c>
      <c r="GC72" s="22" t="e">
        <f t="shared" si="79"/>
        <v>#NUM!</v>
      </c>
      <c r="GD72" s="62" t="e">
        <f t="shared" si="80"/>
        <v>#NUM!</v>
      </c>
      <c r="GE72" s="62">
        <f ca="1">AVERAGE(OFFSET($GD$3,0,0,'Données projet'!$E$17+1,1))-AVERAGE(OFFSET($H$3,0,0,'Données projet'!$E$17+1,1))</f>
        <v>248.15263300983543</v>
      </c>
      <c r="GF72" s="62">
        <f t="shared" si="104"/>
        <v>266.46511459244618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116.81953184223828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116.81953184223828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-1.2710188457276673E-13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382.55387448074327</v>
      </c>
      <c r="T73" s="62">
        <f t="shared" si="88"/>
        <v>476.29465646955543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212.2892717014991</v>
      </c>
      <c r="AA73" s="23">
        <f>EXP(-LN(2)/25)*AA72+(1-EXP(-LN(2)/25))/(LN(2)/25)*Calculateur!V73*Calculateur!X73*VLOOKUP('Données projet'!$B$9,Paramètres!$A$1:$I$89,3,0)*0.475*44/12</f>
        <v>48.824554708656486</v>
      </c>
      <c r="AB73" s="23">
        <f>EXP(-LN(2)/2)*AB72+(1-EXP(-LN(2)/2))/(LN(2)/2)*V73*Y73*VLOOKUP('Données projet'!$B$9,Paramètres!$A$1:$I$89,3,0)*0.475*44/12</f>
        <v>1.7600265748534154</v>
      </c>
      <c r="AC73" s="24">
        <f t="shared" si="57"/>
        <v>262.87385298500902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11.666666666666666</v>
      </c>
      <c r="AI73" s="14">
        <f>IF('Données projet'!$A$62&gt;35,AI72+AH73-AQ72,IF(A73&lt;'Données projet'!$A$62,$AF$205^A73,IF(A73='Données projet'!$A$62,'Données projet'!$B$62,AI72+AH73-AQ72)))</f>
        <v>439.66666666666634</v>
      </c>
      <c r="AJ73" s="14">
        <f>AI73*VLOOKUP('Données projet'!$B$10,Paramètres!$A$1:$I$89,3,0)*VLOOKUP('Données projet'!$B$10,Paramètres!$A$1:$I$89,5,0)</f>
        <v>274.3519999999998</v>
      </c>
      <c r="AK73" s="14">
        <f t="shared" si="89"/>
        <v>65.772012247044003</v>
      </c>
      <c r="AL73" s="22">
        <f t="shared" si="58"/>
        <v>592.38265466360133</v>
      </c>
      <c r="AM73" s="62">
        <f t="shared" si="59"/>
        <v>885.7159879969347</v>
      </c>
      <c r="AN73" s="62">
        <f ca="1">AVERAGE(OFFSET($AM$3,0,0,'Données projet'!$E$10+1,1))-AVERAGE(OFFSET($H$3,0,0,'Données projet'!$E$10+1,1))</f>
        <v>482.28841373508675</v>
      </c>
      <c r="AO73" s="62">
        <f t="shared" si="90"/>
        <v>746.97309214631684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186.85655460191614</v>
      </c>
      <c r="AV73" s="23">
        <f>EXP(-LN(2)/25)*AV72+(1-EXP(-LN(2)/25))/(LN(2)/25)*Calculateur!AQ73*Calculateur!AS73*VLOOKUP('Données projet'!$B$10,Paramètres!$A$1:$I$89,3,0)*0.475*44/12</f>
        <v>38.47757521107598</v>
      </c>
      <c r="AW73" s="23">
        <f>EXP(-LN(2)/2)*AW72+(1-EXP(-LN(2)/2))/(LN(2)/2)*AQ73*AT73*VLOOKUP('Données projet'!$B$10,Paramètres!$A$1:$I$89,3,0)*0.475*44/12</f>
        <v>2.9174712526374389</v>
      </c>
      <c r="AX73" s="23">
        <f t="shared" si="60"/>
        <v>228.25160106562956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11.666666666666666</v>
      </c>
      <c r="BD73" s="13">
        <f>IF('Données projet'!$A$88&gt;35,BD72+BC73-BL72,IF(A73&lt;'Données projet'!$A$88,$BA$205^A73,IF(A73='Données projet'!$A$88,'Données projet'!$B$88,BD72+BC73-BL72)))</f>
        <v>439.66666666666634</v>
      </c>
      <c r="BE73" s="14">
        <f>BD73*VLOOKUP('Données projet'!$B$11,Paramètres!$A$1:$I$89,3,0)*VLOOKUP('Données projet'!$B$11,Paramètres!$A$1:$I$89,5,0)</f>
        <v>240.05799999999982</v>
      </c>
      <c r="BF73" s="14">
        <f t="shared" si="91"/>
        <v>58.4520092892541</v>
      </c>
      <c r="BG73" s="22">
        <f t="shared" si="61"/>
        <v>519.90493284545062</v>
      </c>
      <c r="BH73" s="62">
        <f t="shared" si="62"/>
        <v>813.23826617878399</v>
      </c>
      <c r="BI73" s="62">
        <f ca="1">AVERAGE(OFFSET($BH$3,0,0,'Données projet'!$E$11+1,1))-AVERAGE(OFFSET($H$3,0,0,'Données projet'!$E$11+1,1))</f>
        <v>417.99456559608217</v>
      </c>
      <c r="BJ73" s="62">
        <f t="shared" si="92"/>
        <v>651.41353014863932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163.49948527667664</v>
      </c>
      <c r="BQ73" s="23">
        <f>EXP(-LN(2)/25)*BQ72+(1-EXP(-LN(2)/25))/(LN(2)/25)*Calculateur!BL73*Calculateur!BN73*VLOOKUP('Données projet'!$B$11,Paramètres!$A$1:$I$89,3,0)*0.475*44/12</f>
        <v>34.06868638480686</v>
      </c>
      <c r="BR73" s="23">
        <f>EXP(-LN(2)/2)*BR72+(1-EXP(-LN(2)/2))/(LN(2)/2)*BL73*BO73*VLOOKUP('Données projet'!$B$11,Paramètres!$A$1:$I$89,3,0)*0.475*44/12</f>
        <v>2.5141087499053687</v>
      </c>
      <c r="BS73" s="24">
        <f t="shared" si="63"/>
        <v>200.08228041138887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5.75</v>
      </c>
      <c r="BY73" s="13">
        <f>IF('Données projet'!$A$114&gt;35,BY72+BX73-CG72,IF(A73&lt;'Données projet'!$A$114,$BV$205^A73,IF(A73='Données projet'!$A$114,'Données projet'!$B$114,BY72+BX73-CG72)))</f>
        <v>148.5</v>
      </c>
      <c r="BZ73" s="14">
        <f>BY73*VLOOKUP('Données projet'!$B$12,Paramètres!$A$1:$I$89,3,0)*VLOOKUP('Données projet'!$B$12,Paramètres!$A$1:$I$89,5,0)</f>
        <v>134.36279999999999</v>
      </c>
      <c r="CA73" s="14">
        <f t="shared" si="93"/>
        <v>35.002529438504695</v>
      </c>
      <c r="CB73" s="22">
        <f t="shared" si="64"/>
        <v>294.97794877206235</v>
      </c>
      <c r="CC73" s="62">
        <f t="shared" si="65"/>
        <v>588.31128210539566</v>
      </c>
      <c r="CD73" s="62">
        <f ca="1">AVERAGE(OFFSET($CC$3,0,0,'Données projet'!$E$12+1,1))-AVERAGE(OFFSET($H$3,0,0,'Données projet'!$E$12+1,1))</f>
        <v>213.07277043804817</v>
      </c>
      <c r="CE73" s="62">
        <f t="shared" si="94"/>
        <v>129.14539883354166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10.960867113278734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10.960867113278734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5.75</v>
      </c>
      <c r="CT73" s="13">
        <f>IF('Données projet'!$A$140&gt;35,CT72+CS73-DB72,IF(A73&lt;'Données projet'!$A$140,$CQ$205^A73,IF(A73='Données projet'!$A$140,'Données projet'!$B$140,CT72+CS73-DB72)))</f>
        <v>148.5</v>
      </c>
      <c r="CU73" s="18">
        <f>CT73*VLOOKUP('Données projet'!$B$13,Paramètres!$A$1:$I$89,3,0)*VLOOKUP('Données projet'!$B$13,Paramètres!$A$1:$I$89,5,0)</f>
        <v>150.57900000000001</v>
      </c>
      <c r="CV73" s="14">
        <f t="shared" si="95"/>
        <v>38.71013593121895</v>
      </c>
      <c r="CW73" s="22">
        <f t="shared" si="67"/>
        <v>329.6785784135397</v>
      </c>
      <c r="CX73" s="62">
        <f t="shared" si="68"/>
        <v>623.01191174687301</v>
      </c>
      <c r="CY73" s="62">
        <f ca="1">AVERAGE(OFFSET($CX$3,0,0,'Données projet'!$E$13+1,1))-AVERAGE(OFFSET($H$3,0,0,'Données projet'!$E$13+1,1))</f>
        <v>247.92503505485405</v>
      </c>
      <c r="CZ73" s="62">
        <f t="shared" si="96"/>
        <v>148.26437652597514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12.283730385570999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12.283730385570999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4.125</v>
      </c>
      <c r="DO73" s="13">
        <f>IF('Données projet'!$A$166&gt;35,DO72+DN73-DW72,IF(A73&lt;'Données projet'!$A$166,$DL$205^A73,IF(A73='Données projet'!$A$166,'Données projet'!$B$166,DO72+DN73-DW72)))</f>
        <v>109.75</v>
      </c>
      <c r="DP73" s="18">
        <f>DO73*VLOOKUP('Données projet'!$B$14,Paramètres!$A$1:$I$89,3,0)*VLOOKUP('Données projet'!$B$14,Paramètres!$A$1:$I$89,5,0)</f>
        <v>106.15020000000001</v>
      </c>
      <c r="DQ73" s="14">
        <f t="shared" si="97"/>
        <v>28.422069596792049</v>
      </c>
      <c r="DR73" s="22">
        <f t="shared" si="70"/>
        <v>234.38003621441283</v>
      </c>
      <c r="DS73" s="62">
        <f t="shared" si="71"/>
        <v>527.7133695477462</v>
      </c>
      <c r="DT73" s="62">
        <f ca="1">AVERAGE(OFFSET($DS$3,0,0,'Données projet'!$E$14+1,1))-AVERAGE(OFFSET($H$3,0,0,'Données projet'!$E$14+1,1))</f>
        <v>154.0837760161366</v>
      </c>
      <c r="DU73" s="62">
        <f t="shared" si="98"/>
        <v>96.484500841546037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-5.6843418860808015E-14</v>
      </c>
      <c r="EK73" s="18">
        <f>EJ73*VLOOKUP('Données projet'!$B$15,Paramètres!$A$1:$I$89,3,0)*VLOOKUP('Données projet'!$B$15,Paramètres!$A$1:$I$89,5,0)</f>
        <v>-3.813056537183002E-14</v>
      </c>
      <c r="EL73" s="14" t="e">
        <f t="shared" si="99"/>
        <v>#NUM!</v>
      </c>
      <c r="EM73" s="22" t="e">
        <f t="shared" si="73"/>
        <v>#NUM!</v>
      </c>
      <c r="EN73" s="62" t="e">
        <f t="shared" si="74"/>
        <v>#NUM!</v>
      </c>
      <c r="EO73" s="62">
        <f ca="1">AVERAGE(OFFSET($EN$3,0,0,'Données projet'!$E$15+1,1))-AVERAGE(OFFSET($H$3,0,0,'Données projet'!$E$15+1,1))</f>
        <v>205.35893113421139</v>
      </c>
      <c r="EP73" s="62">
        <f t="shared" si="100"/>
        <v>220.4399811285175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96.563474495190249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96.563474495190249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-5.6843418860808015E-14</v>
      </c>
      <c r="FF73" s="18">
        <f>FE73*VLOOKUP('Données projet'!$B$16,Paramètres!$A$1:$I$89,3,0)*VLOOKUP('Données projet'!$B$16,Paramètres!$A$1:$I$89,5,0)</f>
        <v>-4.4337866711430253E-14</v>
      </c>
      <c r="FG73" s="14" t="e">
        <f t="shared" si="101"/>
        <v>#NUM!</v>
      </c>
      <c r="FH73" s="22" t="e">
        <f t="shared" si="76"/>
        <v>#NUM!</v>
      </c>
      <c r="FI73" s="62" t="e">
        <f t="shared" si="77"/>
        <v>#NUM!</v>
      </c>
      <c r="FJ73" s="62">
        <f ca="1">AVERAGE(OFFSET($FI$3,0,0,'Données projet'!$E$16+1,1))-AVERAGE(OFFSET($H$3,0,0,'Données projet'!$E$16+1,1))</f>
        <v>242.81177364426878</v>
      </c>
      <c r="FK73" s="62">
        <f t="shared" si="102"/>
        <v>260.72115764896671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91.097617448292695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91.097617448292695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-5.6843418860808015E-14</v>
      </c>
      <c r="GA73" s="18">
        <f>FZ73*VLOOKUP('Données projet'!$B$17,Paramètres!$A$1:$I$89,3,0)*VLOOKUP('Données projet'!$B$17,Paramètres!$A$1:$I$89,5,0)</f>
        <v>-4.5224624045658861E-14</v>
      </c>
      <c r="GB73" s="14" t="e">
        <f t="shared" si="103"/>
        <v>#NUM!</v>
      </c>
      <c r="GC73" s="22" t="e">
        <f t="shared" si="79"/>
        <v>#NUM!</v>
      </c>
      <c r="GD73" s="62" t="e">
        <f t="shared" si="80"/>
        <v>#NUM!</v>
      </c>
      <c r="GE73" s="62">
        <f ca="1">AVERAGE(OFFSET($GD$3,0,0,'Données projet'!$E$17+1,1))-AVERAGE(OFFSET($H$3,0,0,'Données projet'!$E$17+1,1))</f>
        <v>248.15263300983543</v>
      </c>
      <c r="GF73" s="62">
        <f t="shared" si="104"/>
        <v>266.46511459244618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114.52877207569077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114.52877207569077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382.55387448074327</v>
      </c>
      <c r="T74" s="62">
        <f t="shared" si="88"/>
        <v>476.29465646955543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208.126408567103</v>
      </c>
      <c r="AA74" s="23">
        <f>EXP(-LN(2)/25)*AA73+(1-EXP(-LN(2)/25))/(LN(2)/25)*Calculateur!V74*Calculateur!X74*VLOOKUP('Données projet'!$B$9,Paramètres!$A$1:$I$89,3,0)*0.475*44/12</f>
        <v>47.489444692576534</v>
      </c>
      <c r="AB74" s="23">
        <f>EXP(-LN(2)/2)*AB73+(1-EXP(-LN(2)/2))/(LN(2)/2)*V74*Y74*VLOOKUP('Données projet'!$B$9,Paramètres!$A$1:$I$89,3,0)*0.475*44/12</f>
        <v>1.2445267261473827</v>
      </c>
      <c r="AC74" s="24">
        <f t="shared" si="57"/>
        <v>256.86037998582691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11.666666666666666</v>
      </c>
      <c r="AI74" s="14">
        <f>IF('Données projet'!$A$62&gt;35,AI73+AH74-AQ73,IF(A74&lt;'Données projet'!$A$62,$AF$205^A74,IF(A74='Données projet'!$A$62,'Données projet'!$B$62,AI73+AH74-AQ73)))</f>
        <v>451.33333333333303</v>
      </c>
      <c r="AJ74" s="14">
        <f>AI74*VLOOKUP('Données projet'!$B$10,Paramètres!$A$1:$I$89,3,0)*VLOOKUP('Données projet'!$B$10,Paramètres!$A$1:$I$89,5,0)</f>
        <v>281.63199999999983</v>
      </c>
      <c r="AK74" s="14">
        <f t="shared" si="89"/>
        <v>67.31178065446916</v>
      </c>
      <c r="AL74" s="22">
        <f t="shared" si="58"/>
        <v>607.74375130653345</v>
      </c>
      <c r="AM74" s="62">
        <f t="shared" si="59"/>
        <v>901.07708463986683</v>
      </c>
      <c r="AN74" s="62">
        <f ca="1">AVERAGE(OFFSET($AM$3,0,0,'Données projet'!$E$10+1,1))-AVERAGE(OFFSET($H$3,0,0,'Données projet'!$E$10+1,1))</f>
        <v>482.28841373508675</v>
      </c>
      <c r="AO74" s="62">
        <f t="shared" si="90"/>
        <v>746.97309214631684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183.19241153741714</v>
      </c>
      <c r="AV74" s="23">
        <f>EXP(-LN(2)/25)*AV73+(1-EXP(-LN(2)/25))/(LN(2)/25)*Calculateur!AQ74*Calculateur!AS74*VLOOKUP('Données projet'!$B$10,Paramètres!$A$1:$I$89,3,0)*0.475*44/12</f>
        <v>37.425403893481366</v>
      </c>
      <c r="AW74" s="23">
        <f>EXP(-LN(2)/2)*AW73+(1-EXP(-LN(2)/2))/(LN(2)/2)*AQ74*AT74*VLOOKUP('Données projet'!$B$10,Paramètres!$A$1:$I$89,3,0)*0.475*44/12</f>
        <v>2.0629637066567446</v>
      </c>
      <c r="AX74" s="23">
        <f t="shared" si="60"/>
        <v>222.68077913755525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11.666666666666666</v>
      </c>
      <c r="BD74" s="13">
        <f>IF('Données projet'!$A$88&gt;35,BD73+BC74-BL73,IF(A74&lt;'Données projet'!$A$88,$BA$205^A74,IF(A74='Données projet'!$A$88,'Données projet'!$B$88,BD73+BC74-BL73)))</f>
        <v>451.33333333333303</v>
      </c>
      <c r="BE74" s="14">
        <f>BD74*VLOOKUP('Données projet'!$B$11,Paramètres!$A$1:$I$89,3,0)*VLOOKUP('Données projet'!$B$11,Paramètres!$A$1:$I$89,5,0)</f>
        <v>246.42799999999983</v>
      </c>
      <c r="BF74" s="14">
        <f t="shared" si="91"/>
        <v>59.820411352369632</v>
      </c>
      <c r="BG74" s="22">
        <f t="shared" si="61"/>
        <v>533.38264977204346</v>
      </c>
      <c r="BH74" s="62">
        <f t="shared" si="62"/>
        <v>826.71598310537684</v>
      </c>
      <c r="BI74" s="62">
        <f ca="1">AVERAGE(OFFSET($BH$3,0,0,'Données projet'!$E$11+1,1))-AVERAGE(OFFSET($H$3,0,0,'Données projet'!$E$11+1,1))</f>
        <v>417.99456559608217</v>
      </c>
      <c r="BJ74" s="62">
        <f t="shared" si="92"/>
        <v>651.41353014863932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160.29336009524002</v>
      </c>
      <c r="BQ74" s="23">
        <f>EXP(-LN(2)/25)*BQ73+(1-EXP(-LN(2)/25))/(LN(2)/25)*Calculateur!BL74*Calculateur!BN74*VLOOKUP('Données projet'!$B$11,Paramètres!$A$1:$I$89,3,0)*0.475*44/12</f>
        <v>33.137076364019961</v>
      </c>
      <c r="BR74" s="23">
        <f>EXP(-LN(2)/2)*BR73+(1-EXP(-LN(2)/2))/(LN(2)/2)*BL74*BO74*VLOOKUP('Données projet'!$B$11,Paramètres!$A$1:$I$89,3,0)*0.475*44/12</f>
        <v>1.7777433456985201</v>
      </c>
      <c r="BS74" s="24">
        <f t="shared" si="63"/>
        <v>195.20817980495849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5.75</v>
      </c>
      <c r="BY74" s="13">
        <f>IF('Données projet'!$A$114&gt;35,BY73+BX74-CG73,IF(A74&lt;'Données projet'!$A$114,$BV$205^A74,IF(A74='Données projet'!$A$114,'Données projet'!$B$114,BY73+BX74-CG73)))</f>
        <v>154.25</v>
      </c>
      <c r="BZ74" s="14">
        <f>BY74*VLOOKUP('Données projet'!$B$12,Paramètres!$A$1:$I$89,3,0)*VLOOKUP('Données projet'!$B$12,Paramètres!$A$1:$I$89,5,0)</f>
        <v>139.56539999999998</v>
      </c>
      <c r="CA74" s="14">
        <f t="shared" si="93"/>
        <v>36.197426729463054</v>
      </c>
      <c r="CB74" s="22">
        <f t="shared" si="64"/>
        <v>306.12025655381473</v>
      </c>
      <c r="CC74" s="62">
        <f t="shared" si="65"/>
        <v>599.45358988714804</v>
      </c>
      <c r="CD74" s="62">
        <f ca="1">AVERAGE(OFFSET($CC$3,0,0,'Données projet'!$E$12+1,1))-AVERAGE(OFFSET($H$3,0,0,'Données projet'!$E$12+1,1))</f>
        <v>213.07277043804817</v>
      </c>
      <c r="CE74" s="62">
        <f t="shared" si="94"/>
        <v>129.14539883354166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10.745931194656142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10.745931194656142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5.75</v>
      </c>
      <c r="CT74" s="13">
        <f>IF('Données projet'!$A$140&gt;35,CT73+CS74-DB73,IF(A74&lt;'Données projet'!$A$140,$CQ$205^A74,IF(A74='Données projet'!$A$140,'Données projet'!$B$140,CT73+CS74-DB73)))</f>
        <v>154.25</v>
      </c>
      <c r="CU74" s="18">
        <f>CT74*VLOOKUP('Données projet'!$B$13,Paramètres!$A$1:$I$89,3,0)*VLOOKUP('Données projet'!$B$13,Paramètres!$A$1:$I$89,5,0)</f>
        <v>156.40950000000001</v>
      </c>
      <c r="CV74" s="14">
        <f t="shared" si="95"/>
        <v>40.031601473819443</v>
      </c>
      <c r="CW74" s="22">
        <f t="shared" si="67"/>
        <v>342.13491840023556</v>
      </c>
      <c r="CX74" s="62">
        <f t="shared" si="68"/>
        <v>635.46825173356888</v>
      </c>
      <c r="CY74" s="62">
        <f ca="1">AVERAGE(OFFSET($CX$3,0,0,'Données projet'!$E$13+1,1))-AVERAGE(OFFSET($H$3,0,0,'Données projet'!$E$13+1,1))</f>
        <v>247.92503505485405</v>
      </c>
      <c r="CZ74" s="62">
        <f t="shared" si="96"/>
        <v>148.26437652597514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12.04285392504568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12.04285392504568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4.125</v>
      </c>
      <c r="DO74" s="13">
        <f>IF('Données projet'!$A$166&gt;35,DO73+DN74-DW73,IF(A74&lt;'Données projet'!$A$166,$DL$205^A74,IF(A74='Données projet'!$A$166,'Données projet'!$B$166,DO73+DN74-DW73)))</f>
        <v>113.875</v>
      </c>
      <c r="DP74" s="18">
        <f>DO74*VLOOKUP('Données projet'!$B$14,Paramètres!$A$1:$I$89,3,0)*VLOOKUP('Données projet'!$B$14,Paramètres!$A$1:$I$89,5,0)</f>
        <v>110.13990000000001</v>
      </c>
      <c r="DQ74" s="14">
        <f t="shared" si="97"/>
        <v>29.363943665086136</v>
      </c>
      <c r="DR74" s="22">
        <f t="shared" si="70"/>
        <v>242.9691943833584</v>
      </c>
      <c r="DS74" s="62">
        <f t="shared" si="71"/>
        <v>536.30252771669166</v>
      </c>
      <c r="DT74" s="62">
        <f ca="1">AVERAGE(OFFSET($DS$3,0,0,'Données projet'!$E$14+1,1))-AVERAGE(OFFSET($H$3,0,0,'Données projet'!$E$14+1,1))</f>
        <v>154.0837760161366</v>
      </c>
      <c r="DU74" s="62">
        <f t="shared" si="98"/>
        <v>96.484500841546037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-5.6843418860808015E-14</v>
      </c>
      <c r="EK74" s="18">
        <f>EJ74*VLOOKUP('Données projet'!$B$15,Paramètres!$A$1:$I$89,3,0)*VLOOKUP('Données projet'!$B$15,Paramètres!$A$1:$I$89,5,0)</f>
        <v>-3.813056537183002E-14</v>
      </c>
      <c r="EL74" s="14" t="e">
        <f t="shared" si="99"/>
        <v>#NUM!</v>
      </c>
      <c r="EM74" s="22" t="e">
        <f t="shared" si="73"/>
        <v>#NUM!</v>
      </c>
      <c r="EN74" s="62" t="e">
        <f t="shared" si="74"/>
        <v>#NUM!</v>
      </c>
      <c r="EO74" s="62">
        <f ca="1">AVERAGE(OFFSET($EN$3,0,0,'Données projet'!$E$15+1,1))-AVERAGE(OFFSET($H$3,0,0,'Données projet'!$E$15+1,1))</f>
        <v>205.35893113421139</v>
      </c>
      <c r="EP74" s="62">
        <f t="shared" si="100"/>
        <v>220.4399811285175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94.66992365824332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94.66992365824332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-5.6843418860808015E-14</v>
      </c>
      <c r="FF74" s="18">
        <f>FE74*VLOOKUP('Données projet'!$B$16,Paramètres!$A$1:$I$89,3,0)*VLOOKUP('Données projet'!$B$16,Paramètres!$A$1:$I$89,5,0)</f>
        <v>-4.4337866711430253E-14</v>
      </c>
      <c r="FG74" s="14" t="e">
        <f t="shared" si="101"/>
        <v>#NUM!</v>
      </c>
      <c r="FH74" s="22" t="e">
        <f t="shared" si="76"/>
        <v>#NUM!</v>
      </c>
      <c r="FI74" s="62" t="e">
        <f t="shared" si="77"/>
        <v>#NUM!</v>
      </c>
      <c r="FJ74" s="62">
        <f ca="1">AVERAGE(OFFSET($FI$3,0,0,'Données projet'!$E$16+1,1))-AVERAGE(OFFSET($H$3,0,0,'Données projet'!$E$16+1,1))</f>
        <v>242.81177364426878</v>
      </c>
      <c r="FK74" s="62">
        <f t="shared" si="102"/>
        <v>260.72115764896671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89.311248734191821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89.311248734191821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-5.6843418860808015E-14</v>
      </c>
      <c r="GA74" s="18">
        <f>FZ74*VLOOKUP('Données projet'!$B$17,Paramètres!$A$1:$I$89,3,0)*VLOOKUP('Données projet'!$B$17,Paramètres!$A$1:$I$89,5,0)</f>
        <v>-4.5224624045658861E-14</v>
      </c>
      <c r="GB74" s="14" t="e">
        <f t="shared" si="103"/>
        <v>#NUM!</v>
      </c>
      <c r="GC74" s="22" t="e">
        <f t="shared" si="79"/>
        <v>#NUM!</v>
      </c>
      <c r="GD74" s="62" t="e">
        <f t="shared" si="80"/>
        <v>#NUM!</v>
      </c>
      <c r="GE74" s="62">
        <f ca="1">AVERAGE(OFFSET($GD$3,0,0,'Données projet'!$E$17+1,1))-AVERAGE(OFFSET($H$3,0,0,'Données projet'!$E$17+1,1))</f>
        <v>248.15263300983543</v>
      </c>
      <c r="GF74" s="62">
        <f t="shared" si="104"/>
        <v>266.46511459244618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112.28293271093976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112.28293271093976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382.55387448074327</v>
      </c>
      <c r="T75" s="62">
        <f t="shared" si="88"/>
        <v>476.29465646955543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204.04517663967661</v>
      </c>
      <c r="AA75" s="23">
        <f>EXP(-LN(2)/25)*AA74+(1-EXP(-LN(2)/25))/(LN(2)/25)*Calculateur!V75*Calculateur!X75*VLOOKUP('Données projet'!$B$9,Paramètres!$A$1:$I$89,3,0)*0.475*44/12</f>
        <v>46.190843330096669</v>
      </c>
      <c r="AB75" s="23">
        <f>EXP(-LN(2)/2)*AB74+(1-EXP(-LN(2)/2))/(LN(2)/2)*V75*Y75*VLOOKUP('Données projet'!$B$9,Paramètres!$A$1:$I$89,3,0)*0.475*44/12</f>
        <v>0.8800132874267077</v>
      </c>
      <c r="AC75" s="24">
        <f t="shared" si="57"/>
        <v>251.1160332572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463</v>
      </c>
      <c r="AG75" s="13">
        <f>VLOOKUP(A75,'Données projet'!$A$61:$I$81,9,0)</f>
        <v>11.666666666666666</v>
      </c>
      <c r="AH75" s="13">
        <f t="array" ref="AH75">INDEX(AG:AG,MIN(IF(ISNUMBER(AG75:AG271),ROW(AG75:AG271),"")))</f>
        <v>11.666666666666666</v>
      </c>
      <c r="AI75" s="14">
        <f>IF('Données projet'!$A$62&gt;35,AI74+AH75-AQ74,IF(A75&lt;'Données projet'!$A$62,$AF$205^A75,IF(A75='Données projet'!$A$62,'Données projet'!$B$62,AI74+AH75-AQ74)))</f>
        <v>462.99999999999972</v>
      </c>
      <c r="AJ75" s="14">
        <f>AI75*VLOOKUP('Données projet'!$B$10,Paramètres!$A$1:$I$89,3,0)*VLOOKUP('Données projet'!$B$10,Paramètres!$A$1:$I$89,5,0)</f>
        <v>288.91199999999986</v>
      </c>
      <c r="AK75" s="14">
        <f t="shared" si="89"/>
        <v>68.846922528760416</v>
      </c>
      <c r="AL75" s="22">
        <f t="shared" si="58"/>
        <v>623.09679007092416</v>
      </c>
      <c r="AM75" s="62">
        <f t="shared" si="59"/>
        <v>916.43012340425753</v>
      </c>
      <c r="AN75" s="62">
        <f ca="1">AVERAGE(OFFSET($AM$3,0,0,'Données projet'!$E$10+1,1))-AVERAGE(OFFSET($H$3,0,0,'Données projet'!$E$10+1,1))</f>
        <v>482.28841373508675</v>
      </c>
      <c r="AO75" s="62">
        <f t="shared" si="90"/>
        <v>746.97309214631684</v>
      </c>
      <c r="AP75" s="16">
        <f>IF(ISNA(VLOOKUP(A75,'Données projet'!$A$61:$I$81,3,0)),0,VLOOKUP(A75,'Données projet'!$A$61:$I$81,3,0))</f>
        <v>8</v>
      </c>
      <c r="AQ75" s="16">
        <f>IF(ISNA(VLOOKUP(A75,'Données projet'!$A$61:$I$81,4,0)),0,VLOOKUP(A75,'Données projet'!$A$61:$I$81,4,0))</f>
        <v>101</v>
      </c>
      <c r="AR75" s="17">
        <f>IF(ISNA(VLOOKUP(A75,'Données projet'!$A$61:$I$81,5,0)),0%,VLOOKUP(A75,'Données projet'!$A$61:$I$81,5,0)*VLOOKUP('Données projet'!$B$10,Paramètres!$A$1:$I$89,7,0))</f>
        <v>0.42</v>
      </c>
      <c r="AS75" s="17">
        <f>IF(ISNA(VLOOKUP(A75,'Données projet'!$A$61:$I$81,6,0)),0%,VLOOKUP(A75,'Données projet'!$A$61:$I$81,6,0)*VLOOKUP('Données projet'!$B$10,Paramètres!$A$1:$I$89,7,0))</f>
        <v>0.1008</v>
      </c>
      <c r="AT75" s="17">
        <f>IF(ISNA(VLOOKUP(A75,'Données projet'!$A$61:$I$81,7,0)),0%,VLOOKUP(A75,'Données projet'!$A$61:$I$81,7,0))</f>
        <v>0.13200000000000001</v>
      </c>
      <c r="AU75" s="23">
        <f>EXP(-LN(2)/35)*AU74+(1-EXP(-LN(2)/35))/(LN(2)/35)*AQ75*AR75*VLOOKUP('Données projet'!$B$10,Paramètres!$A$1:$I$89,3,0)*0.475*44/12</f>
        <v>214.71438734414747</v>
      </c>
      <c r="AV75" s="23">
        <f>EXP(-LN(2)/25)*AV74+(1-EXP(-LN(2)/25))/(LN(2)/25)*Calculateur!AQ75*Calculateur!AS75*VLOOKUP('Données projet'!$B$10,Paramètres!$A$1:$I$89,3,0)*0.475*44/12</f>
        <v>44.796246418501944</v>
      </c>
      <c r="AW75" s="23">
        <f>EXP(-LN(2)/2)*AW74+(1-EXP(-LN(2)/2))/(LN(2)/2)*AQ75*AT75*VLOOKUP('Données projet'!$B$10,Paramètres!$A$1:$I$89,3,0)*0.475*44/12</f>
        <v>10.877966324467375</v>
      </c>
      <c r="AX75" s="23">
        <f t="shared" si="60"/>
        <v>270.3886000871168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>
        <f>VLOOKUP(A75,'Données projet'!$A$87:$I$107,2,0)</f>
        <v>463</v>
      </c>
      <c r="BB75" s="13">
        <f>VLOOKUP(A75,'Données projet'!$A$87:$I$107,9,0)</f>
        <v>11.666666666666666</v>
      </c>
      <c r="BC75" s="13">
        <f t="array" ref="BC75">INDEX(BB:BB,MIN(IF(ISNUMBER(BB75:BB271),ROW(BB75:BB271),"")))</f>
        <v>11.666666666666666</v>
      </c>
      <c r="BD75" s="13">
        <f>IF('Données projet'!$A$88&gt;35,BD74+BC75-BL74,IF(A75&lt;'Données projet'!$A$88,$BA$205^A75,IF(A75='Données projet'!$A$88,'Données projet'!$B$88,BD74+BC75-BL74)))</f>
        <v>462.99999999999972</v>
      </c>
      <c r="BE75" s="14">
        <f>BD75*VLOOKUP('Données projet'!$B$11,Paramètres!$A$1:$I$89,3,0)*VLOOKUP('Données projet'!$B$11,Paramètres!$A$1:$I$89,5,0)</f>
        <v>252.79799999999983</v>
      </c>
      <c r="BF75" s="14">
        <f t="shared" si="91"/>
        <v>61.184701785804393</v>
      </c>
      <c r="BG75" s="22">
        <f t="shared" si="61"/>
        <v>546.85320561027572</v>
      </c>
      <c r="BH75" s="62">
        <f t="shared" si="62"/>
        <v>840.18653894360909</v>
      </c>
      <c r="BI75" s="62">
        <f ca="1">AVERAGE(OFFSET($BH$3,0,0,'Données projet'!$E$11+1,1))-AVERAGE(OFFSET($H$3,0,0,'Données projet'!$E$11+1,1))</f>
        <v>417.99456559608217</v>
      </c>
      <c r="BJ75" s="62">
        <f t="shared" si="92"/>
        <v>651.41353014863932</v>
      </c>
      <c r="BK75" s="16">
        <f>IF(ISNA(VLOOKUP(A75,'Données projet'!$A$87:$I$107,3,0)),0,VLOOKUP(A75,'Données projet'!$A$87:$I$107,3,0))</f>
        <v>8</v>
      </c>
      <c r="BL75" s="16">
        <f>IF(ISNA(VLOOKUP(A75,'Données projet'!$A$87:$I$107,4,0)),0,VLOOKUP(A75,'Données projet'!$A$87:$I$107,4,0))</f>
        <v>101</v>
      </c>
      <c r="BM75" s="17">
        <f>IF(ISNA(VLOOKUP(A75,'Données projet'!$A$87:$I$107,5,0)),0%,VLOOKUP(A75,'Données projet'!$A$87:$I$107,5,0)*VLOOKUP('Données projet'!$B$11,Paramètres!$A$1:$I$89,7,0))</f>
        <v>0.42</v>
      </c>
      <c r="BN75" s="17">
        <f>IF(ISNA(VLOOKUP(A75,'Données projet'!$A$87:$I$107,6,0)),0%,VLOOKUP(A75,'Données projet'!$A$87:$I$107,6,0)*VLOOKUP('Données projet'!$B$11,Paramètres!$A$1:$I$89,7,0))</f>
        <v>0.10200000000000001</v>
      </c>
      <c r="BO75" s="17">
        <f>IF(ISNA(VLOOKUP(A75,'Données projet'!$A$87:$I$107,7,0)),0%,VLOOKUP(A75,'Données projet'!$A$87:$I$107,7,0))</f>
        <v>0.13</v>
      </c>
      <c r="BP75" s="23">
        <f>EXP(-LN(2)/35)*BP74+(1-EXP(-LN(2)/35))/(LN(2)/35)*BL75*BM75*VLOOKUP('Données projet'!$B$11,Paramètres!$A$1:$I$89,3,0)*0.475*44/12</f>
        <v>187.87508892612902</v>
      </c>
      <c r="BQ75" s="23">
        <f>EXP(-LN(2)/25)*BQ74+(1-EXP(-LN(2)/25))/(LN(2)/25)*Calculateur!BL75*Calculateur!BN75*VLOOKUP('Données projet'!$B$11,Paramètres!$A$1:$I$89,3,0)*0.475*44/12</f>
        <v>39.663343183048596</v>
      </c>
      <c r="BR75" s="23">
        <f>EXP(-LN(2)/2)*BR74+(1-EXP(-LN(2)/2))/(LN(2)/2)*BL75*BO75*VLOOKUP('Données projet'!$B$11,Paramètres!$A$1:$I$89,3,0)*0.475*44/12</f>
        <v>9.3740050712739666</v>
      </c>
      <c r="BS75" s="24">
        <f t="shared" si="63"/>
        <v>236.91243718045158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>
        <f>VLOOKUP(A75,'Données projet'!$A$113:$I$133,2,0)</f>
        <v>160</v>
      </c>
      <c r="BW75" s="13">
        <f>VLOOKUP(A75,'Données projet'!$A$113:$I$133,9,0)</f>
        <v>5.75</v>
      </c>
      <c r="BX75" s="13">
        <f t="array" ref="BX75">INDEX(BW:BW,MIN(IF(ISNUMBER(BW75:BW271),ROW(BW75:BW271),"")))</f>
        <v>5.75</v>
      </c>
      <c r="BY75" s="13">
        <f>IF('Données projet'!$A$114&gt;35,BY74+BX75-CG74,IF(A75&lt;'Données projet'!$A$114,$BV$205^A75,IF(A75='Données projet'!$A$114,'Données projet'!$B$114,BY74+BX75-CG74)))</f>
        <v>160</v>
      </c>
      <c r="BZ75" s="14">
        <f>BY75*VLOOKUP('Données projet'!$B$12,Paramètres!$A$1:$I$89,3,0)*VLOOKUP('Données projet'!$B$12,Paramètres!$A$1:$I$89,5,0)</f>
        <v>144.768</v>
      </c>
      <c r="CA75" s="14">
        <f t="shared" si="93"/>
        <v>37.387149255707826</v>
      </c>
      <c r="CB75" s="22">
        <f t="shared" si="64"/>
        <v>317.25355162035777</v>
      </c>
      <c r="CC75" s="62">
        <f t="shared" si="65"/>
        <v>610.58688495369108</v>
      </c>
      <c r="CD75" s="62">
        <f ca="1">AVERAGE(OFFSET($CC$3,0,0,'Données projet'!$E$12+1,1))-AVERAGE(OFFSET($H$3,0,0,'Données projet'!$E$12+1,1))</f>
        <v>213.07277043804817</v>
      </c>
      <c r="CE75" s="62">
        <f t="shared" si="94"/>
        <v>129.14539883354166</v>
      </c>
      <c r="CF75" s="16">
        <f>IF(ISNA(VLOOKUP(A75,'Données projet'!$A$113:$I$133,3,0)),0,VLOOKUP(A75,'Données projet'!$A$113:$I$133,3,0))</f>
        <v>5</v>
      </c>
      <c r="CG75" s="16">
        <f>IF(ISNA(VLOOKUP(A75,'Données projet'!$A$113:$I$133,4,0)),0,VLOOKUP(A75,'Données projet'!$A$113:$I$133,4,0))</f>
        <v>32</v>
      </c>
      <c r="CH75" s="17">
        <f>IF(ISNA(VLOOKUP(A75,'Données projet'!$A$113:$I$133,5,0)),0%,VLOOKUP(A75,'Données projet'!$A$113:$I$133,5,0)*VLOOKUP('Données projet'!$B$12,Paramètres!$A$1:$I$89,7,0))</f>
        <v>0.30099999999999999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20.169421539734184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20.169421539734184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>
        <f>VLOOKUP(A75,'Données projet'!$A$139:$I$159,2,0)</f>
        <v>160</v>
      </c>
      <c r="CR75" s="13">
        <f>VLOOKUP(A75,'Données projet'!$A$139:$I$159,9,0)</f>
        <v>5.75</v>
      </c>
      <c r="CS75" s="13">
        <f t="array" ref="CS75">INDEX(CR:CR,MIN(IF(ISNUMBER(CR75:CR271),ROW(CR75:CR271),"")))</f>
        <v>5.75</v>
      </c>
      <c r="CT75" s="13">
        <f>IF('Données projet'!$A$140&gt;35,CT74+CS75-DB74,IF(A75&lt;'Données projet'!$A$140,$CQ$205^A75,IF(A75='Données projet'!$A$140,'Données projet'!$B$140,CT74+CS75-DB74)))</f>
        <v>160</v>
      </c>
      <c r="CU75" s="18">
        <f>CT75*VLOOKUP('Données projet'!$B$13,Paramètres!$A$1:$I$89,3,0)*VLOOKUP('Données projet'!$B$13,Paramètres!$A$1:$I$89,5,0)</f>
        <v>162.24</v>
      </c>
      <c r="CV75" s="14">
        <f t="shared" si="95"/>
        <v>41.347344120141088</v>
      </c>
      <c r="CW75" s="22">
        <f t="shared" si="67"/>
        <v>354.58129100924572</v>
      </c>
      <c r="CX75" s="62">
        <f t="shared" si="68"/>
        <v>647.91462434257903</v>
      </c>
      <c r="CY75" s="62">
        <f ca="1">AVERAGE(OFFSET($CX$3,0,0,'Données projet'!$E$13+1,1))-AVERAGE(OFFSET($H$3,0,0,'Données projet'!$E$13+1,1))</f>
        <v>247.92503505485405</v>
      </c>
      <c r="CZ75" s="62">
        <f t="shared" si="96"/>
        <v>148.26437652597514</v>
      </c>
      <c r="DA75" s="16">
        <f>IF(ISNA(VLOOKUP(A75,'Données projet'!$A$139:$I$159,3,0)),0,VLOOKUP(A75,'Données projet'!$A$139:$I$159,3,0))</f>
        <v>5</v>
      </c>
      <c r="DB75" s="16">
        <f>IF(ISNA(VLOOKUP(A75,'Données projet'!$A$139:$I$159,4,0)),0,VLOOKUP(A75,'Données projet'!$A$139:$I$159,4,0))</f>
        <v>32</v>
      </c>
      <c r="DC75" s="17">
        <f>IF(ISNA(VLOOKUP(A75,'Données projet'!$A$139:$I$159,5,0)),0%,VLOOKUP(A75,'Données projet'!$A$139:$I$159,5,0)*VLOOKUP('Données projet'!$B$13,Paramètres!$A$1:$I$89,7,0))</f>
        <v>0.30099999999999999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22.603662070391763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22.603662070391763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>
        <f>VLOOKUP(A75,'Données projet'!$A$165:$I$185,2,0)</f>
        <v>118</v>
      </c>
      <c r="DM75" s="13">
        <f>VLOOKUP(A75,'Données projet'!$A$165:$I$185,9,0)</f>
        <v>4.125</v>
      </c>
      <c r="DN75" s="13">
        <f t="array" ref="DN75">INDEX(DM:DM,MIN(IF(ISNUMBER(DM75:DM271),ROW(DM75:DM271),"")))</f>
        <v>4.125</v>
      </c>
      <c r="DO75" s="13">
        <f>IF('Données projet'!$A$166&gt;35,DO74+DN75-DW74,IF(A75&lt;'Données projet'!$A$166,$DL$205^A75,IF(A75='Données projet'!$A$166,'Données projet'!$B$166,DO74+DN75-DW74)))</f>
        <v>118</v>
      </c>
      <c r="DP75" s="18">
        <f>DO75*VLOOKUP('Données projet'!$B$14,Paramètres!$A$1:$I$89,3,0)*VLOOKUP('Données projet'!$B$14,Paramètres!$A$1:$I$89,5,0)</f>
        <v>114.1296</v>
      </c>
      <c r="DQ75" s="14">
        <f t="shared" si="97"/>
        <v>30.301853799069058</v>
      </c>
      <c r="DR75" s="22">
        <f t="shared" si="70"/>
        <v>251.55144870004528</v>
      </c>
      <c r="DS75" s="62">
        <f t="shared" si="71"/>
        <v>544.88478203337854</v>
      </c>
      <c r="DT75" s="62">
        <f ca="1">AVERAGE(OFFSET($DS$3,0,0,'Données projet'!$E$14+1,1))-AVERAGE(OFFSET($H$3,0,0,'Données projet'!$E$14+1,1))</f>
        <v>154.0837760161366</v>
      </c>
      <c r="DU75" s="62">
        <f t="shared" si="98"/>
        <v>96.484500841546037</v>
      </c>
      <c r="DV75" s="16">
        <f>IF(ISNA(VLOOKUP(A75,'Données projet'!$A$165:$I$185,3,0)),0,VLOOKUP(A75,'Données projet'!$A$165:$I$185,3,0))</f>
        <v>3</v>
      </c>
      <c r="DW75" s="16">
        <f>IF(ISNA(VLOOKUP(A75,'Données projet'!$A$165:$I$185,4,0)),0,VLOOKUP(A75,'Données projet'!$A$165:$I$185,4,0))</f>
        <v>28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-5.6843418860808015E-14</v>
      </c>
      <c r="EK75" s="18">
        <f>EJ75*VLOOKUP('Données projet'!$B$15,Paramètres!$A$1:$I$89,3,0)*VLOOKUP('Données projet'!$B$15,Paramètres!$A$1:$I$89,5,0)</f>
        <v>-3.813056537183002E-14</v>
      </c>
      <c r="EL75" s="14" t="e">
        <f t="shared" si="99"/>
        <v>#NUM!</v>
      </c>
      <c r="EM75" s="22" t="e">
        <f t="shared" si="73"/>
        <v>#NUM!</v>
      </c>
      <c r="EN75" s="62" t="e">
        <f t="shared" si="74"/>
        <v>#NUM!</v>
      </c>
      <c r="EO75" s="62">
        <f ca="1">AVERAGE(OFFSET($EN$3,0,0,'Données projet'!$E$15+1,1))-AVERAGE(OFFSET($H$3,0,0,'Données projet'!$E$15+1,1))</f>
        <v>205.35893113421139</v>
      </c>
      <c r="EP75" s="62">
        <f t="shared" si="100"/>
        <v>220.4399811285175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92.81350419825695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92.81350419825695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-5.6843418860808015E-14</v>
      </c>
      <c r="FF75" s="18">
        <f>FE75*VLOOKUP('Données projet'!$B$16,Paramètres!$A$1:$I$89,3,0)*VLOOKUP('Données projet'!$B$16,Paramètres!$A$1:$I$89,5,0)</f>
        <v>-4.4337866711430253E-14</v>
      </c>
      <c r="FG75" s="14" t="e">
        <f t="shared" si="101"/>
        <v>#NUM!</v>
      </c>
      <c r="FH75" s="22" t="e">
        <f t="shared" si="76"/>
        <v>#NUM!</v>
      </c>
      <c r="FI75" s="62" t="e">
        <f t="shared" si="77"/>
        <v>#NUM!</v>
      </c>
      <c r="FJ75" s="62">
        <f ca="1">AVERAGE(OFFSET($FI$3,0,0,'Données projet'!$E$16+1,1))-AVERAGE(OFFSET($H$3,0,0,'Données projet'!$E$16+1,1))</f>
        <v>242.81177364426878</v>
      </c>
      <c r="FK75" s="62">
        <f t="shared" si="102"/>
        <v>260.72115764896671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87.559909620997132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87.559909620997132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-5.6843418860808015E-14</v>
      </c>
      <c r="GA75" s="18">
        <f>FZ75*VLOOKUP('Données projet'!$B$17,Paramètres!$A$1:$I$89,3,0)*VLOOKUP('Données projet'!$B$17,Paramètres!$A$1:$I$89,5,0)</f>
        <v>-4.5224624045658861E-14</v>
      </c>
      <c r="GB75" s="14" t="e">
        <f t="shared" si="103"/>
        <v>#NUM!</v>
      </c>
      <c r="GC75" s="22" t="e">
        <f t="shared" si="79"/>
        <v>#NUM!</v>
      </c>
      <c r="GD75" s="62" t="e">
        <f t="shared" si="80"/>
        <v>#NUM!</v>
      </c>
      <c r="GE75" s="62">
        <f ca="1">AVERAGE(OFFSET($GD$3,0,0,'Données projet'!$E$17+1,1))-AVERAGE(OFFSET($H$3,0,0,'Données projet'!$E$17+1,1))</f>
        <v>248.15263300983543</v>
      </c>
      <c r="GF75" s="62">
        <f t="shared" si="104"/>
        <v>266.46511459244618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110.08113288630477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110.08113288630477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382.55387448074327</v>
      </c>
      <c r="T76" s="62">
        <f t="shared" si="88"/>
        <v>476.29465646955543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200.04397518104136</v>
      </c>
      <c r="AA76" s="23">
        <f>EXP(-LN(2)/25)*AA75+(1-EXP(-LN(2)/25))/(LN(2)/25)*Calculateur!V76*Calculateur!X76*VLOOKUP('Données projet'!$B$9,Paramètres!$A$1:$I$89,3,0)*0.475*44/12</f>
        <v>44.927752290164293</v>
      </c>
      <c r="AB76" s="23">
        <f>EXP(-LN(2)/2)*AB75+(1-EXP(-LN(2)/2))/(LN(2)/2)*V76*Y76*VLOOKUP('Données projet'!$B$9,Paramètres!$A$1:$I$89,3,0)*0.475*44/12</f>
        <v>0.62226336307369134</v>
      </c>
      <c r="AC76" s="24">
        <f t="shared" si="57"/>
        <v>245.59399083427937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10.666666666666666</v>
      </c>
      <c r="AI76" s="14">
        <f>IF('Données projet'!$A$62&gt;35,AI75+AH76-AQ75,IF(A76&lt;'Données projet'!$A$62,$AF$205^A76,IF(A76='Données projet'!$A$62,'Données projet'!$B$62,AI75+AH76-AQ75)))</f>
        <v>372.6666666666664</v>
      </c>
      <c r="AJ76" s="14">
        <f>AI76*VLOOKUP('Données projet'!$B$10,Paramètres!$A$1:$I$89,3,0)*VLOOKUP('Données projet'!$B$10,Paramètres!$A$1:$I$89,5,0)</f>
        <v>232.54399999999981</v>
      </c>
      <c r="AK76" s="14">
        <f t="shared" si="89"/>
        <v>56.832401153973727</v>
      </c>
      <c r="AL76" s="22">
        <f t="shared" si="58"/>
        <v>503.99723200983721</v>
      </c>
      <c r="AM76" s="62">
        <f t="shared" si="59"/>
        <v>797.33056534317052</v>
      </c>
      <c r="AN76" s="62">
        <f ca="1">AVERAGE(OFFSET($AM$3,0,0,'Données projet'!$E$10+1,1))-AVERAGE(OFFSET($H$3,0,0,'Données projet'!$E$10+1,1))</f>
        <v>482.28841373508675</v>
      </c>
      <c r="AO76" s="62">
        <f t="shared" si="90"/>
        <v>746.97309214631684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210.50396917117351</v>
      </c>
      <c r="AV76" s="23">
        <f>EXP(-LN(2)/25)*AV75+(1-EXP(-LN(2)/25))/(LN(2)/25)*Calculateur!AQ76*Calculateur!AS76*VLOOKUP('Données projet'!$B$10,Paramètres!$A$1:$I$89,3,0)*0.475*44/12</f>
        <v>43.571290704455791</v>
      </c>
      <c r="AW76" s="23">
        <f>EXP(-LN(2)/2)*AW75+(1-EXP(-LN(2)/2))/(LN(2)/2)*AQ76*AT76*VLOOKUP('Données projet'!$B$10,Paramètres!$A$1:$I$89,3,0)*0.475*44/12</f>
        <v>7.691883753549785</v>
      </c>
      <c r="AX76" s="23">
        <f t="shared" si="60"/>
        <v>261.76714362917909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10.666666666666666</v>
      </c>
      <c r="BD76" s="13">
        <f>IF('Données projet'!$A$88&gt;35,BD75+BC76-BL75,IF(A76&lt;'Données projet'!$A$88,$BA$205^A76,IF(A76='Données projet'!$A$88,'Données projet'!$B$88,BD75+BC76-BL75)))</f>
        <v>372.6666666666664</v>
      </c>
      <c r="BE76" s="14">
        <f>BD76*VLOOKUP('Données projet'!$B$11,Paramètres!$A$1:$I$89,3,0)*VLOOKUP('Données projet'!$B$11,Paramètres!$A$1:$I$89,5,0)</f>
        <v>203.47599999999989</v>
      </c>
      <c r="BF76" s="14">
        <f t="shared" si="91"/>
        <v>50.507319552656533</v>
      </c>
      <c r="BG76" s="22">
        <f t="shared" si="61"/>
        <v>442.35428155420988</v>
      </c>
      <c r="BH76" s="62">
        <f t="shared" si="62"/>
        <v>735.68761488754319</v>
      </c>
      <c r="BI76" s="62">
        <f ca="1">AVERAGE(OFFSET($BH$3,0,0,'Données projet'!$E$11+1,1))-AVERAGE(OFFSET($H$3,0,0,'Données projet'!$E$11+1,1))</f>
        <v>417.99456559608217</v>
      </c>
      <c r="BJ76" s="62">
        <f t="shared" si="92"/>
        <v>651.41353014863932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184.19097302477681</v>
      </c>
      <c r="BQ76" s="23">
        <f>EXP(-LN(2)/25)*BQ75+(1-EXP(-LN(2)/25))/(LN(2)/25)*Calculateur!BL76*Calculateur!BN76*VLOOKUP('Données projet'!$B$11,Paramètres!$A$1:$I$89,3,0)*0.475*44/12</f>
        <v>38.578746977903563</v>
      </c>
      <c r="BR76" s="23">
        <f>EXP(-LN(2)/2)*BR75+(1-EXP(-LN(2)/2))/(LN(2)/2)*BL76*BO76*VLOOKUP('Données projet'!$B$11,Paramètres!$A$1:$I$89,3,0)*0.475*44/12</f>
        <v>6.6284225527749081</v>
      </c>
      <c r="BS76" s="24">
        <f t="shared" si="63"/>
        <v>229.39814255545528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5</v>
      </c>
      <c r="BY76" s="13">
        <f>IF('Données projet'!$A$114&gt;35,BY75+BX76-CG75,IF(A76&lt;'Données projet'!$A$114,$BV$205^A76,IF(A76='Données projet'!$A$114,'Données projet'!$B$114,BY75+BX76-CG75)))</f>
        <v>133</v>
      </c>
      <c r="BZ76" s="14">
        <f>BY76*VLOOKUP('Données projet'!$B$12,Paramètres!$A$1:$I$89,3,0)*VLOOKUP('Données projet'!$B$12,Paramètres!$A$1:$I$89,5,0)</f>
        <v>120.33840000000001</v>
      </c>
      <c r="CA76" s="14">
        <f t="shared" si="93"/>
        <v>31.753912596847059</v>
      </c>
      <c r="CB76" s="22">
        <f t="shared" si="64"/>
        <v>264.89411110617533</v>
      </c>
      <c r="CC76" s="62">
        <f t="shared" si="65"/>
        <v>558.22744443950864</v>
      </c>
      <c r="CD76" s="62">
        <f ca="1">AVERAGE(OFFSET($CC$3,0,0,'Données projet'!$E$12+1,1))-AVERAGE(OFFSET($H$3,0,0,'Données projet'!$E$12+1,1))</f>
        <v>213.07277043804817</v>
      </c>
      <c r="CE76" s="62">
        <f t="shared" si="94"/>
        <v>129.14539883354166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19.7739114854724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19.7739114854724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5</v>
      </c>
      <c r="CT76" s="13">
        <f>IF('Données projet'!$A$140&gt;35,CT75+CS76-DB75,IF(A76&lt;'Données projet'!$A$140,$CQ$205^A76,IF(A76='Données projet'!$A$140,'Données projet'!$B$140,CT75+CS76-DB75)))</f>
        <v>133</v>
      </c>
      <c r="CU76" s="18">
        <f>CT76*VLOOKUP('Données projet'!$B$13,Paramètres!$A$1:$I$89,3,0)*VLOOKUP('Données projet'!$B$13,Paramètres!$A$1:$I$89,5,0)</f>
        <v>134.86200000000002</v>
      </c>
      <c r="CV76" s="14">
        <f t="shared" si="95"/>
        <v>35.11741273245844</v>
      </c>
      <c r="CW76" s="22">
        <f t="shared" si="67"/>
        <v>296.04747717569848</v>
      </c>
      <c r="CX76" s="62">
        <f t="shared" si="68"/>
        <v>589.38081050903179</v>
      </c>
      <c r="CY76" s="62">
        <f ca="1">AVERAGE(OFFSET($CX$3,0,0,'Données projet'!$E$13+1,1))-AVERAGE(OFFSET($H$3,0,0,'Données projet'!$E$13+1,1))</f>
        <v>247.92503505485405</v>
      </c>
      <c r="CZ76" s="62">
        <f t="shared" si="96"/>
        <v>148.26437652597514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22.160418044063903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22.160418044063903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3.5555555555555554</v>
      </c>
      <c r="DO76" s="13">
        <f>IF('Données projet'!$A$166&gt;35,DO75+DN76-DW75,IF(A76&lt;'Données projet'!$A$166,$DL$205^A76,IF(A76='Données projet'!$A$166,'Données projet'!$B$166,DO75+DN76-DW75)))</f>
        <v>93.555555555555557</v>
      </c>
      <c r="DP76" s="18">
        <f>DO76*VLOOKUP('Données projet'!$B$14,Paramètres!$A$1:$I$89,3,0)*VLOOKUP('Données projet'!$B$14,Paramètres!$A$1:$I$89,5,0)</f>
        <v>90.48693333333334</v>
      </c>
      <c r="DQ76" s="14">
        <f t="shared" si="97"/>
        <v>24.682624683967315</v>
      </c>
      <c r="DR76" s="22">
        <f t="shared" si="70"/>
        <v>200.5869802134653</v>
      </c>
      <c r="DS76" s="62">
        <f t="shared" si="71"/>
        <v>493.92031354679864</v>
      </c>
      <c r="DT76" s="62">
        <f ca="1">AVERAGE(OFFSET($DS$3,0,0,'Données projet'!$E$14+1,1))-AVERAGE(OFFSET($H$3,0,0,'Données projet'!$E$14+1,1))</f>
        <v>154.0837760161366</v>
      </c>
      <c r="DU76" s="62">
        <f t="shared" si="98"/>
        <v>96.484500841546037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-5.6843418860808015E-14</v>
      </c>
      <c r="EK76" s="18">
        <f>EJ76*VLOOKUP('Données projet'!$B$15,Paramètres!$A$1:$I$89,3,0)*VLOOKUP('Données projet'!$B$15,Paramètres!$A$1:$I$89,5,0)</f>
        <v>-3.813056537183002E-14</v>
      </c>
      <c r="EL76" s="14" t="e">
        <f t="shared" si="99"/>
        <v>#NUM!</v>
      </c>
      <c r="EM76" s="22" t="e">
        <f t="shared" si="73"/>
        <v>#NUM!</v>
      </c>
      <c r="EN76" s="62" t="e">
        <f t="shared" si="74"/>
        <v>#NUM!</v>
      </c>
      <c r="EO76" s="62">
        <f ca="1">AVERAGE(OFFSET($EN$3,0,0,'Données projet'!$E$15+1,1))-AVERAGE(OFFSET($H$3,0,0,'Données projet'!$E$15+1,1))</f>
        <v>205.35893113421139</v>
      </c>
      <c r="EP76" s="62">
        <f t="shared" si="100"/>
        <v>220.4399811285175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90.993487991576856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90.993487991576856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-5.6843418860808015E-14</v>
      </c>
      <c r="FF76" s="18">
        <f>FE76*VLOOKUP('Données projet'!$B$16,Paramètres!$A$1:$I$89,3,0)*VLOOKUP('Données projet'!$B$16,Paramètres!$A$1:$I$89,5,0)</f>
        <v>-4.4337866711430253E-14</v>
      </c>
      <c r="FG76" s="14" t="e">
        <f t="shared" si="101"/>
        <v>#NUM!</v>
      </c>
      <c r="FH76" s="22" t="e">
        <f t="shared" si="76"/>
        <v>#NUM!</v>
      </c>
      <c r="FI76" s="62" t="e">
        <f t="shared" si="77"/>
        <v>#NUM!</v>
      </c>
      <c r="FJ76" s="62">
        <f ca="1">AVERAGE(OFFSET($FI$3,0,0,'Données projet'!$E$16+1,1))-AVERAGE(OFFSET($H$3,0,0,'Données projet'!$E$16+1,1))</f>
        <v>242.81177364426878</v>
      </c>
      <c r="FK76" s="62">
        <f t="shared" si="102"/>
        <v>260.72115764896671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85.842913199600815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85.842913199600815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-5.6843418860808015E-14</v>
      </c>
      <c r="GA76" s="18">
        <f>FZ76*VLOOKUP('Données projet'!$B$17,Paramètres!$A$1:$I$89,3,0)*VLOOKUP('Données projet'!$B$17,Paramètres!$A$1:$I$89,5,0)</f>
        <v>-4.5224624045658861E-14</v>
      </c>
      <c r="GB76" s="14" t="e">
        <f t="shared" si="103"/>
        <v>#NUM!</v>
      </c>
      <c r="GC76" s="22" t="e">
        <f t="shared" si="79"/>
        <v>#NUM!</v>
      </c>
      <c r="GD76" s="62" t="e">
        <f t="shared" si="80"/>
        <v>#NUM!</v>
      </c>
      <c r="GE76" s="62">
        <f ca="1">AVERAGE(OFFSET($GD$3,0,0,'Données projet'!$E$17+1,1))-AVERAGE(OFFSET($H$3,0,0,'Données projet'!$E$17+1,1))</f>
        <v>248.15263300983543</v>
      </c>
      <c r="GF76" s="62">
        <f t="shared" si="104"/>
        <v>266.46511459244618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107.92250901326558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107.92250901326558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382.55387448074327</v>
      </c>
      <c r="T77" s="62">
        <f t="shared" si="88"/>
        <v>476.29465646955543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196.12123484251805</v>
      </c>
      <c r="AA77" s="23">
        <f>EXP(-LN(2)/25)*AA76+(1-EXP(-LN(2)/25))/(LN(2)/25)*Calculateur!V77*Calculateur!X77*VLOOKUP('Données projet'!$B$9,Paramètres!$A$1:$I$89,3,0)*0.475*44/12</f>
        <v>43.699200541141941</v>
      </c>
      <c r="AB77" s="23">
        <f>EXP(-LN(2)/2)*AB76+(1-EXP(-LN(2)/2))/(LN(2)/2)*V77*Y77*VLOOKUP('Données projet'!$B$9,Paramètres!$A$1:$I$89,3,0)*0.475*44/12</f>
        <v>0.44000664371335385</v>
      </c>
      <c r="AC77" s="24">
        <f t="shared" si="57"/>
        <v>240.26044202737336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10.666666666666666</v>
      </c>
      <c r="AI77" s="14">
        <f>IF('Données projet'!$A$62&gt;35,AI76+AH77-AQ76,IF(A77&lt;'Données projet'!$A$62,$AF$205^A77,IF(A77='Données projet'!$A$62,'Données projet'!$B$62,AI76+AH77-AQ76)))</f>
        <v>383.33333333333309</v>
      </c>
      <c r="AJ77" s="14">
        <f>AI77*VLOOKUP('Données projet'!$B$10,Paramètres!$A$1:$I$89,3,0)*VLOOKUP('Données projet'!$B$10,Paramètres!$A$1:$I$89,5,0)</f>
        <v>239.19999999999985</v>
      </c>
      <c r="AK77" s="14">
        <f t="shared" si="89"/>
        <v>58.267373151570702</v>
      </c>
      <c r="AL77" s="22">
        <f t="shared" si="58"/>
        <v>518.08900823898523</v>
      </c>
      <c r="AM77" s="62">
        <f t="shared" si="59"/>
        <v>811.4223415723186</v>
      </c>
      <c r="AN77" s="62">
        <f ca="1">AVERAGE(OFFSET($AM$3,0,0,'Données projet'!$E$10+1,1))-AVERAGE(OFFSET($H$3,0,0,'Données projet'!$E$10+1,1))</f>
        <v>482.28841373508675</v>
      </c>
      <c r="AO77" s="62">
        <f t="shared" si="90"/>
        <v>746.97309214631684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206.37611473047005</v>
      </c>
      <c r="AV77" s="23">
        <f>EXP(-LN(2)/25)*AV76+(1-EXP(-LN(2)/25))/(LN(2)/25)*Calculateur!AQ77*Calculateur!AS77*VLOOKUP('Données projet'!$B$10,Paramètres!$A$1:$I$89,3,0)*0.475*44/12</f>
        <v>42.379831468827852</v>
      </c>
      <c r="AW77" s="23">
        <f>EXP(-LN(2)/2)*AW76+(1-EXP(-LN(2)/2))/(LN(2)/2)*AQ77*AT77*VLOOKUP('Données projet'!$B$10,Paramètres!$A$1:$I$89,3,0)*0.475*44/12</f>
        <v>5.4389831622336882</v>
      </c>
      <c r="AX77" s="23">
        <f t="shared" si="60"/>
        <v>254.19492936153159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10.666666666666666</v>
      </c>
      <c r="BD77" s="13">
        <f>IF('Données projet'!$A$88&gt;35,BD76+BC77-BL76,IF(A77&lt;'Données projet'!$A$88,$BA$205^A77,IF(A77='Données projet'!$A$88,'Données projet'!$B$88,BD76+BC77-BL76)))</f>
        <v>383.33333333333309</v>
      </c>
      <c r="BE77" s="14">
        <f>BD77*VLOOKUP('Données projet'!$B$11,Paramètres!$A$1:$I$89,3,0)*VLOOKUP('Données projet'!$B$11,Paramètres!$A$1:$I$89,5,0)</f>
        <v>209.29999999999987</v>
      </c>
      <c r="BF77" s="14">
        <f t="shared" si="91"/>
        <v>51.782588373964714</v>
      </c>
      <c r="BG77" s="22">
        <f t="shared" si="61"/>
        <v>454.71884141798836</v>
      </c>
      <c r="BH77" s="62">
        <f t="shared" si="62"/>
        <v>748.05217475132167</v>
      </c>
      <c r="BI77" s="62">
        <f ca="1">AVERAGE(OFFSET($BH$3,0,0,'Données projet'!$E$11+1,1))-AVERAGE(OFFSET($H$3,0,0,'Données projet'!$E$11+1,1))</f>
        <v>417.99456559608217</v>
      </c>
      <c r="BJ77" s="62">
        <f t="shared" si="92"/>
        <v>651.41353014863932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180.57910038916128</v>
      </c>
      <c r="BQ77" s="23">
        <f>EXP(-LN(2)/25)*BQ76+(1-EXP(-LN(2)/25))/(LN(2)/25)*Calculateur!BL77*Calculateur!BN77*VLOOKUP('Données projet'!$B$11,Paramètres!$A$1:$I$89,3,0)*0.475*44/12</f>
        <v>37.523809113024662</v>
      </c>
      <c r="BR77" s="23">
        <f>EXP(-LN(2)/2)*BR76+(1-EXP(-LN(2)/2))/(LN(2)/2)*BL77*BO77*VLOOKUP('Données projet'!$B$11,Paramètres!$A$1:$I$89,3,0)*0.475*44/12</f>
        <v>4.6870025356369842</v>
      </c>
      <c r="BS77" s="24">
        <f t="shared" si="63"/>
        <v>222.78991203782294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5</v>
      </c>
      <c r="BY77" s="13">
        <f>IF('Données projet'!$A$114&gt;35,BY76+BX77-CG76,IF(A77&lt;'Données projet'!$A$114,$BV$205^A77,IF(A77='Données projet'!$A$114,'Données projet'!$B$114,BY76+BX77-CG76)))</f>
        <v>138</v>
      </c>
      <c r="BZ77" s="14">
        <f>BY77*VLOOKUP('Données projet'!$B$12,Paramètres!$A$1:$I$89,3,0)*VLOOKUP('Données projet'!$B$12,Paramètres!$A$1:$I$89,5,0)</f>
        <v>124.86239999999999</v>
      </c>
      <c r="CA77" s="14">
        <f t="shared" si="93"/>
        <v>32.806439280561598</v>
      </c>
      <c r="CB77" s="22">
        <f t="shared" si="64"/>
        <v>274.60656174697812</v>
      </c>
      <c r="CC77" s="62">
        <f t="shared" si="65"/>
        <v>567.93989508031143</v>
      </c>
      <c r="CD77" s="62">
        <f ca="1">AVERAGE(OFFSET($CC$3,0,0,'Données projet'!$E$12+1,1))-AVERAGE(OFFSET($H$3,0,0,'Données projet'!$E$12+1,1))</f>
        <v>213.07277043804817</v>
      </c>
      <c r="CE77" s="62">
        <f t="shared" si="94"/>
        <v>129.14539883354166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19.386157142137378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19.386157142137378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5</v>
      </c>
      <c r="CT77" s="13">
        <f>IF('Données projet'!$A$140&gt;35,CT76+CS77-DB76,IF(A77&lt;'Données projet'!$A$140,$CQ$205^A77,IF(A77='Données projet'!$A$140,'Données projet'!$B$140,CT76+CS77-DB76)))</f>
        <v>138</v>
      </c>
      <c r="CU77" s="18">
        <f>CT77*VLOOKUP('Données projet'!$B$13,Paramètres!$A$1:$I$89,3,0)*VLOOKUP('Données projet'!$B$13,Paramètres!$A$1:$I$89,5,0)</f>
        <v>139.93200000000002</v>
      </c>
      <c r="CV77" s="14">
        <f t="shared" si="95"/>
        <v>36.281427209452353</v>
      </c>
      <c r="CW77" s="22">
        <f t="shared" si="67"/>
        <v>306.90505238979614</v>
      </c>
      <c r="CX77" s="62">
        <f t="shared" si="68"/>
        <v>600.23838572312945</v>
      </c>
      <c r="CY77" s="62">
        <f ca="1">AVERAGE(OFFSET($CX$3,0,0,'Données projet'!$E$13+1,1))-AVERAGE(OFFSET($H$3,0,0,'Données projet'!$E$13+1,1))</f>
        <v>247.92503505485405</v>
      </c>
      <c r="CZ77" s="62">
        <f t="shared" si="96"/>
        <v>148.26437652597514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21.72586576274017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21.72586576274017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3.5555555555555554</v>
      </c>
      <c r="DO77" s="13">
        <f>IF('Données projet'!$A$166&gt;35,DO76+DN77-DW76,IF(A77&lt;'Données projet'!$A$166,$DL$205^A77,IF(A77='Données projet'!$A$166,'Données projet'!$B$166,DO76+DN77-DW76)))</f>
        <v>97.111111111111114</v>
      </c>
      <c r="DP77" s="18">
        <f>DO77*VLOOKUP('Données projet'!$B$14,Paramètres!$A$1:$I$89,3,0)*VLOOKUP('Données projet'!$B$14,Paramètres!$A$1:$I$89,5,0)</f>
        <v>93.925866666666678</v>
      </c>
      <c r="DQ77" s="14">
        <f t="shared" si="97"/>
        <v>25.509683912512713</v>
      </c>
      <c r="DR77" s="22">
        <f t="shared" si="70"/>
        <v>208.01691725873741</v>
      </c>
      <c r="DS77" s="62">
        <f t="shared" si="71"/>
        <v>501.35025059207072</v>
      </c>
      <c r="DT77" s="62">
        <f ca="1">AVERAGE(OFFSET($DS$3,0,0,'Données projet'!$E$14+1,1))-AVERAGE(OFFSET($H$3,0,0,'Données projet'!$E$14+1,1))</f>
        <v>154.0837760161366</v>
      </c>
      <c r="DU77" s="62">
        <f t="shared" si="98"/>
        <v>96.484500841546037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-5.6843418860808015E-14</v>
      </c>
      <c r="EK77" s="18">
        <f>EJ77*VLOOKUP('Données projet'!$B$15,Paramètres!$A$1:$I$89,3,0)*VLOOKUP('Données projet'!$B$15,Paramètres!$A$1:$I$89,5,0)</f>
        <v>-3.813056537183002E-14</v>
      </c>
      <c r="EL77" s="14" t="e">
        <f t="shared" si="99"/>
        <v>#NUM!</v>
      </c>
      <c r="EM77" s="22" t="e">
        <f t="shared" si="73"/>
        <v>#NUM!</v>
      </c>
      <c r="EN77" s="62" t="e">
        <f t="shared" si="74"/>
        <v>#NUM!</v>
      </c>
      <c r="EO77" s="62">
        <f ca="1">AVERAGE(OFFSET($EN$3,0,0,'Données projet'!$E$15+1,1))-AVERAGE(OFFSET($H$3,0,0,'Données projet'!$E$15+1,1))</f>
        <v>205.35893113421139</v>
      </c>
      <c r="EP77" s="62">
        <f t="shared" si="100"/>
        <v>220.4399811285175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89.209161192609486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89.209161192609486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-5.6843418860808015E-14</v>
      </c>
      <c r="FF77" s="18">
        <f>FE77*VLOOKUP('Données projet'!$B$16,Paramètres!$A$1:$I$89,3,0)*VLOOKUP('Données projet'!$B$16,Paramètres!$A$1:$I$89,5,0)</f>
        <v>-4.4337866711430253E-14</v>
      </c>
      <c r="FG77" s="14" t="e">
        <f t="shared" si="101"/>
        <v>#NUM!</v>
      </c>
      <c r="FH77" s="22" t="e">
        <f t="shared" si="76"/>
        <v>#NUM!</v>
      </c>
      <c r="FI77" s="62" t="e">
        <f t="shared" si="77"/>
        <v>#NUM!</v>
      </c>
      <c r="FJ77" s="62">
        <f ca="1">AVERAGE(OFFSET($FI$3,0,0,'Données projet'!$E$16+1,1))-AVERAGE(OFFSET($H$3,0,0,'Données projet'!$E$16+1,1))</f>
        <v>242.81177364426878</v>
      </c>
      <c r="FK77" s="62">
        <f t="shared" si="102"/>
        <v>260.72115764896671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84.159586030763677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84.159586030763677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-5.6843418860808015E-14</v>
      </c>
      <c r="GA77" s="18">
        <f>FZ77*VLOOKUP('Données projet'!$B$17,Paramètres!$A$1:$I$89,3,0)*VLOOKUP('Données projet'!$B$17,Paramètres!$A$1:$I$89,5,0)</f>
        <v>-4.5224624045658861E-14</v>
      </c>
      <c r="GB77" s="14" t="e">
        <f t="shared" si="103"/>
        <v>#NUM!</v>
      </c>
      <c r="GC77" s="22" t="e">
        <f t="shared" si="79"/>
        <v>#NUM!</v>
      </c>
      <c r="GD77" s="62" t="e">
        <f t="shared" si="80"/>
        <v>#NUM!</v>
      </c>
      <c r="GE77" s="62">
        <f ca="1">AVERAGE(OFFSET($GD$3,0,0,'Données projet'!$E$17+1,1))-AVERAGE(OFFSET($H$3,0,0,'Données projet'!$E$17+1,1))</f>
        <v>248.15263300983543</v>
      </c>
      <c r="GF77" s="62">
        <f t="shared" si="104"/>
        <v>266.46511459244618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105.80621443774614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105.80621443774614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382.55387448074327</v>
      </c>
      <c r="T78" s="62">
        <f t="shared" si="88"/>
        <v>476.29465646955543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192.27541704939782</v>
      </c>
      <c r="AA78" s="23">
        <f>EXP(-LN(2)/25)*AA77+(1-EXP(-LN(2)/25))/(LN(2)/25)*Calculateur!V78*Calculateur!X78*VLOOKUP('Données projet'!$B$9,Paramètres!$A$1:$I$89,3,0)*0.475*44/12</f>
        <v>42.504243604303333</v>
      </c>
      <c r="AB78" s="23">
        <f>EXP(-LN(2)/2)*AB77+(1-EXP(-LN(2)/2))/(LN(2)/2)*V78*Y78*VLOOKUP('Données projet'!$B$9,Paramètres!$A$1:$I$89,3,0)*0.475*44/12</f>
        <v>0.31113168153684567</v>
      </c>
      <c r="AC78" s="24">
        <f t="shared" si="57"/>
        <v>235.09079233523798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10.666666666666666</v>
      </c>
      <c r="AI78" s="14">
        <f>IF('Données projet'!$A$62&gt;35,AI77+AH78-AQ77,IF(A78&lt;'Données projet'!$A$62,$AF$205^A78,IF(A78='Données projet'!$A$62,'Données projet'!$B$62,AI77+AH78-AQ77)))</f>
        <v>393.99999999999977</v>
      </c>
      <c r="AJ78" s="14">
        <f>AI78*VLOOKUP('Données projet'!$B$10,Paramètres!$A$1:$I$89,3,0)*VLOOKUP('Données projet'!$B$10,Paramètres!$A$1:$I$89,5,0)</f>
        <v>245.85599999999985</v>
      </c>
      <c r="AK78" s="14">
        <f t="shared" si="89"/>
        <v>59.697704223313963</v>
      </c>
      <c r="AL78" s="22">
        <f t="shared" si="58"/>
        <v>532.17270152227161</v>
      </c>
      <c r="AM78" s="62">
        <f t="shared" si="59"/>
        <v>825.50603485560487</v>
      </c>
      <c r="AN78" s="62">
        <f ca="1">AVERAGE(OFFSET($AM$3,0,0,'Données projet'!$E$10+1,1))-AVERAGE(OFFSET($H$3,0,0,'Données projet'!$E$10+1,1))</f>
        <v>482.28841373508675</v>
      </c>
      <c r="AO78" s="62">
        <f t="shared" si="90"/>
        <v>746.97309214631684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202.32920499760618</v>
      </c>
      <c r="AV78" s="23">
        <f>EXP(-LN(2)/25)*AV77+(1-EXP(-LN(2)/25))/(LN(2)/25)*Calculateur!AQ78*Calculateur!AS78*VLOOKUP('Données projet'!$B$10,Paramètres!$A$1:$I$89,3,0)*0.475*44/12</f>
        <v>41.220952748654277</v>
      </c>
      <c r="AW78" s="23">
        <f>EXP(-LN(2)/2)*AW77+(1-EXP(-LN(2)/2))/(LN(2)/2)*AQ78*AT78*VLOOKUP('Données projet'!$B$10,Paramètres!$A$1:$I$89,3,0)*0.475*44/12</f>
        <v>3.845941876774893</v>
      </c>
      <c r="AX78" s="23">
        <f t="shared" si="60"/>
        <v>247.39609962303535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10.666666666666666</v>
      </c>
      <c r="BD78" s="13">
        <f>IF('Données projet'!$A$88&gt;35,BD77+BC78-BL77,IF(A78&lt;'Données projet'!$A$88,$BA$205^A78,IF(A78='Données projet'!$A$88,'Données projet'!$B$88,BD77+BC78-BL77)))</f>
        <v>393.99999999999977</v>
      </c>
      <c r="BE78" s="14">
        <f>BD78*VLOOKUP('Données projet'!$B$11,Paramètres!$A$1:$I$89,3,0)*VLOOKUP('Données projet'!$B$11,Paramètres!$A$1:$I$89,5,0)</f>
        <v>215.12399999999988</v>
      </c>
      <c r="BF78" s="14">
        <f t="shared" si="91"/>
        <v>53.053732774689756</v>
      </c>
      <c r="BG78" s="22">
        <f t="shared" si="61"/>
        <v>467.07621791591777</v>
      </c>
      <c r="BH78" s="62">
        <f t="shared" si="62"/>
        <v>760.40955124925108</v>
      </c>
      <c r="BI78" s="62">
        <f ca="1">AVERAGE(OFFSET($BH$3,0,0,'Données projet'!$E$11+1,1))-AVERAGE(OFFSET($H$3,0,0,'Données projet'!$E$11+1,1))</f>
        <v>417.99456559608217</v>
      </c>
      <c r="BJ78" s="62">
        <f t="shared" si="92"/>
        <v>651.41353014863932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177.03805437290541</v>
      </c>
      <c r="BQ78" s="23">
        <f>EXP(-LN(2)/25)*BQ77+(1-EXP(-LN(2)/25))/(LN(2)/25)*Calculateur!BL78*Calculateur!BN78*VLOOKUP('Données projet'!$B$11,Paramètres!$A$1:$I$89,3,0)*0.475*44/12</f>
        <v>36.49771857953764</v>
      </c>
      <c r="BR78" s="23">
        <f>EXP(-LN(2)/2)*BR77+(1-EXP(-LN(2)/2))/(LN(2)/2)*BL78*BO78*VLOOKUP('Données projet'!$B$11,Paramètres!$A$1:$I$89,3,0)*0.475*44/12</f>
        <v>3.3142112763874545</v>
      </c>
      <c r="BS78" s="24">
        <f t="shared" si="63"/>
        <v>216.84998422883049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5</v>
      </c>
      <c r="BY78" s="13">
        <f>IF('Données projet'!$A$114&gt;35,BY77+BX78-CG77,IF(A78&lt;'Données projet'!$A$114,$BV$205^A78,IF(A78='Données projet'!$A$114,'Données projet'!$B$114,BY77+BX78-CG77)))</f>
        <v>143</v>
      </c>
      <c r="BZ78" s="14">
        <f>BY78*VLOOKUP('Données projet'!$B$12,Paramètres!$A$1:$I$89,3,0)*VLOOKUP('Données projet'!$B$12,Paramètres!$A$1:$I$89,5,0)</f>
        <v>129.38640000000001</v>
      </c>
      <c r="CA78" s="14">
        <f t="shared" si="93"/>
        <v>33.854535370613952</v>
      </c>
      <c r="CB78" s="22">
        <f t="shared" si="64"/>
        <v>284.31129577048597</v>
      </c>
      <c r="CC78" s="62">
        <f t="shared" si="65"/>
        <v>577.64462910381928</v>
      </c>
      <c r="CD78" s="62">
        <f ca="1">AVERAGE(OFFSET($CC$3,0,0,'Données projet'!$E$12+1,1))-AVERAGE(OFFSET($H$3,0,0,'Données projet'!$E$12+1,1))</f>
        <v>213.07277043804817</v>
      </c>
      <c r="CE78" s="62">
        <f t="shared" si="94"/>
        <v>129.14539883354166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19.006006424968358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19.006006424968358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5</v>
      </c>
      <c r="CT78" s="13">
        <f>IF('Données projet'!$A$140&gt;35,CT77+CS78-DB77,IF(A78&lt;'Données projet'!$A$140,$CQ$205^A78,IF(A78='Données projet'!$A$140,'Données projet'!$B$140,CT77+CS78-DB77)))</f>
        <v>143</v>
      </c>
      <c r="CU78" s="18">
        <f>CT78*VLOOKUP('Données projet'!$B$13,Paramètres!$A$1:$I$89,3,0)*VLOOKUP('Données projet'!$B$13,Paramètres!$A$1:$I$89,5,0)</f>
        <v>145.00200000000001</v>
      </c>
      <c r="CV78" s="14">
        <f t="shared" si="95"/>
        <v>37.44054178676268</v>
      </c>
      <c r="CW78" s="22">
        <f t="shared" si="67"/>
        <v>317.75409361194505</v>
      </c>
      <c r="CX78" s="62">
        <f t="shared" si="68"/>
        <v>611.08742694527837</v>
      </c>
      <c r="CY78" s="62">
        <f ca="1">AVERAGE(OFFSET($CX$3,0,0,'Données projet'!$E$13+1,1))-AVERAGE(OFFSET($H$3,0,0,'Données projet'!$E$13+1,1))</f>
        <v>247.92503505485405</v>
      </c>
      <c r="CZ78" s="62">
        <f t="shared" si="96"/>
        <v>148.26437652597514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21.299834786602478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21.299834786602478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3.5555555555555554</v>
      </c>
      <c r="DO78" s="13">
        <f>IF('Données projet'!$A$166&gt;35,DO77+DN78-DW77,IF(A78&lt;'Données projet'!$A$166,$DL$205^A78,IF(A78='Données projet'!$A$166,'Données projet'!$B$166,DO77+DN78-DW77)))</f>
        <v>100.66666666666667</v>
      </c>
      <c r="DP78" s="18">
        <f>DO78*VLOOKUP('Données projet'!$B$14,Paramètres!$A$1:$I$89,3,0)*VLOOKUP('Données projet'!$B$14,Paramètres!$A$1:$I$89,5,0)</f>
        <v>97.364800000000002</v>
      </c>
      <c r="DQ78" s="14">
        <f t="shared" si="97"/>
        <v>26.333225062469591</v>
      </c>
      <c r="DR78" s="22">
        <f t="shared" si="70"/>
        <v>215.44072698380123</v>
      </c>
      <c r="DS78" s="62">
        <f t="shared" si="71"/>
        <v>508.77406031713451</v>
      </c>
      <c r="DT78" s="62">
        <f ca="1">AVERAGE(OFFSET($DS$3,0,0,'Données projet'!$E$14+1,1))-AVERAGE(OFFSET($H$3,0,0,'Données projet'!$E$14+1,1))</f>
        <v>154.0837760161366</v>
      </c>
      <c r="DU78" s="62">
        <f t="shared" si="98"/>
        <v>96.484500841546037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-5.6843418860808015E-14</v>
      </c>
      <c r="EK78" s="18">
        <f>EJ78*VLOOKUP('Données projet'!$B$15,Paramètres!$A$1:$I$89,3,0)*VLOOKUP('Données projet'!$B$15,Paramètres!$A$1:$I$89,5,0)</f>
        <v>-3.813056537183002E-14</v>
      </c>
      <c r="EL78" s="14" t="e">
        <f t="shared" si="99"/>
        <v>#NUM!</v>
      </c>
      <c r="EM78" s="22" t="e">
        <f t="shared" si="73"/>
        <v>#NUM!</v>
      </c>
      <c r="EN78" s="62" t="e">
        <f t="shared" si="74"/>
        <v>#NUM!</v>
      </c>
      <c r="EO78" s="62">
        <f ca="1">AVERAGE(OFFSET($EN$3,0,0,'Données projet'!$E$15+1,1))-AVERAGE(OFFSET($H$3,0,0,'Données projet'!$E$15+1,1))</f>
        <v>205.35893113421139</v>
      </c>
      <c r="EP78" s="62">
        <f t="shared" si="100"/>
        <v>220.4399811285175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87.459823953837983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87.459823953837983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-5.6843418860808015E-14</v>
      </c>
      <c r="FF78" s="18">
        <f>FE78*VLOOKUP('Données projet'!$B$16,Paramètres!$A$1:$I$89,3,0)*VLOOKUP('Données projet'!$B$16,Paramètres!$A$1:$I$89,5,0)</f>
        <v>-4.4337866711430253E-14</v>
      </c>
      <c r="FG78" s="14" t="e">
        <f t="shared" si="101"/>
        <v>#NUM!</v>
      </c>
      <c r="FH78" s="22" t="e">
        <f t="shared" si="76"/>
        <v>#NUM!</v>
      </c>
      <c r="FI78" s="62" t="e">
        <f t="shared" si="77"/>
        <v>#NUM!</v>
      </c>
      <c r="FJ78" s="62">
        <f ca="1">AVERAGE(OFFSET($FI$3,0,0,'Données projet'!$E$16+1,1))-AVERAGE(OFFSET($H$3,0,0,'Données projet'!$E$16+1,1))</f>
        <v>242.81177364426878</v>
      </c>
      <c r="FK78" s="62">
        <f t="shared" si="102"/>
        <v>260.72115764896671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82.509267880979237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82.509267880979237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-5.6843418860808015E-14</v>
      </c>
      <c r="GA78" s="18">
        <f>FZ78*VLOOKUP('Données projet'!$B$17,Paramètres!$A$1:$I$89,3,0)*VLOOKUP('Données projet'!$B$17,Paramètres!$A$1:$I$89,5,0)</f>
        <v>-4.5224624045658861E-14</v>
      </c>
      <c r="GB78" s="14" t="e">
        <f t="shared" si="103"/>
        <v>#NUM!</v>
      </c>
      <c r="GC78" s="22" t="e">
        <f t="shared" si="79"/>
        <v>#NUM!</v>
      </c>
      <c r="GD78" s="62" t="e">
        <f t="shared" si="80"/>
        <v>#NUM!</v>
      </c>
      <c r="GE78" s="62">
        <f ca="1">AVERAGE(OFFSET($GD$3,0,0,'Données projet'!$E$17+1,1))-AVERAGE(OFFSET($H$3,0,0,'Données projet'!$E$17+1,1))</f>
        <v>248.15263300983543</v>
      </c>
      <c r="GF78" s="62">
        <f t="shared" si="104"/>
        <v>266.46511459244618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103.7314191080404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103.7314191080404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382.55387448074327</v>
      </c>
      <c r="T79" s="62">
        <f t="shared" si="88"/>
        <v>476.29465646955543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188.50501339748345</v>
      </c>
      <c r="AA79" s="23">
        <f>EXP(-LN(2)/25)*AA78+(1-EXP(-LN(2)/25))/(LN(2)/25)*Calculateur!V79*Calculateur!X79*VLOOKUP('Données projet'!$B$9,Paramètres!$A$1:$I$89,3,0)*0.475*44/12</f>
        <v>41.341962827742634</v>
      </c>
      <c r="AB79" s="23">
        <f>EXP(-LN(2)/2)*AB78+(1-EXP(-LN(2)/2))/(LN(2)/2)*V79*Y79*VLOOKUP('Données projet'!$B$9,Paramètres!$A$1:$I$89,3,0)*0.475*44/12</f>
        <v>0.22000332185667693</v>
      </c>
      <c r="AC79" s="24">
        <f t="shared" si="57"/>
        <v>230.06697954708275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10.666666666666666</v>
      </c>
      <c r="AI79" s="14">
        <f>IF('Données projet'!$A$62&gt;35,AI78+AH79-AQ78,IF(A79&lt;'Données projet'!$A$62,$AF$205^A79,IF(A79='Données projet'!$A$62,'Données projet'!$B$62,AI78+AH79-AQ78)))</f>
        <v>404.66666666666646</v>
      </c>
      <c r="AJ79" s="14">
        <f>AI79*VLOOKUP('Données projet'!$B$10,Paramètres!$A$1:$I$89,3,0)*VLOOKUP('Données projet'!$B$10,Paramètres!$A$1:$I$89,5,0)</f>
        <v>252.51199999999989</v>
      </c>
      <c r="AK79" s="14">
        <f t="shared" si="89"/>
        <v>61.123534450545591</v>
      </c>
      <c r="AL79" s="22">
        <f t="shared" si="58"/>
        <v>546.24855583470014</v>
      </c>
      <c r="AM79" s="62">
        <f t="shared" si="59"/>
        <v>839.58188916803351</v>
      </c>
      <c r="AN79" s="62">
        <f ca="1">AVERAGE(OFFSET($AM$3,0,0,'Données projet'!$E$10+1,1))-AVERAGE(OFFSET($H$3,0,0,'Données projet'!$E$10+1,1))</f>
        <v>482.28841373508675</v>
      </c>
      <c r="AO79" s="62">
        <f t="shared" si="90"/>
        <v>746.97309214631684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198.3616526962326</v>
      </c>
      <c r="AV79" s="23">
        <f>EXP(-LN(2)/25)*AV78+(1-EXP(-LN(2)/25))/(LN(2)/25)*Calculateur!AQ79*Calculateur!AS79*VLOOKUP('Données projet'!$B$10,Paramètres!$A$1:$I$89,3,0)*0.475*44/12</f>
        <v>40.093763628026629</v>
      </c>
      <c r="AW79" s="23">
        <f>EXP(-LN(2)/2)*AW78+(1-EXP(-LN(2)/2))/(LN(2)/2)*AQ79*AT79*VLOOKUP('Données projet'!$B$10,Paramètres!$A$1:$I$89,3,0)*0.475*44/12</f>
        <v>2.7194915811168445</v>
      </c>
      <c r="AX79" s="23">
        <f t="shared" si="60"/>
        <v>241.17490790537607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10.666666666666666</v>
      </c>
      <c r="BD79" s="13">
        <f>IF('Données projet'!$A$88&gt;35,BD78+BC79-BL78,IF(A79&lt;'Données projet'!$A$88,$BA$205^A79,IF(A79='Données projet'!$A$88,'Données projet'!$B$88,BD78+BC79-BL78)))</f>
        <v>404.66666666666646</v>
      </c>
      <c r="BE79" s="14">
        <f>BD79*VLOOKUP('Données projet'!$B$11,Paramètres!$A$1:$I$89,3,0)*VLOOKUP('Données projet'!$B$11,Paramètres!$A$1:$I$89,5,0)</f>
        <v>220.94799999999987</v>
      </c>
      <c r="BF79" s="14">
        <f t="shared" si="91"/>
        <v>54.320877246019023</v>
      </c>
      <c r="BG79" s="22">
        <f t="shared" si="61"/>
        <v>479.4266278701495</v>
      </c>
      <c r="BH79" s="62">
        <f t="shared" si="62"/>
        <v>772.75996120348282</v>
      </c>
      <c r="BI79" s="62">
        <f ca="1">AVERAGE(OFFSET($BH$3,0,0,'Données projet'!$E$11+1,1))-AVERAGE(OFFSET($H$3,0,0,'Données projet'!$E$11+1,1))</f>
        <v>417.99456559608217</v>
      </c>
      <c r="BJ79" s="62">
        <f t="shared" si="92"/>
        <v>651.41353014863932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173.5664461092035</v>
      </c>
      <c r="BQ79" s="23">
        <f>EXP(-LN(2)/25)*BQ78+(1-EXP(-LN(2)/25))/(LN(2)/25)*Calculateur!BL79*Calculateur!BN79*VLOOKUP('Données projet'!$B$11,Paramètres!$A$1:$I$89,3,0)*0.475*44/12</f>
        <v>35.499686545648579</v>
      </c>
      <c r="BR79" s="23">
        <f>EXP(-LN(2)/2)*BR78+(1-EXP(-LN(2)/2))/(LN(2)/2)*BL79*BO79*VLOOKUP('Données projet'!$B$11,Paramètres!$A$1:$I$89,3,0)*0.475*44/12</f>
        <v>2.3435012678184921</v>
      </c>
      <c r="BS79" s="24">
        <f t="shared" si="63"/>
        <v>211.40963392267057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5</v>
      </c>
      <c r="BY79" s="13">
        <f>IF('Données projet'!$A$114&gt;35,BY78+BX79-CG78,IF(A79&lt;'Données projet'!$A$114,$BV$205^A79,IF(A79='Données projet'!$A$114,'Données projet'!$B$114,BY78+BX79-CG78)))</f>
        <v>148</v>
      </c>
      <c r="BZ79" s="14">
        <f>BY79*VLOOKUP('Données projet'!$B$12,Paramètres!$A$1:$I$89,3,0)*VLOOKUP('Données projet'!$B$12,Paramètres!$A$1:$I$89,5,0)</f>
        <v>133.91039999999998</v>
      </c>
      <c r="CA79" s="14">
        <f t="shared" si="93"/>
        <v>34.898373535125089</v>
      </c>
      <c r="CB79" s="22">
        <f t="shared" si="64"/>
        <v>294.00861390700948</v>
      </c>
      <c r="CC79" s="62">
        <f t="shared" si="65"/>
        <v>587.34194724034273</v>
      </c>
      <c r="CD79" s="62">
        <f ca="1">AVERAGE(OFFSET($CC$3,0,0,'Données projet'!$E$12+1,1))-AVERAGE(OFFSET($H$3,0,0,'Données projet'!$E$12+1,1))</f>
        <v>213.07277043804817</v>
      </c>
      <c r="CE79" s="62">
        <f t="shared" si="94"/>
        <v>129.14539883354166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18.633310231493983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18.633310231493983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5</v>
      </c>
      <c r="CT79" s="13">
        <f>IF('Données projet'!$A$140&gt;35,CT78+CS79-DB78,IF(A79&lt;'Données projet'!$A$140,$CQ$205^A79,IF(A79='Données projet'!$A$140,'Données projet'!$B$140,CT78+CS79-DB78)))</f>
        <v>148</v>
      </c>
      <c r="CU79" s="18">
        <f>CT79*VLOOKUP('Données projet'!$B$13,Paramètres!$A$1:$I$89,3,0)*VLOOKUP('Données projet'!$B$13,Paramètres!$A$1:$I$89,5,0)</f>
        <v>150.072</v>
      </c>
      <c r="CV79" s="14">
        <f t="shared" si="95"/>
        <v>38.594947422201457</v>
      </c>
      <c r="CW79" s="22">
        <f t="shared" si="67"/>
        <v>328.59493342700091</v>
      </c>
      <c r="CX79" s="62">
        <f t="shared" si="68"/>
        <v>621.92826676033428</v>
      </c>
      <c r="CY79" s="62">
        <f ca="1">AVERAGE(OFFSET($CX$3,0,0,'Données projet'!$E$13+1,1))-AVERAGE(OFFSET($H$3,0,0,'Données projet'!$E$13+1,1))</f>
        <v>247.92503505485405</v>
      </c>
      <c r="CZ79" s="62">
        <f t="shared" si="96"/>
        <v>148.26437652597514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20.882158018053609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20.882158018053609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3.5555555555555554</v>
      </c>
      <c r="DO79" s="13">
        <f>IF('Données projet'!$A$166&gt;35,DO78+DN79-DW78,IF(A79&lt;'Données projet'!$A$166,$DL$205^A79,IF(A79='Données projet'!$A$166,'Données projet'!$B$166,DO78+DN79-DW78)))</f>
        <v>104.22222222222223</v>
      </c>
      <c r="DP79" s="18">
        <f>DO79*VLOOKUP('Données projet'!$B$14,Paramètres!$A$1:$I$89,3,0)*VLOOKUP('Données projet'!$B$14,Paramètres!$A$1:$I$89,5,0)</f>
        <v>100.80373333333333</v>
      </c>
      <c r="DQ79" s="14">
        <f t="shared" si="97"/>
        <v>27.153386630188319</v>
      </c>
      <c r="DR79" s="22">
        <f t="shared" si="70"/>
        <v>222.85865060313355</v>
      </c>
      <c r="DS79" s="62">
        <f t="shared" si="71"/>
        <v>516.19198393646684</v>
      </c>
      <c r="DT79" s="62">
        <f ca="1">AVERAGE(OFFSET($DS$3,0,0,'Données projet'!$E$14+1,1))-AVERAGE(OFFSET($H$3,0,0,'Données projet'!$E$14+1,1))</f>
        <v>154.0837760161366</v>
      </c>
      <c r="DU79" s="62">
        <f t="shared" si="98"/>
        <v>96.484500841546037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-5.6843418860808015E-14</v>
      </c>
      <c r="EK79" s="18">
        <f>EJ79*VLOOKUP('Données projet'!$B$15,Paramètres!$A$1:$I$89,3,0)*VLOOKUP('Données projet'!$B$15,Paramètres!$A$1:$I$89,5,0)</f>
        <v>-3.813056537183002E-14</v>
      </c>
      <c r="EL79" s="14" t="e">
        <f t="shared" si="99"/>
        <v>#NUM!</v>
      </c>
      <c r="EM79" s="22" t="e">
        <f t="shared" si="73"/>
        <v>#NUM!</v>
      </c>
      <c r="EN79" s="62" t="e">
        <f t="shared" si="74"/>
        <v>#NUM!</v>
      </c>
      <c r="EO79" s="62">
        <f ca="1">AVERAGE(OFFSET($EN$3,0,0,'Données projet'!$E$15+1,1))-AVERAGE(OFFSET($H$3,0,0,'Données projet'!$E$15+1,1))</f>
        <v>205.35893113421139</v>
      </c>
      <c r="EP79" s="62">
        <f t="shared" si="100"/>
        <v>220.4399811285175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85.744790151328431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85.744790151328431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-5.6843418860808015E-14</v>
      </c>
      <c r="FF79" s="18">
        <f>FE79*VLOOKUP('Données projet'!$B$16,Paramètres!$A$1:$I$89,3,0)*VLOOKUP('Données projet'!$B$16,Paramètres!$A$1:$I$89,5,0)</f>
        <v>-4.4337866711430253E-14</v>
      </c>
      <c r="FG79" s="14" t="e">
        <f t="shared" si="101"/>
        <v>#NUM!</v>
      </c>
      <c r="FH79" s="22" t="e">
        <f t="shared" si="76"/>
        <v>#NUM!</v>
      </c>
      <c r="FI79" s="62" t="e">
        <f t="shared" si="77"/>
        <v>#NUM!</v>
      </c>
      <c r="FJ79" s="62">
        <f ca="1">AVERAGE(OFFSET($FI$3,0,0,'Données projet'!$E$16+1,1))-AVERAGE(OFFSET($H$3,0,0,'Données projet'!$E$16+1,1))</f>
        <v>242.81177364426878</v>
      </c>
      <c r="FK79" s="62">
        <f t="shared" si="102"/>
        <v>260.72115764896671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80.891311463517397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80.891311463517397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-5.6843418860808015E-14</v>
      </c>
      <c r="GA79" s="18">
        <f>FZ79*VLOOKUP('Données projet'!$B$17,Paramètres!$A$1:$I$89,3,0)*VLOOKUP('Données projet'!$B$17,Paramètres!$A$1:$I$89,5,0)</f>
        <v>-4.5224624045658861E-14</v>
      </c>
      <c r="GB79" s="14" t="e">
        <f t="shared" si="103"/>
        <v>#NUM!</v>
      </c>
      <c r="GC79" s="22" t="e">
        <f t="shared" si="79"/>
        <v>#NUM!</v>
      </c>
      <c r="GD79" s="62" t="e">
        <f t="shared" si="80"/>
        <v>#NUM!</v>
      </c>
      <c r="GE79" s="62">
        <f ca="1">AVERAGE(OFFSET($GD$3,0,0,'Données projet'!$E$17+1,1))-AVERAGE(OFFSET($H$3,0,0,'Données projet'!$E$17+1,1))</f>
        <v>248.15263300983543</v>
      </c>
      <c r="GF79" s="62">
        <f t="shared" si="104"/>
        <v>266.46511459244618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101.69730924925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101.69730924925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382.55387448074327</v>
      </c>
      <c r="T80" s="62">
        <f t="shared" si="88"/>
        <v>476.29465646955543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184.80854506146397</v>
      </c>
      <c r="AA80" s="23">
        <f>EXP(-LN(2)/25)*AA79+(1-EXP(-LN(2)/25))/(LN(2)/25)*Calculateur!V80*Calculateur!X80*VLOOKUP('Données projet'!$B$9,Paramètres!$A$1:$I$89,3,0)*0.475*44/12</f>
        <v>40.211464680138675</v>
      </c>
      <c r="AB80" s="23">
        <f>EXP(-LN(2)/2)*AB79+(1-EXP(-LN(2)/2))/(LN(2)/2)*V80*Y80*VLOOKUP('Données projet'!$B$9,Paramètres!$A$1:$I$89,3,0)*0.475*44/12</f>
        <v>0.15556584076842284</v>
      </c>
      <c r="AC80" s="24">
        <f t="shared" si="57"/>
        <v>225.17557558237107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10.666666666666666</v>
      </c>
      <c r="AI80" s="14">
        <f>IF('Données projet'!$A$62&gt;35,AI79+AH80-AQ79,IF(A80&lt;'Données projet'!$A$62,$AF$205^A80,IF(A80='Données projet'!$A$62,'Données projet'!$B$62,AI79+AH80-AQ79)))</f>
        <v>415.33333333333314</v>
      </c>
      <c r="AJ80" s="14">
        <f>AI80*VLOOKUP('Données projet'!$B$10,Paramètres!$A$1:$I$89,3,0)*VLOOKUP('Données projet'!$B$10,Paramètres!$A$1:$I$89,5,0)</f>
        <v>259.16799999999989</v>
      </c>
      <c r="AK80" s="14">
        <f t="shared" si="89"/>
        <v>62.544996109208512</v>
      </c>
      <c r="AL80" s="22">
        <f t="shared" si="58"/>
        <v>560.31680155687127</v>
      </c>
      <c r="AM80" s="62">
        <f t="shared" si="59"/>
        <v>853.65013489020453</v>
      </c>
      <c r="AN80" s="62">
        <f ca="1">AVERAGE(OFFSET($AM$3,0,0,'Données projet'!$E$10+1,1))-AVERAGE(OFFSET($H$3,0,0,'Données projet'!$E$10+1,1))</f>
        <v>482.28841373508675</v>
      </c>
      <c r="AO80" s="62">
        <f t="shared" si="90"/>
        <v>746.97309214631684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194.47190167552097</v>
      </c>
      <c r="AV80" s="23">
        <f>EXP(-LN(2)/25)*AV79+(1-EXP(-LN(2)/25))/(LN(2)/25)*Calculateur!AQ80*Calculateur!AS80*VLOOKUP('Données projet'!$B$10,Paramètres!$A$1:$I$89,3,0)*0.475*44/12</f>
        <v>38.99739755317885</v>
      </c>
      <c r="AW80" s="23">
        <f>EXP(-LN(2)/2)*AW79+(1-EXP(-LN(2)/2))/(LN(2)/2)*AQ80*AT80*VLOOKUP('Données projet'!$B$10,Paramètres!$A$1:$I$89,3,0)*0.475*44/12</f>
        <v>1.9229709383874469</v>
      </c>
      <c r="AX80" s="23">
        <f t="shared" si="60"/>
        <v>235.39227016708725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10.666666666666666</v>
      </c>
      <c r="BD80" s="13">
        <f>IF('Données projet'!$A$88&gt;35,BD79+BC80-BL79,IF(A80&lt;'Données projet'!$A$88,$BA$205^A80,IF(A80='Données projet'!$A$88,'Données projet'!$B$88,BD79+BC80-BL79)))</f>
        <v>415.33333333333314</v>
      </c>
      <c r="BE80" s="14">
        <f>BD80*VLOOKUP('Données projet'!$B$11,Paramètres!$A$1:$I$89,3,0)*VLOOKUP('Données projet'!$B$11,Paramètres!$A$1:$I$89,5,0)</f>
        <v>226.77199999999991</v>
      </c>
      <c r="BF80" s="14">
        <f t="shared" si="91"/>
        <v>55.58413934243174</v>
      </c>
      <c r="BG80" s="22">
        <f t="shared" si="61"/>
        <v>491.77027602140174</v>
      </c>
      <c r="BH80" s="62">
        <f t="shared" si="62"/>
        <v>785.103609354735</v>
      </c>
      <c r="BI80" s="62">
        <f ca="1">AVERAGE(OFFSET($BH$3,0,0,'Données projet'!$E$11+1,1))-AVERAGE(OFFSET($H$3,0,0,'Données projet'!$E$11+1,1))</f>
        <v>417.99456559608217</v>
      </c>
      <c r="BJ80" s="62">
        <f t="shared" si="92"/>
        <v>651.41353014863932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170.16291396608082</v>
      </c>
      <c r="BQ80" s="23">
        <f>EXP(-LN(2)/25)*BQ79+(1-EXP(-LN(2)/25))/(LN(2)/25)*Calculateur!BL80*Calculateur!BN80*VLOOKUP('Données projet'!$B$11,Paramètres!$A$1:$I$89,3,0)*0.475*44/12</f>
        <v>34.52894575021044</v>
      </c>
      <c r="BR80" s="23">
        <f>EXP(-LN(2)/2)*BR79+(1-EXP(-LN(2)/2))/(LN(2)/2)*BL80*BO80*VLOOKUP('Données projet'!$B$11,Paramètres!$A$1:$I$89,3,0)*0.475*44/12</f>
        <v>1.6571056381937272</v>
      </c>
      <c r="BS80" s="24">
        <f t="shared" si="63"/>
        <v>206.34896535448502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5</v>
      </c>
      <c r="BY80" s="13">
        <f>IF('Données projet'!$A$114&gt;35,BY79+BX80-CG79,IF(A80&lt;'Données projet'!$A$114,$BV$205^A80,IF(A80='Données projet'!$A$114,'Données projet'!$B$114,BY79+BX80-CG79)))</f>
        <v>153</v>
      </c>
      <c r="BZ80" s="14">
        <f>BY80*VLOOKUP('Données projet'!$B$12,Paramètres!$A$1:$I$89,3,0)*VLOOKUP('Données projet'!$B$12,Paramètres!$A$1:$I$89,5,0)</f>
        <v>138.43440000000001</v>
      </c>
      <c r="CA80" s="14">
        <f t="shared" si="93"/>
        <v>35.938114113553581</v>
      </c>
      <c r="CB80" s="22">
        <f t="shared" si="64"/>
        <v>303.69879541443919</v>
      </c>
      <c r="CC80" s="62">
        <f t="shared" si="65"/>
        <v>597.0321287477725</v>
      </c>
      <c r="CD80" s="62">
        <f ca="1">AVERAGE(OFFSET($CC$3,0,0,'Données projet'!$E$12+1,1))-AVERAGE(OFFSET($H$3,0,0,'Données projet'!$E$12+1,1))</f>
        <v>213.07277043804817</v>
      </c>
      <c r="CE80" s="62">
        <f t="shared" si="94"/>
        <v>129.14539883354166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18.267922383051406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18.267922383051406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5</v>
      </c>
      <c r="CT80" s="13">
        <f>IF('Données projet'!$A$140&gt;35,CT79+CS80-DB79,IF(A80&lt;'Données projet'!$A$140,$CQ$205^A80,IF(A80='Données projet'!$A$140,'Données projet'!$B$140,CT79+CS80-DB79)))</f>
        <v>153</v>
      </c>
      <c r="CU80" s="18">
        <f>CT80*VLOOKUP('Données projet'!$B$13,Paramètres!$A$1:$I$89,3,0)*VLOOKUP('Données projet'!$B$13,Paramètres!$A$1:$I$89,5,0)</f>
        <v>155.142</v>
      </c>
      <c r="CV80" s="14">
        <f t="shared" si="95"/>
        <v>39.744821439017343</v>
      </c>
      <c r="CW80" s="22">
        <f t="shared" si="67"/>
        <v>339.42788067295515</v>
      </c>
      <c r="CX80" s="62">
        <f t="shared" si="68"/>
        <v>632.76121400628847</v>
      </c>
      <c r="CY80" s="62">
        <f ca="1">AVERAGE(OFFSET($CX$3,0,0,'Données projet'!$E$13+1,1))-AVERAGE(OFFSET($H$3,0,0,'Données projet'!$E$13+1,1))</f>
        <v>247.92503505485405</v>
      </c>
      <c r="CZ80" s="62">
        <f t="shared" si="96"/>
        <v>148.26437652597514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20.472671636178308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20.472671636178308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3.5555555555555554</v>
      </c>
      <c r="DO80" s="13">
        <f>IF('Données projet'!$A$166&gt;35,DO79+DN80-DW79,IF(A80&lt;'Données projet'!$A$166,$DL$205^A80,IF(A80='Données projet'!$A$166,'Données projet'!$B$166,DO79+DN80-DW79)))</f>
        <v>107.77777777777779</v>
      </c>
      <c r="DP80" s="18">
        <f>DO80*VLOOKUP('Données projet'!$B$14,Paramètres!$A$1:$I$89,3,0)*VLOOKUP('Données projet'!$B$14,Paramètres!$A$1:$I$89,5,0)</f>
        <v>104.24266666666666</v>
      </c>
      <c r="DQ80" s="14">
        <f t="shared" si="97"/>
        <v>27.970297126338711</v>
      </c>
      <c r="DR80" s="22">
        <f t="shared" si="70"/>
        <v>230.27091193948434</v>
      </c>
      <c r="DS80" s="62">
        <f t="shared" si="71"/>
        <v>523.60424527281771</v>
      </c>
      <c r="DT80" s="62">
        <f ca="1">AVERAGE(OFFSET($DS$3,0,0,'Données projet'!$E$14+1,1))-AVERAGE(OFFSET($H$3,0,0,'Données projet'!$E$14+1,1))</f>
        <v>154.0837760161366</v>
      </c>
      <c r="DU80" s="62">
        <f t="shared" si="98"/>
        <v>96.484500841546037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-5.6843418860808015E-14</v>
      </c>
      <c r="EK80" s="18">
        <f>EJ80*VLOOKUP('Données projet'!$B$15,Paramètres!$A$1:$I$89,3,0)*VLOOKUP('Données projet'!$B$15,Paramètres!$A$1:$I$89,5,0)</f>
        <v>-3.813056537183002E-14</v>
      </c>
      <c r="EL80" s="14" t="e">
        <f t="shared" si="99"/>
        <v>#NUM!</v>
      </c>
      <c r="EM80" s="22" t="e">
        <f t="shared" si="73"/>
        <v>#NUM!</v>
      </c>
      <c r="EN80" s="62" t="e">
        <f t="shared" si="74"/>
        <v>#NUM!</v>
      </c>
      <c r="EO80" s="62">
        <f ca="1">AVERAGE(OFFSET($EN$3,0,0,'Données projet'!$E$15+1,1))-AVERAGE(OFFSET($H$3,0,0,'Données projet'!$E$15+1,1))</f>
        <v>205.35893113421139</v>
      </c>
      <c r="EP80" s="62">
        <f t="shared" si="100"/>
        <v>220.4399811285175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84.063387115618767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84.063387115618767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-5.6843418860808015E-14</v>
      </c>
      <c r="FF80" s="18">
        <f>FE80*VLOOKUP('Données projet'!$B$16,Paramètres!$A$1:$I$89,3,0)*VLOOKUP('Données projet'!$B$16,Paramètres!$A$1:$I$89,5,0)</f>
        <v>-4.4337866711430253E-14</v>
      </c>
      <c r="FG80" s="14" t="e">
        <f t="shared" si="101"/>
        <v>#NUM!</v>
      </c>
      <c r="FH80" s="22" t="e">
        <f t="shared" si="76"/>
        <v>#NUM!</v>
      </c>
      <c r="FI80" s="62" t="e">
        <f t="shared" si="77"/>
        <v>#NUM!</v>
      </c>
      <c r="FJ80" s="62">
        <f ca="1">AVERAGE(OFFSET($FI$3,0,0,'Données projet'!$E$16+1,1))-AVERAGE(OFFSET($H$3,0,0,'Données projet'!$E$16+1,1))</f>
        <v>242.81177364426878</v>
      </c>
      <c r="FK80" s="62">
        <f t="shared" si="102"/>
        <v>260.72115764896671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79.305082184546009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79.305082184546009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-5.6843418860808015E-14</v>
      </c>
      <c r="GA80" s="18">
        <f>FZ80*VLOOKUP('Données projet'!$B$17,Paramètres!$A$1:$I$89,3,0)*VLOOKUP('Données projet'!$B$17,Paramètres!$A$1:$I$89,5,0)</f>
        <v>-4.5224624045658861E-14</v>
      </c>
      <c r="GB80" s="14" t="e">
        <f t="shared" si="103"/>
        <v>#NUM!</v>
      </c>
      <c r="GC80" s="22" t="e">
        <f t="shared" si="79"/>
        <v>#NUM!</v>
      </c>
      <c r="GD80" s="62" t="e">
        <f t="shared" si="80"/>
        <v>#NUM!</v>
      </c>
      <c r="GE80" s="62">
        <f ca="1">AVERAGE(OFFSET($GD$3,0,0,'Données projet'!$E$17+1,1))-AVERAGE(OFFSET($H$3,0,0,'Données projet'!$E$17+1,1))</f>
        <v>248.15263300983543</v>
      </c>
      <c r="GF80" s="62">
        <f t="shared" si="104"/>
        <v>266.46511459244618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99.70308704410597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99.70308704410597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382.55387448074327</v>
      </c>
      <c r="T81" s="62">
        <f t="shared" si="88"/>
        <v>476.29465646955543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181.18456221489078</v>
      </c>
      <c r="AA81" s="23">
        <f>EXP(-LN(2)/25)*AA80+(1-EXP(-LN(2)/25))/(LN(2)/25)*Calculateur!V81*Calculateur!X81*VLOOKUP('Données projet'!$B$9,Paramètres!$A$1:$I$89,3,0)*0.475*44/12</f>
        <v>39.111880063831258</v>
      </c>
      <c r="AB81" s="23">
        <f>EXP(-LN(2)/2)*AB80+(1-EXP(-LN(2)/2))/(LN(2)/2)*V81*Y81*VLOOKUP('Données projet'!$B$9,Paramètres!$A$1:$I$89,3,0)*0.475*44/12</f>
        <v>0.11000166092833846</v>
      </c>
      <c r="AC81" s="24">
        <f t="shared" si="57"/>
        <v>220.40644393965036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>
        <f>VLOOKUP(A81,'Données projet'!$A$61:$I$81,2,0)</f>
        <v>426</v>
      </c>
      <c r="AG81" s="13">
        <f>VLOOKUP(A81,'Données projet'!$A$61:$I$81,9,0)</f>
        <v>10.666666666666666</v>
      </c>
      <c r="AH81" s="13">
        <f t="array" ref="AH81">INDEX(AG:AG,MIN(IF(ISNUMBER(AG81:AG277),ROW(AG81:AG277),"")))</f>
        <v>10.666666666666666</v>
      </c>
      <c r="AI81" s="14">
        <f>IF('Données projet'!$A$62&gt;35,AI80+AH81-AQ80,IF(A81&lt;'Données projet'!$A$62,$AF$205^A81,IF(A81='Données projet'!$A$62,'Données projet'!$B$62,AI80+AH81-AQ80)))</f>
        <v>425.99999999999983</v>
      </c>
      <c r="AJ81" s="14">
        <f>AI81*VLOOKUP('Données projet'!$B$10,Paramètres!$A$1:$I$89,3,0)*VLOOKUP('Données projet'!$B$10,Paramètres!$A$1:$I$89,5,0)</f>
        <v>265.8239999999999</v>
      </c>
      <c r="AK81" s="14">
        <f t="shared" si="89"/>
        <v>63.962214293903529</v>
      </c>
      <c r="AL81" s="22">
        <f t="shared" si="58"/>
        <v>574.37765656188174</v>
      </c>
      <c r="AM81" s="62">
        <f t="shared" si="59"/>
        <v>867.71098989521511</v>
      </c>
      <c r="AN81" s="62">
        <f ca="1">AVERAGE(OFFSET($AM$3,0,0,'Données projet'!$E$10+1,1))-AVERAGE(OFFSET($H$3,0,0,'Données projet'!$E$10+1,1))</f>
        <v>482.28841373508675</v>
      </c>
      <c r="AO81" s="62">
        <f t="shared" si="90"/>
        <v>746.97309214631684</v>
      </c>
      <c r="AP81" s="16" t="str">
        <f>IF(ISNA(VLOOKUP(A81,'Données projet'!$A$61:$I$81,3,0)),0,VLOOKUP(A81,'Données projet'!$A$61:$I$81,3,0))</f>
        <v>CR</v>
      </c>
      <c r="AQ81" s="16">
        <f>IF(ISNA(VLOOKUP(A81,'Données projet'!$A$61:$I$81,4,0)),0,VLOOKUP(A81,'Données projet'!$A$61:$I$81,4,0))</f>
        <v>426</v>
      </c>
      <c r="AR81" s="17">
        <f>IF(ISNA(VLOOKUP(A81,'Données projet'!$A$61:$I$81,5,0)),0%,VLOOKUP(A81,'Données projet'!$A$61:$I$81,5,0)*VLOOKUP('Données projet'!$B$10,Paramètres!$A$1:$I$89,7,0))</f>
        <v>0.42</v>
      </c>
      <c r="AS81" s="17">
        <f>IF(ISNA(VLOOKUP(A81,'Données projet'!$A$61:$I$81,6,0)),0%,VLOOKUP(A81,'Données projet'!$A$61:$I$81,6,0)*VLOOKUP('Données projet'!$B$10,Paramètres!$A$1:$I$89,7,0))</f>
        <v>0.1008</v>
      </c>
      <c r="AT81" s="17">
        <f>IF(ISNA(VLOOKUP(A81,'Données projet'!$A$61:$I$81,7,0)),0%,VLOOKUP(A81,'Données projet'!$A$61:$I$81,7,0))</f>
        <v>0.13200000000000001</v>
      </c>
      <c r="AU81" s="23">
        <f>EXP(-LN(2)/35)*AU80+(1-EXP(-LN(2)/35))/(LN(2)/35)*AQ81*AR81*VLOOKUP('Données projet'!$B$10,Paramètres!$A$1:$I$89,3,0)*0.475*44/12</f>
        <v>338.76414761697094</v>
      </c>
      <c r="AV81" s="23">
        <f>EXP(-LN(2)/25)*AV80+(1-EXP(-LN(2)/25))/(LN(2)/25)*Calculateur!AQ81*Calculateur!AS81*VLOOKUP('Données projet'!$B$10,Paramètres!$A$1:$I$89,3,0)*0.475*44/12</f>
        <v>73.336429104614268</v>
      </c>
      <c r="AW81" s="23">
        <f>EXP(-LN(2)/2)*AW80+(1-EXP(-LN(2)/2))/(LN(2)/2)*AQ81*AT81*VLOOKUP('Données projet'!$B$10,Paramètres!$A$1:$I$89,3,0)*0.475*44/12</f>
        <v>41.088382200571559</v>
      </c>
      <c r="AX81" s="23">
        <f t="shared" si="60"/>
        <v>453.18895892215676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>
        <f>VLOOKUP(A81,'Données projet'!$A$87:$I$107,2,0)</f>
        <v>426</v>
      </c>
      <c r="BB81" s="13">
        <f>VLOOKUP(A81,'Données projet'!$A$87:$I$107,9,0)</f>
        <v>10.666666666666666</v>
      </c>
      <c r="BC81" s="13">
        <f t="array" ref="BC81">INDEX(BB:BB,MIN(IF(ISNUMBER(BB81:BB277),ROW(BB81:BB277),"")))</f>
        <v>10.666666666666666</v>
      </c>
      <c r="BD81" s="13">
        <f>IF('Données projet'!$A$88&gt;35,BD80+BC81-BL80,IF(A81&lt;'Données projet'!$A$88,$BA$205^A81,IF(A81='Données projet'!$A$88,'Données projet'!$B$88,BD80+BC81-BL80)))</f>
        <v>425.99999999999983</v>
      </c>
      <c r="BE81" s="14">
        <f>BD81*VLOOKUP('Données projet'!$B$11,Paramètres!$A$1:$I$89,3,0)*VLOOKUP('Données projet'!$B$11,Paramètres!$A$1:$I$89,5,0)</f>
        <v>232.59599999999992</v>
      </c>
      <c r="BF81" s="14">
        <f t="shared" si="91"/>
        <v>56.843630236302218</v>
      </c>
      <c r="BG81" s="22">
        <f t="shared" si="61"/>
        <v>504.10735599489294</v>
      </c>
      <c r="BH81" s="62">
        <f t="shared" si="62"/>
        <v>797.4406893282262</v>
      </c>
      <c r="BI81" s="62">
        <f ca="1">AVERAGE(OFFSET($BH$3,0,0,'Données projet'!$E$11+1,1))-AVERAGE(OFFSET($H$3,0,0,'Données projet'!$E$11+1,1))</f>
        <v>417.99456559608217</v>
      </c>
      <c r="BJ81" s="62">
        <f t="shared" si="92"/>
        <v>651.41353014863932</v>
      </c>
      <c r="BK81" s="16" t="str">
        <f>IF(ISNA(VLOOKUP(A81,'Données projet'!$A$87:$I$107,3,0)),0,VLOOKUP(A81,'Données projet'!$A$87:$I$107,3,0))</f>
        <v>CR</v>
      </c>
      <c r="BL81" s="16">
        <f>IF(ISNA(VLOOKUP(A81,'Données projet'!$A$87:$I$107,4,0)),0,VLOOKUP(A81,'Données projet'!$A$87:$I$107,4,0))</f>
        <v>426</v>
      </c>
      <c r="BM81" s="17">
        <f>IF(ISNA(VLOOKUP(A81,'Données projet'!$A$87:$I$107,5,0)),0%,VLOOKUP(A81,'Données projet'!$A$87:$I$107,5,0)*VLOOKUP('Données projet'!$B$11,Paramètres!$A$1:$I$89,7,0))</f>
        <v>0.42</v>
      </c>
      <c r="BN81" s="17">
        <f>IF(ISNA(VLOOKUP(A81,'Données projet'!$A$87:$I$107,6,0)),0%,VLOOKUP(A81,'Données projet'!$A$87:$I$107,6,0)*VLOOKUP('Données projet'!$B$11,Paramètres!$A$1:$I$89,7,0))</f>
        <v>0.10200000000000001</v>
      </c>
      <c r="BO81" s="17">
        <f>IF(ISNA(VLOOKUP(A81,'Données projet'!$A$87:$I$107,7,0)),0%,VLOOKUP(A81,'Données projet'!$A$87:$I$107,7,0))</f>
        <v>0.13</v>
      </c>
      <c r="BP81" s="23">
        <f>EXP(-LN(2)/35)*BP80+(1-EXP(-LN(2)/35))/(LN(2)/35)*BL81*BM81*VLOOKUP('Données projet'!$B$11,Paramètres!$A$1:$I$89,3,0)*0.475*44/12</f>
        <v>296.41862916484956</v>
      </c>
      <c r="BQ81" s="23">
        <f>EXP(-LN(2)/25)*BQ80+(1-EXP(-LN(2)/25))/(LN(2)/25)*Calculateur!BL81*Calculateur!BN81*VLOOKUP('Données projet'!$B$11,Paramètres!$A$1:$I$89,3,0)*0.475*44/12</f>
        <v>64.933296603043885</v>
      </c>
      <c r="BR81" s="23">
        <f>EXP(-LN(2)/2)*BR80+(1-EXP(-LN(2)/2))/(LN(2)/2)*BL81*BO81*VLOOKUP('Données projet'!$B$11,Paramètres!$A$1:$I$89,3,0)*0.475*44/12</f>
        <v>35.407602085719802</v>
      </c>
      <c r="BS81" s="24">
        <f t="shared" si="63"/>
        <v>396.75952785361329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5</v>
      </c>
      <c r="BY81" s="13">
        <f>IF('Données projet'!$A$114&gt;35,BY80+BX81-CG80,IF(A81&lt;'Données projet'!$A$114,$BV$205^A81,IF(A81='Données projet'!$A$114,'Données projet'!$B$114,BY80+BX81-CG80)))</f>
        <v>158</v>
      </c>
      <c r="BZ81" s="14">
        <f>BY81*VLOOKUP('Données projet'!$B$12,Paramètres!$A$1:$I$89,3,0)*VLOOKUP('Données projet'!$B$12,Paramètres!$A$1:$I$89,5,0)</f>
        <v>142.95840000000001</v>
      </c>
      <c r="CA81" s="14">
        <f t="shared" si="93"/>
        <v>36.973906370811264</v>
      </c>
      <c r="CB81" s="22">
        <f t="shared" si="64"/>
        <v>313.38210026249629</v>
      </c>
      <c r="CC81" s="62">
        <f t="shared" si="65"/>
        <v>606.71543359582961</v>
      </c>
      <c r="CD81" s="62">
        <f ca="1">AVERAGE(OFFSET($CC$3,0,0,'Données projet'!$E$12+1,1))-AVERAGE(OFFSET($H$3,0,0,'Données projet'!$E$12+1,1))</f>
        <v>213.07277043804817</v>
      </c>
      <c r="CE81" s="62">
        <f t="shared" si="94"/>
        <v>129.14539883354166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17.909699567452208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17.909699567452208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5</v>
      </c>
      <c r="CT81" s="13">
        <f>IF('Données projet'!$A$140&gt;35,CT80+CS81-DB80,IF(A81&lt;'Données projet'!$A$140,$CQ$205^A81,IF(A81='Données projet'!$A$140,'Données projet'!$B$140,CT80+CS81-DB80)))</f>
        <v>158</v>
      </c>
      <c r="CU81" s="18">
        <f>CT81*VLOOKUP('Données projet'!$B$13,Paramètres!$A$1:$I$89,3,0)*VLOOKUP('Données projet'!$B$13,Paramètres!$A$1:$I$89,5,0)</f>
        <v>160.21200000000002</v>
      </c>
      <c r="CV81" s="14">
        <f t="shared" si="95"/>
        <v>40.890328912852695</v>
      </c>
      <c r="CW81" s="22">
        <f t="shared" si="67"/>
        <v>350.25322285655176</v>
      </c>
      <c r="CX81" s="62">
        <f t="shared" si="68"/>
        <v>643.58655618988507</v>
      </c>
      <c r="CY81" s="62">
        <f ca="1">AVERAGE(OFFSET($CX$3,0,0,'Données projet'!$E$13+1,1))-AVERAGE(OFFSET($H$3,0,0,'Données projet'!$E$13+1,1))</f>
        <v>247.92503505485405</v>
      </c>
      <c r="CZ81" s="62">
        <f t="shared" si="96"/>
        <v>148.26437652597514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20.071215032489551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20.071215032489551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3.5555555555555554</v>
      </c>
      <c r="DO81" s="13">
        <f>IF('Données projet'!$A$166&gt;35,DO80+DN81-DW80,IF(A81&lt;'Données projet'!$A$166,$DL$205^A81,IF(A81='Données projet'!$A$166,'Données projet'!$B$166,DO80+DN81-DW80)))</f>
        <v>111.33333333333334</v>
      </c>
      <c r="DP81" s="18">
        <f>DO81*VLOOKUP('Données projet'!$B$14,Paramètres!$A$1:$I$89,3,0)*VLOOKUP('Données projet'!$B$14,Paramètres!$A$1:$I$89,5,0)</f>
        <v>107.6816</v>
      </c>
      <c r="DQ81" s="14">
        <f t="shared" si="97"/>
        <v>28.784076101320089</v>
      </c>
      <c r="DR81" s="22">
        <f t="shared" si="70"/>
        <v>237.67771920979916</v>
      </c>
      <c r="DS81" s="62">
        <f t="shared" si="71"/>
        <v>531.01105254313245</v>
      </c>
      <c r="DT81" s="62">
        <f ca="1">AVERAGE(OFFSET($DS$3,0,0,'Données projet'!$E$14+1,1))-AVERAGE(OFFSET($H$3,0,0,'Données projet'!$E$14+1,1))</f>
        <v>154.0837760161366</v>
      </c>
      <c r="DU81" s="62">
        <f t="shared" si="98"/>
        <v>96.484500841546037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-5.6843418860808015E-14</v>
      </c>
      <c r="EK81" s="18">
        <f>EJ81*VLOOKUP('Données projet'!$B$15,Paramètres!$A$1:$I$89,3,0)*VLOOKUP('Données projet'!$B$15,Paramètres!$A$1:$I$89,5,0)</f>
        <v>-3.813056537183002E-14</v>
      </c>
      <c r="EL81" s="14" t="e">
        <f t="shared" si="99"/>
        <v>#NUM!</v>
      </c>
      <c r="EM81" s="22" t="e">
        <f t="shared" si="73"/>
        <v>#NUM!</v>
      </c>
      <c r="EN81" s="62" t="e">
        <f t="shared" si="74"/>
        <v>#NUM!</v>
      </c>
      <c r="EO81" s="62">
        <f ca="1">AVERAGE(OFFSET($EN$3,0,0,'Données projet'!$E$15+1,1))-AVERAGE(OFFSET($H$3,0,0,'Données projet'!$E$15+1,1))</f>
        <v>205.35893113421139</v>
      </c>
      <c r="EP81" s="62">
        <f t="shared" si="100"/>
        <v>220.4399811285175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82.414955367884772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82.414955367884772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-5.6843418860808015E-14</v>
      </c>
      <c r="FF81" s="18">
        <f>FE81*VLOOKUP('Données projet'!$B$16,Paramètres!$A$1:$I$89,3,0)*VLOOKUP('Données projet'!$B$16,Paramètres!$A$1:$I$89,5,0)</f>
        <v>-4.4337866711430253E-14</v>
      </c>
      <c r="FG81" s="14" t="e">
        <f t="shared" si="101"/>
        <v>#NUM!</v>
      </c>
      <c r="FH81" s="22" t="e">
        <f t="shared" si="76"/>
        <v>#NUM!</v>
      </c>
      <c r="FI81" s="62" t="e">
        <f t="shared" si="77"/>
        <v>#NUM!</v>
      </c>
      <c r="FJ81" s="62">
        <f ca="1">AVERAGE(OFFSET($FI$3,0,0,'Données projet'!$E$16+1,1))-AVERAGE(OFFSET($H$3,0,0,'Données projet'!$E$16+1,1))</f>
        <v>242.81177364426878</v>
      </c>
      <c r="FK81" s="62">
        <f t="shared" si="102"/>
        <v>260.72115764896671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77.749957894230917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77.749957894230917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-5.6843418860808015E-14</v>
      </c>
      <c r="GA81" s="18">
        <f>FZ81*VLOOKUP('Données projet'!$B$17,Paramètres!$A$1:$I$89,3,0)*VLOOKUP('Données projet'!$B$17,Paramètres!$A$1:$I$89,5,0)</f>
        <v>-4.5224624045658861E-14</v>
      </c>
      <c r="GB81" s="14" t="e">
        <f t="shared" si="103"/>
        <v>#NUM!</v>
      </c>
      <c r="GC81" s="22" t="e">
        <f t="shared" si="79"/>
        <v>#NUM!</v>
      </c>
      <c r="GD81" s="62" t="e">
        <f t="shared" si="80"/>
        <v>#NUM!</v>
      </c>
      <c r="GE81" s="62">
        <f ca="1">AVERAGE(OFFSET($GD$3,0,0,'Données projet'!$E$17+1,1))-AVERAGE(OFFSET($H$3,0,0,'Données projet'!$E$17+1,1))</f>
        <v>248.15263300983543</v>
      </c>
      <c r="GF81" s="62">
        <f t="shared" si="104"/>
        <v>266.46511459244618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97.747970320049376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97.747970320049376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382.55387448074327</v>
      </c>
      <c r="T82" s="62">
        <f t="shared" si="88"/>
        <v>476.29465646955543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177.6316434615276</v>
      </c>
      <c r="AA82" s="23">
        <f>EXP(-LN(2)/25)*AA81+(1-EXP(-LN(2)/25))/(LN(2)/25)*Calculateur!V82*Calculateur!X82*VLOOKUP('Données projet'!$B$9,Paramètres!$A$1:$I$89,3,0)*0.475*44/12</f>
        <v>38.042363646681409</v>
      </c>
      <c r="AB82" s="23">
        <f>EXP(-LN(2)/2)*AB81+(1-EXP(-LN(2)/2))/(LN(2)/2)*V82*Y82*VLOOKUP('Données projet'!$B$9,Paramètres!$A$1:$I$89,3,0)*0.475*44/12</f>
        <v>7.7782920384211418E-2</v>
      </c>
      <c r="AC82" s="24">
        <f t="shared" si="57"/>
        <v>215.75179002859323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-1.7053025658242404E-13</v>
      </c>
      <c r="AJ82" s="14">
        <f>AI82*VLOOKUP('Données projet'!$B$10,Paramètres!$A$1:$I$89,3,0)*VLOOKUP('Données projet'!$B$10,Paramètres!$A$1:$I$89,5,0)</f>
        <v>-1.064108801074326E-13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482.28841373508675</v>
      </c>
      <c r="AO82" s="62">
        <f t="shared" si="90"/>
        <v>746.97309214631684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332.12118930792957</v>
      </c>
      <c r="AV82" s="23">
        <f>EXP(-LN(2)/25)*AV81+(1-EXP(-LN(2)/25))/(LN(2)/25)*Calculateur!AQ82*Calculateur!AS82*VLOOKUP('Données projet'!$B$10,Paramètres!$A$1:$I$89,3,0)*0.475*44/12</f>
        <v>71.331040594153393</v>
      </c>
      <c r="AW82" s="23">
        <f>EXP(-LN(2)/2)*AW81+(1-EXP(-LN(2)/2))/(LN(2)/2)*AQ82*AT82*VLOOKUP('Données projet'!$B$10,Paramètres!$A$1:$I$89,3,0)*0.475*44/12</f>
        <v>29.053873682008788</v>
      </c>
      <c r="AX82" s="23">
        <f t="shared" si="60"/>
        <v>432.50610358409176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-1.7053025658242404E-13</v>
      </c>
      <c r="BE82" s="14">
        <f>BD82*VLOOKUP('Données projet'!$B$11,Paramètres!$A$1:$I$89,3,0)*VLOOKUP('Données projet'!$B$11,Paramètres!$A$1:$I$89,5,0)</f>
        <v>-9.3109520094003535E-14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417.99456559608217</v>
      </c>
      <c r="BJ82" s="62">
        <f t="shared" si="92"/>
        <v>651.41353014863932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290.60604064443839</v>
      </c>
      <c r="BQ82" s="23">
        <f>EXP(-LN(2)/25)*BQ81+(1-EXP(-LN(2)/25))/(LN(2)/25)*Calculateur!BL82*Calculateur!BN82*VLOOKUP('Données projet'!$B$11,Paramètres!$A$1:$I$89,3,0)*0.475*44/12</f>
        <v>63.157692192739987</v>
      </c>
      <c r="BR82" s="23">
        <f>EXP(-LN(2)/2)*BR81+(1-EXP(-LN(2)/2))/(LN(2)/2)*BL82*BO82*VLOOKUP('Données projet'!$B$11,Paramètres!$A$1:$I$89,3,0)*0.475*44/12</f>
        <v>25.036955540367416</v>
      </c>
      <c r="BS82" s="24">
        <f t="shared" si="63"/>
        <v>378.80068837754584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5</v>
      </c>
      <c r="BY82" s="13">
        <f>IF('Données projet'!$A$114&gt;35,BY81+BX82-CG81,IF(A82&lt;'Données projet'!$A$114,$BV$205^A82,IF(A82='Données projet'!$A$114,'Données projet'!$B$114,BY81+BX82-CG81)))</f>
        <v>163</v>
      </c>
      <c r="BZ82" s="14">
        <f>BY82*VLOOKUP('Données projet'!$B$12,Paramètres!$A$1:$I$89,3,0)*VLOOKUP('Données projet'!$B$12,Paramètres!$A$1:$I$89,5,0)</f>
        <v>147.48239999999998</v>
      </c>
      <c r="CA82" s="14">
        <f t="shared" si="93"/>
        <v>38.005889588171215</v>
      </c>
      <c r="CB82" s="22">
        <f t="shared" si="64"/>
        <v>323.0587710327315</v>
      </c>
      <c r="CC82" s="62">
        <f t="shared" si="65"/>
        <v>616.39210436606481</v>
      </c>
      <c r="CD82" s="62">
        <f ca="1">AVERAGE(OFFSET($CC$3,0,0,'Données projet'!$E$12+1,1))-AVERAGE(OFFSET($H$3,0,0,'Données projet'!$E$12+1,1))</f>
        <v>213.07277043804817</v>
      </c>
      <c r="CE82" s="62">
        <f t="shared" si="94"/>
        <v>129.14539883354166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17.558501282772568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17.558501282772568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5</v>
      </c>
      <c r="CT82" s="13">
        <f>IF('Données projet'!$A$140&gt;35,CT81+CS82-DB81,IF(A82&lt;'Données projet'!$A$140,$CQ$205^A82,IF(A82='Données projet'!$A$140,'Données projet'!$B$140,CT81+CS82-DB81)))</f>
        <v>163</v>
      </c>
      <c r="CU82" s="18">
        <f>CT82*VLOOKUP('Données projet'!$B$13,Paramètres!$A$1:$I$89,3,0)*VLOOKUP('Données projet'!$B$13,Paramètres!$A$1:$I$89,5,0)</f>
        <v>165.28200000000001</v>
      </c>
      <c r="CV82" s="14">
        <f t="shared" si="95"/>
        <v>42.031623878204442</v>
      </c>
      <c r="CW82" s="22">
        <f t="shared" si="67"/>
        <v>361.07122825453939</v>
      </c>
      <c r="CX82" s="62">
        <f t="shared" si="68"/>
        <v>654.40456158787265</v>
      </c>
      <c r="CY82" s="62">
        <f ca="1">AVERAGE(OFFSET($CX$3,0,0,'Données projet'!$E$13+1,1))-AVERAGE(OFFSET($H$3,0,0,'Données projet'!$E$13+1,1))</f>
        <v>247.92503505485405</v>
      </c>
      <c r="CZ82" s="62">
        <f t="shared" si="96"/>
        <v>148.26437652597514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19.677630747934781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19.677630747934781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3.5555555555555554</v>
      </c>
      <c r="DO82" s="13">
        <f>IF('Données projet'!$A$166&gt;35,DO81+DN82-DW81,IF(A82&lt;'Données projet'!$A$166,$DL$205^A82,IF(A82='Données projet'!$A$166,'Données projet'!$B$166,DO81+DN82-DW81)))</f>
        <v>114.8888888888889</v>
      </c>
      <c r="DP82" s="18">
        <f>DO82*VLOOKUP('Données projet'!$B$14,Paramètres!$A$1:$I$89,3,0)*VLOOKUP('Données projet'!$B$14,Paramètres!$A$1:$I$89,5,0)</f>
        <v>111.12053333333336</v>
      </c>
      <c r="DQ82" s="14">
        <f t="shared" si="97"/>
        <v>29.594835036000855</v>
      </c>
      <c r="DR82" s="22">
        <f t="shared" si="70"/>
        <v>245.07926657659041</v>
      </c>
      <c r="DS82" s="62">
        <f t="shared" si="71"/>
        <v>538.41259990992376</v>
      </c>
      <c r="DT82" s="62">
        <f ca="1">AVERAGE(OFFSET($DS$3,0,0,'Données projet'!$E$14+1,1))-AVERAGE(OFFSET($H$3,0,0,'Données projet'!$E$14+1,1))</f>
        <v>154.0837760161366</v>
      </c>
      <c r="DU82" s="62">
        <f t="shared" si="98"/>
        <v>96.484500841546037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-5.6843418860808015E-14</v>
      </c>
      <c r="EK82" s="18">
        <f>EJ82*VLOOKUP('Données projet'!$B$15,Paramètres!$A$1:$I$89,3,0)*VLOOKUP('Données projet'!$B$15,Paramètres!$A$1:$I$89,5,0)</f>
        <v>-3.813056537183002E-14</v>
      </c>
      <c r="EL82" s="14" t="e">
        <f t="shared" si="99"/>
        <v>#NUM!</v>
      </c>
      <c r="EM82" s="22" t="e">
        <f t="shared" si="73"/>
        <v>#NUM!</v>
      </c>
      <c r="EN82" s="62" t="e">
        <f t="shared" si="74"/>
        <v>#NUM!</v>
      </c>
      <c r="EO82" s="62">
        <f ca="1">AVERAGE(OFFSET($EN$3,0,0,'Données projet'!$E$15+1,1))-AVERAGE(OFFSET($H$3,0,0,'Données projet'!$E$15+1,1))</f>
        <v>205.35893113421139</v>
      </c>
      <c r="EP82" s="62">
        <f t="shared" si="100"/>
        <v>220.4399811285175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80.798848361279752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80.798848361279752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-5.6843418860808015E-14</v>
      </c>
      <c r="FF82" s="18">
        <f>FE82*VLOOKUP('Données projet'!$B$16,Paramètres!$A$1:$I$89,3,0)*VLOOKUP('Données projet'!$B$16,Paramètres!$A$1:$I$89,5,0)</f>
        <v>-4.4337866711430253E-14</v>
      </c>
      <c r="FG82" s="14" t="e">
        <f t="shared" si="101"/>
        <v>#NUM!</v>
      </c>
      <c r="FH82" s="22" t="e">
        <f t="shared" si="76"/>
        <v>#NUM!</v>
      </c>
      <c r="FI82" s="62" t="e">
        <f t="shared" si="77"/>
        <v>#NUM!</v>
      </c>
      <c r="FJ82" s="62">
        <f ca="1">AVERAGE(OFFSET($FI$3,0,0,'Données projet'!$E$16+1,1))-AVERAGE(OFFSET($H$3,0,0,'Données projet'!$E$16+1,1))</f>
        <v>242.81177364426878</v>
      </c>
      <c r="FK82" s="62">
        <f t="shared" si="102"/>
        <v>260.72115764896671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76.225328642716747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76.225328642716747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-5.6843418860808015E-14</v>
      </c>
      <c r="GA82" s="18">
        <f>FZ82*VLOOKUP('Données projet'!$B$17,Paramètres!$A$1:$I$89,3,0)*VLOOKUP('Données projet'!$B$17,Paramètres!$A$1:$I$89,5,0)</f>
        <v>-4.5224624045658861E-14</v>
      </c>
      <c r="GB82" s="14" t="e">
        <f t="shared" si="103"/>
        <v>#NUM!</v>
      </c>
      <c r="GC82" s="22" t="e">
        <f t="shared" si="79"/>
        <v>#NUM!</v>
      </c>
      <c r="GD82" s="62" t="e">
        <f t="shared" si="80"/>
        <v>#NUM!</v>
      </c>
      <c r="GE82" s="62">
        <f ca="1">AVERAGE(OFFSET($GD$3,0,0,'Données projet'!$E$17+1,1))-AVERAGE(OFFSET($H$3,0,0,'Données projet'!$E$17+1,1))</f>
        <v>248.15263300983543</v>
      </c>
      <c r="GF82" s="62">
        <f t="shared" si="104"/>
        <v>266.46511459244618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95.831192242448083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95.831192242448083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382.55387448074327</v>
      </c>
      <c r="T83" s="62">
        <f t="shared" si="88"/>
        <v>476.29465646955543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174.14839527785142</v>
      </c>
      <c r="AA83" s="23">
        <f>EXP(-LN(2)/25)*AA82+(1-EXP(-LN(2)/25))/(LN(2)/25)*Calculateur!V83*Calculateur!X83*VLOOKUP('Données projet'!$B$9,Paramètres!$A$1:$I$89,3,0)*0.475*44/12</f>
        <v>37.002093212201949</v>
      </c>
      <c r="AB83" s="23">
        <f>EXP(-LN(2)/2)*AB82+(1-EXP(-LN(2)/2))/(LN(2)/2)*V83*Y83*VLOOKUP('Données projet'!$B$9,Paramètres!$A$1:$I$89,3,0)*0.475*44/12</f>
        <v>5.5000830464169231E-2</v>
      </c>
      <c r="AC83" s="24">
        <f t="shared" si="57"/>
        <v>211.20548932051753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-1.7053025658242404E-13</v>
      </c>
      <c r="AJ83" s="14">
        <f>AI83*VLOOKUP('Données projet'!$B$10,Paramètres!$A$1:$I$89,3,0)*VLOOKUP('Données projet'!$B$10,Paramètres!$A$1:$I$89,5,0)</f>
        <v>-1.064108801074326E-13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482.28841373508675</v>
      </c>
      <c r="AO83" s="62">
        <f t="shared" si="90"/>
        <v>746.97309214631684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325.60849535952406</v>
      </c>
      <c r="AV83" s="23">
        <f>EXP(-LN(2)/25)*AV82+(1-EXP(-LN(2)/25))/(LN(2)/25)*Calculateur!AQ83*Calculateur!AS83*VLOOKUP('Données projet'!$B$10,Paramètres!$A$1:$I$89,3,0)*0.475*44/12</f>
        <v>69.380489537969879</v>
      </c>
      <c r="AW83" s="23">
        <f>EXP(-LN(2)/2)*AW82+(1-EXP(-LN(2)/2))/(LN(2)/2)*AQ83*AT83*VLOOKUP('Données projet'!$B$10,Paramètres!$A$1:$I$89,3,0)*0.475*44/12</f>
        <v>20.544191100285783</v>
      </c>
      <c r="AX83" s="23">
        <f t="shared" si="60"/>
        <v>415.53317599777972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-1.7053025658242404E-13</v>
      </c>
      <c r="BE83" s="14">
        <f>BD83*VLOOKUP('Données projet'!$B$11,Paramètres!$A$1:$I$89,3,0)*VLOOKUP('Données projet'!$B$11,Paramètres!$A$1:$I$89,5,0)</f>
        <v>-9.3109520094003535E-14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417.99456559608217</v>
      </c>
      <c r="BJ83" s="62">
        <f t="shared" si="92"/>
        <v>651.41353014863932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284.90743343958354</v>
      </c>
      <c r="BQ83" s="23">
        <f>EXP(-LN(2)/25)*BQ82+(1-EXP(-LN(2)/25))/(LN(2)/25)*Calculateur!BL83*Calculateur!BN83*VLOOKUP('Données projet'!$B$11,Paramètres!$A$1:$I$89,3,0)*0.475*44/12</f>
        <v>61.430641778410831</v>
      </c>
      <c r="BR83" s="23">
        <f>EXP(-LN(2)/2)*BR82+(1-EXP(-LN(2)/2))/(LN(2)/2)*BL83*BO83*VLOOKUP('Données projet'!$B$11,Paramètres!$A$1:$I$89,3,0)*0.475*44/12</f>
        <v>17.703801042859901</v>
      </c>
      <c r="BS83" s="24">
        <f t="shared" si="63"/>
        <v>364.04187626085428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5</v>
      </c>
      <c r="BY83" s="13">
        <f>IF('Données projet'!$A$114&gt;35,BY82+BX83-CG82,IF(A83&lt;'Données projet'!$A$114,$BV$205^A83,IF(A83='Données projet'!$A$114,'Données projet'!$B$114,BY82+BX83-CG82)))</f>
        <v>168</v>
      </c>
      <c r="BZ83" s="14">
        <f>BY83*VLOOKUP('Données projet'!$B$12,Paramètres!$A$1:$I$89,3,0)*VLOOKUP('Données projet'!$B$12,Paramètres!$A$1:$I$89,5,0)</f>
        <v>152.00640000000001</v>
      </c>
      <c r="CA83" s="14">
        <f t="shared" si="93"/>
        <v>39.03419401656145</v>
      </c>
      <c r="CB83" s="22">
        <f t="shared" si="64"/>
        <v>332.72903457884451</v>
      </c>
      <c r="CC83" s="62">
        <f t="shared" si="65"/>
        <v>626.06236791217782</v>
      </c>
      <c r="CD83" s="62">
        <f ca="1">AVERAGE(OFFSET($CC$3,0,0,'Données projet'!$E$12+1,1))-AVERAGE(OFFSET($H$3,0,0,'Données projet'!$E$12+1,1))</f>
        <v>213.07277043804817</v>
      </c>
      <c r="CE83" s="62">
        <f t="shared" si="94"/>
        <v>129.14539883354166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17.214189782245693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17.214189782245693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5</v>
      </c>
      <c r="CT83" s="13">
        <f>IF('Données projet'!$A$140&gt;35,CT82+CS83-DB82,IF(A83&lt;'Données projet'!$A$140,$CQ$205^A83,IF(A83='Données projet'!$A$140,'Données projet'!$B$140,CT82+CS83-DB82)))</f>
        <v>168</v>
      </c>
      <c r="CU83" s="18">
        <f>CT83*VLOOKUP('Données projet'!$B$13,Paramètres!$A$1:$I$89,3,0)*VLOOKUP('Données projet'!$B$13,Paramètres!$A$1:$I$89,5,0)</f>
        <v>170.352</v>
      </c>
      <c r="CV83" s="14">
        <f t="shared" si="95"/>
        <v>43.168850382694451</v>
      </c>
      <c r="CW83" s="22">
        <f t="shared" si="67"/>
        <v>371.88214774985948</v>
      </c>
      <c r="CX83" s="62">
        <f t="shared" si="68"/>
        <v>665.2154810831928</v>
      </c>
      <c r="CY83" s="62">
        <f ca="1">AVERAGE(OFFSET($CX$3,0,0,'Données projet'!$E$13+1,1))-AVERAGE(OFFSET($H$3,0,0,'Données projet'!$E$13+1,1))</f>
        <v>247.92503505485405</v>
      </c>
      <c r="CZ83" s="62">
        <f t="shared" si="96"/>
        <v>148.26437652597514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19.291764411137422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19.291764411137422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3.5555555555555554</v>
      </c>
      <c r="DO83" s="13">
        <f>IF('Données projet'!$A$166&gt;35,DO82+DN83-DW82,IF(A83&lt;'Données projet'!$A$166,$DL$205^A83,IF(A83='Données projet'!$A$166,'Données projet'!$B$166,DO82+DN83-DW82)))</f>
        <v>118.44444444444446</v>
      </c>
      <c r="DP83" s="18">
        <f>DO83*VLOOKUP('Données projet'!$B$14,Paramètres!$A$1:$I$89,3,0)*VLOOKUP('Données projet'!$B$14,Paramètres!$A$1:$I$89,5,0)</f>
        <v>114.55946666666669</v>
      </c>
      <c r="DQ83" s="14">
        <f t="shared" si="97"/>
        <v>30.402678119094769</v>
      </c>
      <c r="DR83" s="22">
        <f t="shared" si="70"/>
        <v>252.47573550186789</v>
      </c>
      <c r="DS83" s="62">
        <f t="shared" si="71"/>
        <v>545.80906883520117</v>
      </c>
      <c r="DT83" s="62">
        <f ca="1">AVERAGE(OFFSET($DS$3,0,0,'Données projet'!$E$14+1,1))-AVERAGE(OFFSET($H$3,0,0,'Données projet'!$E$14+1,1))</f>
        <v>154.0837760161366</v>
      </c>
      <c r="DU83" s="62">
        <f t="shared" si="98"/>
        <v>96.484500841546037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-5.6843418860808015E-14</v>
      </c>
      <c r="EK83" s="18">
        <f>EJ83*VLOOKUP('Données projet'!$B$15,Paramètres!$A$1:$I$89,3,0)*VLOOKUP('Données projet'!$B$15,Paramètres!$A$1:$I$89,5,0)</f>
        <v>-3.813056537183002E-14</v>
      </c>
      <c r="EL83" s="14" t="e">
        <f t="shared" si="99"/>
        <v>#NUM!</v>
      </c>
      <c r="EM83" s="22" t="e">
        <f t="shared" si="73"/>
        <v>#NUM!</v>
      </c>
      <c r="EN83" s="62" t="e">
        <f t="shared" si="74"/>
        <v>#NUM!</v>
      </c>
      <c r="EO83" s="62">
        <f ca="1">AVERAGE(OFFSET($EN$3,0,0,'Données projet'!$E$15+1,1))-AVERAGE(OFFSET($H$3,0,0,'Données projet'!$E$15+1,1))</f>
        <v>205.35893113421139</v>
      </c>
      <c r="EP83" s="62">
        <f t="shared" si="100"/>
        <v>220.4399811285175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79.214432227346322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79.214432227346322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-5.6843418860808015E-14</v>
      </c>
      <c r="FF83" s="18">
        <f>FE83*VLOOKUP('Données projet'!$B$16,Paramètres!$A$1:$I$89,3,0)*VLOOKUP('Données projet'!$B$16,Paramètres!$A$1:$I$89,5,0)</f>
        <v>-4.4337866711430253E-14</v>
      </c>
      <c r="FG83" s="14" t="e">
        <f t="shared" si="101"/>
        <v>#NUM!</v>
      </c>
      <c r="FH83" s="22" t="e">
        <f t="shared" si="76"/>
        <v>#NUM!</v>
      </c>
      <c r="FI83" s="62" t="e">
        <f t="shared" si="77"/>
        <v>#NUM!</v>
      </c>
      <c r="FJ83" s="62">
        <f ca="1">AVERAGE(OFFSET($FI$3,0,0,'Données projet'!$E$16+1,1))-AVERAGE(OFFSET($H$3,0,0,'Données projet'!$E$16+1,1))</f>
        <v>242.81177364426878</v>
      </c>
      <c r="FK83" s="62">
        <f t="shared" si="102"/>
        <v>260.72115764896671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74.730596440892754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74.730596440892754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-5.6843418860808015E-14</v>
      </c>
      <c r="GA83" s="18">
        <f>FZ83*VLOOKUP('Données projet'!$B$17,Paramètres!$A$1:$I$89,3,0)*VLOOKUP('Données projet'!$B$17,Paramètres!$A$1:$I$89,5,0)</f>
        <v>-4.5224624045658861E-14</v>
      </c>
      <c r="GB83" s="14" t="e">
        <f t="shared" si="103"/>
        <v>#NUM!</v>
      </c>
      <c r="GC83" s="22" t="e">
        <f t="shared" si="79"/>
        <v>#NUM!</v>
      </c>
      <c r="GD83" s="62" t="e">
        <f t="shared" si="80"/>
        <v>#NUM!</v>
      </c>
      <c r="GE83" s="62">
        <f ca="1">AVERAGE(OFFSET($GD$3,0,0,'Données projet'!$E$17+1,1))-AVERAGE(OFFSET($H$3,0,0,'Données projet'!$E$17+1,1))</f>
        <v>248.15263300983543</v>
      </c>
      <c r="GF83" s="62">
        <f t="shared" si="104"/>
        <v>266.46511459244618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93.95200101382936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93.95200101382936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382.55387448074327</v>
      </c>
      <c r="T84" s="62">
        <f t="shared" si="88"/>
        <v>476.29465646955543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170.73345146648552</v>
      </c>
      <c r="AA84" s="23">
        <f>EXP(-LN(2)/25)*AA83+(1-EXP(-LN(2)/25))/(LN(2)/25)*Calculateur!V84*Calculateur!X84*VLOOKUP('Données projet'!$B$9,Paramètres!$A$1:$I$89,3,0)*0.475*44/12</f>
        <v>35.990269027458773</v>
      </c>
      <c r="AB84" s="23">
        <f>EXP(-LN(2)/2)*AB83+(1-EXP(-LN(2)/2))/(LN(2)/2)*V84*Y84*VLOOKUP('Données projet'!$B$9,Paramètres!$A$1:$I$89,3,0)*0.475*44/12</f>
        <v>3.8891460192105709E-2</v>
      </c>
      <c r="AC84" s="24">
        <f t="shared" si="57"/>
        <v>206.76261195413639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-1.7053025658242404E-13</v>
      </c>
      <c r="AJ84" s="14">
        <f>AI84*VLOOKUP('Données projet'!$B$10,Paramètres!$A$1:$I$89,3,0)*VLOOKUP('Données projet'!$B$10,Paramètres!$A$1:$I$89,5,0)</f>
        <v>-1.064108801074326E-13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482.28841373508675</v>
      </c>
      <c r="AO84" s="62">
        <f t="shared" si="90"/>
        <v>746.97309214631684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319.22351136709568</v>
      </c>
      <c r="AV84" s="23">
        <f>EXP(-LN(2)/25)*AV83+(1-EXP(-LN(2)/25))/(LN(2)/25)*Calculateur!AQ84*Calculateur!AS84*VLOOKUP('Données projet'!$B$10,Paramètres!$A$1:$I$89,3,0)*0.475*44/12</f>
        <v>67.483276402992715</v>
      </c>
      <c r="AW84" s="23">
        <f>EXP(-LN(2)/2)*AW83+(1-EXP(-LN(2)/2))/(LN(2)/2)*AQ84*AT84*VLOOKUP('Données projet'!$B$10,Paramètres!$A$1:$I$89,3,0)*0.475*44/12</f>
        <v>14.526936841004398</v>
      </c>
      <c r="AX84" s="23">
        <f t="shared" si="60"/>
        <v>401.23372461109278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-1.7053025658242404E-13</v>
      </c>
      <c r="BE84" s="14">
        <f>BD84*VLOOKUP('Données projet'!$B$11,Paramètres!$A$1:$I$89,3,0)*VLOOKUP('Données projet'!$B$11,Paramètres!$A$1:$I$89,5,0)</f>
        <v>-9.3109520094003535E-14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417.99456559608217</v>
      </c>
      <c r="BJ84" s="62">
        <f t="shared" si="92"/>
        <v>651.41353014863932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279.3205724462087</v>
      </c>
      <c r="BQ84" s="23">
        <f>EXP(-LN(2)/25)*BQ83+(1-EXP(-LN(2)/25))/(LN(2)/25)*Calculateur!BL84*Calculateur!BN84*VLOOKUP('Données projet'!$B$11,Paramètres!$A$1:$I$89,3,0)*0.475*44/12</f>
        <v>59.750817648483135</v>
      </c>
      <c r="BR84" s="23">
        <f>EXP(-LN(2)/2)*BR83+(1-EXP(-LN(2)/2))/(LN(2)/2)*BL84*BO84*VLOOKUP('Données projet'!$B$11,Paramètres!$A$1:$I$89,3,0)*0.475*44/12</f>
        <v>12.518477770183708</v>
      </c>
      <c r="BS84" s="24">
        <f t="shared" si="63"/>
        <v>351.58986786487554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>
        <f>VLOOKUP(A84,'Données projet'!$A$113:$I$133,2,0)</f>
        <v>173</v>
      </c>
      <c r="BW84" s="13">
        <f>VLOOKUP(A84,'Données projet'!$A$113:$I$133,9,0)</f>
        <v>5</v>
      </c>
      <c r="BX84" s="13">
        <f t="array" ref="BX84">INDEX(BW:BW,MIN(IF(ISNUMBER(BW84:BW280),ROW(BW84:BW280),"")))</f>
        <v>5</v>
      </c>
      <c r="BY84" s="13">
        <f>IF('Données projet'!$A$114&gt;35,BY83+BX84-CG83,IF(A84&lt;'Données projet'!$A$114,$BV$205^A84,IF(A84='Données projet'!$A$114,'Données projet'!$B$114,BY83+BX84-CG83)))</f>
        <v>173</v>
      </c>
      <c r="BZ84" s="14">
        <f>BY84*VLOOKUP('Données projet'!$B$12,Paramètres!$A$1:$I$89,3,0)*VLOOKUP('Données projet'!$B$12,Paramètres!$A$1:$I$89,5,0)</f>
        <v>156.53039999999999</v>
      </c>
      <c r="CA84" s="14">
        <f t="shared" si="93"/>
        <v>40.058941713182037</v>
      </c>
      <c r="CB84" s="22">
        <f t="shared" si="64"/>
        <v>342.393103483792</v>
      </c>
      <c r="CC84" s="62">
        <f t="shared" si="65"/>
        <v>635.72643681712532</v>
      </c>
      <c r="CD84" s="62">
        <f ca="1">AVERAGE(OFFSET($CC$3,0,0,'Données projet'!$E$12+1,1))-AVERAGE(OFFSET($H$3,0,0,'Données projet'!$E$12+1,1))</f>
        <v>213.07277043804817</v>
      </c>
      <c r="CE84" s="62">
        <f t="shared" si="94"/>
        <v>129.14539883354166</v>
      </c>
      <c r="CF84" s="16">
        <f>IF(ISNA(VLOOKUP(A84,'Données projet'!$A$113:$I$133,3,0)),0,VLOOKUP(A84,'Données projet'!$A$113:$I$133,3,0))</f>
        <v>6</v>
      </c>
      <c r="CG84" s="16">
        <f>IF(ISNA(VLOOKUP(A84,'Données projet'!$A$113:$I$133,4,0)),0,VLOOKUP(A84,'Données projet'!$A$113:$I$133,4,0))</f>
        <v>31</v>
      </c>
      <c r="CH84" s="17">
        <f>IF(ISNA(VLOOKUP(A84,'Données projet'!$A$113:$I$133,5,0)),0%,VLOOKUP(A84,'Données projet'!$A$113:$I$133,5,0)*VLOOKUP('Données projet'!$B$12,Paramètres!$A$1:$I$89,7,0))</f>
        <v>0.30099999999999999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26.209772412249457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26.209772412249457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>
        <f>VLOOKUP(A84,'Données projet'!$A$139:$I$159,2,0)</f>
        <v>173</v>
      </c>
      <c r="CR84" s="13">
        <f>VLOOKUP(A84,'Données projet'!$A$139:$I$159,9,0)</f>
        <v>5</v>
      </c>
      <c r="CS84" s="13">
        <f t="array" ref="CS84">INDEX(CR:CR,MIN(IF(ISNUMBER(CR84:CR280),ROW(CR84:CR280),"")))</f>
        <v>5</v>
      </c>
      <c r="CT84" s="13">
        <f>IF('Données projet'!$A$140&gt;35,CT83+CS84-DB83,IF(A84&lt;'Données projet'!$A$140,$CQ$205^A84,IF(A84='Données projet'!$A$140,'Données projet'!$B$140,CT83+CS84-DB83)))</f>
        <v>173</v>
      </c>
      <c r="CU84" s="18">
        <f>CT84*VLOOKUP('Données projet'!$B$13,Paramètres!$A$1:$I$89,3,0)*VLOOKUP('Données projet'!$B$13,Paramètres!$A$1:$I$89,5,0)</f>
        <v>175.422</v>
      </c>
      <c r="CV84" s="14">
        <f t="shared" si="95"/>
        <v>44.302143412304737</v>
      </c>
      <c r="CW84" s="22">
        <f t="shared" si="67"/>
        <v>382.68621644309741</v>
      </c>
      <c r="CX84" s="62">
        <f t="shared" si="68"/>
        <v>676.01954977643072</v>
      </c>
      <c r="CY84" s="62">
        <f ca="1">AVERAGE(OFFSET($CX$3,0,0,'Données projet'!$E$13+1,1))-AVERAGE(OFFSET($H$3,0,0,'Données projet'!$E$13+1,1))</f>
        <v>247.92503505485405</v>
      </c>
      <c r="CZ84" s="62">
        <f t="shared" si="96"/>
        <v>148.26437652597514</v>
      </c>
      <c r="DA84" s="16">
        <f>IF(ISNA(VLOOKUP(A84,'Données projet'!$A$139:$I$159,3,0)),0,VLOOKUP(A84,'Données projet'!$A$139:$I$159,3,0))</f>
        <v>6</v>
      </c>
      <c r="DB84" s="16">
        <f>IF(ISNA(VLOOKUP(A84,'Données projet'!$A$139:$I$159,4,0)),0,VLOOKUP(A84,'Données projet'!$A$139:$I$159,4,0))</f>
        <v>31</v>
      </c>
      <c r="DC84" s="17">
        <f>IF(ISNA(VLOOKUP(A84,'Données projet'!$A$139:$I$159,5,0)),0%,VLOOKUP(A84,'Données projet'!$A$139:$I$159,5,0)*VLOOKUP('Données projet'!$B$13,Paramètres!$A$1:$I$89,7,0))</f>
        <v>0.30099999999999999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29.373020806831299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29.373020806831299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>
        <f>VLOOKUP(A84,'Données projet'!$A$165:$I$185,2,0)</f>
        <v>122</v>
      </c>
      <c r="DM84" s="13">
        <f>VLOOKUP(A84,'Données projet'!$A$165:$I$185,9,0)</f>
        <v>3.5555555555555554</v>
      </c>
      <c r="DN84" s="13">
        <f t="array" ref="DN84">INDEX(DM:DM,MIN(IF(ISNUMBER(DM84:DM280),ROW(DM84:DM280),"")))</f>
        <v>3.5555555555555554</v>
      </c>
      <c r="DO84" s="13">
        <f>IF('Données projet'!$A$166&gt;35,DO83+DN84-DW83,IF(A84&lt;'Données projet'!$A$166,$DL$205^A84,IF(A84='Données projet'!$A$166,'Données projet'!$B$166,DO83+DN84-DW83)))</f>
        <v>122.00000000000001</v>
      </c>
      <c r="DP84" s="18">
        <f>DO84*VLOOKUP('Données projet'!$B$14,Paramètres!$A$1:$I$89,3,0)*VLOOKUP('Données projet'!$B$14,Paramètres!$A$1:$I$89,5,0)</f>
        <v>117.99840000000003</v>
      </c>
      <c r="DQ84" s="14">
        <f t="shared" si="97"/>
        <v>31.207702928571202</v>
      </c>
      <c r="DR84" s="22">
        <f t="shared" si="70"/>
        <v>259.86729593392823</v>
      </c>
      <c r="DS84" s="62">
        <f t="shared" si="71"/>
        <v>553.20062926726155</v>
      </c>
      <c r="DT84" s="62">
        <f ca="1">AVERAGE(OFFSET($DS$3,0,0,'Données projet'!$E$14+1,1))-AVERAGE(OFFSET($H$3,0,0,'Données projet'!$E$14+1,1))</f>
        <v>154.0837760161366</v>
      </c>
      <c r="DU84" s="62">
        <f t="shared" si="98"/>
        <v>96.484500841546037</v>
      </c>
      <c r="DV84" s="16">
        <f>IF(ISNA(VLOOKUP(A84,'Données projet'!$A$165:$I$185,3,0)),0,VLOOKUP(A84,'Données projet'!$A$165:$I$185,3,0))</f>
        <v>4</v>
      </c>
      <c r="DW84" s="16">
        <f>IF(ISNA(VLOOKUP(A84,'Données projet'!$A$165:$I$185,4,0)),0,VLOOKUP(A84,'Données projet'!$A$165:$I$185,4,0))</f>
        <v>26</v>
      </c>
      <c r="DX84" s="17">
        <f>IF(ISNA(VLOOKUP(A84,'Données projet'!$A$165:$I$185,5,0)),0%,VLOOKUP(A84,'Données projet'!$A$165:$I$185,5,0)*VLOOKUP('Données projet'!$B$14,Paramètres!$A$1:$I$89,7,0))</f>
        <v>0.30099999999999999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8.3676449031854911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8.3676449031854911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-5.6843418860808015E-14</v>
      </c>
      <c r="EK84" s="18">
        <f>EJ84*VLOOKUP('Données projet'!$B$15,Paramètres!$A$1:$I$89,3,0)*VLOOKUP('Données projet'!$B$15,Paramètres!$A$1:$I$89,5,0)</f>
        <v>-3.813056537183002E-14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205.35893113421139</v>
      </c>
      <c r="EP84" s="62">
        <f t="shared" si="100"/>
        <v>220.4399811285175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77.661085527400914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77.661085527400914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-5.6843418860808015E-14</v>
      </c>
      <c r="FF84" s="18">
        <f>FE84*VLOOKUP('Données projet'!$B$16,Paramètres!$A$1:$I$89,3,0)*VLOOKUP('Données projet'!$B$16,Paramètres!$A$1:$I$89,5,0)</f>
        <v>-4.4337866711430253E-14</v>
      </c>
      <c r="FG84" s="14" t="e">
        <f t="shared" si="101"/>
        <v>#NUM!</v>
      </c>
      <c r="FH84" s="22" t="e">
        <f t="shared" si="76"/>
        <v>#NUM!</v>
      </c>
      <c r="FI84" s="62" t="e">
        <f t="shared" si="77"/>
        <v>#NUM!</v>
      </c>
      <c r="FJ84" s="62">
        <f ca="1">AVERAGE(OFFSET($FI$3,0,0,'Données projet'!$E$16+1,1))-AVERAGE(OFFSET($H$3,0,0,'Données projet'!$E$16+1,1))</f>
        <v>242.81177364426878</v>
      </c>
      <c r="FK84" s="62">
        <f t="shared" si="102"/>
        <v>260.72115764896671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73.265175025849913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73.265175025849913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-5.6843418860808015E-14</v>
      </c>
      <c r="GA84" s="18">
        <f>FZ84*VLOOKUP('Données projet'!$B$17,Paramètres!$A$1:$I$89,3,0)*VLOOKUP('Données projet'!$B$17,Paramètres!$A$1:$I$89,5,0)</f>
        <v>-4.5224624045658861E-14</v>
      </c>
      <c r="GB84" s="14" t="e">
        <f t="shared" si="103"/>
        <v>#NUM!</v>
      </c>
      <c r="GC84" s="22" t="e">
        <f t="shared" si="79"/>
        <v>#NUM!</v>
      </c>
      <c r="GD84" s="62" t="e">
        <f t="shared" si="80"/>
        <v>#NUM!</v>
      </c>
      <c r="GE84" s="62">
        <f ca="1">AVERAGE(OFFSET($GD$3,0,0,'Données projet'!$E$17+1,1))-AVERAGE(OFFSET($H$3,0,0,'Données projet'!$E$17+1,1))</f>
        <v>248.15263300983543</v>
      </c>
      <c r="GF84" s="62">
        <f t="shared" si="104"/>
        <v>266.46511459244618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92.109659579010383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92.109659579010383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382.55387448074327</v>
      </c>
      <c r="T85" s="62">
        <f t="shared" si="88"/>
        <v>476.29465646955543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167.38547262035044</v>
      </c>
      <c r="AA85" s="23">
        <f>EXP(-LN(2)/25)*AA84+(1-EXP(-LN(2)/25))/(LN(2)/25)*Calculateur!V85*Calculateur!X85*VLOOKUP('Données projet'!$B$9,Paramètres!$A$1:$I$89,3,0)*0.475*44/12</f>
        <v>35.006113228256922</v>
      </c>
      <c r="AB85" s="23">
        <f>EXP(-LN(2)/2)*AB84+(1-EXP(-LN(2)/2))/(LN(2)/2)*V85*Y85*VLOOKUP('Données projet'!$B$9,Paramètres!$A$1:$I$89,3,0)*0.475*44/12</f>
        <v>2.7500415232084616E-2</v>
      </c>
      <c r="AC85" s="24">
        <f t="shared" si="57"/>
        <v>202.41908626383943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-1.7053025658242404E-13</v>
      </c>
      <c r="AJ85" s="14">
        <f>AI85*VLOOKUP('Données projet'!$B$10,Paramètres!$A$1:$I$89,3,0)*VLOOKUP('Données projet'!$B$10,Paramètres!$A$1:$I$89,5,0)</f>
        <v>-1.064108801074326E-13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482.28841373508675</v>
      </c>
      <c r="AO85" s="62">
        <f t="shared" si="90"/>
        <v>746.97309214631684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312.96373301630314</v>
      </c>
      <c r="AV85" s="23">
        <f>EXP(-LN(2)/25)*AV84+(1-EXP(-LN(2)/25))/(LN(2)/25)*Calculateur!AQ85*Calculateur!AS85*VLOOKUP('Données projet'!$B$10,Paramètres!$A$1:$I$89,3,0)*0.475*44/12</f>
        <v>65.637942660961613</v>
      </c>
      <c r="AW85" s="23">
        <f>EXP(-LN(2)/2)*AW84+(1-EXP(-LN(2)/2))/(LN(2)/2)*AQ85*AT85*VLOOKUP('Données projet'!$B$10,Paramètres!$A$1:$I$89,3,0)*0.475*44/12</f>
        <v>10.272095550142893</v>
      </c>
      <c r="AX85" s="23">
        <f t="shared" si="60"/>
        <v>388.8737712274077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-1.7053025658242404E-13</v>
      </c>
      <c r="BE85" s="14">
        <f>BD85*VLOOKUP('Données projet'!$B$11,Paramètres!$A$1:$I$89,3,0)*VLOOKUP('Données projet'!$B$11,Paramètres!$A$1:$I$89,5,0)</f>
        <v>-9.3109520094003535E-14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417.99456559608217</v>
      </c>
      <c r="BJ85" s="62">
        <f t="shared" si="92"/>
        <v>651.41353014863932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273.84326638926524</v>
      </c>
      <c r="BQ85" s="23">
        <f>EXP(-LN(2)/25)*BQ84+(1-EXP(-LN(2)/25))/(LN(2)/25)*Calculateur!BL85*Calculateur!BN85*VLOOKUP('Données projet'!$B$11,Paramètres!$A$1:$I$89,3,0)*0.475*44/12</f>
        <v>58.116928397726426</v>
      </c>
      <c r="BR85" s="23">
        <f>EXP(-LN(2)/2)*BR84+(1-EXP(-LN(2)/2))/(LN(2)/2)*BL85*BO85*VLOOKUP('Données projet'!$B$11,Paramètres!$A$1:$I$89,3,0)*0.475*44/12</f>
        <v>8.8519005214299504</v>
      </c>
      <c r="BS85" s="24">
        <f t="shared" si="63"/>
        <v>340.81209530842165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4.666666666666667</v>
      </c>
      <c r="BY85" s="13">
        <f>IF('Données projet'!$A$114&gt;35,BY84+BX85-CG84,IF(A85&lt;'Données projet'!$A$114,$BV$205^A85,IF(A85='Données projet'!$A$114,'Données projet'!$B$114,BY84+BX85-CG84)))</f>
        <v>146.66666666666666</v>
      </c>
      <c r="BZ85" s="14">
        <f>BY85*VLOOKUP('Données projet'!$B$12,Paramètres!$A$1:$I$89,3,0)*VLOOKUP('Données projet'!$B$12,Paramètres!$A$1:$I$89,5,0)</f>
        <v>132.70399999999998</v>
      </c>
      <c r="CA85" s="14">
        <f t="shared" si="93"/>
        <v>34.620423755923817</v>
      </c>
      <c r="CB85" s="22">
        <f t="shared" si="64"/>
        <v>291.42337137490063</v>
      </c>
      <c r="CC85" s="62">
        <f t="shared" si="65"/>
        <v>584.75670470823388</v>
      </c>
      <c r="CD85" s="62">
        <f ca="1">AVERAGE(OFFSET($CC$3,0,0,'Données projet'!$E$12+1,1))-AVERAGE(OFFSET($H$3,0,0,'Données projet'!$E$12+1,1))</f>
        <v>213.07277043804817</v>
      </c>
      <c r="CE85" s="62">
        <f t="shared" si="94"/>
        <v>129.14539883354166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25.695814761627894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25.695814761627894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4.666666666666667</v>
      </c>
      <c r="CT85" s="13">
        <f>IF('Données projet'!$A$140&gt;35,CT84+CS85-DB84,IF(A85&lt;'Données projet'!$A$140,$CQ$205^A85,IF(A85='Données projet'!$A$140,'Données projet'!$B$140,CT84+CS85-DB84)))</f>
        <v>146.66666666666666</v>
      </c>
      <c r="CU85" s="18">
        <f>CT85*VLOOKUP('Données projet'!$B$13,Paramètres!$A$1:$I$89,3,0)*VLOOKUP('Données projet'!$B$13,Paramètres!$A$1:$I$89,5,0)</f>
        <v>148.72</v>
      </c>
      <c r="CV85" s="14">
        <f t="shared" si="95"/>
        <v>38.287556101987391</v>
      </c>
      <c r="CW85" s="22">
        <f t="shared" si="67"/>
        <v>325.70482687762802</v>
      </c>
      <c r="CX85" s="62">
        <f t="shared" si="68"/>
        <v>619.03816021096134</v>
      </c>
      <c r="CY85" s="62">
        <f ca="1">AVERAGE(OFFSET($CX$3,0,0,'Données projet'!$E$13+1,1))-AVERAGE(OFFSET($H$3,0,0,'Données projet'!$E$13+1,1))</f>
        <v>247.92503505485405</v>
      </c>
      <c r="CZ85" s="62">
        <f t="shared" si="96"/>
        <v>148.26437652597514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28.797033784582993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28.797033784582993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3.2222222222222223</v>
      </c>
      <c r="DO85" s="13">
        <f>IF('Données projet'!$A$166&gt;35,DO84+DN85-DW84,IF(A85&lt;'Données projet'!$A$166,$DL$205^A85,IF(A85='Données projet'!$A$166,'Données projet'!$B$166,DO84+DN85-DW84)))</f>
        <v>99.222222222222243</v>
      </c>
      <c r="DP85" s="18">
        <f>DO85*VLOOKUP('Données projet'!$B$14,Paramètres!$A$1:$I$89,3,0)*VLOOKUP('Données projet'!$B$14,Paramètres!$A$1:$I$89,5,0)</f>
        <v>95.967733333333356</v>
      </c>
      <c r="DQ85" s="14">
        <f t="shared" si="97"/>
        <v>25.999076659158032</v>
      </c>
      <c r="DR85" s="22">
        <f t="shared" si="70"/>
        <v>212.42552740358917</v>
      </c>
      <c r="DS85" s="62">
        <f t="shared" si="71"/>
        <v>505.75886073692249</v>
      </c>
      <c r="DT85" s="62">
        <f ca="1">AVERAGE(OFFSET($DS$3,0,0,'Données projet'!$E$14+1,1))-AVERAGE(OFFSET($H$3,0,0,'Données projet'!$E$14+1,1))</f>
        <v>154.0837760161366</v>
      </c>
      <c r="DU85" s="62">
        <f t="shared" si="98"/>
        <v>96.484500841546037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8.2035604903934605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8.2035604903934605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-5.6843418860808015E-14</v>
      </c>
      <c r="EK85" s="18">
        <f>EJ85*VLOOKUP('Données projet'!$B$15,Paramètres!$A$1:$I$89,3,0)*VLOOKUP('Données projet'!$B$15,Paramètres!$A$1:$I$89,5,0)</f>
        <v>-3.813056537183002E-14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205.35893113421139</v>
      </c>
      <c r="EP85" s="62">
        <f t="shared" si="100"/>
        <v>220.4399811285175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76.138199008793492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76.138199008793492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-5.6843418860808015E-14</v>
      </c>
      <c r="FF85" s="18">
        <f>FE85*VLOOKUP('Données projet'!$B$16,Paramètres!$A$1:$I$89,3,0)*VLOOKUP('Données projet'!$B$16,Paramètres!$A$1:$I$89,5,0)</f>
        <v>-4.4337866711430253E-14</v>
      </c>
      <c r="FG85" s="14" t="e">
        <f t="shared" si="101"/>
        <v>#NUM!</v>
      </c>
      <c r="FH85" s="22" t="e">
        <f t="shared" si="76"/>
        <v>#NUM!</v>
      </c>
      <c r="FI85" s="62" t="e">
        <f t="shared" si="77"/>
        <v>#NUM!</v>
      </c>
      <c r="FJ85" s="62">
        <f ca="1">AVERAGE(OFFSET($FI$3,0,0,'Données projet'!$E$16+1,1))-AVERAGE(OFFSET($H$3,0,0,'Données projet'!$E$16+1,1))</f>
        <v>242.81177364426878</v>
      </c>
      <c r="FK85" s="62">
        <f t="shared" si="102"/>
        <v>260.72115764896671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71.828489630937256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71.828489630937256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-5.6843418860808015E-14</v>
      </c>
      <c r="GA85" s="18">
        <f>FZ85*VLOOKUP('Données projet'!$B$17,Paramètres!$A$1:$I$89,3,0)*VLOOKUP('Données projet'!$B$17,Paramètres!$A$1:$I$89,5,0)</f>
        <v>-4.5224624045658861E-14</v>
      </c>
      <c r="GB85" s="14" t="e">
        <f t="shared" si="103"/>
        <v>#NUM!</v>
      </c>
      <c r="GC85" s="22" t="e">
        <f t="shared" si="79"/>
        <v>#NUM!</v>
      </c>
      <c r="GD85" s="62" t="e">
        <f t="shared" si="80"/>
        <v>#NUM!</v>
      </c>
      <c r="GE85" s="62">
        <f ca="1">AVERAGE(OFFSET($GD$3,0,0,'Données projet'!$E$17+1,1))-AVERAGE(OFFSET($H$3,0,0,'Données projet'!$E$17+1,1))</f>
        <v>248.15263300983543</v>
      </c>
      <c r="GF85" s="62">
        <f t="shared" si="104"/>
        <v>266.46511459244618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90.303445336010881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90.303445336010881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382.55387448074327</v>
      </c>
      <c r="T86" s="62">
        <f t="shared" si="88"/>
        <v>476.29465646955543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164.10314559732262</v>
      </c>
      <c r="AA86" s="23">
        <f>EXP(-LN(2)/25)*AA85+(1-EXP(-LN(2)/25))/(LN(2)/25)*Calculateur!V86*Calculateur!X86*VLOOKUP('Données projet'!$B$9,Paramètres!$A$1:$I$89,3,0)*0.475*44/12</f>
        <v>34.048869221138752</v>
      </c>
      <c r="AB86" s="23">
        <f>EXP(-LN(2)/2)*AB85+(1-EXP(-LN(2)/2))/(LN(2)/2)*V86*Y86*VLOOKUP('Données projet'!$B$9,Paramètres!$A$1:$I$89,3,0)*0.475*44/12</f>
        <v>1.9445730096052855E-2</v>
      </c>
      <c r="AC86" s="24">
        <f t="shared" si="57"/>
        <v>198.17146054855743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-1.7053025658242404E-13</v>
      </c>
      <c r="AJ86" s="14">
        <f>AI86*VLOOKUP('Données projet'!$B$10,Paramètres!$A$1:$I$89,3,0)*VLOOKUP('Données projet'!$B$10,Paramètres!$A$1:$I$89,5,0)</f>
        <v>-1.064108801074326E-13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482.28841373508675</v>
      </c>
      <c r="AO86" s="62">
        <f t="shared" si="90"/>
        <v>746.97309214631684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306.82670510088184</v>
      </c>
      <c r="AV86" s="23">
        <f>EXP(-LN(2)/25)*AV85+(1-EXP(-LN(2)/25))/(LN(2)/25)*Calculateur!AQ86*Calculateur!AS86*VLOOKUP('Données projet'!$B$10,Paramètres!$A$1:$I$89,3,0)*0.475*44/12</f>
        <v>63.843069667148228</v>
      </c>
      <c r="AW86" s="23">
        <f>EXP(-LN(2)/2)*AW85+(1-EXP(-LN(2)/2))/(LN(2)/2)*AQ86*AT86*VLOOKUP('Données projet'!$B$10,Paramètres!$A$1:$I$89,3,0)*0.475*44/12</f>
        <v>7.2634684205021998</v>
      </c>
      <c r="AX86" s="23">
        <f t="shared" si="60"/>
        <v>377.93324318853223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-1.7053025658242404E-13</v>
      </c>
      <c r="BE86" s="14">
        <f>BD86*VLOOKUP('Données projet'!$B$11,Paramètres!$A$1:$I$89,3,0)*VLOOKUP('Données projet'!$B$11,Paramètres!$A$1:$I$89,5,0)</f>
        <v>-9.3109520094003535E-14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417.99456559608217</v>
      </c>
      <c r="BJ86" s="62">
        <f t="shared" si="92"/>
        <v>651.41353014863932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268.47336696327159</v>
      </c>
      <c r="BQ86" s="23">
        <f>EXP(-LN(2)/25)*BQ85+(1-EXP(-LN(2)/25))/(LN(2)/25)*Calculateur!BL86*Calculateur!BN86*VLOOKUP('Données projet'!$B$11,Paramètres!$A$1:$I$89,3,0)*0.475*44/12</f>
        <v>56.527717934454159</v>
      </c>
      <c r="BR86" s="23">
        <f>EXP(-LN(2)/2)*BR85+(1-EXP(-LN(2)/2))/(LN(2)/2)*BL86*BO86*VLOOKUP('Données projet'!$B$11,Paramètres!$A$1:$I$89,3,0)*0.475*44/12</f>
        <v>6.2592388850918539</v>
      </c>
      <c r="BS86" s="24">
        <f t="shared" si="63"/>
        <v>331.26032378281758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4.666666666666667</v>
      </c>
      <c r="BY86" s="13">
        <f>IF('Données projet'!$A$114&gt;35,BY85+BX86-CG85,IF(A86&lt;'Données projet'!$A$114,$BV$205^A86,IF(A86='Données projet'!$A$114,'Données projet'!$B$114,BY85+BX86-CG85)))</f>
        <v>151.33333333333331</v>
      </c>
      <c r="BZ86" s="14">
        <f>BY86*VLOOKUP('Données projet'!$B$12,Paramètres!$A$1:$I$89,3,0)*VLOOKUP('Données projet'!$B$12,Paramètres!$A$1:$I$89,5,0)</f>
        <v>136.92639999999997</v>
      </c>
      <c r="CA86" s="14">
        <f t="shared" si="93"/>
        <v>35.591979778937876</v>
      </c>
      <c r="CB86" s="22">
        <f t="shared" si="64"/>
        <v>300.46951144831678</v>
      </c>
      <c r="CC86" s="62">
        <f t="shared" si="65"/>
        <v>593.80284478165004</v>
      </c>
      <c r="CD86" s="62">
        <f ca="1">AVERAGE(OFFSET($CC$3,0,0,'Données projet'!$E$12+1,1))-AVERAGE(OFFSET($H$3,0,0,'Données projet'!$E$12+1,1))</f>
        <v>213.07277043804817</v>
      </c>
      <c r="CE86" s="62">
        <f t="shared" si="94"/>
        <v>129.14539883354166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25.191935507051806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25.191935507051806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4.666666666666667</v>
      </c>
      <c r="CT86" s="13">
        <f>IF('Données projet'!$A$140&gt;35,CT85+CS86-DB85,IF(A86&lt;'Données projet'!$A$140,$CQ$205^A86,IF(A86='Données projet'!$A$140,'Données projet'!$B$140,CT85+CS86-DB85)))</f>
        <v>151.33333333333331</v>
      </c>
      <c r="CU86" s="18">
        <f>CT86*VLOOKUP('Données projet'!$B$13,Paramètres!$A$1:$I$89,3,0)*VLOOKUP('Données projet'!$B$13,Paramètres!$A$1:$I$89,5,0)</f>
        <v>153.452</v>
      </c>
      <c r="CV86" s="14">
        <f t="shared" si="95"/>
        <v>39.362023185337527</v>
      </c>
      <c r="CW86" s="22">
        <f t="shared" si="67"/>
        <v>335.81775704779619</v>
      </c>
      <c r="CX86" s="62">
        <f t="shared" si="68"/>
        <v>629.15109038112951</v>
      </c>
      <c r="CY86" s="62">
        <f ca="1">AVERAGE(OFFSET($CX$3,0,0,'Données projet'!$E$13+1,1))-AVERAGE(OFFSET($H$3,0,0,'Données projet'!$E$13+1,1))</f>
        <v>247.92503505485405</v>
      </c>
      <c r="CZ86" s="62">
        <f t="shared" si="96"/>
        <v>148.26437652597514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28.232341516523583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28.232341516523583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3.2222222222222223</v>
      </c>
      <c r="DO86" s="13">
        <f>IF('Données projet'!$A$166&gt;35,DO85+DN86-DW85,IF(A86&lt;'Données projet'!$A$166,$DL$205^A86,IF(A86='Données projet'!$A$166,'Données projet'!$B$166,DO85+DN86-DW85)))</f>
        <v>102.44444444444447</v>
      </c>
      <c r="DP86" s="18">
        <f>DO86*VLOOKUP('Données projet'!$B$14,Paramètres!$A$1:$I$89,3,0)*VLOOKUP('Données projet'!$B$14,Paramètres!$A$1:$I$89,5,0)</f>
        <v>99.084266666666693</v>
      </c>
      <c r="DQ86" s="14">
        <f t="shared" si="97"/>
        <v>26.74372004088476</v>
      </c>
      <c r="DR86" s="22">
        <f t="shared" si="70"/>
        <v>219.15041018231875</v>
      </c>
      <c r="DS86" s="62">
        <f t="shared" si="71"/>
        <v>512.48374351565212</v>
      </c>
      <c r="DT86" s="62">
        <f ca="1">AVERAGE(OFFSET($DS$3,0,0,'Données projet'!$E$14+1,1))-AVERAGE(OFFSET($H$3,0,0,'Données projet'!$E$14+1,1))</f>
        <v>154.0837760161366</v>
      </c>
      <c r="DU86" s="62">
        <f t="shared" si="98"/>
        <v>96.484500841546037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8.0426936728546714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8.0426936728546714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-5.6843418860808015E-14</v>
      </c>
      <c r="EK86" s="18">
        <f>EJ86*VLOOKUP('Données projet'!$B$15,Paramètres!$A$1:$I$89,3,0)*VLOOKUP('Données projet'!$B$15,Paramètres!$A$1:$I$89,5,0)</f>
        <v>-3.813056537183002E-14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205.35893113421139</v>
      </c>
      <c r="EP86" s="62">
        <f t="shared" si="100"/>
        <v>220.4399811285175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74.645175365946912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74.645175365946912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-5.6843418860808015E-14</v>
      </c>
      <c r="FF86" s="18">
        <f>FE86*VLOOKUP('Données projet'!$B$16,Paramètres!$A$1:$I$89,3,0)*VLOOKUP('Données projet'!$B$16,Paramètres!$A$1:$I$89,5,0)</f>
        <v>-4.4337866711430253E-14</v>
      </c>
      <c r="FG86" s="14" t="e">
        <f t="shared" si="101"/>
        <v>#NUM!</v>
      </c>
      <c r="FH86" s="22" t="e">
        <f t="shared" si="76"/>
        <v>#NUM!</v>
      </c>
      <c r="FI86" s="62" t="e">
        <f t="shared" si="77"/>
        <v>#NUM!</v>
      </c>
      <c r="FJ86" s="62">
        <f ca="1">AVERAGE(OFFSET($FI$3,0,0,'Données projet'!$E$16+1,1))-AVERAGE(OFFSET($H$3,0,0,'Données projet'!$E$16+1,1))</f>
        <v>242.81177364426878</v>
      </c>
      <c r="FK86" s="62">
        <f t="shared" si="102"/>
        <v>260.72115764896671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70.419976760327273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70.419976760327273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-5.6843418860808015E-14</v>
      </c>
      <c r="GA86" s="18">
        <f>FZ86*VLOOKUP('Données projet'!$B$17,Paramètres!$A$1:$I$89,3,0)*VLOOKUP('Données projet'!$B$17,Paramètres!$A$1:$I$89,5,0)</f>
        <v>-4.5224624045658861E-14</v>
      </c>
      <c r="GB86" s="14" t="e">
        <f t="shared" si="103"/>
        <v>#NUM!</v>
      </c>
      <c r="GC86" s="22" t="e">
        <f t="shared" si="79"/>
        <v>#NUM!</v>
      </c>
      <c r="GD86" s="62" t="e">
        <f t="shared" si="80"/>
        <v>#NUM!</v>
      </c>
      <c r="GE86" s="62">
        <f ca="1">AVERAGE(OFFSET($GD$3,0,0,'Données projet'!$E$17+1,1))-AVERAGE(OFFSET($H$3,0,0,'Données projet'!$E$17+1,1))</f>
        <v>248.15263300983543</v>
      </c>
      <c r="GF86" s="62">
        <f t="shared" si="104"/>
        <v>266.46511459244618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88.532649852634691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88.532649852634691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382.55387448074327</v>
      </c>
      <c r="T87" s="62">
        <f t="shared" si="88"/>
        <v>476.29465646955543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160.88518300519456</v>
      </c>
      <c r="AA87" s="23">
        <f>EXP(-LN(2)/25)*AA86+(1-EXP(-LN(2)/25))/(LN(2)/25)*Calculateur!V87*Calculateur!X87*VLOOKUP('Données projet'!$B$9,Paramètres!$A$1:$I$89,3,0)*0.475*44/12</f>
        <v>33.1178011017345</v>
      </c>
      <c r="AB87" s="23">
        <f>EXP(-LN(2)/2)*AB86+(1-EXP(-LN(2)/2))/(LN(2)/2)*V87*Y87*VLOOKUP('Données projet'!$B$9,Paramètres!$A$1:$I$89,3,0)*0.475*44/12</f>
        <v>1.3750207616042308E-2</v>
      </c>
      <c r="AC87" s="24">
        <f t="shared" si="57"/>
        <v>194.01673431454512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-1.7053025658242404E-13</v>
      </c>
      <c r="AJ87" s="14">
        <f>AI87*VLOOKUP('Données projet'!$B$10,Paramètres!$A$1:$I$89,3,0)*VLOOKUP('Données projet'!$B$10,Paramètres!$A$1:$I$89,5,0)</f>
        <v>-1.064108801074326E-13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482.28841373508675</v>
      </c>
      <c r="AO87" s="62">
        <f t="shared" si="90"/>
        <v>746.97309214631684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300.81002055966457</v>
      </c>
      <c r="AV87" s="23">
        <f>EXP(-LN(2)/25)*AV86+(1-EXP(-LN(2)/25))/(LN(2)/25)*Calculateur!AQ87*Calculateur!AS87*VLOOKUP('Données projet'!$B$10,Paramètres!$A$1:$I$89,3,0)*0.475*44/12</f>
        <v>62.097277569738942</v>
      </c>
      <c r="AW87" s="23">
        <f>EXP(-LN(2)/2)*AW86+(1-EXP(-LN(2)/2))/(LN(2)/2)*AQ87*AT87*VLOOKUP('Données projet'!$B$10,Paramètres!$A$1:$I$89,3,0)*0.475*44/12</f>
        <v>5.1360477750714475</v>
      </c>
      <c r="AX87" s="23">
        <f t="shared" si="60"/>
        <v>368.04334590447496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-1.7053025658242404E-13</v>
      </c>
      <c r="BE87" s="14">
        <f>BD87*VLOOKUP('Données projet'!$B$11,Paramètres!$A$1:$I$89,3,0)*VLOOKUP('Données projet'!$B$11,Paramètres!$A$1:$I$89,5,0)</f>
        <v>-9.3109520094003535E-14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417.99456559608217</v>
      </c>
      <c r="BJ87" s="62">
        <f t="shared" si="92"/>
        <v>651.41353014863932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263.20876798970647</v>
      </c>
      <c r="BQ87" s="23">
        <f>EXP(-LN(2)/25)*BQ86+(1-EXP(-LN(2)/25))/(LN(2)/25)*Calculateur!BL87*Calculateur!BN87*VLOOKUP('Données projet'!$B$11,Paramètres!$A$1:$I$89,3,0)*0.475*44/12</f>
        <v>54.98196451487302</v>
      </c>
      <c r="BR87" s="23">
        <f>EXP(-LN(2)/2)*BR86+(1-EXP(-LN(2)/2))/(LN(2)/2)*BL87*BO87*VLOOKUP('Données projet'!$B$11,Paramètres!$A$1:$I$89,3,0)*0.475*44/12</f>
        <v>4.4259502607149752</v>
      </c>
      <c r="BS87" s="24">
        <f t="shared" si="63"/>
        <v>322.61668276529446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4.666666666666667</v>
      </c>
      <c r="BY87" s="13">
        <f>IF('Données projet'!$A$114&gt;35,BY86+BX87-CG86,IF(A87&lt;'Données projet'!$A$114,$BV$205^A87,IF(A87='Données projet'!$A$114,'Données projet'!$B$114,BY86+BX87-CG86)))</f>
        <v>155.99999999999997</v>
      </c>
      <c r="BZ87" s="14">
        <f>BY87*VLOOKUP('Données projet'!$B$12,Paramètres!$A$1:$I$89,3,0)*VLOOKUP('Données projet'!$B$12,Paramètres!$A$1:$I$89,5,0)</f>
        <v>141.14879999999997</v>
      </c>
      <c r="CA87" s="14">
        <f t="shared" si="93"/>
        <v>36.560054140504484</v>
      </c>
      <c r="CB87" s="22">
        <f t="shared" si="64"/>
        <v>309.50958762804527</v>
      </c>
      <c r="CC87" s="62">
        <f t="shared" si="65"/>
        <v>602.84292096137858</v>
      </c>
      <c r="CD87" s="62">
        <f ca="1">AVERAGE(OFFSET($CC$3,0,0,'Données projet'!$E$12+1,1))-AVERAGE(OFFSET($H$3,0,0,'Données projet'!$E$12+1,1))</f>
        <v>213.07277043804817</v>
      </c>
      <c r="CE87" s="62">
        <f t="shared" si="94"/>
        <v>129.14539883354166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24.697937017321955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24.697937017321955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4.666666666666667</v>
      </c>
      <c r="CT87" s="13">
        <f>IF('Données projet'!$A$140&gt;35,CT86+CS87-DB86,IF(A87&lt;'Données projet'!$A$140,$CQ$205^A87,IF(A87='Données projet'!$A$140,'Données projet'!$B$140,CT86+CS87-DB86)))</f>
        <v>155.99999999999997</v>
      </c>
      <c r="CU87" s="18">
        <f>CT87*VLOOKUP('Données projet'!$B$13,Paramètres!$A$1:$I$89,3,0)*VLOOKUP('Données projet'!$B$13,Paramètres!$A$1:$I$89,5,0)</f>
        <v>158.184</v>
      </c>
      <c r="CV87" s="14">
        <f t="shared" si="95"/>
        <v>40.432639815875881</v>
      </c>
      <c r="CW87" s="22">
        <f t="shared" si="67"/>
        <v>345.92398101265053</v>
      </c>
      <c r="CX87" s="62">
        <f t="shared" si="68"/>
        <v>639.25731434598379</v>
      </c>
      <c r="CY87" s="62">
        <f ca="1">AVERAGE(OFFSET($CX$3,0,0,'Données projet'!$E$13+1,1))-AVERAGE(OFFSET($H$3,0,0,'Données projet'!$E$13+1,1))</f>
        <v>247.92503505485405</v>
      </c>
      <c r="CZ87" s="62">
        <f t="shared" si="96"/>
        <v>148.26437652597514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27.678722519412545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27.678722519412545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3.2222222222222223</v>
      </c>
      <c r="DO87" s="13">
        <f>IF('Données projet'!$A$166&gt;35,DO86+DN87-DW86,IF(A87&lt;'Données projet'!$A$166,$DL$205^A87,IF(A87='Données projet'!$A$166,'Données projet'!$B$166,DO86+DN87-DW86)))</f>
        <v>105.6666666666667</v>
      </c>
      <c r="DP87" s="18">
        <f>DO87*VLOOKUP('Données projet'!$B$14,Paramètres!$A$1:$I$89,3,0)*VLOOKUP('Données projet'!$B$14,Paramètres!$A$1:$I$89,5,0)</f>
        <v>102.20080000000003</v>
      </c>
      <c r="DQ87" s="14">
        <f t="shared" si="97"/>
        <v>27.485641666021909</v>
      </c>
      <c r="DR87" s="22">
        <f t="shared" si="70"/>
        <v>225.87055256832153</v>
      </c>
      <c r="DS87" s="62">
        <f t="shared" si="71"/>
        <v>519.20388590165487</v>
      </c>
      <c r="DT87" s="62">
        <f ca="1">AVERAGE(OFFSET($DS$3,0,0,'Données projet'!$E$14+1,1))-AVERAGE(OFFSET($H$3,0,0,'Données projet'!$E$14+1,1))</f>
        <v>154.0837760161366</v>
      </c>
      <c r="DU87" s="62">
        <f t="shared" si="98"/>
        <v>96.484500841546037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7.8849813554887485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7.8849813554887485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-5.6843418860808015E-14</v>
      </c>
      <c r="EK87" s="18">
        <f>EJ87*VLOOKUP('Données projet'!$B$15,Paramètres!$A$1:$I$89,3,0)*VLOOKUP('Données projet'!$B$15,Paramètres!$A$1:$I$89,5,0)</f>
        <v>-3.813056537183002E-14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205.35893113421139</v>
      </c>
      <c r="EP87" s="62">
        <f t="shared" si="100"/>
        <v>220.4399811285175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73.181429006082041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73.181429006082041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-5.6843418860808015E-14</v>
      </c>
      <c r="FF87" s="18">
        <f>FE87*VLOOKUP('Données projet'!$B$16,Paramètres!$A$1:$I$89,3,0)*VLOOKUP('Données projet'!$B$16,Paramètres!$A$1:$I$89,5,0)</f>
        <v>-4.4337866711430253E-14</v>
      </c>
      <c r="FG87" s="14" t="e">
        <f t="shared" si="101"/>
        <v>#NUM!</v>
      </c>
      <c r="FH87" s="22" t="e">
        <f t="shared" si="76"/>
        <v>#NUM!</v>
      </c>
      <c r="FI87" s="62" t="e">
        <f t="shared" si="77"/>
        <v>#NUM!</v>
      </c>
      <c r="FJ87" s="62">
        <f ca="1">AVERAGE(OFFSET($FI$3,0,0,'Données projet'!$E$16+1,1))-AVERAGE(OFFSET($H$3,0,0,'Données projet'!$E$16+1,1))</f>
        <v>242.81177364426878</v>
      </c>
      <c r="FK87" s="62">
        <f t="shared" si="102"/>
        <v>260.72115764896671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69.039083968001933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69.039083968001933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-5.6843418860808015E-14</v>
      </c>
      <c r="GA87" s="18">
        <f>FZ87*VLOOKUP('Données projet'!$B$17,Paramètres!$A$1:$I$89,3,0)*VLOOKUP('Données projet'!$B$17,Paramètres!$A$1:$I$89,5,0)</f>
        <v>-4.5224624045658861E-14</v>
      </c>
      <c r="GB87" s="14" t="e">
        <f t="shared" si="103"/>
        <v>#NUM!</v>
      </c>
      <c r="GC87" s="22" t="e">
        <f t="shared" si="79"/>
        <v>#NUM!</v>
      </c>
      <c r="GD87" s="62" t="e">
        <f t="shared" si="80"/>
        <v>#NUM!</v>
      </c>
      <c r="GE87" s="62">
        <f ca="1">AVERAGE(OFFSET($GD$3,0,0,'Données projet'!$E$17+1,1))-AVERAGE(OFFSET($H$3,0,0,'Données projet'!$E$17+1,1))</f>
        <v>248.15263300983543</v>
      </c>
      <c r="GF87" s="62">
        <f t="shared" si="104"/>
        <v>266.46511459244618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86.796578588608924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86.796578588608924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382.55387448074327</v>
      </c>
      <c r="T88" s="62">
        <f t="shared" si="88"/>
        <v>476.29465646955543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157.73032269673476</v>
      </c>
      <c r="AA88" s="23">
        <f>EXP(-LN(2)/25)*AA87+(1-EXP(-LN(2)/25))/(LN(2)/25)*Calculateur!V88*Calculateur!X88*VLOOKUP('Données projet'!$B$9,Paramètres!$A$1:$I$89,3,0)*0.475*44/12</f>
        <v>32.212193089018101</v>
      </c>
      <c r="AB88" s="23">
        <f>EXP(-LN(2)/2)*AB87+(1-EXP(-LN(2)/2))/(LN(2)/2)*V88*Y88*VLOOKUP('Données projet'!$B$9,Paramètres!$A$1:$I$89,3,0)*0.475*44/12</f>
        <v>9.7228650480264273E-3</v>
      </c>
      <c r="AC88" s="24">
        <f t="shared" si="57"/>
        <v>189.95223865080087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-1.7053025658242404E-13</v>
      </c>
      <c r="AJ88" s="14">
        <f>AI88*VLOOKUP('Données projet'!$B$10,Paramètres!$A$1:$I$89,3,0)*VLOOKUP('Données projet'!$B$10,Paramètres!$A$1:$I$89,5,0)</f>
        <v>-1.064108801074326E-13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482.28841373508675</v>
      </c>
      <c r="AO88" s="62">
        <f t="shared" si="90"/>
        <v>746.97309214631684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294.91131953248532</v>
      </c>
      <c r="AV88" s="23">
        <f>EXP(-LN(2)/25)*AV87+(1-EXP(-LN(2)/25))/(LN(2)/25)*Calculateur!AQ88*Calculateur!AS88*VLOOKUP('Données projet'!$B$10,Paramètres!$A$1:$I$89,3,0)*0.475*44/12</f>
        <v>60.399224249040529</v>
      </c>
      <c r="AW88" s="23">
        <f>EXP(-LN(2)/2)*AW87+(1-EXP(-LN(2)/2))/(LN(2)/2)*AQ88*AT88*VLOOKUP('Données projet'!$B$10,Paramètres!$A$1:$I$89,3,0)*0.475*44/12</f>
        <v>3.6317342102511003</v>
      </c>
      <c r="AX88" s="23">
        <f t="shared" si="60"/>
        <v>358.94227799177696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-1.7053025658242404E-13</v>
      </c>
      <c r="BE88" s="14">
        <f>BD88*VLOOKUP('Données projet'!$B$11,Paramètres!$A$1:$I$89,3,0)*VLOOKUP('Données projet'!$B$11,Paramètres!$A$1:$I$89,5,0)</f>
        <v>-9.3109520094003535E-14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417.99456559608217</v>
      </c>
      <c r="BJ88" s="62">
        <f t="shared" si="92"/>
        <v>651.41353014863932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258.04740459092466</v>
      </c>
      <c r="BQ88" s="23">
        <f>EXP(-LN(2)/25)*BQ87+(1-EXP(-LN(2)/25))/(LN(2)/25)*Calculateur!BL88*Calculateur!BN88*VLOOKUP('Données projet'!$B$11,Paramètres!$A$1:$I$89,3,0)*0.475*44/12</f>
        <v>53.478479803837963</v>
      </c>
      <c r="BR88" s="23">
        <f>EXP(-LN(2)/2)*BR87+(1-EXP(-LN(2)/2))/(LN(2)/2)*BL88*BO88*VLOOKUP('Données projet'!$B$11,Paramètres!$A$1:$I$89,3,0)*0.475*44/12</f>
        <v>3.1296194425459269</v>
      </c>
      <c r="BS88" s="24">
        <f t="shared" si="63"/>
        <v>314.65550383730852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4.666666666666667</v>
      </c>
      <c r="BY88" s="13">
        <f>IF('Données projet'!$A$114&gt;35,BY87+BX88-CG87,IF(A88&lt;'Données projet'!$A$114,$BV$205^A88,IF(A88='Données projet'!$A$114,'Données projet'!$B$114,BY87+BX88-CG87)))</f>
        <v>160.66666666666663</v>
      </c>
      <c r="BZ88" s="14">
        <f>BY88*VLOOKUP('Données projet'!$B$12,Paramètres!$A$1:$I$89,3,0)*VLOOKUP('Données projet'!$B$12,Paramètres!$A$1:$I$89,5,0)</f>
        <v>145.37119999999996</v>
      </c>
      <c r="CA88" s="14">
        <f t="shared" si="93"/>
        <v>37.524762949124401</v>
      </c>
      <c r="CB88" s="22">
        <f t="shared" si="64"/>
        <v>318.54380213639161</v>
      </c>
      <c r="CC88" s="62">
        <f t="shared" si="65"/>
        <v>611.87713546972486</v>
      </c>
      <c r="CD88" s="62">
        <f ca="1">AVERAGE(OFFSET($CC$3,0,0,'Données projet'!$E$12+1,1))-AVERAGE(OFFSET($H$3,0,0,'Données projet'!$E$12+1,1))</f>
        <v>213.07277043804817</v>
      </c>
      <c r="CE88" s="62">
        <f t="shared" si="94"/>
        <v>129.14539883354166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24.213625536666381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24.213625536666381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4.666666666666667</v>
      </c>
      <c r="CT88" s="13">
        <f>IF('Données projet'!$A$140&gt;35,CT87+CS88-DB87,IF(A88&lt;'Données projet'!$A$140,$CQ$205^A88,IF(A88='Données projet'!$A$140,'Données projet'!$B$140,CT87+CS88-DB87)))</f>
        <v>160.66666666666663</v>
      </c>
      <c r="CU88" s="18">
        <f>CT88*VLOOKUP('Données projet'!$B$13,Paramètres!$A$1:$I$89,3,0)*VLOOKUP('Données projet'!$B$13,Paramètres!$A$1:$I$89,5,0)</f>
        <v>162.91599999999997</v>
      </c>
      <c r="CV88" s="14">
        <f t="shared" si="95"/>
        <v>41.499534400775282</v>
      </c>
      <c r="CW88" s="22">
        <f t="shared" si="67"/>
        <v>356.02372241468356</v>
      </c>
      <c r="CX88" s="62">
        <f t="shared" si="68"/>
        <v>649.35705574801682</v>
      </c>
      <c r="CY88" s="62">
        <f ca="1">AVERAGE(OFFSET($CX$3,0,0,'Données projet'!$E$13+1,1))-AVERAGE(OFFSET($H$3,0,0,'Données projet'!$E$13+1,1))</f>
        <v>247.92503505485405</v>
      </c>
      <c r="CZ88" s="62">
        <f t="shared" si="96"/>
        <v>148.26437652597514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27.135959653160608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27.135959653160608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3.2222222222222223</v>
      </c>
      <c r="DO88" s="13">
        <f>IF('Données projet'!$A$166&gt;35,DO87+DN88-DW87,IF(A88&lt;'Données projet'!$A$166,$DL$205^A88,IF(A88='Données projet'!$A$166,'Données projet'!$B$166,DO87+DN88-DW87)))</f>
        <v>108.88888888888893</v>
      </c>
      <c r="DP88" s="18">
        <f>DO88*VLOOKUP('Données projet'!$B$14,Paramètres!$A$1:$I$89,3,0)*VLOOKUP('Données projet'!$B$14,Paramètres!$A$1:$I$89,5,0)</f>
        <v>105.31733333333337</v>
      </c>
      <c r="DQ88" s="14">
        <f t="shared" si="97"/>
        <v>28.224934058185251</v>
      </c>
      <c r="DR88" s="22">
        <f t="shared" si="70"/>
        <v>232.5861157068949</v>
      </c>
      <c r="DS88" s="62">
        <f t="shared" si="71"/>
        <v>525.91944904022819</v>
      </c>
      <c r="DT88" s="62">
        <f ca="1">AVERAGE(OFFSET($DS$3,0,0,'Données projet'!$E$14+1,1))-AVERAGE(OFFSET($H$3,0,0,'Données projet'!$E$14+1,1))</f>
        <v>154.0837760161366</v>
      </c>
      <c r="DU88" s="62">
        <f t="shared" si="98"/>
        <v>96.484500841546037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7.730361680471356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7.730361680471356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-5.6843418860808015E-14</v>
      </c>
      <c r="EK88" s="18">
        <f>EJ88*VLOOKUP('Données projet'!$B$15,Paramètres!$A$1:$I$89,3,0)*VLOOKUP('Données projet'!$B$15,Paramètres!$A$1:$I$89,5,0)</f>
        <v>-3.813056537183002E-14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205.35893113421139</v>
      </c>
      <c r="EP88" s="62">
        <f t="shared" si="100"/>
        <v>220.4399811285175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71.746385819536997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71.746385819536997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-5.6843418860808015E-14</v>
      </c>
      <c r="FF88" s="18">
        <f>FE88*VLOOKUP('Données projet'!$B$16,Paramètres!$A$1:$I$89,3,0)*VLOOKUP('Données projet'!$B$16,Paramètres!$A$1:$I$89,5,0)</f>
        <v>-4.4337866711430253E-14</v>
      </c>
      <c r="FG88" s="14" t="e">
        <f t="shared" si="101"/>
        <v>#NUM!</v>
      </c>
      <c r="FH88" s="22" t="e">
        <f t="shared" si="76"/>
        <v>#NUM!</v>
      </c>
      <c r="FI88" s="62" t="e">
        <f t="shared" si="77"/>
        <v>#NUM!</v>
      </c>
      <c r="FJ88" s="62">
        <f ca="1">AVERAGE(OFFSET($FI$3,0,0,'Données projet'!$E$16+1,1))-AVERAGE(OFFSET($H$3,0,0,'Données projet'!$E$16+1,1))</f>
        <v>242.81177364426878</v>
      </c>
      <c r="FK88" s="62">
        <f t="shared" si="102"/>
        <v>260.72115764896671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67.685269641072651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67.685269641072651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-5.6843418860808015E-14</v>
      </c>
      <c r="GA88" s="18">
        <f>FZ88*VLOOKUP('Données projet'!$B$17,Paramètres!$A$1:$I$89,3,0)*VLOOKUP('Données projet'!$B$17,Paramètres!$A$1:$I$89,5,0)</f>
        <v>-4.5224624045658861E-14</v>
      </c>
      <c r="GB88" s="14" t="e">
        <f t="shared" si="103"/>
        <v>#NUM!</v>
      </c>
      <c r="GC88" s="22" t="e">
        <f t="shared" si="79"/>
        <v>#NUM!</v>
      </c>
      <c r="GD88" s="62" t="e">
        <f t="shared" si="80"/>
        <v>#NUM!</v>
      </c>
      <c r="GE88" s="62">
        <f ca="1">AVERAGE(OFFSET($GD$3,0,0,'Données projet'!$E$17+1,1))-AVERAGE(OFFSET($H$3,0,0,'Données projet'!$E$17+1,1))</f>
        <v>248.15263300983543</v>
      </c>
      <c r="GF88" s="62">
        <f t="shared" si="104"/>
        <v>266.46511459244618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85.094550623171784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85.094550623171784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382.55387448074327</v>
      </c>
      <c r="T89" s="62">
        <f t="shared" si="88"/>
        <v>476.29465646955543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154.6373272746491</v>
      </c>
      <c r="AA89" s="23">
        <f>EXP(-LN(2)/25)*AA88+(1-EXP(-LN(2)/25))/(LN(2)/25)*Calculateur!V89*Calculateur!X89*VLOOKUP('Données projet'!$B$9,Paramètres!$A$1:$I$89,3,0)*0.475*44/12</f>
        <v>31.331348975033286</v>
      </c>
      <c r="AB89" s="23">
        <f>EXP(-LN(2)/2)*AB88+(1-EXP(-LN(2)/2))/(LN(2)/2)*V89*Y89*VLOOKUP('Données projet'!$B$9,Paramètres!$A$1:$I$89,3,0)*0.475*44/12</f>
        <v>6.8751038080211539E-3</v>
      </c>
      <c r="AC89" s="24">
        <f t="shared" si="57"/>
        <v>185.9755513534904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-1.7053025658242404E-13</v>
      </c>
      <c r="AJ89" s="14">
        <f>AI89*VLOOKUP('Données projet'!$B$10,Paramètres!$A$1:$I$89,3,0)*VLOOKUP('Données projet'!$B$10,Paramètres!$A$1:$I$89,5,0)</f>
        <v>-1.064108801074326E-13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482.28841373508675</v>
      </c>
      <c r="AO89" s="62">
        <f t="shared" si="90"/>
        <v>746.97309214631684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289.1282884345967</v>
      </c>
      <c r="AV89" s="23">
        <f>EXP(-LN(2)/25)*AV88+(1-EXP(-LN(2)/25))/(LN(2)/25)*Calculateur!AQ89*Calculateur!AS89*VLOOKUP('Données projet'!$B$10,Paramètres!$A$1:$I$89,3,0)*0.475*44/12</f>
        <v>58.747604285693356</v>
      </c>
      <c r="AW89" s="23">
        <f>EXP(-LN(2)/2)*AW88+(1-EXP(-LN(2)/2))/(LN(2)/2)*AQ89*AT89*VLOOKUP('Données projet'!$B$10,Paramètres!$A$1:$I$89,3,0)*0.475*44/12</f>
        <v>2.5680238875357237</v>
      </c>
      <c r="AX89" s="23">
        <f t="shared" si="60"/>
        <v>350.44391660782577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-1.7053025658242404E-13</v>
      </c>
      <c r="BE89" s="14">
        <f>BD89*VLOOKUP('Données projet'!$B$11,Paramètres!$A$1:$I$89,3,0)*VLOOKUP('Données projet'!$B$11,Paramètres!$A$1:$I$89,5,0)</f>
        <v>-9.3109520094003535E-14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417.99456559608217</v>
      </c>
      <c r="BJ89" s="62">
        <f t="shared" si="92"/>
        <v>651.41353014863932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252.98725238027211</v>
      </c>
      <c r="BQ89" s="23">
        <f>EXP(-LN(2)/25)*BQ88+(1-EXP(-LN(2)/25))/(LN(2)/25)*Calculateur!BL89*Calculateur!BN89*VLOOKUP('Données projet'!$B$11,Paramètres!$A$1:$I$89,3,0)*0.475*44/12</f>
        <v>52.016107961290992</v>
      </c>
      <c r="BR89" s="23">
        <f>EXP(-LN(2)/2)*BR88+(1-EXP(-LN(2)/2))/(LN(2)/2)*BL89*BO89*VLOOKUP('Données projet'!$B$11,Paramètres!$A$1:$I$89,3,0)*0.475*44/12</f>
        <v>2.2129751303574876</v>
      </c>
      <c r="BS89" s="24">
        <f t="shared" si="63"/>
        <v>307.21633547192062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4.666666666666667</v>
      </c>
      <c r="BY89" s="13">
        <f>IF('Données projet'!$A$114&gt;35,BY88+BX89-CG88,IF(A89&lt;'Données projet'!$A$114,$BV$205^A89,IF(A89='Données projet'!$A$114,'Données projet'!$B$114,BY88+BX89-CG88)))</f>
        <v>165.33333333333329</v>
      </c>
      <c r="BZ89" s="14">
        <f>BY89*VLOOKUP('Données projet'!$B$12,Paramètres!$A$1:$I$89,3,0)*VLOOKUP('Données projet'!$B$12,Paramètres!$A$1:$I$89,5,0)</f>
        <v>149.59359999999995</v>
      </c>
      <c r="CA89" s="14">
        <f t="shared" si="93"/>
        <v>38.486215184871355</v>
      </c>
      <c r="CB89" s="22">
        <f t="shared" si="64"/>
        <v>327.57234478031751</v>
      </c>
      <c r="CC89" s="62">
        <f t="shared" si="65"/>
        <v>620.90567811365077</v>
      </c>
      <c r="CD89" s="62">
        <f ca="1">AVERAGE(OFFSET($CC$3,0,0,'Données projet'!$E$12+1,1))-AVERAGE(OFFSET($H$3,0,0,'Données projet'!$E$12+1,1))</f>
        <v>213.07277043804817</v>
      </c>
      <c r="CE89" s="62">
        <f t="shared" si="94"/>
        <v>129.14539883354166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23.738811108745626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23.738811108745626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4.666666666666667</v>
      </c>
      <c r="CT89" s="13">
        <f>IF('Données projet'!$A$140&gt;35,CT88+CS89-DB88,IF(A89&lt;'Données projet'!$A$140,$CQ$205^A89,IF(A89='Données projet'!$A$140,'Données projet'!$B$140,CT88+CS89-DB88)))</f>
        <v>165.33333333333329</v>
      </c>
      <c r="CU89" s="18">
        <f>CT89*VLOOKUP('Données projet'!$B$13,Paramètres!$A$1:$I$89,3,0)*VLOOKUP('Données projet'!$B$13,Paramètres!$A$1:$I$89,5,0)</f>
        <v>167.64799999999997</v>
      </c>
      <c r="CV89" s="14">
        <f t="shared" si="95"/>
        <v>42.562827463710214</v>
      </c>
      <c r="CW89" s="22">
        <f t="shared" si="67"/>
        <v>366.11719116596186</v>
      </c>
      <c r="CX89" s="62">
        <f t="shared" si="68"/>
        <v>659.45052449929517</v>
      </c>
      <c r="CY89" s="62">
        <f ca="1">AVERAGE(OFFSET($CX$3,0,0,'Données projet'!$E$13+1,1))-AVERAGE(OFFSET($H$3,0,0,'Données projet'!$E$13+1,1))</f>
        <v>247.92503505485405</v>
      </c>
      <c r="CZ89" s="62">
        <f t="shared" si="96"/>
        <v>148.26437652597514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26.603840035663211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26.603840035663211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3.2222222222222223</v>
      </c>
      <c r="DO89" s="13">
        <f>IF('Données projet'!$A$166&gt;35,DO88+DN89-DW88,IF(A89&lt;'Données projet'!$A$166,$DL$205^A89,IF(A89='Données projet'!$A$166,'Données projet'!$B$166,DO88+DN89-DW88)))</f>
        <v>112.11111111111116</v>
      </c>
      <c r="DP89" s="18">
        <f>DO89*VLOOKUP('Données projet'!$B$14,Paramètres!$A$1:$I$89,3,0)*VLOOKUP('Données projet'!$B$14,Paramètres!$A$1:$I$89,5,0)</f>
        <v>108.43386666666672</v>
      </c>
      <c r="DQ89" s="14">
        <f t="shared" si="97"/>
        <v>28.961683953816443</v>
      </c>
      <c r="DR89" s="22">
        <f t="shared" si="70"/>
        <v>239.29725066400815</v>
      </c>
      <c r="DS89" s="62">
        <f t="shared" si="71"/>
        <v>532.63058399734143</v>
      </c>
      <c r="DT89" s="62">
        <f ca="1">AVERAGE(OFFSET($DS$3,0,0,'Données projet'!$E$14+1,1))-AVERAGE(OFFSET($H$3,0,0,'Données projet'!$E$14+1,1))</f>
        <v>154.0837760161366</v>
      </c>
      <c r="DU89" s="62">
        <f t="shared" si="98"/>
        <v>96.484500841546037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7.5787740029723647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7.5787740029723647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-5.6843418860808015E-14</v>
      </c>
      <c r="EK89" s="18">
        <f>EJ89*VLOOKUP('Données projet'!$B$15,Paramètres!$A$1:$I$89,3,0)*VLOOKUP('Données projet'!$B$15,Paramètres!$A$1:$I$89,5,0)</f>
        <v>-3.813056537183002E-14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205.35893113421139</v>
      </c>
      <c r="EP89" s="62">
        <f t="shared" si="100"/>
        <v>220.4399811285175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70.339482954590196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70.339482954590196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-5.6843418860808015E-14</v>
      </c>
      <c r="FF89" s="18">
        <f>FE89*VLOOKUP('Données projet'!$B$16,Paramètres!$A$1:$I$89,3,0)*VLOOKUP('Données projet'!$B$16,Paramètres!$A$1:$I$89,5,0)</f>
        <v>-4.4337866711430253E-14</v>
      </c>
      <c r="FG89" s="14" t="e">
        <f t="shared" si="101"/>
        <v>#NUM!</v>
      </c>
      <c r="FH89" s="22" t="e">
        <f t="shared" si="76"/>
        <v>#NUM!</v>
      </c>
      <c r="FI89" s="62" t="e">
        <f t="shared" si="77"/>
        <v>#NUM!</v>
      </c>
      <c r="FJ89" s="62">
        <f ca="1">AVERAGE(OFFSET($FI$3,0,0,'Données projet'!$E$16+1,1))-AVERAGE(OFFSET($H$3,0,0,'Données projet'!$E$16+1,1))</f>
        <v>242.81177364426878</v>
      </c>
      <c r="FK89" s="62">
        <f t="shared" si="102"/>
        <v>260.72115764896671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66.35800278734925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66.35800278734925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-5.6843418860808015E-14</v>
      </c>
      <c r="GA89" s="18">
        <f>FZ89*VLOOKUP('Données projet'!$B$17,Paramètres!$A$1:$I$89,3,0)*VLOOKUP('Données projet'!$B$17,Paramètres!$A$1:$I$89,5,0)</f>
        <v>-4.5224624045658861E-14</v>
      </c>
      <c r="GB89" s="14" t="e">
        <f t="shared" si="103"/>
        <v>#NUM!</v>
      </c>
      <c r="GC89" s="22" t="e">
        <f t="shared" si="79"/>
        <v>#NUM!</v>
      </c>
      <c r="GD89" s="62" t="e">
        <f t="shared" si="80"/>
        <v>#NUM!</v>
      </c>
      <c r="GE89" s="62">
        <f ca="1">AVERAGE(OFFSET($GD$3,0,0,'Données projet'!$E$17+1,1))-AVERAGE(OFFSET($H$3,0,0,'Données projet'!$E$17+1,1))</f>
        <v>248.15263300983543</v>
      </c>
      <c r="GF89" s="62">
        <f t="shared" si="104"/>
        <v>266.46511459244618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83.42589838800231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83.42589838800231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382.55387448074327</v>
      </c>
      <c r="T90" s="62">
        <f t="shared" si="88"/>
        <v>476.29465646955543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151.60498360624959</v>
      </c>
      <c r="AA90" s="23">
        <f>EXP(-LN(2)/25)*AA89+(1-EXP(-LN(2)/25))/(LN(2)/25)*Calculateur!V90*Calculateur!X90*VLOOKUP('Données projet'!$B$9,Paramètres!$A$1:$I$89,3,0)*0.475*44/12</f>
        <v>30.474591589666968</v>
      </c>
      <c r="AB90" s="23">
        <f>EXP(-LN(2)/2)*AB89+(1-EXP(-LN(2)/2))/(LN(2)/2)*V90*Y90*VLOOKUP('Données projet'!$B$9,Paramètres!$A$1:$I$89,3,0)*0.475*44/12</f>
        <v>4.8614325240132136E-3</v>
      </c>
      <c r="AC90" s="24">
        <f t="shared" si="57"/>
        <v>182.08443662844059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-1.7053025658242404E-13</v>
      </c>
      <c r="AJ90" s="14">
        <f>AI90*VLOOKUP('Données projet'!$B$10,Paramètres!$A$1:$I$89,3,0)*VLOOKUP('Données projet'!$B$10,Paramètres!$A$1:$I$89,5,0)</f>
        <v>-1.064108801074326E-13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482.28841373508675</v>
      </c>
      <c r="AO90" s="62">
        <f t="shared" si="90"/>
        <v>746.97309214631684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283.45865904923699</v>
      </c>
      <c r="AV90" s="23">
        <f>EXP(-LN(2)/25)*AV89+(1-EXP(-LN(2)/25))/(LN(2)/25)*Calculateur!AQ90*Calculateur!AS90*VLOOKUP('Données projet'!$B$10,Paramètres!$A$1:$I$89,3,0)*0.475*44/12</f>
        <v>57.141147957098831</v>
      </c>
      <c r="AW90" s="23">
        <f>EXP(-LN(2)/2)*AW89+(1-EXP(-LN(2)/2))/(LN(2)/2)*AQ90*AT90*VLOOKUP('Données projet'!$B$10,Paramètres!$A$1:$I$89,3,0)*0.475*44/12</f>
        <v>1.8158671051255502</v>
      </c>
      <c r="AX90" s="23">
        <f t="shared" si="60"/>
        <v>342.41567411146139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-1.7053025658242404E-13</v>
      </c>
      <c r="BE90" s="14">
        <f>BD90*VLOOKUP('Données projet'!$B$11,Paramètres!$A$1:$I$89,3,0)*VLOOKUP('Données projet'!$B$11,Paramètres!$A$1:$I$89,5,0)</f>
        <v>-9.3109520094003535E-14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417.99456559608217</v>
      </c>
      <c r="BJ90" s="62">
        <f t="shared" si="92"/>
        <v>651.41353014863932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248.02632666808239</v>
      </c>
      <c r="BQ90" s="23">
        <f>EXP(-LN(2)/25)*BQ89+(1-EXP(-LN(2)/25))/(LN(2)/25)*Calculateur!BL90*Calculateur!BN90*VLOOKUP('Données projet'!$B$11,Paramètres!$A$1:$I$89,3,0)*0.475*44/12</f>
        <v>50.593724753681258</v>
      </c>
      <c r="BR90" s="23">
        <f>EXP(-LN(2)/2)*BR89+(1-EXP(-LN(2)/2))/(LN(2)/2)*BL90*BO90*VLOOKUP('Données projet'!$B$11,Paramètres!$A$1:$I$89,3,0)*0.475*44/12</f>
        <v>1.5648097212729635</v>
      </c>
      <c r="BS90" s="24">
        <f t="shared" si="63"/>
        <v>300.18486114303664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4.666666666666667</v>
      </c>
      <c r="BY90" s="13">
        <f>IF('Données projet'!$A$114&gt;35,BY89+BX90-CG89,IF(A90&lt;'Données projet'!$A$114,$BV$205^A90,IF(A90='Données projet'!$A$114,'Données projet'!$B$114,BY89+BX90-CG89)))</f>
        <v>169.99999999999994</v>
      </c>
      <c r="BZ90" s="14">
        <f>BY90*VLOOKUP('Données projet'!$B$12,Paramètres!$A$1:$I$89,3,0)*VLOOKUP('Données projet'!$B$12,Paramètres!$A$1:$I$89,5,0)</f>
        <v>153.81599999999995</v>
      </c>
      <c r="CA90" s="14">
        <f t="shared" si="93"/>
        <v>39.444513325737027</v>
      </c>
      <c r="CB90" s="22">
        <f t="shared" si="64"/>
        <v>336.59539404232521</v>
      </c>
      <c r="CC90" s="62">
        <f t="shared" si="65"/>
        <v>629.92872737565858</v>
      </c>
      <c r="CD90" s="62">
        <f ca="1">AVERAGE(OFFSET($CC$3,0,0,'Données projet'!$E$12+1,1))-AVERAGE(OFFSET($H$3,0,0,'Données projet'!$E$12+1,1))</f>
        <v>213.07277043804817</v>
      </c>
      <c r="CE90" s="62">
        <f t="shared" si="94"/>
        <v>129.14539883354166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23.273307502148192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23.273307502148192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4.666666666666667</v>
      </c>
      <c r="CT90" s="13">
        <f>IF('Données projet'!$A$140&gt;35,CT89+CS90-DB89,IF(A90&lt;'Données projet'!$A$140,$CQ$205^A90,IF(A90='Données projet'!$A$140,'Données projet'!$B$140,CT89+CS90-DB89)))</f>
        <v>169.99999999999994</v>
      </c>
      <c r="CU90" s="18">
        <f>CT90*VLOOKUP('Données projet'!$B$13,Paramètres!$A$1:$I$89,3,0)*VLOOKUP('Données projet'!$B$13,Paramètres!$A$1:$I$89,5,0)</f>
        <v>172.37999999999997</v>
      </c>
      <c r="CV90" s="14">
        <f t="shared" si="95"/>
        <v>43.622632337547088</v>
      </c>
      <c r="CW90" s="22">
        <f t="shared" si="67"/>
        <v>376.20458465456113</v>
      </c>
      <c r="CX90" s="62">
        <f t="shared" si="68"/>
        <v>669.53791798789439</v>
      </c>
      <c r="CY90" s="62">
        <f ca="1">AVERAGE(OFFSET($CX$3,0,0,'Données projet'!$E$13+1,1))-AVERAGE(OFFSET($H$3,0,0,'Données projet'!$E$13+1,1))</f>
        <v>247.92503505485405</v>
      </c>
      <c r="CZ90" s="62">
        <f t="shared" si="96"/>
        <v>148.26437652597514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26.08215495930402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26.08215495930402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3.2222222222222223</v>
      </c>
      <c r="DO90" s="13">
        <f>IF('Données projet'!$A$166&gt;35,DO89+DN90-DW89,IF(A90&lt;'Données projet'!$A$166,$DL$205^A90,IF(A90='Données projet'!$A$166,'Données projet'!$B$166,DO89+DN90-DW89)))</f>
        <v>115.33333333333339</v>
      </c>
      <c r="DP90" s="18">
        <f>DO90*VLOOKUP('Données projet'!$B$14,Paramètres!$A$1:$I$89,3,0)*VLOOKUP('Données projet'!$B$14,Paramètres!$A$1:$I$89,5,0)</f>
        <v>111.55040000000007</v>
      </c>
      <c r="DQ90" s="14">
        <f t="shared" si="97"/>
        <v>29.695972819960097</v>
      </c>
      <c r="DR90" s="22">
        <f t="shared" si="70"/>
        <v>246.00409932809728</v>
      </c>
      <c r="DS90" s="62">
        <f t="shared" si="71"/>
        <v>539.33743266143063</v>
      </c>
      <c r="DT90" s="62">
        <f ca="1">AVERAGE(OFFSET($DS$3,0,0,'Données projet'!$E$14+1,1))-AVERAGE(OFFSET($H$3,0,0,'Données projet'!$E$14+1,1))</f>
        <v>154.0837760161366</v>
      </c>
      <c r="DU90" s="62">
        <f t="shared" si="98"/>
        <v>96.484500841546037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7.4301588673697747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7.4301588673697747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-5.6843418860808015E-14</v>
      </c>
      <c r="EK90" s="18">
        <f>EJ90*VLOOKUP('Données projet'!$B$15,Paramètres!$A$1:$I$89,3,0)*VLOOKUP('Données projet'!$B$15,Paramètres!$A$1:$I$89,5,0)</f>
        <v>-3.813056537183002E-14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205.35893113421139</v>
      </c>
      <c r="EP90" s="62">
        <f t="shared" si="100"/>
        <v>220.4399811285175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68.960168596698978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68.960168596698978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-5.6843418860808015E-14</v>
      </c>
      <c r="FF90" s="18">
        <f>FE90*VLOOKUP('Données projet'!$B$16,Paramètres!$A$1:$I$89,3,0)*VLOOKUP('Données projet'!$B$16,Paramètres!$A$1:$I$89,5,0)</f>
        <v>-4.4337866711430253E-14</v>
      </c>
      <c r="FG90" s="14" t="e">
        <f t="shared" si="101"/>
        <v>#NUM!</v>
      </c>
      <c r="FH90" s="22" t="e">
        <f t="shared" si="76"/>
        <v>#NUM!</v>
      </c>
      <c r="FI90" s="62" t="e">
        <f t="shared" si="77"/>
        <v>#NUM!</v>
      </c>
      <c r="FJ90" s="62">
        <f ca="1">AVERAGE(OFFSET($FI$3,0,0,'Données projet'!$E$16+1,1))-AVERAGE(OFFSET($H$3,0,0,'Données projet'!$E$16+1,1))</f>
        <v>242.81177364426878</v>
      </c>
      <c r="FK90" s="62">
        <f t="shared" si="102"/>
        <v>260.72115764896671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65.056762827074522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65.056762827074522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-5.6843418860808015E-14</v>
      </c>
      <c r="GA90" s="18">
        <f>FZ90*VLOOKUP('Données projet'!$B$17,Paramètres!$A$1:$I$89,3,0)*VLOOKUP('Données projet'!$B$17,Paramètres!$A$1:$I$89,5,0)</f>
        <v>-4.5224624045658861E-14</v>
      </c>
      <c r="GB90" s="14" t="e">
        <f t="shared" si="103"/>
        <v>#NUM!</v>
      </c>
      <c r="GC90" s="22" t="e">
        <f t="shared" si="79"/>
        <v>#NUM!</v>
      </c>
      <c r="GD90" s="62" t="e">
        <f t="shared" si="80"/>
        <v>#NUM!</v>
      </c>
      <c r="GE90" s="62">
        <f ca="1">AVERAGE(OFFSET($GD$3,0,0,'Données projet'!$E$17+1,1))-AVERAGE(OFFSET($H$3,0,0,'Données projet'!$E$17+1,1))</f>
        <v>248.15263300983543</v>
      </c>
      <c r="GF90" s="62">
        <f t="shared" si="104"/>
        <v>266.46511459244618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81.789967405387145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81.789967405387145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382.55387448074327</v>
      </c>
      <c r="T91" s="62">
        <f t="shared" si="88"/>
        <v>476.29465646955543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148.6321023476404</v>
      </c>
      <c r="AA91" s="23">
        <f>EXP(-LN(2)/25)*AA90+(1-EXP(-LN(2)/25))/(LN(2)/25)*Calculateur!V91*Calculateur!X91*VLOOKUP('Données projet'!$B$9,Paramètres!$A$1:$I$89,3,0)*0.475*44/12</f>
        <v>29.641262280058402</v>
      </c>
      <c r="AB91" s="23">
        <f>EXP(-LN(2)/2)*AB90+(1-EXP(-LN(2)/2))/(LN(2)/2)*V91*Y91*VLOOKUP('Données projet'!$B$9,Paramètres!$A$1:$I$89,3,0)*0.475*44/12</f>
        <v>3.437551904010577E-3</v>
      </c>
      <c r="AC91" s="24">
        <f t="shared" si="57"/>
        <v>178.27680217960281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-1.7053025658242404E-13</v>
      </c>
      <c r="AJ91" s="14">
        <f>AI91*VLOOKUP('Données projet'!$B$10,Paramètres!$A$1:$I$89,3,0)*VLOOKUP('Données projet'!$B$10,Paramètres!$A$1:$I$89,5,0)</f>
        <v>-1.064108801074326E-13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482.28841373508675</v>
      </c>
      <c r="AO91" s="62">
        <f t="shared" si="90"/>
        <v>746.97309214631684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277.90020763799174</v>
      </c>
      <c r="AV91" s="23">
        <f>EXP(-LN(2)/25)*AV90+(1-EXP(-LN(2)/25))/(LN(2)/25)*Calculateur!AQ91*Calculateur!AS91*VLOOKUP('Données projet'!$B$10,Paramètres!$A$1:$I$89,3,0)*0.475*44/12</f>
        <v>55.578620261289586</v>
      </c>
      <c r="AW91" s="23">
        <f>EXP(-LN(2)/2)*AW90+(1-EXP(-LN(2)/2))/(LN(2)/2)*AQ91*AT91*VLOOKUP('Données projet'!$B$10,Paramètres!$A$1:$I$89,3,0)*0.475*44/12</f>
        <v>1.2840119437678619</v>
      </c>
      <c r="AX91" s="23">
        <f t="shared" si="60"/>
        <v>334.76283984304916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-1.7053025658242404E-13</v>
      </c>
      <c r="BE91" s="14">
        <f>BD91*VLOOKUP('Données projet'!$B$11,Paramètres!$A$1:$I$89,3,0)*VLOOKUP('Données projet'!$B$11,Paramètres!$A$1:$I$89,5,0)</f>
        <v>-9.3109520094003535E-14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417.99456559608217</v>
      </c>
      <c r="BJ91" s="62">
        <f t="shared" si="92"/>
        <v>651.41353014863932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243.16268168324279</v>
      </c>
      <c r="BQ91" s="23">
        <f>EXP(-LN(2)/25)*BQ90+(1-EXP(-LN(2)/25))/(LN(2)/25)*Calculateur!BL91*Calculateur!BN91*VLOOKUP('Données projet'!$B$11,Paramètres!$A$1:$I$89,3,0)*0.475*44/12</f>
        <v>49.210236689683491</v>
      </c>
      <c r="BR91" s="23">
        <f>EXP(-LN(2)/2)*BR90+(1-EXP(-LN(2)/2))/(LN(2)/2)*BL91*BO91*VLOOKUP('Données projet'!$B$11,Paramètres!$A$1:$I$89,3,0)*0.475*44/12</f>
        <v>1.1064875651787438</v>
      </c>
      <c r="BS91" s="24">
        <f t="shared" si="63"/>
        <v>293.479405938105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4.666666666666667</v>
      </c>
      <c r="BY91" s="13">
        <f>IF('Données projet'!$A$114&gt;35,BY90+BX91-CG90,IF(A91&lt;'Données projet'!$A$114,$BV$205^A91,IF(A91='Données projet'!$A$114,'Données projet'!$B$114,BY90+BX91-CG90)))</f>
        <v>174.6666666666666</v>
      </c>
      <c r="BZ91" s="14">
        <f>BY91*VLOOKUP('Données projet'!$B$12,Paramètres!$A$1:$I$89,3,0)*VLOOKUP('Données projet'!$B$12,Paramètres!$A$1:$I$89,5,0)</f>
        <v>158.03839999999994</v>
      </c>
      <c r="CA91" s="14">
        <f t="shared" si="93"/>
        <v>40.39975390326795</v>
      </c>
      <c r="CB91" s="22">
        <f t="shared" si="64"/>
        <v>345.61311804819155</v>
      </c>
      <c r="CC91" s="62">
        <f t="shared" si="65"/>
        <v>638.94645138152487</v>
      </c>
      <c r="CD91" s="62">
        <f ca="1">AVERAGE(OFFSET($CC$3,0,0,'Données projet'!$E$12+1,1))-AVERAGE(OFFSET($H$3,0,0,'Données projet'!$E$12+1,1))</f>
        <v>213.07277043804817</v>
      </c>
      <c r="CE91" s="62">
        <f t="shared" si="94"/>
        <v>129.14539883354166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22.816932137346971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22.816932137346971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4.666666666666667</v>
      </c>
      <c r="CT91" s="13">
        <f>IF('Données projet'!$A$140&gt;35,CT90+CS91-DB90,IF(A91&lt;'Données projet'!$A$140,$CQ$205^A91,IF(A91='Données projet'!$A$140,'Données projet'!$B$140,CT90+CS91-DB90)))</f>
        <v>174.6666666666666</v>
      </c>
      <c r="CU91" s="18">
        <f>CT91*VLOOKUP('Données projet'!$B$13,Paramètres!$A$1:$I$89,3,0)*VLOOKUP('Données projet'!$B$13,Paramètres!$A$1:$I$89,5,0)</f>
        <v>177.11199999999994</v>
      </c>
      <c r="CV91" s="14">
        <f t="shared" si="95"/>
        <v>44.67905577883586</v>
      </c>
      <c r="CW91" s="22">
        <f t="shared" si="67"/>
        <v>386.28608881480568</v>
      </c>
      <c r="CX91" s="62">
        <f t="shared" si="68"/>
        <v>679.61942214813894</v>
      </c>
      <c r="CY91" s="62">
        <f ca="1">AVERAGE(OFFSET($CX$3,0,0,'Données projet'!$E$13+1,1))-AVERAGE(OFFSET($H$3,0,0,'Données projet'!$E$13+1,1))</f>
        <v>247.92503505485405</v>
      </c>
      <c r="CZ91" s="62">
        <f t="shared" si="96"/>
        <v>148.26437652597514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25.570699809095757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25.570699809095757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3.2222222222222223</v>
      </c>
      <c r="DO91" s="13">
        <f>IF('Données projet'!$A$166&gt;35,DO90+DN91-DW90,IF(A91&lt;'Données projet'!$A$166,$DL$205^A91,IF(A91='Données projet'!$A$166,'Données projet'!$B$166,DO90+DN91-DW90)))</f>
        <v>118.55555555555561</v>
      </c>
      <c r="DP91" s="18">
        <f>DO91*VLOOKUP('Données projet'!$B$14,Paramètres!$A$1:$I$89,3,0)*VLOOKUP('Données projet'!$B$14,Paramètres!$A$1:$I$89,5,0)</f>
        <v>114.66693333333339</v>
      </c>
      <c r="DQ91" s="14">
        <f t="shared" si="97"/>
        <v>30.427877312551335</v>
      </c>
      <c r="DR91" s="22">
        <f t="shared" si="70"/>
        <v>252.70679520824922</v>
      </c>
      <c r="DS91" s="62">
        <f t="shared" si="71"/>
        <v>546.04012854158259</v>
      </c>
      <c r="DT91" s="62">
        <f ca="1">AVERAGE(OFFSET($DS$3,0,0,'Données projet'!$E$14+1,1))-AVERAGE(OFFSET($H$3,0,0,'Données projet'!$E$14+1,1))</f>
        <v>154.0837760161366</v>
      </c>
      <c r="DU91" s="62">
        <f t="shared" si="98"/>
        <v>96.484500841546037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7.2844579839300696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7.2844579839300696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-5.6843418860808015E-14</v>
      </c>
      <c r="EK91" s="18">
        <f>EJ91*VLOOKUP('Données projet'!$B$15,Paramètres!$A$1:$I$89,3,0)*VLOOKUP('Données projet'!$B$15,Paramètres!$A$1:$I$89,5,0)</f>
        <v>-3.813056537183002E-14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205.35893113421139</v>
      </c>
      <c r="EP91" s="62">
        <f t="shared" si="100"/>
        <v>220.4399811285175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67.60790175206732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67.60790175206732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-5.6843418860808015E-14</v>
      </c>
      <c r="FF91" s="18">
        <f>FE91*VLOOKUP('Données projet'!$B$16,Paramètres!$A$1:$I$89,3,0)*VLOOKUP('Données projet'!$B$16,Paramètres!$A$1:$I$89,5,0)</f>
        <v>-4.4337866711430253E-14</v>
      </c>
      <c r="FG91" s="14" t="e">
        <f t="shared" si="101"/>
        <v>#NUM!</v>
      </c>
      <c r="FH91" s="22" t="e">
        <f t="shared" si="76"/>
        <v>#NUM!</v>
      </c>
      <c r="FI91" s="62" t="e">
        <f t="shared" si="77"/>
        <v>#NUM!</v>
      </c>
      <c r="FJ91" s="62">
        <f ca="1">AVERAGE(OFFSET($FI$3,0,0,'Données projet'!$E$16+1,1))-AVERAGE(OFFSET($H$3,0,0,'Données projet'!$E$16+1,1))</f>
        <v>242.81177364426878</v>
      </c>
      <c r="FK91" s="62">
        <f t="shared" si="102"/>
        <v>260.72115764896671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63.781039388742769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63.781039388742769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-5.6843418860808015E-14</v>
      </c>
      <c r="GA91" s="18">
        <f>FZ91*VLOOKUP('Données projet'!$B$17,Paramètres!$A$1:$I$89,3,0)*VLOOKUP('Données projet'!$B$17,Paramètres!$A$1:$I$89,5,0)</f>
        <v>-4.5224624045658861E-14</v>
      </c>
      <c r="GB91" s="14" t="e">
        <f t="shared" si="103"/>
        <v>#NUM!</v>
      </c>
      <c r="GC91" s="22" t="e">
        <f t="shared" si="79"/>
        <v>#NUM!</v>
      </c>
      <c r="GD91" s="62" t="e">
        <f t="shared" si="80"/>
        <v>#NUM!</v>
      </c>
      <c r="GE91" s="62">
        <f ca="1">AVERAGE(OFFSET($GD$3,0,0,'Données projet'!$E$17+1,1))-AVERAGE(OFFSET($H$3,0,0,'Données projet'!$E$17+1,1))</f>
        <v>248.15263300983543</v>
      </c>
      <c r="GF91" s="62">
        <f t="shared" si="104"/>
        <v>266.46511459244618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80.186116031521692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80.186116031521692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382.55387448074327</v>
      </c>
      <c r="T92" s="62">
        <f t="shared" si="88"/>
        <v>476.29465646955543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145.717517477234</v>
      </c>
      <c r="AA92" s="23">
        <f>EXP(-LN(2)/25)*AA91+(1-EXP(-LN(2)/25))/(LN(2)/25)*Calculateur!V92*Calculateur!X92*VLOOKUP('Données projet'!$B$9,Paramètres!$A$1:$I$89,3,0)*0.475*44/12</f>
        <v>28.830720404243969</v>
      </c>
      <c r="AB92" s="23">
        <f>EXP(-LN(2)/2)*AB91+(1-EXP(-LN(2)/2))/(LN(2)/2)*V92*Y92*VLOOKUP('Données projet'!$B$9,Paramètres!$A$1:$I$89,3,0)*0.475*44/12</f>
        <v>2.4307162620066068E-3</v>
      </c>
      <c r="AC92" s="24">
        <f t="shared" si="57"/>
        <v>174.55066859773999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-1.7053025658242404E-13</v>
      </c>
      <c r="AJ92" s="14">
        <f>AI92*VLOOKUP('Données projet'!$B$10,Paramètres!$A$1:$I$89,3,0)*VLOOKUP('Données projet'!$B$10,Paramètres!$A$1:$I$89,5,0)</f>
        <v>-1.064108801074326E-13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482.28841373508675</v>
      </c>
      <c r="AO92" s="62">
        <f t="shared" si="90"/>
        <v>746.97309214631684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272.45075406860042</v>
      </c>
      <c r="AV92" s="23">
        <f>EXP(-LN(2)/25)*AV91+(1-EXP(-LN(2)/25))/(LN(2)/25)*Calculateur!AQ92*Calculateur!AS92*VLOOKUP('Données projet'!$B$10,Paramètres!$A$1:$I$89,3,0)*0.475*44/12</f>
        <v>54.058819967492006</v>
      </c>
      <c r="AW92" s="23">
        <f>EXP(-LN(2)/2)*AW91+(1-EXP(-LN(2)/2))/(LN(2)/2)*AQ92*AT92*VLOOKUP('Données projet'!$B$10,Paramètres!$A$1:$I$89,3,0)*0.475*44/12</f>
        <v>0.90793355256277508</v>
      </c>
      <c r="AX92" s="23">
        <f t="shared" si="60"/>
        <v>327.41750758865521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-1.7053025658242404E-13</v>
      </c>
      <c r="BE92" s="14">
        <f>BD92*VLOOKUP('Données projet'!$B$11,Paramètres!$A$1:$I$89,3,0)*VLOOKUP('Données projet'!$B$11,Paramètres!$A$1:$I$89,5,0)</f>
        <v>-9.3109520094003535E-14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417.99456559608217</v>
      </c>
      <c r="BJ92" s="62">
        <f t="shared" si="92"/>
        <v>651.41353014863932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238.39440981002539</v>
      </c>
      <c r="BQ92" s="23">
        <f>EXP(-LN(2)/25)*BQ91+(1-EXP(-LN(2)/25))/(LN(2)/25)*Calculateur!BL92*Calculateur!BN92*VLOOKUP('Données projet'!$B$11,Paramètres!$A$1:$I$89,3,0)*0.475*44/12</f>
        <v>47.864580179550217</v>
      </c>
      <c r="BR92" s="23">
        <f>EXP(-LN(2)/2)*BR91+(1-EXP(-LN(2)/2))/(LN(2)/2)*BL92*BO92*VLOOKUP('Données projet'!$B$11,Paramètres!$A$1:$I$89,3,0)*0.475*44/12</f>
        <v>0.78240486063648174</v>
      </c>
      <c r="BS92" s="24">
        <f t="shared" si="63"/>
        <v>287.0413948502121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4.666666666666667</v>
      </c>
      <c r="BY92" s="13">
        <f>IF('Données projet'!$A$114&gt;35,BY91+BX92-CG91,IF(A92&lt;'Données projet'!$A$114,$BV$205^A92,IF(A92='Données projet'!$A$114,'Données projet'!$B$114,BY91+BX92-CG91)))</f>
        <v>179.33333333333326</v>
      </c>
      <c r="BZ92" s="14">
        <f>BY92*VLOOKUP('Données projet'!$B$12,Paramètres!$A$1:$I$89,3,0)*VLOOKUP('Données projet'!$B$12,Paramètres!$A$1:$I$89,5,0)</f>
        <v>162.26079999999993</v>
      </c>
      <c r="CA92" s="14">
        <f t="shared" si="93"/>
        <v>41.352027997150536</v>
      </c>
      <c r="CB92" s="22">
        <f t="shared" si="64"/>
        <v>354.62567542837041</v>
      </c>
      <c r="CC92" s="62">
        <f t="shared" si="65"/>
        <v>647.95900876170367</v>
      </c>
      <c r="CD92" s="62">
        <f ca="1">AVERAGE(OFFSET($CC$3,0,0,'Données projet'!$E$12+1,1))-AVERAGE(OFFSET($H$3,0,0,'Données projet'!$E$12+1,1))</f>
        <v>213.07277043804817</v>
      </c>
      <c r="CE92" s="62">
        <f t="shared" si="94"/>
        <v>129.14539883354166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22.369506015088014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22.369506015088014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4.666666666666667</v>
      </c>
      <c r="CT92" s="13">
        <f>IF('Données projet'!$A$140&gt;35,CT91+CS92-DB91,IF(A92&lt;'Données projet'!$A$140,$CQ$205^A92,IF(A92='Données projet'!$A$140,'Données projet'!$B$140,CT91+CS92-DB91)))</f>
        <v>179.33333333333326</v>
      </c>
      <c r="CU92" s="18">
        <f>CT92*VLOOKUP('Données projet'!$B$13,Paramètres!$A$1:$I$89,3,0)*VLOOKUP('Données projet'!$B$13,Paramètres!$A$1:$I$89,5,0)</f>
        <v>181.84399999999994</v>
      </c>
      <c r="CV92" s="14">
        <f t="shared" si="95"/>
        <v>45.732198514784031</v>
      </c>
      <c r="CW92" s="22">
        <f t="shared" si="67"/>
        <v>396.36187907991547</v>
      </c>
      <c r="CX92" s="62">
        <f t="shared" si="68"/>
        <v>689.69521241324878</v>
      </c>
      <c r="CY92" s="62">
        <f ca="1">AVERAGE(OFFSET($CX$3,0,0,'Données projet'!$E$13+1,1))-AVERAGE(OFFSET($H$3,0,0,'Données projet'!$E$13+1,1))</f>
        <v>247.92503505485405</v>
      </c>
      <c r="CZ92" s="62">
        <f t="shared" si="96"/>
        <v>148.26437652597514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25.069273982426239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25.069273982426239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3.2222222222222223</v>
      </c>
      <c r="DO92" s="13">
        <f>IF('Données projet'!$A$166&gt;35,DO91+DN92-DW91,IF(A92&lt;'Données projet'!$A$166,$DL$205^A92,IF(A92='Données projet'!$A$166,'Données projet'!$B$166,DO91+DN92-DW91)))</f>
        <v>121.77777777777784</v>
      </c>
      <c r="DP92" s="18">
        <f>DO92*VLOOKUP('Données projet'!$B$14,Paramètres!$A$1:$I$89,3,0)*VLOOKUP('Données projet'!$B$14,Paramètres!$A$1:$I$89,5,0)</f>
        <v>117.78346666666673</v>
      </c>
      <c r="DQ92" s="14">
        <f t="shared" si="97"/>
        <v>31.157469683478588</v>
      </c>
      <c r="DR92" s="22">
        <f t="shared" si="70"/>
        <v>259.4054641431697</v>
      </c>
      <c r="DS92" s="62">
        <f t="shared" si="71"/>
        <v>552.73879747650301</v>
      </c>
      <c r="DT92" s="62">
        <f ca="1">AVERAGE(OFFSET($DS$3,0,0,'Données projet'!$E$14+1,1))-AVERAGE(OFFSET($H$3,0,0,'Données projet'!$E$14+1,1))</f>
        <v>154.0837760161366</v>
      </c>
      <c r="DU92" s="62">
        <f t="shared" si="98"/>
        <v>96.484500841546037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7.1416142059458529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7.1416142059458529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-5.6843418860808015E-14</v>
      </c>
      <c r="EK92" s="18">
        <f>EJ92*VLOOKUP('Données projet'!$B$15,Paramètres!$A$1:$I$89,3,0)*VLOOKUP('Données projet'!$B$15,Paramètres!$A$1:$I$89,5,0)</f>
        <v>-3.813056537183002E-14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205.35893113421139</v>
      </c>
      <c r="EP92" s="62">
        <f t="shared" si="100"/>
        <v>220.4399811285175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66.282152035457557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66.282152035457557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-5.6843418860808015E-14</v>
      </c>
      <c r="FF92" s="18">
        <f>FE92*VLOOKUP('Données projet'!$B$16,Paramètres!$A$1:$I$89,3,0)*VLOOKUP('Données projet'!$B$16,Paramètres!$A$1:$I$89,5,0)</f>
        <v>-4.4337866711430253E-14</v>
      </c>
      <c r="FG92" s="14" t="e">
        <f t="shared" si="101"/>
        <v>#NUM!</v>
      </c>
      <c r="FH92" s="22" t="e">
        <f t="shared" si="76"/>
        <v>#NUM!</v>
      </c>
      <c r="FI92" s="62" t="e">
        <f t="shared" si="77"/>
        <v>#NUM!</v>
      </c>
      <c r="FJ92" s="62">
        <f ca="1">AVERAGE(OFFSET($FI$3,0,0,'Données projet'!$E$16+1,1))-AVERAGE(OFFSET($H$3,0,0,'Données projet'!$E$16+1,1))</f>
        <v>242.81177364426878</v>
      </c>
      <c r="FK92" s="62">
        <f t="shared" si="102"/>
        <v>260.72115764896671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62.530332108922238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62.530332108922238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-5.6843418860808015E-14</v>
      </c>
      <c r="GA92" s="18">
        <f>FZ92*VLOOKUP('Données projet'!$B$17,Paramètres!$A$1:$I$89,3,0)*VLOOKUP('Données projet'!$B$17,Paramètres!$A$1:$I$89,5,0)</f>
        <v>-4.5224624045658861E-14</v>
      </c>
      <c r="GB92" s="14" t="e">
        <f t="shared" si="103"/>
        <v>#NUM!</v>
      </c>
      <c r="GC92" s="22" t="e">
        <f t="shared" si="79"/>
        <v>#NUM!</v>
      </c>
      <c r="GD92" s="62" t="e">
        <f t="shared" si="80"/>
        <v>#NUM!</v>
      </c>
      <c r="GE92" s="62">
        <f ca="1">AVERAGE(OFFSET($GD$3,0,0,'Données projet'!$E$17+1,1))-AVERAGE(OFFSET($H$3,0,0,'Données projet'!$E$17+1,1))</f>
        <v>248.15263300983543</v>
      </c>
      <c r="GF92" s="62">
        <f t="shared" si="104"/>
        <v>266.46511459244618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78.613715204844993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78.613715204844993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382.55387448074327</v>
      </c>
      <c r="T93" s="62">
        <f t="shared" si="88"/>
        <v>476.29465646955543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142.86008583841505</v>
      </c>
      <c r="AA93" s="23">
        <f>EXP(-LN(2)/25)*AA92+(1-EXP(-LN(2)/25))/(LN(2)/25)*Calculateur!V93*Calculateur!X93*VLOOKUP('Données projet'!$B$9,Paramètres!$A$1:$I$89,3,0)*0.475*44/12</f>
        <v>28.042342838648224</v>
      </c>
      <c r="AB93" s="23">
        <f>EXP(-LN(2)/2)*AB92+(1-EXP(-LN(2)/2))/(LN(2)/2)*V93*Y93*VLOOKUP('Données projet'!$B$9,Paramètres!$A$1:$I$89,3,0)*0.475*44/12</f>
        <v>1.7187759520052885E-3</v>
      </c>
      <c r="AC93" s="24">
        <f t="shared" si="57"/>
        <v>170.90414745301527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-1.7053025658242404E-13</v>
      </c>
      <c r="AJ93" s="14">
        <f>AI93*VLOOKUP('Données projet'!$B$10,Paramètres!$A$1:$I$89,3,0)*VLOOKUP('Données projet'!$B$10,Paramètres!$A$1:$I$89,5,0)</f>
        <v>-1.064108801074326E-13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482.28841373508675</v>
      </c>
      <c r="AO93" s="62">
        <f t="shared" si="90"/>
        <v>746.97309214631684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267.10816095986638</v>
      </c>
      <c r="AV93" s="23">
        <f>EXP(-LN(2)/25)*AV92+(1-EXP(-LN(2)/25))/(LN(2)/25)*Calculateur!AQ93*Calculateur!AS93*VLOOKUP('Données projet'!$B$10,Paramètres!$A$1:$I$89,3,0)*0.475*44/12</f>
        <v>52.580578692651152</v>
      </c>
      <c r="AW93" s="23">
        <f>EXP(-LN(2)/2)*AW92+(1-EXP(-LN(2)/2))/(LN(2)/2)*AQ93*AT93*VLOOKUP('Données projet'!$B$10,Paramètres!$A$1:$I$89,3,0)*0.475*44/12</f>
        <v>0.64200597188393094</v>
      </c>
      <c r="AX93" s="23">
        <f t="shared" si="60"/>
        <v>320.33074562440146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-1.7053025658242404E-13</v>
      </c>
      <c r="BE93" s="14">
        <f>BD93*VLOOKUP('Données projet'!$B$11,Paramètres!$A$1:$I$89,3,0)*VLOOKUP('Données projet'!$B$11,Paramètres!$A$1:$I$89,5,0)</f>
        <v>-9.3109520094003535E-14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417.99456559608217</v>
      </c>
      <c r="BJ93" s="62">
        <f t="shared" si="92"/>
        <v>651.41353014863932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233.71964083988311</v>
      </c>
      <c r="BQ93" s="23">
        <f>EXP(-LN(2)/25)*BQ92+(1-EXP(-LN(2)/25))/(LN(2)/25)*Calculateur!BL93*Calculateur!BN93*VLOOKUP('Données projet'!$B$11,Paramètres!$A$1:$I$89,3,0)*0.475*44/12</f>
        <v>46.555720717451543</v>
      </c>
      <c r="BR93" s="23">
        <f>EXP(-LN(2)/2)*BR92+(1-EXP(-LN(2)/2))/(LN(2)/2)*BL93*BO93*VLOOKUP('Données projet'!$B$11,Paramètres!$A$1:$I$89,3,0)*0.475*44/12</f>
        <v>0.5532437825893719</v>
      </c>
      <c r="BS93" s="24">
        <f t="shared" si="63"/>
        <v>280.82860533992402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184</v>
      </c>
      <c r="BW93" s="13">
        <f>VLOOKUP(A93,'Données projet'!$A$113:$I$133,9,0)</f>
        <v>4.666666666666667</v>
      </c>
      <c r="BX93" s="13">
        <f t="array" ref="BX93">INDEX(BW:BW,MIN(IF(ISNUMBER(BW93:BW289),ROW(BW93:BW289),"")))</f>
        <v>4.666666666666667</v>
      </c>
      <c r="BY93" s="13">
        <f>IF('Données projet'!$A$114&gt;35,BY92+BX93-CG92,IF(A93&lt;'Données projet'!$A$114,$BV$205^A93,IF(A93='Données projet'!$A$114,'Données projet'!$B$114,BY92+BX93-CG92)))</f>
        <v>183.99999999999991</v>
      </c>
      <c r="BZ93" s="14">
        <f>BY93*VLOOKUP('Données projet'!$B$12,Paramètres!$A$1:$I$89,3,0)*VLOOKUP('Données projet'!$B$12,Paramètres!$A$1:$I$89,5,0)</f>
        <v>166.48319999999993</v>
      </c>
      <c r="CA93" s="14">
        <f t="shared" si="93"/>
        <v>42.301421676867136</v>
      </c>
      <c r="CB93" s="22">
        <f t="shared" si="64"/>
        <v>363.63321608721009</v>
      </c>
      <c r="CC93" s="62">
        <f t="shared" si="65"/>
        <v>656.9665494205434</v>
      </c>
      <c r="CD93" s="62">
        <f ca="1">AVERAGE(OFFSET($CC$3,0,0,'Données projet'!$E$12+1,1))-AVERAGE(OFFSET($H$3,0,0,'Données projet'!$E$12+1,1))</f>
        <v>213.07277043804817</v>
      </c>
      <c r="CE93" s="62">
        <f t="shared" si="94"/>
        <v>129.14539883354166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30</v>
      </c>
      <c r="CH93" s="17">
        <f>IF(ISNA(VLOOKUP(A93,'Données projet'!$A$113:$I$133,5,0)),0%,VLOOKUP(A93,'Données projet'!$A$113:$I$133,5,0)*VLOOKUP('Données projet'!$B$12,Paramètres!$A$1:$I$89,7,0))</f>
        <v>0.30099999999999999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30.96292692877833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30.96292692877833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184</v>
      </c>
      <c r="CR93" s="13">
        <f>VLOOKUP(A93,'Données projet'!$A$139:$I$159,9,0)</f>
        <v>4.666666666666667</v>
      </c>
      <c r="CS93" s="13">
        <f t="array" ref="CS93">INDEX(CR:CR,MIN(IF(ISNUMBER(CR93:CR289),ROW(CR93:CR289),"")))</f>
        <v>4.666666666666667</v>
      </c>
      <c r="CT93" s="13">
        <f>IF('Données projet'!$A$140&gt;35,CT92+CS93-DB92,IF(A93&lt;'Données projet'!$A$140,$CQ$205^A93,IF(A93='Données projet'!$A$140,'Données projet'!$B$140,CT92+CS93-DB92)))</f>
        <v>183.99999999999991</v>
      </c>
      <c r="CU93" s="18">
        <f>CT93*VLOOKUP('Données projet'!$B$13,Paramètres!$A$1:$I$89,3,0)*VLOOKUP('Données projet'!$B$13,Paramètres!$A$1:$I$89,5,0)</f>
        <v>186.57599999999994</v>
      </c>
      <c r="CV93" s="14">
        <f t="shared" si="95"/>
        <v>46.782155731694274</v>
      </c>
      <c r="CW93" s="22">
        <f t="shared" si="67"/>
        <v>406.43212123270069</v>
      </c>
      <c r="CX93" s="62">
        <f t="shared" si="68"/>
        <v>699.76545456603401</v>
      </c>
      <c r="CY93" s="62">
        <f ca="1">AVERAGE(OFFSET($CX$3,0,0,'Données projet'!$E$13+1,1))-AVERAGE(OFFSET($H$3,0,0,'Données projet'!$E$13+1,1))</f>
        <v>247.92503505485405</v>
      </c>
      <c r="CZ93" s="62">
        <f t="shared" si="96"/>
        <v>148.26437652597514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30</v>
      </c>
      <c r="DC93" s="17">
        <f>IF(ISNA(VLOOKUP(A93,'Données projet'!$A$139:$I$159,5,0)),0%,VLOOKUP(A93,'Données projet'!$A$139:$I$159,5,0)*VLOOKUP('Données projet'!$B$13,Paramètres!$A$1:$I$89,7,0))</f>
        <v>0.30099999999999999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34.699831902941249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34.699831902941249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125</v>
      </c>
      <c r="DM93" s="13">
        <f>VLOOKUP(A93,'Données projet'!$A$165:$I$185,9,0)</f>
        <v>3.2222222222222223</v>
      </c>
      <c r="DN93" s="13">
        <f t="array" ref="DN93">INDEX(DM:DM,MIN(IF(ISNUMBER(DM93:DM289),ROW(DM93:DM289),"")))</f>
        <v>3.2222222222222223</v>
      </c>
      <c r="DO93" s="13">
        <f>IF('Données projet'!$A$166&gt;35,DO92+DN93-DW92,IF(A93&lt;'Données projet'!$A$166,$DL$205^A93,IF(A93='Données projet'!$A$166,'Données projet'!$B$166,DO92+DN93-DW92)))</f>
        <v>125.00000000000007</v>
      </c>
      <c r="DP93" s="18">
        <f>DO93*VLOOKUP('Données projet'!$B$14,Paramètres!$A$1:$I$89,3,0)*VLOOKUP('Données projet'!$B$14,Paramètres!$A$1:$I$89,5,0)</f>
        <v>120.90000000000008</v>
      </c>
      <c r="DQ93" s="14">
        <f t="shared" si="97"/>
        <v>31.884818143351627</v>
      </c>
      <c r="DR93" s="22">
        <f t="shared" si="70"/>
        <v>266.1002249330042</v>
      </c>
      <c r="DS93" s="62">
        <f t="shared" si="71"/>
        <v>559.43355826633751</v>
      </c>
      <c r="DT93" s="62">
        <f ca="1">AVERAGE(OFFSET($DS$3,0,0,'Données projet'!$E$14+1,1))-AVERAGE(OFFSET($H$3,0,0,'Données projet'!$E$14+1,1))</f>
        <v>154.0837760161366</v>
      </c>
      <c r="DU93" s="62">
        <f t="shared" si="98"/>
        <v>96.484500841546037</v>
      </c>
      <c r="DV93" s="16">
        <f>IF(ISNA(VLOOKUP(A93,'Données projet'!$A$165:$I$185,3,0)),0,VLOOKUP(A93,'Données projet'!$A$165:$I$185,3,0))</f>
        <v>5</v>
      </c>
      <c r="DW93" s="16">
        <f>IF(ISNA(VLOOKUP(A93,'Données projet'!$A$165:$I$185,4,0)),0,VLOOKUP(A93,'Données projet'!$A$165:$I$185,4,0))</f>
        <v>22</v>
      </c>
      <c r="DX93" s="17">
        <f>IF(ISNA(VLOOKUP(A93,'Données projet'!$A$165:$I$185,5,0)),0%,VLOOKUP(A93,'Données projet'!$A$165:$I$185,5,0)*VLOOKUP('Données projet'!$B$14,Paramètres!$A$1:$I$89,7,0))</f>
        <v>0.30099999999999999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14.081886425401837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14.081886425401837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-5.6843418860808015E-14</v>
      </c>
      <c r="EK93" s="18">
        <f>EJ93*VLOOKUP('Données projet'!$B$15,Paramètres!$A$1:$I$89,3,0)*VLOOKUP('Données projet'!$B$15,Paramètres!$A$1:$I$89,5,0)</f>
        <v>-3.813056537183002E-14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205.35893113421139</v>
      </c>
      <c r="EP93" s="62">
        <f t="shared" si="100"/>
        <v>220.4399811285175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64.982399462163031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64.982399462163031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-5.6843418860808015E-14</v>
      </c>
      <c r="FF93" s="18">
        <f>FE93*VLOOKUP('Données projet'!$B$16,Paramètres!$A$1:$I$89,3,0)*VLOOKUP('Données projet'!$B$16,Paramètres!$A$1:$I$89,5,0)</f>
        <v>-4.4337866711430253E-14</v>
      </c>
      <c r="FG93" s="14" t="e">
        <f t="shared" si="101"/>
        <v>#NUM!</v>
      </c>
      <c r="FH93" s="22" t="e">
        <f t="shared" si="76"/>
        <v>#NUM!</v>
      </c>
      <c r="FI93" s="62" t="e">
        <f t="shared" si="77"/>
        <v>#NUM!</v>
      </c>
      <c r="FJ93" s="62">
        <f ca="1">AVERAGE(OFFSET($FI$3,0,0,'Données projet'!$E$16+1,1))-AVERAGE(OFFSET($H$3,0,0,'Données projet'!$E$16+1,1))</f>
        <v>242.81177364426878</v>
      </c>
      <c r="FK93" s="62">
        <f t="shared" si="102"/>
        <v>260.72115764896671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61.304150436002871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61.304150436002871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-5.6843418860808015E-14</v>
      </c>
      <c r="GA93" s="18">
        <f>FZ93*VLOOKUP('Données projet'!$B$17,Paramètres!$A$1:$I$89,3,0)*VLOOKUP('Données projet'!$B$17,Paramètres!$A$1:$I$89,5,0)</f>
        <v>-4.5224624045658861E-14</v>
      </c>
      <c r="GB93" s="14" t="e">
        <f t="shared" si="103"/>
        <v>#NUM!</v>
      </c>
      <c r="GC93" s="22" t="e">
        <f t="shared" si="79"/>
        <v>#NUM!</v>
      </c>
      <c r="GD93" s="62" t="e">
        <f t="shared" si="80"/>
        <v>#NUM!</v>
      </c>
      <c r="GE93" s="62">
        <f ca="1">AVERAGE(OFFSET($GD$3,0,0,'Données projet'!$E$17+1,1))-AVERAGE(OFFSET($H$3,0,0,'Données projet'!$E$17+1,1))</f>
        <v>248.15263300983543</v>
      </c>
      <c r="GF93" s="62">
        <f t="shared" si="104"/>
        <v>266.46511459244618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77.072148199309623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77.072148199309623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382.55387448074327</v>
      </c>
      <c r="T94" s="62">
        <f t="shared" si="88"/>
        <v>476.29465646955543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140.05868669117211</v>
      </c>
      <c r="AA94" s="23">
        <f>EXP(-LN(2)/25)*AA93+(1-EXP(-LN(2)/25))/(LN(2)/25)*Calculateur!V94*Calculateur!X94*VLOOKUP('Données projet'!$B$9,Paramètres!$A$1:$I$89,3,0)*0.475*44/12</f>
        <v>27.27552349904267</v>
      </c>
      <c r="AB94" s="23">
        <f>EXP(-LN(2)/2)*AB93+(1-EXP(-LN(2)/2))/(LN(2)/2)*V94*Y94*VLOOKUP('Données projet'!$B$9,Paramètres!$A$1:$I$89,3,0)*0.475*44/12</f>
        <v>1.2153581310033034E-3</v>
      </c>
      <c r="AC94" s="24">
        <f t="shared" si="57"/>
        <v>167.33542554834577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-1.7053025658242404E-13</v>
      </c>
      <c r="AJ94" s="14">
        <f>AI94*VLOOKUP('Données projet'!$B$10,Paramètres!$A$1:$I$89,3,0)*VLOOKUP('Données projet'!$B$10,Paramètres!$A$1:$I$89,5,0)</f>
        <v>-1.064108801074326E-13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482.28841373508675</v>
      </c>
      <c r="AO94" s="62">
        <f t="shared" si="90"/>
        <v>746.97309214631684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261.87033284333461</v>
      </c>
      <c r="AV94" s="23">
        <f>EXP(-LN(2)/25)*AV93+(1-EXP(-LN(2)/25))/(LN(2)/25)*Calculateur!AQ94*Calculateur!AS94*VLOOKUP('Données projet'!$B$10,Paramètres!$A$1:$I$89,3,0)*0.475*44/12</f>
        <v>51.142760003208146</v>
      </c>
      <c r="AW94" s="23">
        <f>EXP(-LN(2)/2)*AW93+(1-EXP(-LN(2)/2))/(LN(2)/2)*AQ94*AT94*VLOOKUP('Données projet'!$B$10,Paramètres!$A$1:$I$89,3,0)*0.475*44/12</f>
        <v>0.45396677628138754</v>
      </c>
      <c r="AX94" s="23">
        <f t="shared" si="60"/>
        <v>313.46705962282414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-1.7053025658242404E-13</v>
      </c>
      <c r="BE94" s="14">
        <f>BD94*VLOOKUP('Données projet'!$B$11,Paramètres!$A$1:$I$89,3,0)*VLOOKUP('Données projet'!$B$11,Paramètres!$A$1:$I$89,5,0)</f>
        <v>-9.3109520094003535E-14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417.99456559608217</v>
      </c>
      <c r="BJ94" s="62">
        <f t="shared" si="92"/>
        <v>651.41353014863932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229.13654123791778</v>
      </c>
      <c r="BQ94" s="23">
        <f>EXP(-LN(2)/25)*BQ93+(1-EXP(-LN(2)/25))/(LN(2)/25)*Calculateur!BL94*Calculateur!BN94*VLOOKUP('Données projet'!$B$11,Paramètres!$A$1:$I$89,3,0)*0.475*44/12</f>
        <v>45.282652086173883</v>
      </c>
      <c r="BR94" s="23">
        <f>EXP(-LN(2)/2)*BR93+(1-EXP(-LN(2)/2))/(LN(2)/2)*BL94*BO94*VLOOKUP('Données projet'!$B$11,Paramètres!$A$1:$I$89,3,0)*0.475*44/12</f>
        <v>0.39120243031824087</v>
      </c>
      <c r="BS94" s="24">
        <f t="shared" si="63"/>
        <v>274.81039575440991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4.75</v>
      </c>
      <c r="BY94" s="13">
        <f>IF('Données projet'!$A$114&gt;35,BY93+BX94-CG93,IF(A94&lt;'Données projet'!$A$114,$BV$205^A94,IF(A94='Données projet'!$A$114,'Données projet'!$B$114,BY93+BX94-CG93)))</f>
        <v>158.74999999999991</v>
      </c>
      <c r="BZ94" s="14">
        <f>BY94*VLOOKUP('Données projet'!$B$12,Paramètres!$A$1:$I$89,3,0)*VLOOKUP('Données projet'!$B$12,Paramètres!$A$1:$I$89,5,0)</f>
        <v>143.63699999999992</v>
      </c>
      <c r="CA94" s="14">
        <f t="shared" si="93"/>
        <v>37.128943398953339</v>
      </c>
      <c r="CB94" s="22">
        <f t="shared" si="64"/>
        <v>314.83401808651024</v>
      </c>
      <c r="CC94" s="62">
        <f t="shared" si="65"/>
        <v>608.1673514198435</v>
      </c>
      <c r="CD94" s="62">
        <f ca="1">AVERAGE(OFFSET($CC$3,0,0,'Données projet'!$E$12+1,1))-AVERAGE(OFFSET($H$3,0,0,'Données projet'!$E$12+1,1))</f>
        <v>213.07277043804817</v>
      </c>
      <c r="CE94" s="62">
        <f t="shared" si="94"/>
        <v>129.14539883354166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30.355762817225624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30.355762817225624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4.75</v>
      </c>
      <c r="CT94" s="13">
        <f>IF('Données projet'!$A$140&gt;35,CT93+CS94-DB93,IF(A94&lt;'Données projet'!$A$140,$CQ$205^A94,IF(A94='Données projet'!$A$140,'Données projet'!$B$140,CT93+CS94-DB93)))</f>
        <v>158.74999999999991</v>
      </c>
      <c r="CU94" s="18">
        <f>CT94*VLOOKUP('Données projet'!$B$13,Paramètres!$A$1:$I$89,3,0)*VLOOKUP('Données projet'!$B$13,Paramètres!$A$1:$I$89,5,0)</f>
        <v>160.97249999999991</v>
      </c>
      <c r="CV94" s="14">
        <f t="shared" si="95"/>
        <v>41.061788076805293</v>
      </c>
      <c r="CW94" s="22">
        <f t="shared" si="67"/>
        <v>351.87638506710238</v>
      </c>
      <c r="CX94" s="62">
        <f t="shared" si="68"/>
        <v>645.20971840043569</v>
      </c>
      <c r="CY94" s="62">
        <f ca="1">AVERAGE(OFFSET($CX$3,0,0,'Données projet'!$E$13+1,1))-AVERAGE(OFFSET($H$3,0,0,'Données projet'!$E$13+1,1))</f>
        <v>247.92503505485405</v>
      </c>
      <c r="CZ94" s="62">
        <f t="shared" si="96"/>
        <v>148.26437652597514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34.019389364132181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34.019389364132181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3.1</v>
      </c>
      <c r="DO94" s="13">
        <f>IF('Données projet'!$A$166&gt;35,DO93+DN94-DW93,IF(A94&lt;'Données projet'!$A$166,$DL$205^A94,IF(A94='Données projet'!$A$166,'Données projet'!$B$166,DO93+DN94-DW93)))</f>
        <v>106.10000000000008</v>
      </c>
      <c r="DP94" s="18">
        <f>DO94*VLOOKUP('Données projet'!$B$14,Paramètres!$A$1:$I$89,3,0)*VLOOKUP('Données projet'!$B$14,Paramètres!$A$1:$I$89,5,0)</f>
        <v>102.61992000000009</v>
      </c>
      <c r="DQ94" s="14">
        <f t="shared" si="97"/>
        <v>27.585214798025028</v>
      </c>
      <c r="DR94" s="22">
        <f t="shared" si="70"/>
        <v>226.77394310656038</v>
      </c>
      <c r="DS94" s="62">
        <f t="shared" si="71"/>
        <v>520.10727643989367</v>
      </c>
      <c r="DT94" s="62">
        <f ca="1">AVERAGE(OFFSET($DS$3,0,0,'Données projet'!$E$14+1,1))-AVERAGE(OFFSET($H$3,0,0,'Données projet'!$E$14+1,1))</f>
        <v>154.0837760161366</v>
      </c>
      <c r="DU94" s="62">
        <f t="shared" si="98"/>
        <v>96.484500841546037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13.805749221702323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13.805749221702323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-5.6843418860808015E-14</v>
      </c>
      <c r="EK94" s="18">
        <f>EJ94*VLOOKUP('Données projet'!$B$15,Paramètres!$A$1:$I$89,3,0)*VLOOKUP('Données projet'!$B$15,Paramètres!$A$1:$I$89,5,0)</f>
        <v>-3.813056537183002E-14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205.35893113421139</v>
      </c>
      <c r="EP94" s="62">
        <f t="shared" si="100"/>
        <v>220.4399811285175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63.70813424406002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63.70813424406002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-5.6843418860808015E-14</v>
      </c>
      <c r="FF94" s="18">
        <f>FE94*VLOOKUP('Données projet'!$B$16,Paramètres!$A$1:$I$89,3,0)*VLOOKUP('Données projet'!$B$16,Paramètres!$A$1:$I$89,5,0)</f>
        <v>-4.4337866711430253E-14</v>
      </c>
      <c r="FG94" s="14" t="e">
        <f t="shared" si="101"/>
        <v>#NUM!</v>
      </c>
      <c r="FH94" s="22" t="e">
        <f t="shared" si="76"/>
        <v>#NUM!</v>
      </c>
      <c r="FI94" s="62" t="e">
        <f t="shared" si="77"/>
        <v>#NUM!</v>
      </c>
      <c r="FJ94" s="62">
        <f ca="1">AVERAGE(OFFSET($FI$3,0,0,'Données projet'!$E$16+1,1))-AVERAGE(OFFSET($H$3,0,0,'Données projet'!$E$16+1,1))</f>
        <v>242.81177364426878</v>
      </c>
      <c r="FK94" s="62">
        <f t="shared" si="102"/>
        <v>260.72115764896671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60.102013437792486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60.102013437792486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-5.6843418860808015E-14</v>
      </c>
      <c r="GA94" s="18">
        <f>FZ94*VLOOKUP('Données projet'!$B$17,Paramètres!$A$1:$I$89,3,0)*VLOOKUP('Données projet'!$B$17,Paramètres!$A$1:$I$89,5,0)</f>
        <v>-4.5224624045658861E-14</v>
      </c>
      <c r="GB94" s="14" t="e">
        <f t="shared" si="103"/>
        <v>#NUM!</v>
      </c>
      <c r="GC94" s="22" t="e">
        <f t="shared" si="79"/>
        <v>#NUM!</v>
      </c>
      <c r="GD94" s="62" t="e">
        <f t="shared" si="80"/>
        <v>#NUM!</v>
      </c>
      <c r="GE94" s="62">
        <f ca="1">AVERAGE(OFFSET($GD$3,0,0,'Données projet'!$E$17+1,1))-AVERAGE(OFFSET($H$3,0,0,'Données projet'!$E$17+1,1))</f>
        <v>248.15263300983543</v>
      </c>
      <c r="GF94" s="62">
        <f t="shared" si="104"/>
        <v>266.46511459244618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75.560810382489777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75.560810382489777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382.55387448074327</v>
      </c>
      <c r="T95" s="62">
        <f t="shared" si="88"/>
        <v>476.29465646955543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137.31222127252187</v>
      </c>
      <c r="AA95" s="23">
        <f>EXP(-LN(2)/25)*AA94+(1-EXP(-LN(2)/25))/(LN(2)/25)*Calculateur!V95*Calculateur!X95*VLOOKUP('Données projet'!$B$9,Paramètres!$A$1:$I$89,3,0)*0.475*44/12</f>
        <v>26.529672874603907</v>
      </c>
      <c r="AB95" s="23">
        <f>EXP(-LN(2)/2)*AB94+(1-EXP(-LN(2)/2))/(LN(2)/2)*V95*Y95*VLOOKUP('Données projet'!$B$9,Paramètres!$A$1:$I$89,3,0)*0.475*44/12</f>
        <v>8.5938797600264424E-4</v>
      </c>
      <c r="AC95" s="24">
        <f t="shared" si="57"/>
        <v>163.84275353510176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-1.7053025658242404E-13</v>
      </c>
      <c r="AJ95" s="14">
        <f>AI95*VLOOKUP('Données projet'!$B$10,Paramètres!$A$1:$I$89,3,0)*VLOOKUP('Données projet'!$B$10,Paramètres!$A$1:$I$89,5,0)</f>
        <v>-1.064108801074326E-13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482.28841373508675</v>
      </c>
      <c r="AO95" s="62">
        <f t="shared" si="90"/>
        <v>746.97309214631684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256.73521534140832</v>
      </c>
      <c r="AV95" s="23">
        <f>EXP(-LN(2)/25)*AV94+(1-EXP(-LN(2)/25))/(LN(2)/25)*Calculateur!AQ95*Calculateur!AS95*VLOOKUP('Données projet'!$B$10,Paramètres!$A$1:$I$89,3,0)*0.475*44/12</f>
        <v>49.744258541439557</v>
      </c>
      <c r="AW95" s="23">
        <f>EXP(-LN(2)/2)*AW94+(1-EXP(-LN(2)/2))/(LN(2)/2)*AQ95*AT95*VLOOKUP('Données projet'!$B$10,Paramètres!$A$1:$I$89,3,0)*0.475*44/12</f>
        <v>0.32100298594196547</v>
      </c>
      <c r="AX95" s="23">
        <f t="shared" si="60"/>
        <v>306.80047686878981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-1.7053025658242404E-13</v>
      </c>
      <c r="BE95" s="14">
        <f>BD95*VLOOKUP('Données projet'!$B$11,Paramètres!$A$1:$I$89,3,0)*VLOOKUP('Données projet'!$B$11,Paramètres!$A$1:$I$89,5,0)</f>
        <v>-9.3109520094003535E-14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417.99456559608217</v>
      </c>
      <c r="BJ95" s="62">
        <f t="shared" si="92"/>
        <v>651.41353014863932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224.64331342373228</v>
      </c>
      <c r="BQ95" s="23">
        <f>EXP(-LN(2)/25)*BQ94+(1-EXP(-LN(2)/25))/(LN(2)/25)*Calculateur!BL95*Calculateur!BN95*VLOOKUP('Données projet'!$B$11,Paramètres!$A$1:$I$89,3,0)*0.475*44/12</f>
        <v>44.044395583566278</v>
      </c>
      <c r="BR95" s="23">
        <f>EXP(-LN(2)/2)*BR94+(1-EXP(-LN(2)/2))/(LN(2)/2)*BL95*BO95*VLOOKUP('Données projet'!$B$11,Paramètres!$A$1:$I$89,3,0)*0.475*44/12</f>
        <v>0.27662189129468595</v>
      </c>
      <c r="BS95" s="24">
        <f t="shared" si="63"/>
        <v>268.96433089859323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4.75</v>
      </c>
      <c r="BY95" s="13">
        <f>IF('Données projet'!$A$114&gt;35,BY94+BX95-CG94,IF(A95&lt;'Données projet'!$A$114,$BV$205^A95,IF(A95='Données projet'!$A$114,'Données projet'!$B$114,BY94+BX95-CG94)))</f>
        <v>163.49999999999991</v>
      </c>
      <c r="BZ95" s="14">
        <f>BY95*VLOOKUP('Données projet'!$B$12,Paramètres!$A$1:$I$89,3,0)*VLOOKUP('Données projet'!$B$12,Paramètres!$A$1:$I$89,5,0)</f>
        <v>147.93479999999991</v>
      </c>
      <c r="CA95" s="14">
        <f t="shared" si="93"/>
        <v>38.1088835009256</v>
      </c>
      <c r="CB95" s="22">
        <f t="shared" si="64"/>
        <v>324.02608209744523</v>
      </c>
      <c r="CC95" s="62">
        <f t="shared" si="65"/>
        <v>617.35941543077854</v>
      </c>
      <c r="CD95" s="62">
        <f ca="1">AVERAGE(OFFSET($CC$3,0,0,'Données projet'!$E$12+1,1))-AVERAGE(OFFSET($H$3,0,0,'Données projet'!$E$12+1,1))</f>
        <v>213.07277043804817</v>
      </c>
      <c r="CE95" s="62">
        <f t="shared" si="94"/>
        <v>129.14539883354166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29.760504823566926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29.760504823566926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4.75</v>
      </c>
      <c r="CT95" s="13">
        <f>IF('Données projet'!$A$140&gt;35,CT94+CS95-DB94,IF(A95&lt;'Données projet'!$A$140,$CQ$205^A95,IF(A95='Données projet'!$A$140,'Données projet'!$B$140,CT94+CS95-DB94)))</f>
        <v>163.49999999999991</v>
      </c>
      <c r="CU95" s="18">
        <f>CT95*VLOOKUP('Données projet'!$B$13,Paramètres!$A$1:$I$89,3,0)*VLOOKUP('Données projet'!$B$13,Paramètres!$A$1:$I$89,5,0)</f>
        <v>165.78899999999993</v>
      </c>
      <c r="CV95" s="14">
        <f t="shared" si="95"/>
        <v>42.14552731394938</v>
      </c>
      <c r="CW95" s="22">
        <f t="shared" si="67"/>
        <v>362.15263507179503</v>
      </c>
      <c r="CX95" s="62">
        <f t="shared" si="68"/>
        <v>655.48596840512835</v>
      </c>
      <c r="CY95" s="62">
        <f ca="1">AVERAGE(OFFSET($CX$3,0,0,'Données projet'!$E$13+1,1))-AVERAGE(OFFSET($H$3,0,0,'Données projet'!$E$13+1,1))</f>
        <v>247.92503505485405</v>
      </c>
      <c r="CZ95" s="62">
        <f t="shared" si="96"/>
        <v>148.26437652597514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33.352289888480193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33.352289888480193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3.1</v>
      </c>
      <c r="DO95" s="13">
        <f>IF('Données projet'!$A$166&gt;35,DO94+DN95-DW94,IF(A95&lt;'Données projet'!$A$166,$DL$205^A95,IF(A95='Données projet'!$A$166,'Données projet'!$B$166,DO94+DN95-DW94)))</f>
        <v>109.20000000000007</v>
      </c>
      <c r="DP95" s="18">
        <f>DO95*VLOOKUP('Données projet'!$B$14,Paramètres!$A$1:$I$89,3,0)*VLOOKUP('Données projet'!$B$14,Paramètres!$A$1:$I$89,5,0)</f>
        <v>105.61824000000009</v>
      </c>
      <c r="DQ95" s="14">
        <f t="shared" si="97"/>
        <v>28.296178084029087</v>
      </c>
      <c r="DR95" s="22">
        <f t="shared" si="70"/>
        <v>233.23427816301742</v>
      </c>
      <c r="DS95" s="62">
        <f t="shared" si="71"/>
        <v>526.56761149635076</v>
      </c>
      <c r="DT95" s="62">
        <f ca="1">AVERAGE(OFFSET($DS$3,0,0,'Données projet'!$E$14+1,1))-AVERAGE(OFFSET($H$3,0,0,'Données projet'!$E$14+1,1))</f>
        <v>154.0837760161366</v>
      </c>
      <c r="DU95" s="62">
        <f t="shared" si="98"/>
        <v>96.484500841546037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13.535026900140293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13.535026900140293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-5.6843418860808015E-14</v>
      </c>
      <c r="EK95" s="18">
        <f>EJ95*VLOOKUP('Données projet'!$B$15,Paramètres!$A$1:$I$89,3,0)*VLOOKUP('Données projet'!$B$15,Paramètres!$A$1:$I$89,5,0)</f>
        <v>-3.813056537183002E-14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205.35893113421139</v>
      </c>
      <c r="EP95" s="62">
        <f t="shared" si="100"/>
        <v>220.4399811285175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62.458856589658971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62.458856589658971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-5.6843418860808015E-14</v>
      </c>
      <c r="FF95" s="18">
        <f>FE95*VLOOKUP('Données projet'!$B$16,Paramètres!$A$1:$I$89,3,0)*VLOOKUP('Données projet'!$B$16,Paramètres!$A$1:$I$89,5,0)</f>
        <v>-4.4337866711430253E-14</v>
      </c>
      <c r="FG95" s="14" t="e">
        <f t="shared" si="101"/>
        <v>#NUM!</v>
      </c>
      <c r="FH95" s="22" t="e">
        <f t="shared" si="76"/>
        <v>#NUM!</v>
      </c>
      <c r="FI95" s="62" t="e">
        <f t="shared" si="77"/>
        <v>#NUM!</v>
      </c>
      <c r="FJ95" s="62">
        <f ca="1">AVERAGE(OFFSET($FI$3,0,0,'Données projet'!$E$16+1,1))-AVERAGE(OFFSET($H$3,0,0,'Données projet'!$E$16+1,1))</f>
        <v>242.81177364426878</v>
      </c>
      <c r="FK95" s="62">
        <f t="shared" si="102"/>
        <v>260.72115764896671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58.923449612885832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58.923449612885832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-5.6843418860808015E-14</v>
      </c>
      <c r="GA95" s="18">
        <f>FZ95*VLOOKUP('Données projet'!$B$17,Paramètres!$A$1:$I$89,3,0)*VLOOKUP('Données projet'!$B$17,Paramètres!$A$1:$I$89,5,0)</f>
        <v>-4.5224624045658861E-14</v>
      </c>
      <c r="GB95" s="14" t="e">
        <f t="shared" si="103"/>
        <v>#NUM!</v>
      </c>
      <c r="GC95" s="22" t="e">
        <f t="shared" si="79"/>
        <v>#NUM!</v>
      </c>
      <c r="GD95" s="62" t="e">
        <f t="shared" si="80"/>
        <v>#NUM!</v>
      </c>
      <c r="GE95" s="62">
        <f ca="1">AVERAGE(OFFSET($GD$3,0,0,'Données projet'!$E$17+1,1))-AVERAGE(OFFSET($H$3,0,0,'Données projet'!$E$17+1,1))</f>
        <v>248.15263300983543</v>
      </c>
      <c r="GF95" s="62">
        <f t="shared" si="104"/>
        <v>266.46511459244618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74.079108978432714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74.079108978432714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382.55387448074327</v>
      </c>
      <c r="T96" s="62">
        <f t="shared" si="88"/>
        <v>476.29465646955543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134.61961236555285</v>
      </c>
      <c r="AA96" s="23">
        <f>EXP(-LN(2)/25)*AA95+(1-EXP(-LN(2)/25))/(LN(2)/25)*Calculateur!V96*Calculateur!X96*VLOOKUP('Données projet'!$B$9,Paramètres!$A$1:$I$89,3,0)*0.475*44/12</f>
        <v>25.804217574713</v>
      </c>
      <c r="AB96" s="23">
        <f>EXP(-LN(2)/2)*AB95+(1-EXP(-LN(2)/2))/(LN(2)/2)*V96*Y96*VLOOKUP('Données projet'!$B$9,Paramètres!$A$1:$I$89,3,0)*0.475*44/12</f>
        <v>6.076790655016517E-4</v>
      </c>
      <c r="AC96" s="24">
        <f t="shared" si="57"/>
        <v>160.42443761933134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-1.7053025658242404E-13</v>
      </c>
      <c r="AJ96" s="14">
        <f>AI96*VLOOKUP('Données projet'!$B$10,Paramètres!$A$1:$I$89,3,0)*VLOOKUP('Données projet'!$B$10,Paramètres!$A$1:$I$89,5,0)</f>
        <v>-1.064108801074326E-13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482.28841373508675</v>
      </c>
      <c r="AO96" s="62">
        <f t="shared" si="90"/>
        <v>746.97309214631684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251.70079436158238</v>
      </c>
      <c r="AV96" s="23">
        <f>EXP(-LN(2)/25)*AV95+(1-EXP(-LN(2)/25))/(LN(2)/25)*Calculateur!AQ96*Calculateur!AS96*VLOOKUP('Données projet'!$B$10,Paramètres!$A$1:$I$89,3,0)*0.475*44/12</f>
        <v>48.38399917568703</v>
      </c>
      <c r="AW96" s="23">
        <f>EXP(-LN(2)/2)*AW95+(1-EXP(-LN(2)/2))/(LN(2)/2)*AQ96*AT96*VLOOKUP('Données projet'!$B$10,Paramètres!$A$1:$I$89,3,0)*0.475*44/12</f>
        <v>0.22698338814069377</v>
      </c>
      <c r="AX96" s="23">
        <f t="shared" si="60"/>
        <v>300.31177692541013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-1.7053025658242404E-13</v>
      </c>
      <c r="BE96" s="14">
        <f>BD96*VLOOKUP('Données projet'!$B$11,Paramètres!$A$1:$I$89,3,0)*VLOOKUP('Données projet'!$B$11,Paramètres!$A$1:$I$89,5,0)</f>
        <v>-9.3109520094003535E-14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417.99456559608217</v>
      </c>
      <c r="BJ96" s="62">
        <f t="shared" si="92"/>
        <v>651.41353014863932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220.23819506638458</v>
      </c>
      <c r="BQ96" s="23">
        <f>EXP(-LN(2)/25)*BQ95+(1-EXP(-LN(2)/25))/(LN(2)/25)*Calculateur!BL96*Calculateur!BN96*VLOOKUP('Données projet'!$B$11,Paramètres!$A$1:$I$89,3,0)*0.475*44/12</f>
        <v>42.839999270139558</v>
      </c>
      <c r="BR96" s="23">
        <f>EXP(-LN(2)/2)*BR95+(1-EXP(-LN(2)/2))/(LN(2)/2)*BL96*BO96*VLOOKUP('Données projet'!$B$11,Paramètres!$A$1:$I$89,3,0)*0.475*44/12</f>
        <v>0.19560121515912043</v>
      </c>
      <c r="BS96" s="24">
        <f t="shared" si="63"/>
        <v>263.27379555168324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4.75</v>
      </c>
      <c r="BY96" s="13">
        <f>IF('Données projet'!$A$114&gt;35,BY95+BX96-CG95,IF(A96&lt;'Données projet'!$A$114,$BV$205^A96,IF(A96='Données projet'!$A$114,'Données projet'!$B$114,BY95+BX96-CG95)))</f>
        <v>168.24999999999991</v>
      </c>
      <c r="BZ96" s="14">
        <f>BY96*VLOOKUP('Données projet'!$B$12,Paramètres!$A$1:$I$89,3,0)*VLOOKUP('Données projet'!$B$12,Paramètres!$A$1:$I$89,5,0)</f>
        <v>152.23259999999991</v>
      </c>
      <c r="CA96" s="14">
        <f t="shared" si="93"/>
        <v>39.085514892085854</v>
      </c>
      <c r="CB96" s="22">
        <f t="shared" si="64"/>
        <v>333.21238343704937</v>
      </c>
      <c r="CC96" s="62">
        <f t="shared" si="65"/>
        <v>626.54571677038268</v>
      </c>
      <c r="CD96" s="62">
        <f ca="1">AVERAGE(OFFSET($CC$3,0,0,'Données projet'!$E$12+1,1))-AVERAGE(OFFSET($H$3,0,0,'Données projet'!$E$12+1,1))</f>
        <v>213.07277043804817</v>
      </c>
      <c r="CE96" s="62">
        <f t="shared" si="94"/>
        <v>129.14539883354166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29.176919476092348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29.176919476092348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4.75</v>
      </c>
      <c r="CT96" s="13">
        <f>IF('Données projet'!$A$140&gt;35,CT95+CS96-DB95,IF(A96&lt;'Données projet'!$A$140,$CQ$205^A96,IF(A96='Données projet'!$A$140,'Données projet'!$B$140,CT95+CS96-DB95)))</f>
        <v>168.24999999999991</v>
      </c>
      <c r="CU96" s="18">
        <f>CT96*VLOOKUP('Données projet'!$B$13,Paramètres!$A$1:$I$89,3,0)*VLOOKUP('Données projet'!$B$13,Paramètres!$A$1:$I$89,5,0)</f>
        <v>170.60549999999992</v>
      </c>
      <c r="CV96" s="14">
        <f t="shared" si="95"/>
        <v>43.225607368533112</v>
      </c>
      <c r="CW96" s="22">
        <f t="shared" si="67"/>
        <v>372.42251200019501</v>
      </c>
      <c r="CX96" s="62">
        <f t="shared" si="68"/>
        <v>665.75584533352833</v>
      </c>
      <c r="CY96" s="62">
        <f ca="1">AVERAGE(OFFSET($CX$3,0,0,'Données projet'!$E$13+1,1))-AVERAGE(OFFSET($H$3,0,0,'Données projet'!$E$13+1,1))</f>
        <v>247.92503505485405</v>
      </c>
      <c r="CZ96" s="62">
        <f t="shared" si="96"/>
        <v>148.26437652597514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32.698271826655237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32.698271826655237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3.1</v>
      </c>
      <c r="DO96" s="13">
        <f>IF('Données projet'!$A$166&gt;35,DO95+DN96-DW95,IF(A96&lt;'Données projet'!$A$166,$DL$205^A96,IF(A96='Données projet'!$A$166,'Données projet'!$B$166,DO95+DN96-DW95)))</f>
        <v>112.30000000000007</v>
      </c>
      <c r="DP96" s="18">
        <f>DO96*VLOOKUP('Données projet'!$B$14,Paramètres!$A$1:$I$89,3,0)*VLOOKUP('Données projet'!$B$14,Paramètres!$A$1:$I$89,5,0)</f>
        <v>108.61656000000008</v>
      </c>
      <c r="DQ96" s="14">
        <f t="shared" si="97"/>
        <v>29.004795610394837</v>
      </c>
      <c r="DR96" s="22">
        <f t="shared" si="70"/>
        <v>239.69052768810448</v>
      </c>
      <c r="DS96" s="62">
        <f t="shared" si="71"/>
        <v>533.02386102143782</v>
      </c>
      <c r="DT96" s="62">
        <f ca="1">AVERAGE(OFFSET($DS$3,0,0,'Données projet'!$E$14+1,1))-AVERAGE(OFFSET($H$3,0,0,'Données projet'!$E$14+1,1))</f>
        <v>154.0837760161366</v>
      </c>
      <c r="DU96" s="62">
        <f t="shared" si="98"/>
        <v>96.484500841546037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13.269613278179783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13.269613278179783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-5.6843418860808015E-14</v>
      </c>
      <c r="EK96" s="18">
        <f>EJ96*VLOOKUP('Données projet'!$B$15,Paramètres!$A$1:$I$89,3,0)*VLOOKUP('Données projet'!$B$15,Paramètres!$A$1:$I$89,5,0)</f>
        <v>-3.813056537183002E-14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205.35893113421139</v>
      </c>
      <c r="EP96" s="62">
        <f t="shared" si="100"/>
        <v>220.4399811285175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61.234076508076598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61.234076508076598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-5.6843418860808015E-14</v>
      </c>
      <c r="FF96" s="18">
        <f>FE96*VLOOKUP('Données projet'!$B$16,Paramètres!$A$1:$I$89,3,0)*VLOOKUP('Données projet'!$B$16,Paramètres!$A$1:$I$89,5,0)</f>
        <v>-4.4337866711430253E-14</v>
      </c>
      <c r="FG96" s="14" t="e">
        <f t="shared" si="101"/>
        <v>#NUM!</v>
      </c>
      <c r="FH96" s="22" t="e">
        <f t="shared" si="76"/>
        <v>#NUM!</v>
      </c>
      <c r="FI96" s="62" t="e">
        <f t="shared" si="77"/>
        <v>#NUM!</v>
      </c>
      <c r="FJ96" s="62">
        <f ca="1">AVERAGE(OFFSET($FI$3,0,0,'Données projet'!$E$16+1,1))-AVERAGE(OFFSET($H$3,0,0,'Données projet'!$E$16+1,1))</f>
        <v>242.81177364426878</v>
      </c>
      <c r="FK96" s="62">
        <f t="shared" si="102"/>
        <v>260.72115764896671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57.767996705732649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57.767996705732649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-5.6843418860808015E-14</v>
      </c>
      <c r="GA96" s="18">
        <f>FZ96*VLOOKUP('Données projet'!$B$17,Paramètres!$A$1:$I$89,3,0)*VLOOKUP('Données projet'!$B$17,Paramètres!$A$1:$I$89,5,0)</f>
        <v>-4.5224624045658861E-14</v>
      </c>
      <c r="GB96" s="14" t="e">
        <f t="shared" si="103"/>
        <v>#NUM!</v>
      </c>
      <c r="GC96" s="22" t="e">
        <f t="shared" si="79"/>
        <v>#NUM!</v>
      </c>
      <c r="GD96" s="62" t="e">
        <f t="shared" si="80"/>
        <v>#NUM!</v>
      </c>
      <c r="GE96" s="62">
        <f ca="1">AVERAGE(OFFSET($GD$3,0,0,'Données projet'!$E$17+1,1))-AVERAGE(OFFSET($H$3,0,0,'Données projet'!$E$17+1,1))</f>
        <v>248.15263300983543</v>
      </c>
      <c r="GF96" s="62">
        <f t="shared" si="104"/>
        <v>266.46511459244618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72.626462835160595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72.626462835160595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382.55387448074327</v>
      </c>
      <c r="T97" s="62">
        <f t="shared" si="88"/>
        <v>476.29465646955543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131.97980387692024</v>
      </c>
      <c r="AA97" s="23">
        <f>EXP(-LN(2)/25)*AA96+(1-EXP(-LN(2)/25))/(LN(2)/25)*Calculateur!V97*Calculateur!X97*VLOOKUP('Données projet'!$B$9,Paramètres!$A$1:$I$89,3,0)*0.475*44/12</f>
        <v>25.098599888147646</v>
      </c>
      <c r="AB97" s="23">
        <f>EXP(-LN(2)/2)*AB96+(1-EXP(-LN(2)/2))/(LN(2)/2)*V97*Y97*VLOOKUP('Données projet'!$B$9,Paramètres!$A$1:$I$89,3,0)*0.475*44/12</f>
        <v>4.2969398800132212E-4</v>
      </c>
      <c r="AC97" s="24">
        <f t="shared" si="57"/>
        <v>157.07883345905589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-1.7053025658242404E-13</v>
      </c>
      <c r="AJ97" s="14">
        <f>AI97*VLOOKUP('Données projet'!$B$10,Paramètres!$A$1:$I$89,3,0)*VLOOKUP('Données projet'!$B$10,Paramètres!$A$1:$I$89,5,0)</f>
        <v>-1.064108801074326E-13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482.28841373508675</v>
      </c>
      <c r="AO97" s="62">
        <f t="shared" si="90"/>
        <v>746.97309214631684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246.76509530647724</v>
      </c>
      <c r="AV97" s="23">
        <f>EXP(-LN(2)/25)*AV96+(1-EXP(-LN(2)/25))/(LN(2)/25)*Calculateur!AQ97*Calculateur!AS97*VLOOKUP('Données projet'!$B$10,Paramètres!$A$1:$I$89,3,0)*0.475*44/12</f>
        <v>47.060936173823933</v>
      </c>
      <c r="AW97" s="23">
        <f>EXP(-LN(2)/2)*AW96+(1-EXP(-LN(2)/2))/(LN(2)/2)*AQ97*AT97*VLOOKUP('Données projet'!$B$10,Paramètres!$A$1:$I$89,3,0)*0.475*44/12</f>
        <v>0.16050149297098273</v>
      </c>
      <c r="AX97" s="23">
        <f t="shared" si="60"/>
        <v>293.98653297327212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-1.7053025658242404E-13</v>
      </c>
      <c r="BE97" s="14">
        <f>BD97*VLOOKUP('Données projet'!$B$11,Paramètres!$A$1:$I$89,3,0)*VLOOKUP('Données projet'!$B$11,Paramètres!$A$1:$I$89,5,0)</f>
        <v>-9.3109520094003535E-14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417.99456559608217</v>
      </c>
      <c r="BJ97" s="62">
        <f t="shared" si="92"/>
        <v>651.41353014863932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215.91945839316759</v>
      </c>
      <c r="BQ97" s="23">
        <f>EXP(-LN(2)/25)*BQ96+(1-EXP(-LN(2)/25))/(LN(2)/25)*Calculateur!BL97*Calculateur!BN97*VLOOKUP('Données projet'!$B$11,Paramètres!$A$1:$I$89,3,0)*0.475*44/12</f>
        <v>41.668537237239939</v>
      </c>
      <c r="BR97" s="23">
        <f>EXP(-LN(2)/2)*BR96+(1-EXP(-LN(2)/2))/(LN(2)/2)*BL97*BO97*VLOOKUP('Données projet'!$B$11,Paramètres!$A$1:$I$89,3,0)*0.475*44/12</f>
        <v>0.13831094564734298</v>
      </c>
      <c r="BS97" s="24">
        <f t="shared" si="63"/>
        <v>257.72630657605487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4.75</v>
      </c>
      <c r="BY97" s="13">
        <f>IF('Données projet'!$A$114&gt;35,BY96+BX97-CG96,IF(A97&lt;'Données projet'!$A$114,$BV$205^A97,IF(A97='Données projet'!$A$114,'Données projet'!$B$114,BY96+BX97-CG96)))</f>
        <v>172.99999999999991</v>
      </c>
      <c r="BZ97" s="14">
        <f>BY97*VLOOKUP('Données projet'!$B$12,Paramètres!$A$1:$I$89,3,0)*VLOOKUP('Données projet'!$B$12,Paramètres!$A$1:$I$89,5,0)</f>
        <v>156.53039999999993</v>
      </c>
      <c r="CA97" s="14">
        <f t="shared" si="93"/>
        <v>40.058941713182001</v>
      </c>
      <c r="CB97" s="22">
        <f t="shared" si="64"/>
        <v>342.39310348379189</v>
      </c>
      <c r="CC97" s="62">
        <f t="shared" si="65"/>
        <v>635.7264368171252</v>
      </c>
      <c r="CD97" s="62">
        <f ca="1">AVERAGE(OFFSET($CC$3,0,0,'Données projet'!$E$12+1,1))-AVERAGE(OFFSET($H$3,0,0,'Données projet'!$E$12+1,1))</f>
        <v>213.07277043804817</v>
      </c>
      <c r="CE97" s="62">
        <f t="shared" si="94"/>
        <v>129.14539883354166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28.604777881329831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28.604777881329831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4.75</v>
      </c>
      <c r="CT97" s="13">
        <f>IF('Données projet'!$A$140&gt;35,CT96+CS97-DB96,IF(A97&lt;'Données projet'!$A$140,$CQ$205^A97,IF(A97='Données projet'!$A$140,'Données projet'!$B$140,CT96+CS97-DB96)))</f>
        <v>172.99999999999991</v>
      </c>
      <c r="CU97" s="18">
        <f>CT97*VLOOKUP('Données projet'!$B$13,Paramètres!$A$1:$I$89,3,0)*VLOOKUP('Données projet'!$B$13,Paramètres!$A$1:$I$89,5,0)</f>
        <v>175.42199999999991</v>
      </c>
      <c r="CV97" s="14">
        <f t="shared" si="95"/>
        <v>44.302143412304694</v>
      </c>
      <c r="CW97" s="22">
        <f t="shared" si="67"/>
        <v>382.68621644309718</v>
      </c>
      <c r="CX97" s="62">
        <f t="shared" si="68"/>
        <v>676.01954977643049</v>
      </c>
      <c r="CY97" s="62">
        <f ca="1">AVERAGE(OFFSET($CX$3,0,0,'Données projet'!$E$13+1,1))-AVERAGE(OFFSET($H$3,0,0,'Données projet'!$E$13+1,1))</f>
        <v>247.92503505485405</v>
      </c>
      <c r="CZ97" s="62">
        <f t="shared" si="96"/>
        <v>148.26437652597514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32.057078660111038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32.057078660111038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3.1</v>
      </c>
      <c r="DO97" s="13">
        <f>IF('Données projet'!$A$166&gt;35,DO96+DN97-DW96,IF(A97&lt;'Données projet'!$A$166,$DL$205^A97,IF(A97='Données projet'!$A$166,'Données projet'!$B$166,DO96+DN97-DW96)))</f>
        <v>115.40000000000006</v>
      </c>
      <c r="DP97" s="18">
        <f>DO97*VLOOKUP('Données projet'!$B$14,Paramètres!$A$1:$I$89,3,0)*VLOOKUP('Données projet'!$B$14,Paramètres!$A$1:$I$89,5,0)</f>
        <v>111.61488000000007</v>
      </c>
      <c r="DQ97" s="14">
        <f t="shared" si="97"/>
        <v>29.711139570849653</v>
      </c>
      <c r="DR97" s="22">
        <f t="shared" si="70"/>
        <v>246.14281741922991</v>
      </c>
      <c r="DS97" s="62">
        <f t="shared" si="71"/>
        <v>539.47615075256317</v>
      </c>
      <c r="DT97" s="62">
        <f ca="1">AVERAGE(OFFSET($DS$3,0,0,'Données projet'!$E$14+1,1))-AVERAGE(OFFSET($H$3,0,0,'Données projet'!$E$14+1,1))</f>
        <v>154.0837760161366</v>
      </c>
      <c r="DU97" s="62">
        <f t="shared" si="98"/>
        <v>96.484500841546037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13.009404255459595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13.009404255459595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-5.6843418860808015E-14</v>
      </c>
      <c r="EK97" s="18">
        <f>EJ97*VLOOKUP('Données projet'!$B$15,Paramètres!$A$1:$I$89,3,0)*VLOOKUP('Données projet'!$B$15,Paramètres!$A$1:$I$89,5,0)</f>
        <v>-3.813056537183002E-14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205.35893113421139</v>
      </c>
      <c r="EP97" s="62">
        <f t="shared" si="100"/>
        <v>220.4399811285175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60.03331361685197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60.03331361685197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-5.6843418860808015E-14</v>
      </c>
      <c r="FF97" s="18">
        <f>FE97*VLOOKUP('Données projet'!$B$16,Paramètres!$A$1:$I$89,3,0)*VLOOKUP('Données projet'!$B$16,Paramètres!$A$1:$I$89,5,0)</f>
        <v>-4.4337866711430253E-14</v>
      </c>
      <c r="FG97" s="14" t="e">
        <f t="shared" si="101"/>
        <v>#NUM!</v>
      </c>
      <c r="FH97" s="22" t="e">
        <f t="shared" si="76"/>
        <v>#NUM!</v>
      </c>
      <c r="FI97" s="62" t="e">
        <f t="shared" si="77"/>
        <v>#NUM!</v>
      </c>
      <c r="FJ97" s="62">
        <f ca="1">AVERAGE(OFFSET($FI$3,0,0,'Données projet'!$E$16+1,1))-AVERAGE(OFFSET($H$3,0,0,'Données projet'!$E$16+1,1))</f>
        <v>242.81177364426878</v>
      </c>
      <c r="FK97" s="62">
        <f t="shared" si="102"/>
        <v>260.72115764896671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56.635201525332057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56.635201525332057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-5.6843418860808015E-14</v>
      </c>
      <c r="GA97" s="18">
        <f>FZ97*VLOOKUP('Données projet'!$B$17,Paramètres!$A$1:$I$89,3,0)*VLOOKUP('Données projet'!$B$17,Paramètres!$A$1:$I$89,5,0)</f>
        <v>-4.5224624045658861E-14</v>
      </c>
      <c r="GB97" s="14" t="e">
        <f t="shared" si="103"/>
        <v>#NUM!</v>
      </c>
      <c r="GC97" s="22" t="e">
        <f t="shared" si="79"/>
        <v>#NUM!</v>
      </c>
      <c r="GD97" s="62" t="e">
        <f t="shared" si="80"/>
        <v>#NUM!</v>
      </c>
      <c r="GE97" s="62">
        <f ca="1">AVERAGE(OFFSET($GD$3,0,0,'Données projet'!$E$17+1,1))-AVERAGE(OFFSET($H$3,0,0,'Données projet'!$E$17+1,1))</f>
        <v>248.15263300983543</v>
      </c>
      <c r="GF97" s="62">
        <f t="shared" si="104"/>
        <v>266.46511459244618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71.202302196731381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71.202302196731381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382.55387448074327</v>
      </c>
      <c r="T98" s="62">
        <f t="shared" si="88"/>
        <v>476.29465646955543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129.39176042262551</v>
      </c>
      <c r="AA98" s="23">
        <f>EXP(-LN(2)/25)*AA97+(1-EXP(-LN(2)/25))/(LN(2)/25)*Calculateur!V98*Calculateur!X98*VLOOKUP('Données projet'!$B$9,Paramètres!$A$1:$I$89,3,0)*0.475*44/12</f>
        <v>24.412277354328243</v>
      </c>
      <c r="AB98" s="23">
        <f>EXP(-LN(2)/2)*AB97+(1-EXP(-LN(2)/2))/(LN(2)/2)*V98*Y98*VLOOKUP('Données projet'!$B$9,Paramètres!$A$1:$I$89,3,0)*0.475*44/12</f>
        <v>3.0383953275082585E-4</v>
      </c>
      <c r="AC98" s="24">
        <f t="shared" si="57"/>
        <v>153.80434161648651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-1.7053025658242404E-13</v>
      </c>
      <c r="AJ98" s="14">
        <f>AI98*VLOOKUP('Données projet'!$B$10,Paramètres!$A$1:$I$89,3,0)*VLOOKUP('Données projet'!$B$10,Paramètres!$A$1:$I$89,5,0)</f>
        <v>-1.064108801074326E-13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482.28841373508675</v>
      </c>
      <c r="AO98" s="62">
        <f t="shared" si="90"/>
        <v>746.97309214631684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241.92618229936355</v>
      </c>
      <c r="AV98" s="23">
        <f>EXP(-LN(2)/25)*AV97+(1-EXP(-LN(2)/25))/(LN(2)/25)*Calculateur!AQ98*Calculateur!AS98*VLOOKUP('Données projet'!$B$10,Paramètres!$A$1:$I$89,3,0)*0.475*44/12</f>
        <v>45.774052399323644</v>
      </c>
      <c r="AW98" s="23">
        <f>EXP(-LN(2)/2)*AW97+(1-EXP(-LN(2)/2))/(LN(2)/2)*AQ98*AT98*VLOOKUP('Données projet'!$B$10,Paramètres!$A$1:$I$89,3,0)*0.475*44/12</f>
        <v>0.11349169407034689</v>
      </c>
      <c r="AX98" s="23">
        <f t="shared" si="60"/>
        <v>287.81372639275753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-1.7053025658242404E-13</v>
      </c>
      <c r="BE98" s="14">
        <f>BD98*VLOOKUP('Données projet'!$B$11,Paramètres!$A$1:$I$89,3,0)*VLOOKUP('Données projet'!$B$11,Paramètres!$A$1:$I$89,5,0)</f>
        <v>-9.3109520094003535E-14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417.99456559608217</v>
      </c>
      <c r="BJ98" s="62">
        <f t="shared" si="92"/>
        <v>651.41353014863932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211.68540951194311</v>
      </c>
      <c r="BQ98" s="23">
        <f>EXP(-LN(2)/25)*BQ97+(1-EXP(-LN(2)/25))/(LN(2)/25)*Calculateur!BL98*Calculateur!BN98*VLOOKUP('Données projet'!$B$11,Paramètres!$A$1:$I$89,3,0)*0.475*44/12</f>
        <v>40.529108895234472</v>
      </c>
      <c r="BR98" s="23">
        <f>EXP(-LN(2)/2)*BR97+(1-EXP(-LN(2)/2))/(LN(2)/2)*BL98*BO98*VLOOKUP('Données projet'!$B$11,Paramètres!$A$1:$I$89,3,0)*0.475*44/12</f>
        <v>9.7800607579560217E-2</v>
      </c>
      <c r="BS98" s="24">
        <f t="shared" si="63"/>
        <v>252.31231901475715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4.75</v>
      </c>
      <c r="BY98" s="13">
        <f>IF('Données projet'!$A$114&gt;35,BY97+BX98-CG97,IF(A98&lt;'Données projet'!$A$114,$BV$205^A98,IF(A98='Données projet'!$A$114,'Données projet'!$B$114,BY97+BX98-CG97)))</f>
        <v>177.74999999999991</v>
      </c>
      <c r="BZ98" s="14">
        <f>BY98*VLOOKUP('Données projet'!$B$12,Paramètres!$A$1:$I$89,3,0)*VLOOKUP('Données projet'!$B$12,Paramètres!$A$1:$I$89,5,0)</f>
        <v>160.82819999999992</v>
      </c>
      <c r="CA98" s="14">
        <f t="shared" si="93"/>
        <v>41.02926206078601</v>
      </c>
      <c r="CB98" s="22">
        <f t="shared" si="64"/>
        <v>351.56841308920212</v>
      </c>
      <c r="CC98" s="62">
        <f t="shared" si="65"/>
        <v>644.90174642253544</v>
      </c>
      <c r="CD98" s="62">
        <f ca="1">AVERAGE(OFFSET($CC$3,0,0,'Données projet'!$E$12+1,1))-AVERAGE(OFFSET($H$3,0,0,'Données projet'!$E$12+1,1))</f>
        <v>213.07277043804817</v>
      </c>
      <c r="CE98" s="62">
        <f t="shared" si="94"/>
        <v>129.14539883354166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28.043855634268695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28.043855634268695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4.75</v>
      </c>
      <c r="CT98" s="13">
        <f>IF('Données projet'!$A$140&gt;35,CT97+CS98-DB97,IF(A98&lt;'Données projet'!$A$140,$CQ$205^A98,IF(A98='Données projet'!$A$140,'Données projet'!$B$140,CT97+CS98-DB97)))</f>
        <v>177.74999999999991</v>
      </c>
      <c r="CU98" s="18">
        <f>CT98*VLOOKUP('Données projet'!$B$13,Paramètres!$A$1:$I$89,3,0)*VLOOKUP('Données projet'!$B$13,Paramètres!$A$1:$I$89,5,0)</f>
        <v>180.23849999999993</v>
      </c>
      <c r="CV98" s="14">
        <f t="shared" si="95"/>
        <v>45.375243932613408</v>
      </c>
      <c r="CW98" s="22">
        <f t="shared" si="67"/>
        <v>392.94393734930151</v>
      </c>
      <c r="CX98" s="62">
        <f t="shared" si="68"/>
        <v>686.27727068263482</v>
      </c>
      <c r="CY98" s="62">
        <f ca="1">AVERAGE(OFFSET($CX$3,0,0,'Données projet'!$E$13+1,1))-AVERAGE(OFFSET($H$3,0,0,'Données projet'!$E$13+1,1))</f>
        <v>247.92503505485405</v>
      </c>
      <c r="CZ98" s="62">
        <f t="shared" si="96"/>
        <v>148.26437652597514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31.428458900473558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31.428458900473558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3.1</v>
      </c>
      <c r="DO98" s="13">
        <f>IF('Données projet'!$A$166&gt;35,DO97+DN98-DW97,IF(A98&lt;'Données projet'!$A$166,$DL$205^A98,IF(A98='Données projet'!$A$166,'Données projet'!$B$166,DO97+DN98-DW97)))</f>
        <v>118.50000000000006</v>
      </c>
      <c r="DP98" s="18">
        <f>DO98*VLOOKUP('Données projet'!$B$14,Paramètres!$A$1:$I$89,3,0)*VLOOKUP('Données projet'!$B$14,Paramètres!$A$1:$I$89,5,0)</f>
        <v>114.61320000000006</v>
      </c>
      <c r="DQ98" s="14">
        <f t="shared" si="97"/>
        <v>30.415278059609527</v>
      </c>
      <c r="DR98" s="22">
        <f t="shared" si="70"/>
        <v>252.59126595382</v>
      </c>
      <c r="DS98" s="62">
        <f t="shared" si="71"/>
        <v>545.92459928715334</v>
      </c>
      <c r="DT98" s="62">
        <f ca="1">AVERAGE(OFFSET($DS$3,0,0,'Données projet'!$E$14+1,1))-AVERAGE(OFFSET($H$3,0,0,'Données projet'!$E$14+1,1))</f>
        <v>154.0837760161366</v>
      </c>
      <c r="DU98" s="62">
        <f t="shared" si="98"/>
        <v>96.484500841546037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12.754297772963117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12.754297772963117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-5.6843418860808015E-14</v>
      </c>
      <c r="EK98" s="18">
        <f>EJ98*VLOOKUP('Données projet'!$B$15,Paramètres!$A$1:$I$89,3,0)*VLOOKUP('Données projet'!$B$15,Paramètres!$A$1:$I$89,5,0)</f>
        <v>-3.813056537183002E-14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205.35893113421139</v>
      </c>
      <c r="EP98" s="62">
        <f t="shared" si="100"/>
        <v>220.4399811285175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58.856096953531207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58.856096953531207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-5.6843418860808015E-14</v>
      </c>
      <c r="FF98" s="18">
        <f>FE98*VLOOKUP('Données projet'!$B$16,Paramètres!$A$1:$I$89,3,0)*VLOOKUP('Données projet'!$B$16,Paramètres!$A$1:$I$89,5,0)</f>
        <v>-4.4337866711430253E-14</v>
      </c>
      <c r="FG98" s="14" t="e">
        <f t="shared" si="101"/>
        <v>#NUM!</v>
      </c>
      <c r="FH98" s="22" t="e">
        <f t="shared" si="76"/>
        <v>#NUM!</v>
      </c>
      <c r="FI98" s="62" t="e">
        <f t="shared" si="77"/>
        <v>#NUM!</v>
      </c>
      <c r="FJ98" s="62">
        <f ca="1">AVERAGE(OFFSET($FI$3,0,0,'Données projet'!$E$16+1,1))-AVERAGE(OFFSET($H$3,0,0,'Données projet'!$E$16+1,1))</f>
        <v>242.81177364426878</v>
      </c>
      <c r="FK98" s="62">
        <f t="shared" si="102"/>
        <v>260.72115764896671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55.524619767482285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55.524619767482285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-5.6843418860808015E-14</v>
      </c>
      <c r="GA98" s="18">
        <f>FZ98*VLOOKUP('Données projet'!$B$17,Paramètres!$A$1:$I$89,3,0)*VLOOKUP('Données projet'!$B$17,Paramètres!$A$1:$I$89,5,0)</f>
        <v>-4.5224624045658861E-14</v>
      </c>
      <c r="GB98" s="14" t="e">
        <f t="shared" si="103"/>
        <v>#NUM!</v>
      </c>
      <c r="GC98" s="22" t="e">
        <f t="shared" si="79"/>
        <v>#NUM!</v>
      </c>
      <c r="GD98" s="62" t="e">
        <f t="shared" si="80"/>
        <v>#NUM!</v>
      </c>
      <c r="GE98" s="62">
        <f ca="1">AVERAGE(OFFSET($GD$3,0,0,'Données projet'!$E$17+1,1))-AVERAGE(OFFSET($H$3,0,0,'Données projet'!$E$17+1,1))</f>
        <v>248.15263300983543</v>
      </c>
      <c r="GF98" s="62">
        <f t="shared" si="104"/>
        <v>266.46511459244618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69.80606847976955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69.80606847976955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382.55387448074327</v>
      </c>
      <c r="T99" s="62">
        <f t="shared" si="88"/>
        <v>476.29465646955543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126.85446692191886</v>
      </c>
      <c r="AA99" s="23">
        <f>EXP(-LN(2)/25)*AA98+(1-EXP(-LN(2)/25))/(LN(2)/25)*Calculateur!V99*Calculateur!X99*VLOOKUP('Données projet'!$B$9,Paramètres!$A$1:$I$89,3,0)*0.475*44/12</f>
        <v>23.744722346288267</v>
      </c>
      <c r="AB99" s="23">
        <f>EXP(-LN(2)/2)*AB98+(1-EXP(-LN(2)/2))/(LN(2)/2)*V99*Y99*VLOOKUP('Données projet'!$B$9,Paramètres!$A$1:$I$89,3,0)*0.475*44/12</f>
        <v>2.1484699400066106E-4</v>
      </c>
      <c r="AC99" s="24">
        <f t="shared" si="57"/>
        <v>150.59940411520111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-1.7053025658242404E-13</v>
      </c>
      <c r="AJ99" s="14">
        <f>AI99*VLOOKUP('Données projet'!$B$10,Paramètres!$A$1:$I$89,3,0)*VLOOKUP('Données projet'!$B$10,Paramètres!$A$1:$I$89,5,0)</f>
        <v>-1.064108801074326E-13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482.28841373508675</v>
      </c>
      <c r="AO99" s="62">
        <f t="shared" si="90"/>
        <v>746.97309214631684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237.18215742487385</v>
      </c>
      <c r="AV99" s="23">
        <f>EXP(-LN(2)/25)*AV98+(1-EXP(-LN(2)/25))/(LN(2)/25)*Calculateur!AQ99*Calculateur!AS99*VLOOKUP('Données projet'!$B$10,Paramètres!$A$1:$I$89,3,0)*0.475*44/12</f>
        <v>44.52235852931134</v>
      </c>
      <c r="AW99" s="23">
        <f>EXP(-LN(2)/2)*AW98+(1-EXP(-LN(2)/2))/(LN(2)/2)*AQ99*AT99*VLOOKUP('Données projet'!$B$10,Paramètres!$A$1:$I$89,3,0)*0.475*44/12</f>
        <v>8.0250746485491367E-2</v>
      </c>
      <c r="AX99" s="23">
        <f t="shared" si="60"/>
        <v>281.78476670067067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-1.7053025658242404E-13</v>
      </c>
      <c r="BE99" s="14">
        <f>BD99*VLOOKUP('Données projet'!$B$11,Paramètres!$A$1:$I$89,3,0)*VLOOKUP('Données projet'!$B$11,Paramètres!$A$1:$I$89,5,0)</f>
        <v>-9.3109520094003535E-14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417.99456559608217</v>
      </c>
      <c r="BJ99" s="62">
        <f t="shared" si="92"/>
        <v>651.41353014863932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207.53438774676462</v>
      </c>
      <c r="BQ99" s="23">
        <f>EXP(-LN(2)/25)*BQ98+(1-EXP(-LN(2)/25))/(LN(2)/25)*Calculateur!BL99*Calculateur!BN99*VLOOKUP('Données projet'!$B$11,Paramètres!$A$1:$I$89,3,0)*0.475*44/12</f>
        <v>39.420838281161082</v>
      </c>
      <c r="BR99" s="23">
        <f>EXP(-LN(2)/2)*BR98+(1-EXP(-LN(2)/2))/(LN(2)/2)*BL99*BO99*VLOOKUP('Données projet'!$B$11,Paramètres!$A$1:$I$89,3,0)*0.475*44/12</f>
        <v>6.9155472823671488E-2</v>
      </c>
      <c r="BS99" s="24">
        <f t="shared" si="63"/>
        <v>247.02438150074937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4.75</v>
      </c>
      <c r="BY99" s="13">
        <f>IF('Données projet'!$A$114&gt;35,BY98+BX99-CG98,IF(A99&lt;'Données projet'!$A$114,$BV$205^A99,IF(A99='Données projet'!$A$114,'Données projet'!$B$114,BY98+BX99-CG98)))</f>
        <v>182.49999999999991</v>
      </c>
      <c r="BZ99" s="14">
        <f>BY99*VLOOKUP('Données projet'!$B$12,Paramètres!$A$1:$I$89,3,0)*VLOOKUP('Données projet'!$B$12,Paramètres!$A$1:$I$89,5,0)</f>
        <v>165.12599999999992</v>
      </c>
      <c r="CA99" s="14">
        <f t="shared" si="93"/>
        <v>41.996568490108949</v>
      </c>
      <c r="CB99" s="22">
        <f t="shared" si="64"/>
        <v>360.73847345360628</v>
      </c>
      <c r="CC99" s="62">
        <f t="shared" si="65"/>
        <v>654.07180678693953</v>
      </c>
      <c r="CD99" s="62">
        <f ca="1">AVERAGE(OFFSET($CC$3,0,0,'Données projet'!$E$12+1,1))-AVERAGE(OFFSET($H$3,0,0,'Données projet'!$E$12+1,1))</f>
        <v>213.07277043804817</v>
      </c>
      <c r="CE99" s="62">
        <f t="shared" si="94"/>
        <v>129.14539883354166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27.493932730343637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27.493932730343637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4.75</v>
      </c>
      <c r="CT99" s="13">
        <f>IF('Données projet'!$A$140&gt;35,CT98+CS99-DB98,IF(A99&lt;'Données projet'!$A$140,$CQ$205^A99,IF(A99='Données projet'!$A$140,'Données projet'!$B$140,CT98+CS99-DB98)))</f>
        <v>182.49999999999991</v>
      </c>
      <c r="CU99" s="18">
        <f>CT99*VLOOKUP('Données projet'!$B$13,Paramètres!$A$1:$I$89,3,0)*VLOOKUP('Données projet'!$B$13,Paramètres!$A$1:$I$89,5,0)</f>
        <v>185.05499999999992</v>
      </c>
      <c r="CV99" s="14">
        <f t="shared" si="95"/>
        <v>46.445011288484558</v>
      </c>
      <c r="CW99" s="22">
        <f t="shared" si="67"/>
        <v>403.19585299411045</v>
      </c>
      <c r="CX99" s="62">
        <f t="shared" si="68"/>
        <v>696.52918632744377</v>
      </c>
      <c r="CY99" s="62">
        <f ca="1">AVERAGE(OFFSET($CX$3,0,0,'Données projet'!$E$13+1,1))-AVERAGE(OFFSET($H$3,0,0,'Données projet'!$E$13+1,1))</f>
        <v>247.92503505485405</v>
      </c>
      <c r="CZ99" s="62">
        <f t="shared" si="96"/>
        <v>148.26437652597514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30.812165990902372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30.812165990902372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3.1</v>
      </c>
      <c r="DO99" s="13">
        <f>IF('Données projet'!$A$166&gt;35,DO98+DN99-DW98,IF(A99&lt;'Données projet'!$A$166,$DL$205^A99,IF(A99='Données projet'!$A$166,'Données projet'!$B$166,DO98+DN99-DW98)))</f>
        <v>121.60000000000005</v>
      </c>
      <c r="DP99" s="18">
        <f>DO99*VLOOKUP('Données projet'!$B$14,Paramètres!$A$1:$I$89,3,0)*VLOOKUP('Données projet'!$B$14,Paramètres!$A$1:$I$89,5,0)</f>
        <v>117.61152000000004</v>
      </c>
      <c r="DQ99" s="14">
        <f t="shared" si="97"/>
        <v>31.117275405241788</v>
      </c>
      <c r="DR99" s="22">
        <f t="shared" si="70"/>
        <v>259.03598533079622</v>
      </c>
      <c r="DS99" s="62">
        <f t="shared" si="71"/>
        <v>552.36931866412954</v>
      </c>
      <c r="DT99" s="62">
        <f ca="1">AVERAGE(OFFSET($DS$3,0,0,'Données projet'!$E$14+1,1))-AVERAGE(OFFSET($H$3,0,0,'Données projet'!$E$14+1,1))</f>
        <v>154.0837760161366</v>
      </c>
      <c r="DU99" s="62">
        <f t="shared" si="98"/>
        <v>96.484500841546037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12.504193772988804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12.504193772988804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-5.6843418860808015E-14</v>
      </c>
      <c r="EK99" s="18">
        <f>EJ99*VLOOKUP('Données projet'!$B$15,Paramètres!$A$1:$I$89,3,0)*VLOOKUP('Données projet'!$B$15,Paramètres!$A$1:$I$89,5,0)</f>
        <v>-3.813056537183002E-14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205.35893113421139</v>
      </c>
      <c r="EP99" s="62">
        <f t="shared" si="100"/>
        <v>220.4399811285175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57.701964790946903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57.701964790946903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-5.6843418860808015E-14</v>
      </c>
      <c r="FF99" s="18">
        <f>FE99*VLOOKUP('Données projet'!$B$16,Paramètres!$A$1:$I$89,3,0)*VLOOKUP('Données projet'!$B$16,Paramètres!$A$1:$I$89,5,0)</f>
        <v>-4.4337866711430253E-14</v>
      </c>
      <c r="FG99" s="14" t="e">
        <f t="shared" si="101"/>
        <v>#NUM!</v>
      </c>
      <c r="FH99" s="22" t="e">
        <f t="shared" si="76"/>
        <v>#NUM!</v>
      </c>
      <c r="FI99" s="62" t="e">
        <f t="shared" si="77"/>
        <v>#NUM!</v>
      </c>
      <c r="FJ99" s="62">
        <f ca="1">AVERAGE(OFFSET($FI$3,0,0,'Données projet'!$E$16+1,1))-AVERAGE(OFFSET($H$3,0,0,'Données projet'!$E$16+1,1))</f>
        <v>242.81177364426878</v>
      </c>
      <c r="FK99" s="62">
        <f t="shared" si="102"/>
        <v>260.72115764896671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54.435815840515957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54.435815840515957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-5.6843418860808015E-14</v>
      </c>
      <c r="GA99" s="18">
        <f>FZ99*VLOOKUP('Données projet'!$B$17,Paramètres!$A$1:$I$89,3,0)*VLOOKUP('Données projet'!$B$17,Paramètres!$A$1:$I$89,5,0)</f>
        <v>-4.5224624045658861E-14</v>
      </c>
      <c r="GB99" s="14" t="e">
        <f t="shared" si="103"/>
        <v>#NUM!</v>
      </c>
      <c r="GC99" s="22" t="e">
        <f t="shared" si="79"/>
        <v>#NUM!</v>
      </c>
      <c r="GD99" s="62" t="e">
        <f t="shared" si="80"/>
        <v>#NUM!</v>
      </c>
      <c r="GE99" s="62">
        <f ca="1">AVERAGE(OFFSET($GD$3,0,0,'Données projet'!$E$17+1,1))-AVERAGE(OFFSET($H$3,0,0,'Données projet'!$E$17+1,1))</f>
        <v>248.15263300983543</v>
      </c>
      <c r="GF99" s="62">
        <f t="shared" si="104"/>
        <v>266.46511459244618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68.43721405437887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68.43721405437887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382.55387448074327</v>
      </c>
      <c r="T100" s="62">
        <f t="shared" si="88"/>
        <v>476.29465646955543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124.36692819916485</v>
      </c>
      <c r="AA100" s="23">
        <f>EXP(-LN(2)/25)*AA99+(1-EXP(-LN(2)/25))/(LN(2)/25)*Calculateur!V100*Calculateur!X100*VLOOKUP('Données projet'!$B$9,Paramètres!$A$1:$I$89,3,0)*0.475*44/12</f>
        <v>23.095421665048335</v>
      </c>
      <c r="AB100" s="23">
        <f>EXP(-LN(2)/2)*AB99+(1-EXP(-LN(2)/2))/(LN(2)/2)*V100*Y100*VLOOKUP('Données projet'!$B$9,Paramètres!$A$1:$I$89,3,0)*0.475*44/12</f>
        <v>1.5191976637541293E-4</v>
      </c>
      <c r="AC100" s="24">
        <f t="shared" si="57"/>
        <v>147.46250178397958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-1.7053025658242404E-13</v>
      </c>
      <c r="AJ100" s="14">
        <f>AI100*VLOOKUP('Données projet'!$B$10,Paramètres!$A$1:$I$89,3,0)*VLOOKUP('Données projet'!$B$10,Paramètres!$A$1:$I$89,5,0)</f>
        <v>-1.064108801074326E-13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482.28841373508675</v>
      </c>
      <c r="AO100" s="62">
        <f t="shared" si="90"/>
        <v>746.97309214631684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232.53115998460345</v>
      </c>
      <c r="AV100" s="23">
        <f>EXP(-LN(2)/25)*AV99+(1-EXP(-LN(2)/25))/(LN(2)/25)*Calculateur!AQ100*Calculateur!AS100*VLOOKUP('Données projet'!$B$10,Paramètres!$A$1:$I$89,3,0)*0.475*44/12</f>
        <v>43.304892293998243</v>
      </c>
      <c r="AW100" s="23">
        <f>EXP(-LN(2)/2)*AW99+(1-EXP(-LN(2)/2))/(LN(2)/2)*AQ100*AT100*VLOOKUP('Données projet'!$B$10,Paramètres!$A$1:$I$89,3,0)*0.475*44/12</f>
        <v>5.6745847035173443E-2</v>
      </c>
      <c r="AX100" s="23">
        <f t="shared" si="60"/>
        <v>275.89279812563689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-1.7053025658242404E-13</v>
      </c>
      <c r="BE100" s="14">
        <f>BD100*VLOOKUP('Données projet'!$B$11,Paramètres!$A$1:$I$89,3,0)*VLOOKUP('Données projet'!$B$11,Paramètres!$A$1:$I$89,5,0)</f>
        <v>-9.3109520094003535E-14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417.99456559608217</v>
      </c>
      <c r="BJ100" s="62">
        <f t="shared" si="92"/>
        <v>651.41353014863932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203.46476498652802</v>
      </c>
      <c r="BQ100" s="23">
        <f>EXP(-LN(2)/25)*BQ99+(1-EXP(-LN(2)/25))/(LN(2)/25)*Calculateur!BL100*Calculateur!BN100*VLOOKUP('Données projet'!$B$11,Paramètres!$A$1:$I$89,3,0)*0.475*44/12</f>
        <v>38.342873385310945</v>
      </c>
      <c r="BR100" s="23">
        <f>EXP(-LN(2)/2)*BR99+(1-EXP(-LN(2)/2))/(LN(2)/2)*BL100*BO100*VLOOKUP('Données projet'!$B$11,Paramètres!$A$1:$I$89,3,0)*0.475*44/12</f>
        <v>4.8900303789780108E-2</v>
      </c>
      <c r="BS100" s="24">
        <f t="shared" si="63"/>
        <v>241.85653867562877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4.75</v>
      </c>
      <c r="BY100" s="13">
        <f>IF('Données projet'!$A$114&gt;35,BY99+BX100-CG99,IF(A100&lt;'Données projet'!$A$114,$BV$205^A100,IF(A100='Données projet'!$A$114,'Données projet'!$B$114,BY99+BX100-CG99)))</f>
        <v>187.24999999999991</v>
      </c>
      <c r="BZ100" s="14">
        <f>BY100*VLOOKUP('Données projet'!$B$12,Paramètres!$A$1:$I$89,3,0)*VLOOKUP('Données projet'!$B$12,Paramètres!$A$1:$I$89,5,0)</f>
        <v>169.42379999999991</v>
      </c>
      <c r="CA100" s="14">
        <f t="shared" si="93"/>
        <v>42.960948463994995</v>
      </c>
      <c r="CB100" s="22">
        <f t="shared" si="64"/>
        <v>369.90343690812443</v>
      </c>
      <c r="CC100" s="62">
        <f t="shared" si="65"/>
        <v>663.23677024145775</v>
      </c>
      <c r="CD100" s="62">
        <f ca="1">AVERAGE(OFFSET($CC$3,0,0,'Données projet'!$E$12+1,1))-AVERAGE(OFFSET($H$3,0,0,'Données projet'!$E$12+1,1))</f>
        <v>213.07277043804817</v>
      </c>
      <c r="CE100" s="62">
        <f t="shared" si="94"/>
        <v>129.14539883354166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26.954793479144698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26.954793479144698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4.75</v>
      </c>
      <c r="CT100" s="13">
        <f>IF('Données projet'!$A$140&gt;35,CT99+CS100-DB99,IF(A100&lt;'Données projet'!$A$140,$CQ$205^A100,IF(A100='Données projet'!$A$140,'Données projet'!$B$140,CT99+CS100-DB99)))</f>
        <v>187.24999999999991</v>
      </c>
      <c r="CU100" s="18">
        <f>CT100*VLOOKUP('Données projet'!$B$13,Paramètres!$A$1:$I$89,3,0)*VLOOKUP('Données projet'!$B$13,Paramètres!$A$1:$I$89,5,0)</f>
        <v>189.87149999999994</v>
      </c>
      <c r="CV100" s="14">
        <f t="shared" si="95"/>
        <v>47.511542207173193</v>
      </c>
      <c r="CW100" s="22">
        <f t="shared" si="67"/>
        <v>413.44213184415986</v>
      </c>
      <c r="CX100" s="62">
        <f t="shared" si="68"/>
        <v>706.77546517749317</v>
      </c>
      <c r="CY100" s="62">
        <f ca="1">AVERAGE(OFFSET($CX$3,0,0,'Données projet'!$E$13+1,1))-AVERAGE(OFFSET($H$3,0,0,'Données projet'!$E$13+1,1))</f>
        <v>247.92503505485405</v>
      </c>
      <c r="CZ100" s="62">
        <f t="shared" si="96"/>
        <v>148.26437652597514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30.207958209386319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30.207958209386319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3.1</v>
      </c>
      <c r="DO100" s="13">
        <f>IF('Données projet'!$A$166&gt;35,DO99+DN100-DW99,IF(A100&lt;'Données projet'!$A$166,$DL$205^A100,IF(A100='Données projet'!$A$166,'Données projet'!$B$166,DO99+DN100-DW99)))</f>
        <v>124.70000000000005</v>
      </c>
      <c r="DP100" s="18">
        <f>DO100*VLOOKUP('Données projet'!$B$14,Paramètres!$A$1:$I$89,3,0)*VLOOKUP('Données projet'!$B$14,Paramètres!$A$1:$I$89,5,0)</f>
        <v>120.60984000000003</v>
      </c>
      <c r="DQ100" s="14">
        <f t="shared" si="97"/>
        <v>31.817192469524446</v>
      </c>
      <c r="DR100" s="22">
        <f t="shared" si="70"/>
        <v>265.47708155108842</v>
      </c>
      <c r="DS100" s="62">
        <f t="shared" si="71"/>
        <v>558.81041488442179</v>
      </c>
      <c r="DT100" s="62">
        <f ca="1">AVERAGE(OFFSET($DS$3,0,0,'Données projet'!$E$14+1,1))-AVERAGE(OFFSET($H$3,0,0,'Données projet'!$E$14+1,1))</f>
        <v>154.0837760161366</v>
      </c>
      <c r="DU100" s="62">
        <f t="shared" si="98"/>
        <v>96.484500841546037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12.258994159905612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12.258994159905612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-5.6843418860808015E-14</v>
      </c>
      <c r="EK100" s="18">
        <f>EJ100*VLOOKUP('Données projet'!$B$15,Paramètres!$A$1:$I$89,3,0)*VLOOKUP('Données projet'!$B$15,Paramètres!$A$1:$I$89,5,0)</f>
        <v>-3.813056537183002E-14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205.35893113421139</v>
      </c>
      <c r="EP100" s="62">
        <f t="shared" si="100"/>
        <v>220.4399811285175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56.570464456119765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56.570464456119765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-5.6843418860808015E-14</v>
      </c>
      <c r="FF100" s="18">
        <f>FE100*VLOOKUP('Données projet'!$B$16,Paramètres!$A$1:$I$89,3,0)*VLOOKUP('Données projet'!$B$16,Paramètres!$A$1:$I$89,5,0)</f>
        <v>-4.4337866711430253E-14</v>
      </c>
      <c r="FG100" s="14" t="e">
        <f t="shared" si="101"/>
        <v>#NUM!</v>
      </c>
      <c r="FH100" s="22" t="e">
        <f t="shared" si="76"/>
        <v>#NUM!</v>
      </c>
      <c r="FI100" s="62" t="e">
        <f t="shared" si="77"/>
        <v>#NUM!</v>
      </c>
      <c r="FJ100" s="62">
        <f ca="1">AVERAGE(OFFSET($FI$3,0,0,'Données projet'!$E$16+1,1))-AVERAGE(OFFSET($H$3,0,0,'Données projet'!$E$16+1,1))</f>
        <v>242.81177364426878</v>
      </c>
      <c r="FK100" s="62">
        <f t="shared" si="102"/>
        <v>260.72115764896671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53.368362694452621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53.368362694452621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-5.6843418860808015E-14</v>
      </c>
      <c r="GA100" s="18">
        <f>FZ100*VLOOKUP('Données projet'!$B$17,Paramètres!$A$1:$I$89,3,0)*VLOOKUP('Données projet'!$B$17,Paramètres!$A$1:$I$89,5,0)</f>
        <v>-4.5224624045658861E-14</v>
      </c>
      <c r="GB100" s="14" t="e">
        <f t="shared" si="103"/>
        <v>#NUM!</v>
      </c>
      <c r="GC100" s="22" t="e">
        <f t="shared" si="79"/>
        <v>#NUM!</v>
      </c>
      <c r="GD100" s="62" t="e">
        <f t="shared" si="80"/>
        <v>#NUM!</v>
      </c>
      <c r="GE100" s="62">
        <f ca="1">AVERAGE(OFFSET($GD$3,0,0,'Données projet'!$E$17+1,1))-AVERAGE(OFFSET($H$3,0,0,'Données projet'!$E$17+1,1))</f>
        <v>248.15263300983543</v>
      </c>
      <c r="GF100" s="62">
        <f t="shared" si="104"/>
        <v>266.46511459244618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67.095202029351341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67.095202029351341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382.55387448074327</v>
      </c>
      <c r="T101" s="62">
        <f t="shared" si="88"/>
        <v>476.29465646955543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121.92816859351524</v>
      </c>
      <c r="AA101" s="23">
        <f>EXP(-LN(2)/25)*AA100+(1-EXP(-LN(2)/25))/(LN(2)/25)*Calculateur!V101*Calculateur!X101*VLOOKUP('Données projet'!$B$9,Paramètres!$A$1:$I$89,3,0)*0.475*44/12</f>
        <v>22.463876145082146</v>
      </c>
      <c r="AB101" s="23">
        <f>EXP(-LN(2)/2)*AB100+(1-EXP(-LN(2)/2))/(LN(2)/2)*V101*Y101*VLOOKUP('Données projet'!$B$9,Paramètres!$A$1:$I$89,3,0)*0.475*44/12</f>
        <v>1.0742349700033053E-4</v>
      </c>
      <c r="AC101" s="24">
        <f t="shared" si="57"/>
        <v>144.39215216209439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-1.7053025658242404E-13</v>
      </c>
      <c r="AJ101" s="14">
        <f>AI101*VLOOKUP('Données projet'!$B$10,Paramètres!$A$1:$I$89,3,0)*VLOOKUP('Données projet'!$B$10,Paramètres!$A$1:$I$89,5,0)</f>
        <v>-1.064108801074326E-13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482.28841373508675</v>
      </c>
      <c r="AO101" s="62">
        <f t="shared" si="90"/>
        <v>746.97309214631684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227.97136576730841</v>
      </c>
      <c r="AV101" s="23">
        <f>EXP(-LN(2)/25)*AV100+(1-EXP(-LN(2)/25))/(LN(2)/25)*Calculateur!AQ101*Calculateur!AS101*VLOOKUP('Données projet'!$B$10,Paramètres!$A$1:$I$89,3,0)*0.475*44/12</f>
        <v>42.120717736913548</v>
      </c>
      <c r="AW101" s="23">
        <f>EXP(-LN(2)/2)*AW100+(1-EXP(-LN(2)/2))/(LN(2)/2)*AQ101*AT101*VLOOKUP('Données projet'!$B$10,Paramètres!$A$1:$I$89,3,0)*0.475*44/12</f>
        <v>4.0125373242745684E-2</v>
      </c>
      <c r="AX101" s="23">
        <f t="shared" si="60"/>
        <v>270.13220887746468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-1.7053025658242404E-13</v>
      </c>
      <c r="BE101" s="14">
        <f>BD101*VLOOKUP('Données projet'!$B$11,Paramètres!$A$1:$I$89,3,0)*VLOOKUP('Données projet'!$B$11,Paramètres!$A$1:$I$89,5,0)</f>
        <v>-9.3109520094003535E-14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417.99456559608217</v>
      </c>
      <c r="BJ101" s="62">
        <f t="shared" si="92"/>
        <v>651.41353014863932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199.47494504639488</v>
      </c>
      <c r="BQ101" s="23">
        <f>EXP(-LN(2)/25)*BQ100+(1-EXP(-LN(2)/25))/(LN(2)/25)*Calculateur!BL101*Calculateur!BN101*VLOOKUP('Données projet'!$B$11,Paramètres!$A$1:$I$89,3,0)*0.475*44/12</f>
        <v>37.294385496225537</v>
      </c>
      <c r="BR101" s="23">
        <f>EXP(-LN(2)/2)*BR100+(1-EXP(-LN(2)/2))/(LN(2)/2)*BL101*BO101*VLOOKUP('Données projet'!$B$11,Paramètres!$A$1:$I$89,3,0)*0.475*44/12</f>
        <v>3.4577736411835744E-2</v>
      </c>
      <c r="BS101" s="24">
        <f t="shared" si="63"/>
        <v>236.80390827903227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4.75</v>
      </c>
      <c r="BY101" s="13">
        <f>IF('Données projet'!$A$114&gt;35,BY100+BX101-CG100,IF(A101&lt;'Données projet'!$A$114,$BV$205^A101,IF(A101='Données projet'!$A$114,'Données projet'!$B$114,BY100+BX101-CG100)))</f>
        <v>191.99999999999991</v>
      </c>
      <c r="BZ101" s="14">
        <f>BY101*VLOOKUP('Données projet'!$B$12,Paramètres!$A$1:$I$89,3,0)*VLOOKUP('Données projet'!$B$12,Paramètres!$A$1:$I$89,5,0)</f>
        <v>173.72159999999991</v>
      </c>
      <c r="CA101" s="14">
        <f t="shared" si="93"/>
        <v>43.922484755075111</v>
      </c>
      <c r="CB101" s="22">
        <f t="shared" si="64"/>
        <v>379.06344761508899</v>
      </c>
      <c r="CC101" s="62">
        <f t="shared" si="65"/>
        <v>672.39678094842225</v>
      </c>
      <c r="CD101" s="62">
        <f ca="1">AVERAGE(OFFSET($CC$3,0,0,'Données projet'!$E$12+1,1))-AVERAGE(OFFSET($H$3,0,0,'Données projet'!$E$12+1,1))</f>
        <v>213.07277043804817</v>
      </c>
      <c r="CE101" s="62">
        <f t="shared" si="94"/>
        <v>129.14539883354166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26.426226419819297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26.426226419819297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4.75</v>
      </c>
      <c r="CT101" s="13">
        <f>IF('Données projet'!$A$140&gt;35,CT100+CS101-DB100,IF(A101&lt;'Données projet'!$A$140,$CQ$205^A101,IF(A101='Données projet'!$A$140,'Données projet'!$B$140,CT100+CS101-DB100)))</f>
        <v>191.99999999999991</v>
      </c>
      <c r="CU101" s="18">
        <f>CT101*VLOOKUP('Données projet'!$B$13,Paramètres!$A$1:$I$89,3,0)*VLOOKUP('Données projet'!$B$13,Paramètres!$A$1:$I$89,5,0)</f>
        <v>194.68799999999993</v>
      </c>
      <c r="CV101" s="14">
        <f t="shared" si="95"/>
        <v>48.574928228914978</v>
      </c>
      <c r="CW101" s="22">
        <f t="shared" si="67"/>
        <v>423.68293333202678</v>
      </c>
      <c r="CX101" s="62">
        <f t="shared" si="68"/>
        <v>717.01626666536004</v>
      </c>
      <c r="CY101" s="62">
        <f ca="1">AVERAGE(OFFSET($CX$3,0,0,'Données projet'!$E$13+1,1))-AVERAGE(OFFSET($H$3,0,0,'Données projet'!$E$13+1,1))</f>
        <v>247.92503505485405</v>
      </c>
      <c r="CZ101" s="62">
        <f t="shared" si="96"/>
        <v>148.26437652597514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29.61559857393544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29.61559857393544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3.1</v>
      </c>
      <c r="DO101" s="13">
        <f>IF('Données projet'!$A$166&gt;35,DO100+DN101-DW100,IF(A101&lt;'Données projet'!$A$166,$DL$205^A101,IF(A101='Données projet'!$A$166,'Données projet'!$B$166,DO100+DN101-DW100)))</f>
        <v>127.80000000000004</v>
      </c>
      <c r="DP101" s="18">
        <f>DO101*VLOOKUP('Données projet'!$B$14,Paramètres!$A$1:$I$89,3,0)*VLOOKUP('Données projet'!$B$14,Paramètres!$A$1:$I$89,5,0)</f>
        <v>123.60816000000003</v>
      </c>
      <c r="DQ101" s="14">
        <f t="shared" si="97"/>
        <v>32.515086915750729</v>
      </c>
      <c r="DR101" s="22">
        <f t="shared" si="70"/>
        <v>271.91465504493254</v>
      </c>
      <c r="DS101" s="62">
        <f t="shared" si="71"/>
        <v>565.24798837826586</v>
      </c>
      <c r="DT101" s="62">
        <f ca="1">AVERAGE(OFFSET($DS$3,0,0,'Données projet'!$E$14+1,1))-AVERAGE(OFFSET($H$3,0,0,'Données projet'!$E$14+1,1))</f>
        <v>154.0837760161366</v>
      </c>
      <c r="DU101" s="62">
        <f t="shared" si="98"/>
        <v>96.484500841546037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12.018602761677984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12.018602761677984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-5.6843418860808015E-14</v>
      </c>
      <c r="EK101" s="18">
        <f>EJ101*VLOOKUP('Données projet'!$B$15,Paramètres!$A$1:$I$89,3,0)*VLOOKUP('Données projet'!$B$15,Paramètres!$A$1:$I$89,5,0)</f>
        <v>-3.813056537183002E-14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205.35893113421139</v>
      </c>
      <c r="EP101" s="62">
        <f t="shared" si="100"/>
        <v>220.4399811285175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55.461152152711534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55.461152152711534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-5.6843418860808015E-14</v>
      </c>
      <c r="FF101" s="18">
        <f>FE101*VLOOKUP('Données projet'!$B$16,Paramètres!$A$1:$I$89,3,0)*VLOOKUP('Données projet'!$B$16,Paramètres!$A$1:$I$89,5,0)</f>
        <v>-4.4337866711430253E-14</v>
      </c>
      <c r="FG101" s="14" t="e">
        <f t="shared" si="101"/>
        <v>#NUM!</v>
      </c>
      <c r="FH101" s="22" t="e">
        <f t="shared" si="76"/>
        <v>#NUM!</v>
      </c>
      <c r="FI101" s="62" t="e">
        <f t="shared" si="77"/>
        <v>#NUM!</v>
      </c>
      <c r="FJ101" s="62">
        <f ca="1">AVERAGE(OFFSET($FI$3,0,0,'Données projet'!$E$16+1,1))-AVERAGE(OFFSET($H$3,0,0,'Données projet'!$E$16+1,1))</f>
        <v>242.81177364426878</v>
      </c>
      <c r="FK101" s="62">
        <f t="shared" si="102"/>
        <v>260.72115764896671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52.321841653501458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52.321841653501458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-5.6843418860808015E-14</v>
      </c>
      <c r="GA101" s="18">
        <f>FZ101*VLOOKUP('Données projet'!$B$17,Paramètres!$A$1:$I$89,3,0)*VLOOKUP('Données projet'!$B$17,Paramètres!$A$1:$I$89,5,0)</f>
        <v>-4.5224624045658861E-14</v>
      </c>
      <c r="GB101" s="14" t="e">
        <f t="shared" si="103"/>
        <v>#NUM!</v>
      </c>
      <c r="GC101" s="22" t="e">
        <f t="shared" si="79"/>
        <v>#NUM!</v>
      </c>
      <c r="GD101" s="62" t="e">
        <f t="shared" si="80"/>
        <v>#NUM!</v>
      </c>
      <c r="GE101" s="62">
        <f ca="1">AVERAGE(OFFSET($GD$3,0,0,'Données projet'!$E$17+1,1))-AVERAGE(OFFSET($H$3,0,0,'Données projet'!$E$17+1,1))</f>
        <v>248.15263300983543</v>
      </c>
      <c r="GF101" s="62">
        <f t="shared" si="104"/>
        <v>266.46511459244618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65.779506041588093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65.779506041588093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382.55387448074327</v>
      </c>
      <c r="T102" s="62">
        <f t="shared" si="88"/>
        <v>476.29465646955543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119.53723157623594</v>
      </c>
      <c r="AA102" s="23">
        <f>EXP(-LN(2)/25)*AA101+(1-EXP(-LN(2)/25))/(LN(2)/25)*Calculateur!V102*Calculateur!X102*VLOOKUP('Données projet'!$B$9,Paramètres!$A$1:$I$89,3,0)*0.475*44/12</f>
        <v>21.849600270570971</v>
      </c>
      <c r="AB102" s="23">
        <f>EXP(-LN(2)/2)*AB101+(1-EXP(-LN(2)/2))/(LN(2)/2)*V102*Y102*VLOOKUP('Données projet'!$B$9,Paramètres!$A$1:$I$89,3,0)*0.475*44/12</f>
        <v>7.5959883187706463E-5</v>
      </c>
      <c r="AC102" s="24">
        <f t="shared" si="57"/>
        <v>141.38690780669009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-1.7053025658242404E-13</v>
      </c>
      <c r="AJ102" s="14">
        <f>AI102*VLOOKUP('Données projet'!$B$10,Paramètres!$A$1:$I$89,3,0)*VLOOKUP('Données projet'!$B$10,Paramètres!$A$1:$I$89,5,0)</f>
        <v>-1.064108801074326E-13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482.28841373508675</v>
      </c>
      <c r="AO102" s="62">
        <f t="shared" si="90"/>
        <v>746.97309214631684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223.50098633341469</v>
      </c>
      <c r="AV102" s="23">
        <f>EXP(-LN(2)/25)*AV101+(1-EXP(-LN(2)/25))/(LN(2)/25)*Calculateur!AQ102*Calculateur!AS102*VLOOKUP('Données projet'!$B$10,Paramètres!$A$1:$I$89,3,0)*0.475*44/12</f>
        <v>40.968924495365371</v>
      </c>
      <c r="AW102" s="23">
        <f>EXP(-LN(2)/2)*AW101+(1-EXP(-LN(2)/2))/(LN(2)/2)*AQ102*AT102*VLOOKUP('Données projet'!$B$10,Paramètres!$A$1:$I$89,3,0)*0.475*44/12</f>
        <v>2.8372923517586721E-2</v>
      </c>
      <c r="AX102" s="23">
        <f t="shared" si="60"/>
        <v>264.4982837522976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-1.7053025658242404E-13</v>
      </c>
      <c r="BE102" s="14">
        <f>BD102*VLOOKUP('Données projet'!$B$11,Paramètres!$A$1:$I$89,3,0)*VLOOKUP('Données projet'!$B$11,Paramètres!$A$1:$I$89,5,0)</f>
        <v>-9.3109520094003535E-14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417.99456559608217</v>
      </c>
      <c r="BJ102" s="62">
        <f t="shared" si="92"/>
        <v>651.41353014863932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195.56336304173786</v>
      </c>
      <c r="BQ102" s="23">
        <f>EXP(-LN(2)/25)*BQ101+(1-EXP(-LN(2)/25))/(LN(2)/25)*Calculateur!BL102*Calculateur!BN102*VLOOKUP('Données projet'!$B$11,Paramètres!$A$1:$I$89,3,0)*0.475*44/12</f>
        <v>36.274568563604753</v>
      </c>
      <c r="BR102" s="23">
        <f>EXP(-LN(2)/2)*BR101+(1-EXP(-LN(2)/2))/(LN(2)/2)*BL102*BO102*VLOOKUP('Données projet'!$B$11,Paramètres!$A$1:$I$89,3,0)*0.475*44/12</f>
        <v>2.4450151894890054E-2</v>
      </c>
      <c r="BS102" s="24">
        <f t="shared" si="63"/>
        <v>231.8623817572375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4.75</v>
      </c>
      <c r="BY102" s="13">
        <f>IF('Données projet'!$A$114&gt;35,BY101+BX102-CG101,IF(A102&lt;'Données projet'!$A$114,$BV$205^A102,IF(A102='Données projet'!$A$114,'Données projet'!$B$114,BY101+BX102-CG101)))</f>
        <v>196.74999999999991</v>
      </c>
      <c r="BZ102" s="14">
        <f>BY102*VLOOKUP('Données projet'!$B$12,Paramètres!$A$1:$I$89,3,0)*VLOOKUP('Données projet'!$B$12,Paramètres!$A$1:$I$89,5,0)</f>
        <v>178.01939999999991</v>
      </c>
      <c r="CA102" s="14">
        <f t="shared" si="93"/>
        <v>44.881255807003228</v>
      </c>
      <c r="CB102" s="22">
        <f t="shared" si="64"/>
        <v>388.21864219719714</v>
      </c>
      <c r="CC102" s="62">
        <f t="shared" si="65"/>
        <v>681.5519755305304</v>
      </c>
      <c r="CD102" s="62">
        <f ca="1">AVERAGE(OFFSET($CC$3,0,0,'Données projet'!$E$12+1,1))-AVERAGE(OFFSET($H$3,0,0,'Données projet'!$E$12+1,1))</f>
        <v>213.07277043804817</v>
      </c>
      <c r="CE102" s="62">
        <f t="shared" si="94"/>
        <v>129.14539883354166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25.908024238133198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25.908024238133198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4.75</v>
      </c>
      <c r="CT102" s="13">
        <f>IF('Données projet'!$A$140&gt;35,CT101+CS102-DB101,IF(A102&lt;'Données projet'!$A$140,$CQ$205^A102,IF(A102='Données projet'!$A$140,'Données projet'!$B$140,CT101+CS102-DB101)))</f>
        <v>196.74999999999991</v>
      </c>
      <c r="CU102" s="18">
        <f>CT102*VLOOKUP('Données projet'!$B$13,Paramètres!$A$1:$I$89,3,0)*VLOOKUP('Données projet'!$B$13,Paramètres!$A$1:$I$89,5,0)</f>
        <v>199.50449999999992</v>
      </c>
      <c r="CV102" s="14">
        <f t="shared" si="95"/>
        <v>49.635256106426247</v>
      </c>
      <c r="CW102" s="22">
        <f t="shared" si="67"/>
        <v>433.91840855202554</v>
      </c>
      <c r="CX102" s="62">
        <f t="shared" si="68"/>
        <v>727.2517418853588</v>
      </c>
      <c r="CY102" s="62">
        <f ca="1">AVERAGE(OFFSET($CX$3,0,0,'Données projet'!$E$13+1,1))-AVERAGE(OFFSET($H$3,0,0,'Données projet'!$E$13+1,1))</f>
        <v>247.92503505485405</v>
      </c>
      <c r="CZ102" s="62">
        <f t="shared" si="96"/>
        <v>148.26437652597514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29.03485474963205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29.03485474963205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3.1</v>
      </c>
      <c r="DO102" s="13">
        <f>IF('Données projet'!$A$166&gt;35,DO101+DN102-DW101,IF(A102&lt;'Données projet'!$A$166,$DL$205^A102,IF(A102='Données projet'!$A$166,'Données projet'!$B$166,DO101+DN102-DW101)))</f>
        <v>130.90000000000003</v>
      </c>
      <c r="DP102" s="18">
        <f>DO102*VLOOKUP('Données projet'!$B$14,Paramètres!$A$1:$I$89,3,0)*VLOOKUP('Données projet'!$B$14,Paramètres!$A$1:$I$89,5,0)</f>
        <v>126.60648000000003</v>
      </c>
      <c r="DQ102" s="14">
        <f t="shared" si="97"/>
        <v>33.211013450267977</v>
      </c>
      <c r="DR102" s="22">
        <f t="shared" si="70"/>
        <v>278.3488010925501</v>
      </c>
      <c r="DS102" s="62">
        <f t="shared" si="71"/>
        <v>571.68213442588342</v>
      </c>
      <c r="DT102" s="62">
        <f ca="1">AVERAGE(OFFSET($DS$3,0,0,'Données projet'!$E$14+1,1))-AVERAGE(OFFSET($H$3,0,0,'Données projet'!$E$14+1,1))</f>
        <v>154.0837760161366</v>
      </c>
      <c r="DU102" s="62">
        <f t="shared" si="98"/>
        <v>96.484500841546037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11.782925292145325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11.782925292145325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-5.6843418860808015E-14</v>
      </c>
      <c r="EK102" s="18">
        <f>EJ102*VLOOKUP('Données projet'!$B$15,Paramètres!$A$1:$I$89,3,0)*VLOOKUP('Données projet'!$B$15,Paramètres!$A$1:$I$89,5,0)</f>
        <v>-3.813056537183002E-14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205.35893113421139</v>
      </c>
      <c r="EP102" s="62">
        <f t="shared" si="100"/>
        <v>220.4399811285175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54.373592786959442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54.373592786959442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-5.6843418860808015E-14</v>
      </c>
      <c r="FF102" s="18">
        <f>FE102*VLOOKUP('Données projet'!$B$16,Paramètres!$A$1:$I$89,3,0)*VLOOKUP('Données projet'!$B$16,Paramètres!$A$1:$I$89,5,0)</f>
        <v>-4.4337866711430253E-14</v>
      </c>
      <c r="FG102" s="14" t="e">
        <f t="shared" si="101"/>
        <v>#NUM!</v>
      </c>
      <c r="FH102" s="22" t="e">
        <f t="shared" si="76"/>
        <v>#NUM!</v>
      </c>
      <c r="FI102" s="62" t="e">
        <f t="shared" si="77"/>
        <v>#NUM!</v>
      </c>
      <c r="FJ102" s="62">
        <f ca="1">AVERAGE(OFFSET($FI$3,0,0,'Données projet'!$E$16+1,1))-AVERAGE(OFFSET($H$3,0,0,'Données projet'!$E$16+1,1))</f>
        <v>242.81177364426878</v>
      </c>
      <c r="FK102" s="62">
        <f t="shared" si="102"/>
        <v>260.72115764896671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51.295842251848541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51.295842251848541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-5.6843418860808015E-14</v>
      </c>
      <c r="GA102" s="18">
        <f>FZ102*VLOOKUP('Données projet'!$B$17,Paramètres!$A$1:$I$89,3,0)*VLOOKUP('Données projet'!$B$17,Paramètres!$A$1:$I$89,5,0)</f>
        <v>-4.5224624045658861E-14</v>
      </c>
      <c r="GB102" s="14" t="e">
        <f t="shared" si="103"/>
        <v>#NUM!</v>
      </c>
      <c r="GC102" s="22" t="e">
        <f t="shared" si="79"/>
        <v>#NUM!</v>
      </c>
      <c r="GD102" s="62" t="e">
        <f t="shared" si="80"/>
        <v>#NUM!</v>
      </c>
      <c r="GE102" s="62">
        <f ca="1">AVERAGE(OFFSET($GD$3,0,0,'Données projet'!$E$17+1,1))-AVERAGE(OFFSET($H$3,0,0,'Données projet'!$E$17+1,1))</f>
        <v>248.15263300983543</v>
      </c>
      <c r="GF102" s="62">
        <f t="shared" si="104"/>
        <v>266.46511459244618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64.489610049649556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64.489610049649556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382.55387448074327</v>
      </c>
      <c r="T103" s="62">
        <f t="shared" si="88"/>
        <v>476.29465646955543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117.19317937553789</v>
      </c>
      <c r="AA103" s="23">
        <f>EXP(-LN(2)/25)*AA102+(1-EXP(-LN(2)/25))/(LN(2)/25)*Calculateur!V103*Calculateur!X103*VLOOKUP('Données projet'!$B$9,Paramètres!$A$1:$I$89,3,0)*0.475*44/12</f>
        <v>21.252121802151667</v>
      </c>
      <c r="AB103" s="23">
        <f>EXP(-LN(2)/2)*AB102+(1-EXP(-LN(2)/2))/(LN(2)/2)*V103*Y103*VLOOKUP('Données projet'!$B$9,Paramètres!$A$1:$I$89,3,0)*0.475*44/12</f>
        <v>5.3711748500165265E-5</v>
      </c>
      <c r="AC103" s="24">
        <f t="shared" si="57"/>
        <v>138.44535488943808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-1.7053025658242404E-13</v>
      </c>
      <c r="AJ103" s="14">
        <f>AI103*VLOOKUP('Données projet'!$B$10,Paramètres!$A$1:$I$89,3,0)*VLOOKUP('Données projet'!$B$10,Paramètres!$A$1:$I$89,5,0)</f>
        <v>-1.064108801074326E-13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482.28841373508675</v>
      </c>
      <c r="AO103" s="62">
        <f t="shared" si="90"/>
        <v>746.97309214631684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219.11826831355739</v>
      </c>
      <c r="AV103" s="23">
        <f>EXP(-LN(2)/25)*AV102+(1-EXP(-LN(2)/25))/(LN(2)/25)*Calculateur!AQ103*Calculateur!AS103*VLOOKUP('Données projet'!$B$10,Paramètres!$A$1:$I$89,3,0)*0.475*44/12</f>
        <v>39.848627100577502</v>
      </c>
      <c r="AW103" s="23">
        <f>EXP(-LN(2)/2)*AW102+(1-EXP(-LN(2)/2))/(LN(2)/2)*AQ103*AT103*VLOOKUP('Données projet'!$B$10,Paramètres!$A$1:$I$89,3,0)*0.475*44/12</f>
        <v>2.0062686621372842E-2</v>
      </c>
      <c r="AX103" s="23">
        <f t="shared" si="60"/>
        <v>258.98695810075628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-1.7053025658242404E-13</v>
      </c>
      <c r="BE103" s="14">
        <f>BD103*VLOOKUP('Données projet'!$B$11,Paramètres!$A$1:$I$89,3,0)*VLOOKUP('Données projet'!$B$11,Paramètres!$A$1:$I$89,5,0)</f>
        <v>-9.3109520094003535E-14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417.99456559608217</v>
      </c>
      <c r="BJ103" s="62">
        <f t="shared" si="92"/>
        <v>651.41353014863932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191.72848477436273</v>
      </c>
      <c r="BQ103" s="23">
        <f>EXP(-LN(2)/25)*BQ102+(1-EXP(-LN(2)/25))/(LN(2)/25)*Calculateur!BL103*Calculateur!BN103*VLOOKUP('Données projet'!$B$11,Paramètres!$A$1:$I$89,3,0)*0.475*44/12</f>
        <v>35.282638578636323</v>
      </c>
      <c r="BR103" s="23">
        <f>EXP(-LN(2)/2)*BR102+(1-EXP(-LN(2)/2))/(LN(2)/2)*BL103*BO103*VLOOKUP('Données projet'!$B$11,Paramètres!$A$1:$I$89,3,0)*0.475*44/12</f>
        <v>1.7288868205917872E-2</v>
      </c>
      <c r="BS103" s="24">
        <f t="shared" si="63"/>
        <v>227.02841222120497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4.75</v>
      </c>
      <c r="BY103" s="13">
        <f>IF('Données projet'!$A$114&gt;35,BY102+BX103-CG102,IF(A103&lt;'Données projet'!$A$114,$BV$205^A103,IF(A103='Données projet'!$A$114,'Données projet'!$B$114,BY102+BX103-CG102)))</f>
        <v>201.49999999999991</v>
      </c>
      <c r="BZ103" s="14">
        <f>BY103*VLOOKUP('Données projet'!$B$12,Paramètres!$A$1:$I$89,3,0)*VLOOKUP('Données projet'!$B$12,Paramètres!$A$1:$I$89,5,0)</f>
        <v>182.31719999999993</v>
      </c>
      <c r="CA103" s="14">
        <f t="shared" si="93"/>
        <v>45.83733605982632</v>
      </c>
      <c r="CB103" s="22">
        <f t="shared" si="64"/>
        <v>397.36915030419732</v>
      </c>
      <c r="CC103" s="62">
        <f t="shared" si="65"/>
        <v>690.70248363753058</v>
      </c>
      <c r="CD103" s="62">
        <f ca="1">AVERAGE(OFFSET($CC$3,0,0,'Données projet'!$E$12+1,1))-AVERAGE(OFFSET($H$3,0,0,'Données projet'!$E$12+1,1))</f>
        <v>213.07277043804817</v>
      </c>
      <c r="CE103" s="62">
        <f t="shared" si="94"/>
        <v>129.14539883354166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25.399983685157839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25.399983685157839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4.75</v>
      </c>
      <c r="CT103" s="13">
        <f>IF('Données projet'!$A$140&gt;35,CT102+CS103-DB102,IF(A103&lt;'Données projet'!$A$140,$CQ$205^A103,IF(A103='Données projet'!$A$140,'Données projet'!$B$140,CT102+CS103-DB102)))</f>
        <v>201.49999999999991</v>
      </c>
      <c r="CU103" s="18">
        <f>CT103*VLOOKUP('Données projet'!$B$13,Paramètres!$A$1:$I$89,3,0)*VLOOKUP('Données projet'!$B$13,Paramètres!$A$1:$I$89,5,0)</f>
        <v>204.32099999999991</v>
      </c>
      <c r="CV103" s="14">
        <f t="shared" si="95"/>
        <v>50.692608164738445</v>
      </c>
      <c r="CW103" s="22">
        <f t="shared" si="67"/>
        <v>444.14870088691924</v>
      </c>
      <c r="CX103" s="62">
        <f t="shared" si="68"/>
        <v>737.48203422025256</v>
      </c>
      <c r="CY103" s="62">
        <f ca="1">AVERAGE(OFFSET($CX$3,0,0,'Données projet'!$E$13+1,1))-AVERAGE(OFFSET($H$3,0,0,'Données projet'!$E$13+1,1))</f>
        <v>247.92503505485405</v>
      </c>
      <c r="CZ103" s="62">
        <f t="shared" si="96"/>
        <v>148.26437652597514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28.465498957504494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28.465498957504494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134</v>
      </c>
      <c r="DM103" s="13">
        <f>VLOOKUP(A103,'Données projet'!$A$165:$I$185,9,0)</f>
        <v>3.1</v>
      </c>
      <c r="DN103" s="13">
        <f t="array" ref="DN103">INDEX(DM:DM,MIN(IF(ISNUMBER(DM103:DM299),ROW(DM103:DM299),"")))</f>
        <v>3.1</v>
      </c>
      <c r="DO103" s="13">
        <f>IF('Données projet'!$A$166&gt;35,DO102+DN103-DW102,IF(A103&lt;'Données projet'!$A$166,$DL$205^A103,IF(A103='Données projet'!$A$166,'Données projet'!$B$166,DO102+DN103-DW102)))</f>
        <v>134.00000000000003</v>
      </c>
      <c r="DP103" s="18">
        <f>DO103*VLOOKUP('Données projet'!$B$14,Paramètres!$A$1:$I$89,3,0)*VLOOKUP('Données projet'!$B$14,Paramètres!$A$1:$I$89,5,0)</f>
        <v>129.60480000000001</v>
      </c>
      <c r="DQ103" s="14">
        <f t="shared" si="97"/>
        <v>33.905024040491121</v>
      </c>
      <c r="DR103" s="22">
        <f t="shared" si="70"/>
        <v>284.77961020385538</v>
      </c>
      <c r="DS103" s="62">
        <f t="shared" si="71"/>
        <v>578.1129435371887</v>
      </c>
      <c r="DT103" s="62">
        <f ca="1">AVERAGE(OFFSET($DS$3,0,0,'Données projet'!$E$14+1,1))-AVERAGE(OFFSET($H$3,0,0,'Données projet'!$E$14+1,1))</f>
        <v>154.0837760161366</v>
      </c>
      <c r="DU103" s="62">
        <f t="shared" si="98"/>
        <v>96.484500841546037</v>
      </c>
      <c r="DV103" s="16">
        <f>IF(ISNA(VLOOKUP(A103,'Données projet'!$A$165:$I$185,3,0)),0,VLOOKUP(A103,'Données projet'!$A$165:$I$185,3,0))</f>
        <v>6</v>
      </c>
      <c r="DW103" s="16">
        <f>IF(ISNA(VLOOKUP(A103,'Données projet'!$A$165:$I$185,4,0)),0,VLOOKUP(A103,'Données projet'!$A$165:$I$185,4,0))</f>
        <v>22</v>
      </c>
      <c r="DX103" s="17">
        <f>IF(ISNA(VLOOKUP(A103,'Données projet'!$A$165:$I$185,5,0)),0%,VLOOKUP(A103,'Données projet'!$A$165:$I$185,5,0)*VLOOKUP('Données projet'!$B$14,Paramètres!$A$1:$I$89,7,0))</f>
        <v>0.30099999999999999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18.632184232121169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18.632184232121169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-5.6843418860808015E-14</v>
      </c>
      <c r="EK103" s="18">
        <f>EJ103*VLOOKUP('Données projet'!$B$15,Paramètres!$A$1:$I$89,3,0)*VLOOKUP('Données projet'!$B$15,Paramètres!$A$1:$I$89,5,0)</f>
        <v>-3.813056537183002E-14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205.35893113421139</v>
      </c>
      <c r="EP103" s="62">
        <f t="shared" si="100"/>
        <v>220.4399811285175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53.307359797024034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53.307359797024034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-5.6843418860808015E-14</v>
      </c>
      <c r="FF103" s="18">
        <f>FE103*VLOOKUP('Données projet'!$B$16,Paramètres!$A$1:$I$89,3,0)*VLOOKUP('Données projet'!$B$16,Paramètres!$A$1:$I$89,5,0)</f>
        <v>-4.4337866711430253E-14</v>
      </c>
      <c r="FG103" s="14" t="e">
        <f t="shared" si="101"/>
        <v>#NUM!</v>
      </c>
      <c r="FH103" s="22" t="e">
        <f t="shared" si="76"/>
        <v>#NUM!</v>
      </c>
      <c r="FI103" s="62" t="e">
        <f t="shared" si="77"/>
        <v>#NUM!</v>
      </c>
      <c r="FJ103" s="62">
        <f ca="1">AVERAGE(OFFSET($FI$3,0,0,'Données projet'!$E$16+1,1))-AVERAGE(OFFSET($H$3,0,0,'Données projet'!$E$16+1,1))</f>
        <v>242.81177364426878</v>
      </c>
      <c r="FK103" s="62">
        <f t="shared" si="102"/>
        <v>260.72115764896671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50.289962072664196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50.289962072664196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-5.6843418860808015E-14</v>
      </c>
      <c r="GA103" s="18">
        <f>FZ103*VLOOKUP('Données projet'!$B$17,Paramètres!$A$1:$I$89,3,0)*VLOOKUP('Données projet'!$B$17,Paramètres!$A$1:$I$89,5,0)</f>
        <v>-4.5224624045658861E-14</v>
      </c>
      <c r="GB103" s="14" t="e">
        <f t="shared" si="103"/>
        <v>#NUM!</v>
      </c>
      <c r="GC103" s="22" t="e">
        <f t="shared" si="79"/>
        <v>#NUM!</v>
      </c>
      <c r="GD103" s="62" t="e">
        <f t="shared" si="80"/>
        <v>#NUM!</v>
      </c>
      <c r="GE103" s="62">
        <f ca="1">AVERAGE(OFFSET($GD$3,0,0,'Données projet'!$E$17+1,1))-AVERAGE(OFFSET($H$3,0,0,'Données projet'!$E$17+1,1))</f>
        <v>248.15263300983543</v>
      </c>
      <c r="GF103" s="62">
        <f t="shared" si="104"/>
        <v>266.46511459244618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63.225008131354073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63.225008131354073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382.55387448074327</v>
      </c>
      <c r="T104" s="62">
        <f t="shared" si="88"/>
        <v>476.29465646955543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114.89509260876487</v>
      </c>
      <c r="AA104" s="23">
        <f>EXP(-LN(2)/25)*AA103+(1-EXP(-LN(2)/25))/(LN(2)/25)*Calculateur!V104*Calculateur!X104*VLOOKUP('Données projet'!$B$9,Paramètres!$A$1:$I$89,3,0)*0.475*44/12</f>
        <v>20.670981413871317</v>
      </c>
      <c r="AB104" s="23">
        <f>EXP(-LN(2)/2)*AB103+(1-EXP(-LN(2)/2))/(LN(2)/2)*V104*Y104*VLOOKUP('Données projet'!$B$9,Paramètres!$A$1:$I$89,3,0)*0.475*44/12</f>
        <v>3.7979941593853231E-5</v>
      </c>
      <c r="AC104" s="24">
        <f t="shared" si="57"/>
        <v>135.5661120025778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-1.7053025658242404E-13</v>
      </c>
      <c r="AJ104" s="14">
        <f>AI104*VLOOKUP('Données projet'!$B$10,Paramètres!$A$1:$I$89,3,0)*VLOOKUP('Données projet'!$B$10,Paramètres!$A$1:$I$89,5,0)</f>
        <v>-1.064108801074326E-13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482.28841373508675</v>
      </c>
      <c r="AO104" s="62">
        <f t="shared" si="90"/>
        <v>746.97309214631684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214.82149272087545</v>
      </c>
      <c r="AV104" s="23">
        <f>EXP(-LN(2)/25)*AV103+(1-EXP(-LN(2)/25))/(LN(2)/25)*Calculateur!AQ104*Calculateur!AS104*VLOOKUP('Données projet'!$B$10,Paramètres!$A$1:$I$89,3,0)*0.475*44/12</f>
        <v>38.758964296963988</v>
      </c>
      <c r="AW104" s="23">
        <f>EXP(-LN(2)/2)*AW103+(1-EXP(-LN(2)/2))/(LN(2)/2)*AQ104*AT104*VLOOKUP('Données projet'!$B$10,Paramètres!$A$1:$I$89,3,0)*0.475*44/12</f>
        <v>1.4186461758793361E-2</v>
      </c>
      <c r="AX104" s="23">
        <f t="shared" si="60"/>
        <v>253.59464347959823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-1.7053025658242404E-13</v>
      </c>
      <c r="BE104" s="14">
        <f>BD104*VLOOKUP('Données projet'!$B$11,Paramètres!$A$1:$I$89,3,0)*VLOOKUP('Données projet'!$B$11,Paramètres!$A$1:$I$89,5,0)</f>
        <v>-9.3109520094003535E-14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417.99456559608217</v>
      </c>
      <c r="BJ104" s="62">
        <f t="shared" si="92"/>
        <v>651.41353014863932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187.96880613076604</v>
      </c>
      <c r="BQ104" s="23">
        <f>EXP(-LN(2)/25)*BQ103+(1-EXP(-LN(2)/25))/(LN(2)/25)*Calculateur!BL104*Calculateur!BN104*VLOOKUP('Données projet'!$B$11,Paramètres!$A$1:$I$89,3,0)*0.475*44/12</f>
        <v>34.317832971270192</v>
      </c>
      <c r="BR104" s="23">
        <f>EXP(-LN(2)/2)*BR103+(1-EXP(-LN(2)/2))/(LN(2)/2)*BL104*BO104*VLOOKUP('Données projet'!$B$11,Paramètres!$A$1:$I$89,3,0)*0.475*44/12</f>
        <v>1.2225075947445027E-2</v>
      </c>
      <c r="BS104" s="24">
        <f t="shared" si="63"/>
        <v>222.29886417798369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4.75</v>
      </c>
      <c r="BY104" s="13">
        <f>IF('Données projet'!$A$114&gt;35,BY103+BX104-CG103,IF(A104&lt;'Données projet'!$A$114,$BV$205^A104,IF(A104='Données projet'!$A$114,'Données projet'!$B$114,BY103+BX104-CG103)))</f>
        <v>206.24999999999991</v>
      </c>
      <c r="BZ104" s="14">
        <f>BY104*VLOOKUP('Données projet'!$B$12,Paramètres!$A$1:$I$89,3,0)*VLOOKUP('Données projet'!$B$12,Paramètres!$A$1:$I$89,5,0)</f>
        <v>186.61499999999992</v>
      </c>
      <c r="CA104" s="14">
        <f t="shared" si="93"/>
        <v>46.790796243809559</v>
      </c>
      <c r="CB104" s="22">
        <f t="shared" si="64"/>
        <v>406.51509512463485</v>
      </c>
      <c r="CC104" s="62">
        <f t="shared" si="65"/>
        <v>699.84842845796811</v>
      </c>
      <c r="CD104" s="62">
        <f ca="1">AVERAGE(OFFSET($CC$3,0,0,'Données projet'!$E$12+1,1))-AVERAGE(OFFSET($H$3,0,0,'Données projet'!$E$12+1,1))</f>
        <v>213.07277043804817</v>
      </c>
      <c r="CE104" s="62">
        <f t="shared" si="94"/>
        <v>129.14539883354166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24.901905497552189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24.901905497552189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4.75</v>
      </c>
      <c r="CT104" s="13">
        <f>IF('Données projet'!$A$140&gt;35,CT103+CS104-DB103,IF(A104&lt;'Données projet'!$A$140,$CQ$205^A104,IF(A104='Données projet'!$A$140,'Données projet'!$B$140,CT103+CS104-DB103)))</f>
        <v>206.24999999999991</v>
      </c>
      <c r="CU104" s="18">
        <f>CT104*VLOOKUP('Données projet'!$B$13,Paramètres!$A$1:$I$89,3,0)*VLOOKUP('Données projet'!$B$13,Paramètres!$A$1:$I$89,5,0)</f>
        <v>209.13749999999993</v>
      </c>
      <c r="CV104" s="14">
        <f t="shared" si="95"/>
        <v>51.747062626146445</v>
      </c>
      <c r="CW104" s="22">
        <f t="shared" si="67"/>
        <v>454.37394657387154</v>
      </c>
      <c r="CX104" s="62">
        <f t="shared" si="68"/>
        <v>747.70727990720479</v>
      </c>
      <c r="CY104" s="62">
        <f ca="1">AVERAGE(OFFSET($CX$3,0,0,'Données projet'!$E$13+1,1))-AVERAGE(OFFSET($H$3,0,0,'Données projet'!$E$13+1,1))</f>
        <v>247.92503505485405</v>
      </c>
      <c r="CZ104" s="62">
        <f t="shared" si="96"/>
        <v>148.26437652597514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27.907307885187816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27.907307885187816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3.4</v>
      </c>
      <c r="DO104" s="13">
        <f>IF('Données projet'!$A$166&gt;35,DO103+DN104-DW103,IF(A104&lt;'Données projet'!$A$166,$DL$205^A104,IF(A104='Données projet'!$A$166,'Données projet'!$B$166,DO103+DN104-DW103)))</f>
        <v>115.40000000000003</v>
      </c>
      <c r="DP104" s="18">
        <f>DO104*VLOOKUP('Données projet'!$B$14,Paramètres!$A$1:$I$89,3,0)*VLOOKUP('Données projet'!$B$14,Paramètres!$A$1:$I$89,5,0)</f>
        <v>111.61488000000003</v>
      </c>
      <c r="DQ104" s="14">
        <f t="shared" si="97"/>
        <v>29.711139570849653</v>
      </c>
      <c r="DR104" s="22">
        <f t="shared" si="70"/>
        <v>246.1428174192298</v>
      </c>
      <c r="DS104" s="62">
        <f t="shared" si="71"/>
        <v>539.47615075256317</v>
      </c>
      <c r="DT104" s="62">
        <f ca="1">AVERAGE(OFFSET($DS$3,0,0,'Données projet'!$E$14+1,1))-AVERAGE(OFFSET($H$3,0,0,'Données projet'!$E$14+1,1))</f>
        <v>154.0837760161366</v>
      </c>
      <c r="DU104" s="62">
        <f t="shared" si="98"/>
        <v>96.484500841546037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18.266818463839503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18.266818463839503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-5.6843418860808015E-14</v>
      </c>
      <c r="EK104" s="18">
        <f>EJ104*VLOOKUP('Données projet'!$B$15,Paramètres!$A$1:$I$89,3,0)*VLOOKUP('Données projet'!$B$15,Paramètres!$A$1:$I$89,5,0)</f>
        <v>-3.813056537183002E-14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205.35893113421139</v>
      </c>
      <c r="EP104" s="62">
        <f t="shared" si="100"/>
        <v>220.4399811285175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52.26203498568335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52.26203498568335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-5.6843418860808015E-14</v>
      </c>
      <c r="FF104" s="18">
        <f>FE104*VLOOKUP('Données projet'!$B$16,Paramètres!$A$1:$I$89,3,0)*VLOOKUP('Données projet'!$B$16,Paramètres!$A$1:$I$89,5,0)</f>
        <v>-4.4337866711430253E-14</v>
      </c>
      <c r="FG104" s="14" t="e">
        <f t="shared" si="101"/>
        <v>#NUM!</v>
      </c>
      <c r="FH104" s="22" t="e">
        <f t="shared" si="76"/>
        <v>#NUM!</v>
      </c>
      <c r="FI104" s="62" t="e">
        <f t="shared" si="77"/>
        <v>#NUM!</v>
      </c>
      <c r="FJ104" s="62">
        <f ca="1">AVERAGE(OFFSET($FI$3,0,0,'Données projet'!$E$16+1,1))-AVERAGE(OFFSET($H$3,0,0,'Données projet'!$E$16+1,1))</f>
        <v>242.81177364426878</v>
      </c>
      <c r="FK104" s="62">
        <f t="shared" si="102"/>
        <v>260.72115764896671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49.303806590267321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49.303806590267321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-5.6843418860808015E-14</v>
      </c>
      <c r="GA104" s="18">
        <f>FZ104*VLOOKUP('Données projet'!$B$17,Paramètres!$A$1:$I$89,3,0)*VLOOKUP('Données projet'!$B$17,Paramètres!$A$1:$I$89,5,0)</f>
        <v>-4.5224624045658861E-14</v>
      </c>
      <c r="GB104" s="14" t="e">
        <f t="shared" si="103"/>
        <v>#NUM!</v>
      </c>
      <c r="GC104" s="22" t="e">
        <f t="shared" si="79"/>
        <v>#NUM!</v>
      </c>
      <c r="GD104" s="62" t="e">
        <f t="shared" si="80"/>
        <v>#NUM!</v>
      </c>
      <c r="GE104" s="62">
        <f ca="1">AVERAGE(OFFSET($GD$3,0,0,'Données projet'!$E$17+1,1))-AVERAGE(OFFSET($H$3,0,0,'Données projet'!$E$17+1,1))</f>
        <v>248.15263300983543</v>
      </c>
      <c r="GF104" s="62">
        <f t="shared" si="104"/>
        <v>266.46511459244618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61.985204285345354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61.985204285345354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382.55387448074327</v>
      </c>
      <c r="T105" s="62">
        <f t="shared" si="88"/>
        <v>476.29465646955543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112.64206992179375</v>
      </c>
      <c r="AA105" s="23">
        <f>EXP(-LN(2)/25)*AA104+(1-EXP(-LN(2)/25))/(LN(2)/25)*Calculateur!V105*Calculateur!X105*VLOOKUP('Données projet'!$B$9,Paramètres!$A$1:$I$89,3,0)*0.475*44/12</f>
        <v>20.105732340069338</v>
      </c>
      <c r="AB105" s="23">
        <f>EXP(-LN(2)/2)*AB104+(1-EXP(-LN(2)/2))/(LN(2)/2)*V105*Y105*VLOOKUP('Données projet'!$B$9,Paramètres!$A$1:$I$89,3,0)*0.475*44/12</f>
        <v>2.6855874250082633E-5</v>
      </c>
      <c r="AC105" s="24">
        <f t="shared" si="57"/>
        <v>132.74782911773733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-1.7053025658242404E-13</v>
      </c>
      <c r="AJ105" s="14">
        <f>AI105*VLOOKUP('Données projet'!$B$10,Paramètres!$A$1:$I$89,3,0)*VLOOKUP('Données projet'!$B$10,Paramètres!$A$1:$I$89,5,0)</f>
        <v>-1.064108801074326E-13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482.28841373508675</v>
      </c>
      <c r="AO105" s="62">
        <f t="shared" si="90"/>
        <v>746.97309214631684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210.60897427679168</v>
      </c>
      <c r="AV105" s="23">
        <f>EXP(-LN(2)/25)*AV104+(1-EXP(-LN(2)/25))/(LN(2)/25)*Calculateur!AQ105*Calculateur!AS105*VLOOKUP('Données projet'!$B$10,Paramètres!$A$1:$I$89,3,0)*0.475*44/12</f>
        <v>37.699098380018164</v>
      </c>
      <c r="AW105" s="23">
        <f>EXP(-LN(2)/2)*AW104+(1-EXP(-LN(2)/2))/(LN(2)/2)*AQ105*AT105*VLOOKUP('Données projet'!$B$10,Paramètres!$A$1:$I$89,3,0)*0.475*44/12</f>
        <v>1.0031343310686421E-2</v>
      </c>
      <c r="AX105" s="23">
        <f t="shared" si="60"/>
        <v>248.31810400012054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-1.7053025658242404E-13</v>
      </c>
      <c r="BE105" s="14">
        <f>BD105*VLOOKUP('Données projet'!$B$11,Paramètres!$A$1:$I$89,3,0)*VLOOKUP('Données projet'!$B$11,Paramètres!$A$1:$I$89,5,0)</f>
        <v>-9.3109520094003535E-14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417.99456559608217</v>
      </c>
      <c r="BJ105" s="62">
        <f t="shared" si="92"/>
        <v>651.41353014863932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184.28285249219275</v>
      </c>
      <c r="BQ105" s="23">
        <f>EXP(-LN(2)/25)*BQ104+(1-EXP(-LN(2)/25))/(LN(2)/25)*Calculateur!BL105*Calculateur!BN105*VLOOKUP('Données projet'!$B$11,Paramètres!$A$1:$I$89,3,0)*0.475*44/12</f>
        <v>33.379410023974408</v>
      </c>
      <c r="BR105" s="23">
        <f>EXP(-LN(2)/2)*BR104+(1-EXP(-LN(2)/2))/(LN(2)/2)*BL105*BO105*VLOOKUP('Données projet'!$B$11,Paramètres!$A$1:$I$89,3,0)*0.475*44/12</f>
        <v>8.644434102958936E-3</v>
      </c>
      <c r="BS105" s="24">
        <f t="shared" si="63"/>
        <v>217.67090695027011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>
        <f>VLOOKUP(A105,'Données projet'!$A$113:$I$133,2,0)</f>
        <v>211</v>
      </c>
      <c r="BW105" s="13">
        <f>VLOOKUP(A105,'Données projet'!$A$113:$I$133,9,0)</f>
        <v>4.75</v>
      </c>
      <c r="BX105" s="13">
        <f t="array" ref="BX105">INDEX(BW:BW,MIN(IF(ISNUMBER(BW105:BW301),ROW(BW105:BW301),"")))</f>
        <v>4.75</v>
      </c>
      <c r="BY105" s="13">
        <f>IF('Données projet'!$A$114&gt;35,BY104+BX105-CG104,IF(A105&lt;'Données projet'!$A$114,$BV$205^A105,IF(A105='Données projet'!$A$114,'Données projet'!$B$114,BY104+BX105-CG104)))</f>
        <v>210.99999999999991</v>
      </c>
      <c r="BZ105" s="14">
        <f>BY105*VLOOKUP('Données projet'!$B$12,Paramètres!$A$1:$I$89,3,0)*VLOOKUP('Données projet'!$B$12,Paramètres!$A$1:$I$89,5,0)</f>
        <v>190.91279999999992</v>
      </c>
      <c r="CA105" s="14">
        <f t="shared" si="93"/>
        <v>47.741703645431606</v>
      </c>
      <c r="CB105" s="22">
        <f t="shared" si="64"/>
        <v>415.65659384912652</v>
      </c>
      <c r="CC105" s="62">
        <f t="shared" si="65"/>
        <v>708.98992718245984</v>
      </c>
      <c r="CD105" s="62">
        <f ca="1">AVERAGE(OFFSET($CC$3,0,0,'Données projet'!$E$12+1,1))-AVERAGE(OFFSET($H$3,0,0,'Données projet'!$E$12+1,1))</f>
        <v>213.07277043804817</v>
      </c>
      <c r="CE105" s="62">
        <f t="shared" si="94"/>
        <v>129.14539883354166</v>
      </c>
      <c r="CF105" s="16">
        <f>IF(ISNA(VLOOKUP(A105,'Données projet'!$A$113:$I$133,3,0)),0,VLOOKUP(A105,'Données projet'!$A$113:$I$133,3,0))</f>
        <v>8</v>
      </c>
      <c r="CG105" s="16">
        <f>IF(ISNA(VLOOKUP(A105,'Données projet'!$A$113:$I$133,4,0)),0,VLOOKUP(A105,'Données projet'!$A$113:$I$133,4,0))</f>
        <v>41</v>
      </c>
      <c r="CH105" s="17">
        <f>IF(ISNA(VLOOKUP(A105,'Données projet'!$A$113:$I$133,5,0)),0%,VLOOKUP(A105,'Données projet'!$A$113:$I$133,5,0)*VLOOKUP('Données projet'!$B$12,Paramètres!$A$1:$I$89,7,0))</f>
        <v>0.38700000000000001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40.284237373110017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40.284237373110017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>
        <f>VLOOKUP(A105,'Données projet'!$A$139:$I$159,2,0)</f>
        <v>211</v>
      </c>
      <c r="CR105" s="13">
        <f>VLOOKUP(A105,'Données projet'!$A$139:$I$159,9,0)</f>
        <v>4.75</v>
      </c>
      <c r="CS105" s="13">
        <f t="array" ref="CS105">INDEX(CR:CR,MIN(IF(ISNUMBER(CR105:CR301),ROW(CR105:CR301),"")))</f>
        <v>4.75</v>
      </c>
      <c r="CT105" s="13">
        <f>IF('Données projet'!$A$140&gt;35,CT104+CS105-DB104,IF(A105&lt;'Données projet'!$A$140,$CQ$205^A105,IF(A105='Données projet'!$A$140,'Données projet'!$B$140,CT104+CS105-DB104)))</f>
        <v>210.99999999999991</v>
      </c>
      <c r="CU105" s="18">
        <f>CT105*VLOOKUP('Données projet'!$B$13,Paramètres!$A$1:$I$89,3,0)*VLOOKUP('Données projet'!$B$13,Paramètres!$A$1:$I$89,5,0)</f>
        <v>213.95399999999992</v>
      </c>
      <c r="CV105" s="14">
        <f t="shared" si="95"/>
        <v>52.798693904379121</v>
      </c>
      <c r="CW105" s="22">
        <f t="shared" si="67"/>
        <v>464.59427521679351</v>
      </c>
      <c r="CX105" s="62">
        <f t="shared" si="68"/>
        <v>757.92760855012682</v>
      </c>
      <c r="CY105" s="62">
        <f ca="1">AVERAGE(OFFSET($CX$3,0,0,'Données projet'!$E$13+1,1))-AVERAGE(OFFSET($H$3,0,0,'Données projet'!$E$13+1,1))</f>
        <v>247.92503505485405</v>
      </c>
      <c r="CZ105" s="62">
        <f t="shared" si="96"/>
        <v>148.26437652597514</v>
      </c>
      <c r="DA105" s="16">
        <f>IF(ISNA(VLOOKUP(A105,'Données projet'!$A$139:$I$159,3,0)),0,VLOOKUP(A105,'Données projet'!$A$139:$I$159,3,0))</f>
        <v>8</v>
      </c>
      <c r="DB105" s="16">
        <f>IF(ISNA(VLOOKUP(A105,'Données projet'!$A$139:$I$159,4,0)),0,VLOOKUP(A105,'Données projet'!$A$139:$I$159,4,0))</f>
        <v>41</v>
      </c>
      <c r="DC105" s="17">
        <f>IF(ISNA(VLOOKUP(A105,'Données projet'!$A$139:$I$159,5,0)),0%,VLOOKUP(A105,'Données projet'!$A$139:$I$159,5,0)*VLOOKUP('Données projet'!$B$13,Paramètres!$A$1:$I$89,7,0))</f>
        <v>0.38700000000000001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45.146128090554342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45.146128090554342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3.4</v>
      </c>
      <c r="DO105" s="13">
        <f>IF('Données projet'!$A$166&gt;35,DO104+DN105-DW104,IF(A105&lt;'Données projet'!$A$166,$DL$205^A105,IF(A105='Données projet'!$A$166,'Données projet'!$B$166,DO104+DN105-DW104)))</f>
        <v>118.80000000000004</v>
      </c>
      <c r="DP105" s="18">
        <f>DO105*VLOOKUP('Données projet'!$B$14,Paramètres!$A$1:$I$89,3,0)*VLOOKUP('Données projet'!$B$14,Paramètres!$A$1:$I$89,5,0)</f>
        <v>114.90336000000003</v>
      </c>
      <c r="DQ105" s="14">
        <f t="shared" si="97"/>
        <v>30.483305866236886</v>
      </c>
      <c r="DR105" s="22">
        <f t="shared" si="70"/>
        <v>253.21510971702926</v>
      </c>
      <c r="DS105" s="62">
        <f t="shared" si="71"/>
        <v>546.54844305036261</v>
      </c>
      <c r="DT105" s="62">
        <f ca="1">AVERAGE(OFFSET($DS$3,0,0,'Données projet'!$E$14+1,1))-AVERAGE(OFFSET($H$3,0,0,'Données projet'!$E$14+1,1))</f>
        <v>154.0837760161366</v>
      </c>
      <c r="DU105" s="62">
        <f t="shared" si="98"/>
        <v>96.484500841546037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17.908617295422726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17.908617295422726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-5.6843418860808015E-14</v>
      </c>
      <c r="EK105" s="18">
        <f>EJ105*VLOOKUP('Données projet'!$B$15,Paramètres!$A$1:$I$89,3,0)*VLOOKUP('Données projet'!$B$15,Paramètres!$A$1:$I$89,5,0)</f>
        <v>-3.813056537183002E-14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205.35893113421139</v>
      </c>
      <c r="EP105" s="62">
        <f t="shared" si="100"/>
        <v>220.4399811285175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51.237208356307882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51.237208356307882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-5.6843418860808015E-14</v>
      </c>
      <c r="FF105" s="18">
        <f>FE105*VLOOKUP('Données projet'!$B$16,Paramètres!$A$1:$I$89,3,0)*VLOOKUP('Données projet'!$B$16,Paramètres!$A$1:$I$89,5,0)</f>
        <v>-4.4337866711430253E-14</v>
      </c>
      <c r="FG105" s="14" t="e">
        <f t="shared" si="101"/>
        <v>#NUM!</v>
      </c>
      <c r="FH105" s="22" t="e">
        <f t="shared" si="76"/>
        <v>#NUM!</v>
      </c>
      <c r="FI105" s="62" t="e">
        <f t="shared" si="77"/>
        <v>#NUM!</v>
      </c>
      <c r="FJ105" s="62">
        <f ca="1">AVERAGE(OFFSET($FI$3,0,0,'Données projet'!$E$16+1,1))-AVERAGE(OFFSET($H$3,0,0,'Données projet'!$E$16+1,1))</f>
        <v>242.81177364426878</v>
      </c>
      <c r="FK105" s="62">
        <f t="shared" si="102"/>
        <v>260.72115764896671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48.336989015384802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48.336989015384802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-5.6843418860808015E-14</v>
      </c>
      <c r="GA105" s="18">
        <f>FZ105*VLOOKUP('Données projet'!$B$17,Paramètres!$A$1:$I$89,3,0)*VLOOKUP('Données projet'!$B$17,Paramètres!$A$1:$I$89,5,0)</f>
        <v>-4.5224624045658861E-14</v>
      </c>
      <c r="GB105" s="14" t="e">
        <f t="shared" si="103"/>
        <v>#NUM!</v>
      </c>
      <c r="GC105" s="22" t="e">
        <f t="shared" si="79"/>
        <v>#NUM!</v>
      </c>
      <c r="GD105" s="62" t="e">
        <f t="shared" si="80"/>
        <v>#NUM!</v>
      </c>
      <c r="GE105" s="62">
        <f ca="1">AVERAGE(OFFSET($GD$3,0,0,'Données projet'!$E$17+1,1))-AVERAGE(OFFSET($H$3,0,0,'Données projet'!$E$17+1,1))</f>
        <v>248.15263300983543</v>
      </c>
      <c r="GF105" s="62">
        <f t="shared" si="104"/>
        <v>266.46511459244618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60.769712236551193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60.769712236551193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382.55387448074327</v>
      </c>
      <c r="T106" s="62">
        <f t="shared" si="88"/>
        <v>476.29465646955543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110.43322763550599</v>
      </c>
      <c r="AA106" s="23">
        <f>EXP(-LN(2)/25)*AA105+(1-EXP(-LN(2)/25))/(LN(2)/25)*Calculateur!V106*Calculateur!X106*VLOOKUP('Données projet'!$B$9,Paramètres!$A$1:$I$89,3,0)*0.475*44/12</f>
        <v>19.555940031915629</v>
      </c>
      <c r="AB106" s="23">
        <f>EXP(-LN(2)/2)*AB105+(1-EXP(-LN(2)/2))/(LN(2)/2)*V106*Y106*VLOOKUP('Données projet'!$B$9,Paramètres!$A$1:$I$89,3,0)*0.475*44/12</f>
        <v>1.8989970796926616E-5</v>
      </c>
      <c r="AC106" s="24">
        <f t="shared" si="57"/>
        <v>129.98918665739239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-1.7053025658242404E-13</v>
      </c>
      <c r="AJ106" s="14">
        <f>AI106*VLOOKUP('Données projet'!$B$10,Paramètres!$A$1:$I$89,3,0)*VLOOKUP('Données projet'!$B$10,Paramètres!$A$1:$I$89,5,0)</f>
        <v>-1.064108801074326E-13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482.28841373508675</v>
      </c>
      <c r="AO106" s="62">
        <f t="shared" si="90"/>
        <v>746.97309214631684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206.47906075001384</v>
      </c>
      <c r="AV106" s="23">
        <f>EXP(-LN(2)/25)*AV105+(1-EXP(-LN(2)/25))/(LN(2)/25)*Calculateur!AQ106*Calculateur!AS106*VLOOKUP('Données projet'!$B$10,Paramètres!$A$1:$I$89,3,0)*0.475*44/12</f>
        <v>36.668214552307148</v>
      </c>
      <c r="AW106" s="23">
        <f>EXP(-LN(2)/2)*AW105+(1-EXP(-LN(2)/2))/(LN(2)/2)*AQ106*AT106*VLOOKUP('Données projet'!$B$10,Paramètres!$A$1:$I$89,3,0)*0.475*44/12</f>
        <v>7.0932308793966803E-3</v>
      </c>
      <c r="AX106" s="23">
        <f t="shared" si="60"/>
        <v>243.1543685332004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-1.7053025658242404E-13</v>
      </c>
      <c r="BE106" s="14">
        <f>BD106*VLOOKUP('Données projet'!$B$11,Paramètres!$A$1:$I$89,3,0)*VLOOKUP('Données projet'!$B$11,Paramètres!$A$1:$I$89,5,0)</f>
        <v>-9.3109520094003535E-14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417.99456559608217</v>
      </c>
      <c r="BJ106" s="62">
        <f t="shared" si="92"/>
        <v>651.41353014863932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180.66917815626215</v>
      </c>
      <c r="BQ106" s="23">
        <f>EXP(-LN(2)/25)*BQ105+(1-EXP(-LN(2)/25))/(LN(2)/25)*Calculateur!BL106*Calculateur!BN106*VLOOKUP('Données projet'!$B$11,Paramètres!$A$1:$I$89,3,0)*0.475*44/12</f>
        <v>32.466648301521943</v>
      </c>
      <c r="BR106" s="23">
        <f>EXP(-LN(2)/2)*BR105+(1-EXP(-LN(2)/2))/(LN(2)/2)*BL106*BO106*VLOOKUP('Données projet'!$B$11,Paramètres!$A$1:$I$89,3,0)*0.475*44/12</f>
        <v>6.1125379737225136E-3</v>
      </c>
      <c r="BS106" s="24">
        <f t="shared" si="63"/>
        <v>213.14193899575784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4.583333333333333</v>
      </c>
      <c r="BY106" s="13">
        <f>IF('Données projet'!$A$114&gt;35,BY105+BX106-CG105,IF(A106&lt;'Données projet'!$A$114,$BV$205^A106,IF(A106='Données projet'!$A$114,'Données projet'!$B$114,BY105+BX106-CG105)))</f>
        <v>174.58333333333326</v>
      </c>
      <c r="BZ106" s="14">
        <f>BY106*VLOOKUP('Données projet'!$B$12,Paramètres!$A$1:$I$89,3,0)*VLOOKUP('Données projet'!$B$12,Paramètres!$A$1:$I$89,5,0)</f>
        <v>157.96299999999994</v>
      </c>
      <c r="CA106" s="14">
        <f t="shared" si="93"/>
        <v>40.382722312649626</v>
      </c>
      <c r="CB106" s="22">
        <f t="shared" si="64"/>
        <v>345.45213302786465</v>
      </c>
      <c r="CC106" s="62">
        <f t="shared" si="65"/>
        <v>638.7854663611979</v>
      </c>
      <c r="CD106" s="62">
        <f ca="1">AVERAGE(OFFSET($CC$3,0,0,'Données projet'!$E$12+1,1))-AVERAGE(OFFSET($H$3,0,0,'Données projet'!$E$12+1,1))</f>
        <v>213.07277043804817</v>
      </c>
      <c r="CE106" s="62">
        <f t="shared" si="94"/>
        <v>129.14539883354166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39.494288049181947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39.494288049181947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4.583333333333333</v>
      </c>
      <c r="CT106" s="13">
        <f>IF('Données projet'!$A$140&gt;35,CT105+CS106-DB105,IF(A106&lt;'Données projet'!$A$140,$CQ$205^A106,IF(A106='Données projet'!$A$140,'Données projet'!$B$140,CT105+CS106-DB105)))</f>
        <v>174.58333333333326</v>
      </c>
      <c r="CU106" s="18">
        <f>CT106*VLOOKUP('Données projet'!$B$13,Paramètres!$A$1:$I$89,3,0)*VLOOKUP('Données projet'!$B$13,Paramètres!$A$1:$I$89,5,0)</f>
        <v>177.02749999999992</v>
      </c>
      <c r="CV106" s="14">
        <f t="shared" si="95"/>
        <v>44.660220134711423</v>
      </c>
      <c r="CW106" s="22">
        <f t="shared" si="67"/>
        <v>386.10611256795556</v>
      </c>
      <c r="CX106" s="62">
        <f t="shared" si="68"/>
        <v>679.43944590128888</v>
      </c>
      <c r="CY106" s="62">
        <f ca="1">AVERAGE(OFFSET($CX$3,0,0,'Données projet'!$E$13+1,1))-AVERAGE(OFFSET($H$3,0,0,'Données projet'!$E$13+1,1))</f>
        <v>247.92503505485405</v>
      </c>
      <c r="CZ106" s="62">
        <f t="shared" si="96"/>
        <v>148.26437652597514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44.260840055117711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44.260840055117711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3.4</v>
      </c>
      <c r="DO106" s="13">
        <f>IF('Données projet'!$A$166&gt;35,DO105+DN106-DW105,IF(A106&lt;'Données projet'!$A$166,$DL$205^A106,IF(A106='Données projet'!$A$166,'Données projet'!$B$166,DO105+DN106-DW105)))</f>
        <v>122.20000000000005</v>
      </c>
      <c r="DP106" s="18">
        <f>DO106*VLOOKUP('Données projet'!$B$14,Paramètres!$A$1:$I$89,3,0)*VLOOKUP('Données projet'!$B$14,Paramètres!$A$1:$I$89,5,0)</f>
        <v>118.19184000000004</v>
      </c>
      <c r="DQ106" s="14">
        <f t="shared" si="97"/>
        <v>31.252903743281095</v>
      </c>
      <c r="DR106" s="22">
        <f t="shared" si="70"/>
        <v>260.28292868621469</v>
      </c>
      <c r="DS106" s="62">
        <f t="shared" si="71"/>
        <v>553.616262019548</v>
      </c>
      <c r="DT106" s="62">
        <f ca="1">AVERAGE(OFFSET($DS$3,0,0,'Données projet'!$E$14+1,1))-AVERAGE(OFFSET($H$3,0,0,'Données projet'!$E$14+1,1))</f>
        <v>154.0837760161366</v>
      </c>
      <c r="DU106" s="62">
        <f t="shared" si="98"/>
        <v>96.484500841546037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17.557440233437461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17.557440233437461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-5.6843418860808015E-14</v>
      </c>
      <c r="EK106" s="18">
        <f>EJ106*VLOOKUP('Données projet'!$B$15,Paramètres!$A$1:$I$89,3,0)*VLOOKUP('Données projet'!$B$15,Paramètres!$A$1:$I$89,5,0)</f>
        <v>-3.813056537183002E-14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205.35893113421139</v>
      </c>
      <c r="EP106" s="62">
        <f t="shared" si="100"/>
        <v>220.4399811285175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50.232477952051944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50.232477952051944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-5.6843418860808015E-14</v>
      </c>
      <c r="FF106" s="18">
        <f>FE106*VLOOKUP('Données projet'!$B$16,Paramètres!$A$1:$I$89,3,0)*VLOOKUP('Données projet'!$B$16,Paramètres!$A$1:$I$89,5,0)</f>
        <v>-4.4337866711430253E-14</v>
      </c>
      <c r="FG106" s="14" t="e">
        <f t="shared" si="101"/>
        <v>#NUM!</v>
      </c>
      <c r="FH106" s="22" t="e">
        <f t="shared" si="76"/>
        <v>#NUM!</v>
      </c>
      <c r="FI106" s="62" t="e">
        <f t="shared" si="77"/>
        <v>#NUM!</v>
      </c>
      <c r="FJ106" s="62">
        <f ca="1">AVERAGE(OFFSET($FI$3,0,0,'Données projet'!$E$16+1,1))-AVERAGE(OFFSET($H$3,0,0,'Données projet'!$E$16+1,1))</f>
        <v>242.81177364426878</v>
      </c>
      <c r="FK106" s="62">
        <f t="shared" si="102"/>
        <v>260.72115764896671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47.389130143445236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47.389130143445236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-5.6843418860808015E-14</v>
      </c>
      <c r="GA106" s="18">
        <f>FZ106*VLOOKUP('Données projet'!$B$17,Paramètres!$A$1:$I$89,3,0)*VLOOKUP('Données projet'!$B$17,Paramètres!$A$1:$I$89,5,0)</f>
        <v>-4.5224624045658861E-14</v>
      </c>
      <c r="GB106" s="14" t="e">
        <f t="shared" si="103"/>
        <v>#NUM!</v>
      </c>
      <c r="GC106" s="22" t="e">
        <f t="shared" si="79"/>
        <v>#NUM!</v>
      </c>
      <c r="GD106" s="62" t="e">
        <f t="shared" si="80"/>
        <v>#NUM!</v>
      </c>
      <c r="GE106" s="62">
        <f ca="1">AVERAGE(OFFSET($GD$3,0,0,'Données projet'!$E$17+1,1))-AVERAGE(OFFSET($H$3,0,0,'Données projet'!$E$17+1,1))</f>
        <v>248.15263300983543</v>
      </c>
      <c r="GF106" s="62">
        <f t="shared" si="104"/>
        <v>266.46511459244618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59.578055245456937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59.578055245456937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382.55387448074327</v>
      </c>
      <c r="T107" s="62">
        <f t="shared" si="88"/>
        <v>476.29465646955543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108.26769939919156</v>
      </c>
      <c r="AA107" s="23">
        <f>EXP(-LN(2)/25)*AA106+(1-EXP(-LN(2)/25))/(LN(2)/25)*Calculateur!V107*Calculateur!X107*VLOOKUP('Données projet'!$B$9,Paramètres!$A$1:$I$89,3,0)*0.475*44/12</f>
        <v>19.021181823340704</v>
      </c>
      <c r="AB107" s="23">
        <f>EXP(-LN(2)/2)*AB106+(1-EXP(-LN(2)/2))/(LN(2)/2)*V107*Y107*VLOOKUP('Données projet'!$B$9,Paramètres!$A$1:$I$89,3,0)*0.475*44/12</f>
        <v>1.3427937125041316E-5</v>
      </c>
      <c r="AC107" s="24">
        <f t="shared" si="57"/>
        <v>127.28889465046939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-1.7053025658242404E-13</v>
      </c>
      <c r="AJ107" s="14">
        <f>AI107*VLOOKUP('Données projet'!$B$10,Paramètres!$A$1:$I$89,3,0)*VLOOKUP('Données projet'!$B$10,Paramètres!$A$1:$I$89,5,0)</f>
        <v>-1.064108801074326E-13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482.28841373508675</v>
      </c>
      <c r="AO107" s="62">
        <f t="shared" si="90"/>
        <v>746.97309214631684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202.4301323084976</v>
      </c>
      <c r="AV107" s="23">
        <f>EXP(-LN(2)/25)*AV106+(1-EXP(-LN(2)/25))/(LN(2)/25)*Calculateur!AQ107*Calculateur!AS107*VLOOKUP('Données projet'!$B$10,Paramètres!$A$1:$I$89,3,0)*0.475*44/12</f>
        <v>35.665520297076711</v>
      </c>
      <c r="AW107" s="23">
        <f>EXP(-LN(2)/2)*AW106+(1-EXP(-LN(2)/2))/(LN(2)/2)*AQ107*AT107*VLOOKUP('Données projet'!$B$10,Paramètres!$A$1:$I$89,3,0)*0.475*44/12</f>
        <v>5.0156716553432104E-3</v>
      </c>
      <c r="AX107" s="23">
        <f t="shared" si="60"/>
        <v>238.10066827722966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-1.7053025658242404E-13</v>
      </c>
      <c r="BE107" s="14">
        <f>BD107*VLOOKUP('Données projet'!$B$11,Paramètres!$A$1:$I$89,3,0)*VLOOKUP('Données projet'!$B$11,Paramètres!$A$1:$I$89,5,0)</f>
        <v>-9.3109520094003535E-14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417.99456559608217</v>
      </c>
      <c r="BJ107" s="62">
        <f t="shared" si="92"/>
        <v>651.41353014863932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177.12636576993543</v>
      </c>
      <c r="BQ107" s="23">
        <f>EXP(-LN(2)/25)*BQ106+(1-EXP(-LN(2)/25))/(LN(2)/25)*Calculateur!BL107*Calculateur!BN107*VLOOKUP('Données projet'!$B$11,Paramètres!$A$1:$I$89,3,0)*0.475*44/12</f>
        <v>31.578846096369993</v>
      </c>
      <c r="BR107" s="23">
        <f>EXP(-LN(2)/2)*BR106+(1-EXP(-LN(2)/2))/(LN(2)/2)*BL107*BO107*VLOOKUP('Données projet'!$B$11,Paramètres!$A$1:$I$89,3,0)*0.475*44/12</f>
        <v>4.322217051479468E-3</v>
      </c>
      <c r="BS107" s="24">
        <f t="shared" si="63"/>
        <v>208.70953408335691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4.583333333333333</v>
      </c>
      <c r="BY107" s="13">
        <f>IF('Données projet'!$A$114&gt;35,BY106+BX107-CG106,IF(A107&lt;'Données projet'!$A$114,$BV$205^A107,IF(A107='Données projet'!$A$114,'Données projet'!$B$114,BY106+BX107-CG106)))</f>
        <v>179.1666666666666</v>
      </c>
      <c r="BZ107" s="14">
        <f>BY107*VLOOKUP('Données projet'!$B$12,Paramètres!$A$1:$I$89,3,0)*VLOOKUP('Données projet'!$B$12,Paramètres!$A$1:$I$89,5,0)</f>
        <v>162.10999999999993</v>
      </c>
      <c r="CA107" s="14">
        <f t="shared" si="93"/>
        <v>41.318068304799873</v>
      </c>
      <c r="CB107" s="22">
        <f t="shared" si="64"/>
        <v>354.30388563085967</v>
      </c>
      <c r="CC107" s="62">
        <f t="shared" si="65"/>
        <v>647.63721896419293</v>
      </c>
      <c r="CD107" s="62">
        <f ca="1">AVERAGE(OFFSET($CC$3,0,0,'Données projet'!$E$12+1,1))-AVERAGE(OFFSET($H$3,0,0,'Données projet'!$E$12+1,1))</f>
        <v>213.07277043804817</v>
      </c>
      <c r="CE107" s="62">
        <f t="shared" si="94"/>
        <v>129.14539883354166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38.719829149674595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38.719829149674595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4.583333333333333</v>
      </c>
      <c r="CT107" s="13">
        <f>IF('Données projet'!$A$140&gt;35,CT106+CS107-DB106,IF(A107&lt;'Données projet'!$A$140,$CQ$205^A107,IF(A107='Données projet'!$A$140,'Données projet'!$B$140,CT106+CS107-DB106)))</f>
        <v>179.1666666666666</v>
      </c>
      <c r="CU107" s="18">
        <f>CT107*VLOOKUP('Données projet'!$B$13,Paramètres!$A$1:$I$89,3,0)*VLOOKUP('Données projet'!$B$13,Paramètres!$A$1:$I$89,5,0)</f>
        <v>181.67499999999995</v>
      </c>
      <c r="CV107" s="14">
        <f t="shared" si="95"/>
        <v>45.694641677373617</v>
      </c>
      <c r="CW107" s="22">
        <f t="shared" si="67"/>
        <v>396.00212592142566</v>
      </c>
      <c r="CX107" s="62">
        <f t="shared" si="68"/>
        <v>689.33545925475892</v>
      </c>
      <c r="CY107" s="62">
        <f ca="1">AVERAGE(OFFSET($CX$3,0,0,'Données projet'!$E$13+1,1))-AVERAGE(OFFSET($H$3,0,0,'Données projet'!$E$13+1,1))</f>
        <v>247.92503505485405</v>
      </c>
      <c r="CZ107" s="62">
        <f t="shared" si="96"/>
        <v>148.26437652597514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43.39291197808361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43.39291197808361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3.4</v>
      </c>
      <c r="DO107" s="13">
        <f>IF('Données projet'!$A$166&gt;35,DO106+DN107-DW106,IF(A107&lt;'Données projet'!$A$166,$DL$205^A107,IF(A107='Données projet'!$A$166,'Données projet'!$B$166,DO106+DN107-DW106)))</f>
        <v>125.60000000000005</v>
      </c>
      <c r="DP107" s="18">
        <f>DO107*VLOOKUP('Données projet'!$B$14,Paramètres!$A$1:$I$89,3,0)*VLOOKUP('Données projet'!$B$14,Paramètres!$A$1:$I$89,5,0)</f>
        <v>121.48032000000005</v>
      </c>
      <c r="DQ107" s="14">
        <f t="shared" si="97"/>
        <v>32.020012873622456</v>
      </c>
      <c r="DR107" s="22">
        <f t="shared" si="70"/>
        <v>267.34641308822592</v>
      </c>
      <c r="DS107" s="62">
        <f t="shared" si="71"/>
        <v>560.67974642155923</v>
      </c>
      <c r="DT107" s="62">
        <f ca="1">AVERAGE(OFFSET($DS$3,0,0,'Données projet'!$E$14+1,1))-AVERAGE(OFFSET($H$3,0,0,'Données projet'!$E$14+1,1))</f>
        <v>154.0837760161366</v>
      </c>
      <c r="DU107" s="62">
        <f t="shared" si="98"/>
        <v>96.484500841546037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17.21314953944087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17.21314953944087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-5.6843418860808015E-14</v>
      </c>
      <c r="EK107" s="18">
        <f>EJ107*VLOOKUP('Données projet'!$B$15,Paramètres!$A$1:$I$89,3,0)*VLOOKUP('Données projet'!$B$15,Paramètres!$A$1:$I$89,5,0)</f>
        <v>-3.813056537183002E-14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205.35893113421139</v>
      </c>
      <c r="EP107" s="62">
        <f t="shared" si="100"/>
        <v>220.4399811285175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49.24744969819843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49.24744969819843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-5.6843418860808015E-14</v>
      </c>
      <c r="FF107" s="18">
        <f>FE107*VLOOKUP('Données projet'!$B$16,Paramètres!$A$1:$I$89,3,0)*VLOOKUP('Données projet'!$B$16,Paramètres!$A$1:$I$89,5,0)</f>
        <v>-4.4337866711430253E-14</v>
      </c>
      <c r="FG107" s="14" t="e">
        <f t="shared" si="101"/>
        <v>#NUM!</v>
      </c>
      <c r="FH107" s="22" t="e">
        <f t="shared" si="76"/>
        <v>#NUM!</v>
      </c>
      <c r="FI107" s="62" t="e">
        <f t="shared" si="77"/>
        <v>#NUM!</v>
      </c>
      <c r="FJ107" s="62">
        <f ca="1">AVERAGE(OFFSET($FI$3,0,0,'Données projet'!$E$16+1,1))-AVERAGE(OFFSET($H$3,0,0,'Données projet'!$E$16+1,1))</f>
        <v>242.81177364426878</v>
      </c>
      <c r="FK107" s="62">
        <f t="shared" si="102"/>
        <v>260.72115764896671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46.459858205847581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46.459858205847581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-5.6843418860808015E-14</v>
      </c>
      <c r="GA107" s="18">
        <f>FZ107*VLOOKUP('Données projet'!$B$17,Paramètres!$A$1:$I$89,3,0)*VLOOKUP('Données projet'!$B$17,Paramètres!$A$1:$I$89,5,0)</f>
        <v>-4.5224624045658861E-14</v>
      </c>
      <c r="GB107" s="14" t="e">
        <f t="shared" si="103"/>
        <v>#NUM!</v>
      </c>
      <c r="GC107" s="22" t="e">
        <f t="shared" si="79"/>
        <v>#NUM!</v>
      </c>
      <c r="GD107" s="62" t="e">
        <f t="shared" si="80"/>
        <v>#NUM!</v>
      </c>
      <c r="GE107" s="62">
        <f ca="1">AVERAGE(OFFSET($GD$3,0,0,'Données projet'!$E$17+1,1))-AVERAGE(OFFSET($H$3,0,0,'Données projet'!$E$17+1,1))</f>
        <v>248.15263300983543</v>
      </c>
      <c r="GF107" s="62">
        <f t="shared" si="104"/>
        <v>266.46511459244618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58.409765921119046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58.409765921119046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382.55387448074327</v>
      </c>
      <c r="T108" s="62">
        <f t="shared" si="88"/>
        <v>476.29465646955543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106.14463585074945</v>
      </c>
      <c r="AA108" s="23">
        <f>EXP(-LN(2)/25)*AA107+(1-EXP(-LN(2)/25))/(LN(2)/25)*Calculateur!V108*Calculateur!X108*VLOOKUP('Données projet'!$B$9,Paramètres!$A$1:$I$89,3,0)*0.475*44/12</f>
        <v>18.501046606100974</v>
      </c>
      <c r="AB108" s="23">
        <f>EXP(-LN(2)/2)*AB107+(1-EXP(-LN(2)/2))/(LN(2)/2)*V108*Y108*VLOOKUP('Données projet'!$B$9,Paramètres!$A$1:$I$89,3,0)*0.475*44/12</f>
        <v>9.4949853984633079E-6</v>
      </c>
      <c r="AC108" s="24">
        <f t="shared" si="57"/>
        <v>124.64569195183581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-1.7053025658242404E-13</v>
      </c>
      <c r="AJ108" s="14">
        <f>AI108*VLOOKUP('Données projet'!$B$10,Paramètres!$A$1:$I$89,3,0)*VLOOKUP('Données projet'!$B$10,Paramètres!$A$1:$I$89,5,0)</f>
        <v>-1.064108801074326E-13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482.28841373508675</v>
      </c>
      <c r="AO108" s="62">
        <f t="shared" si="90"/>
        <v>746.97309214631684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198.46060088411701</v>
      </c>
      <c r="AV108" s="23">
        <f>EXP(-LN(2)/25)*AV107+(1-EXP(-LN(2)/25))/(LN(2)/25)*Calculateur!AQ108*Calculateur!AS108*VLOOKUP('Données projet'!$B$10,Paramètres!$A$1:$I$89,3,0)*0.475*44/12</f>
        <v>34.690244768984954</v>
      </c>
      <c r="AW108" s="23">
        <f>EXP(-LN(2)/2)*AW107+(1-EXP(-LN(2)/2))/(LN(2)/2)*AQ108*AT108*VLOOKUP('Données projet'!$B$10,Paramètres!$A$1:$I$89,3,0)*0.475*44/12</f>
        <v>3.5466154396983402E-3</v>
      </c>
      <c r="AX108" s="23">
        <f t="shared" si="60"/>
        <v>233.15439226854164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-1.7053025658242404E-13</v>
      </c>
      <c r="BE108" s="14">
        <f>BD108*VLOOKUP('Données projet'!$B$11,Paramètres!$A$1:$I$89,3,0)*VLOOKUP('Données projet'!$B$11,Paramètres!$A$1:$I$89,5,0)</f>
        <v>-9.3109520094003535E-14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417.99456559608217</v>
      </c>
      <c r="BJ108" s="62">
        <f t="shared" si="92"/>
        <v>651.41353014863932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173.65302577360242</v>
      </c>
      <c r="BQ108" s="23">
        <f>EXP(-LN(2)/25)*BQ107+(1-EXP(-LN(2)/25))/(LN(2)/25)*Calculateur!BL108*Calculateur!BN108*VLOOKUP('Données projet'!$B$11,Paramètres!$A$1:$I$89,3,0)*0.475*44/12</f>
        <v>30.715320889205415</v>
      </c>
      <c r="BR108" s="23">
        <f>EXP(-LN(2)/2)*BR107+(1-EXP(-LN(2)/2))/(LN(2)/2)*BL108*BO108*VLOOKUP('Données projet'!$B$11,Paramètres!$A$1:$I$89,3,0)*0.475*44/12</f>
        <v>3.0562689868612568E-3</v>
      </c>
      <c r="BS108" s="24">
        <f t="shared" si="63"/>
        <v>204.37140293179468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4.583333333333333</v>
      </c>
      <c r="BY108" s="13">
        <f>IF('Données projet'!$A$114&gt;35,BY107+BX108-CG107,IF(A108&lt;'Données projet'!$A$114,$BV$205^A108,IF(A108='Données projet'!$A$114,'Données projet'!$B$114,BY107+BX108-CG107)))</f>
        <v>183.74999999999994</v>
      </c>
      <c r="BZ108" s="14">
        <f>BY108*VLOOKUP('Données projet'!$B$12,Paramètres!$A$1:$I$89,3,0)*VLOOKUP('Données projet'!$B$12,Paramètres!$A$1:$I$89,5,0)</f>
        <v>166.25699999999995</v>
      </c>
      <c r="CA108" s="14">
        <f t="shared" si="93"/>
        <v>42.250632963064817</v>
      </c>
      <c r="CB108" s="22">
        <f t="shared" si="64"/>
        <v>363.15079407733782</v>
      </c>
      <c r="CC108" s="62">
        <f t="shared" si="65"/>
        <v>656.48412741067114</v>
      </c>
      <c r="CD108" s="62">
        <f ca="1">AVERAGE(OFFSET($CC$3,0,0,'Données projet'!$E$12+1,1))-AVERAGE(OFFSET($H$3,0,0,'Données projet'!$E$12+1,1))</f>
        <v>213.07277043804817</v>
      </c>
      <c r="CE108" s="62">
        <f t="shared" si="94"/>
        <v>129.14539883354166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37.960556916813296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37.960556916813296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4.583333333333333</v>
      </c>
      <c r="CT108" s="13">
        <f>IF('Données projet'!$A$140&gt;35,CT107+CS108-DB107,IF(A108&lt;'Données projet'!$A$140,$CQ$205^A108,IF(A108='Données projet'!$A$140,'Données projet'!$B$140,CT107+CS108-DB107)))</f>
        <v>183.74999999999994</v>
      </c>
      <c r="CU108" s="18">
        <f>CT108*VLOOKUP('Données projet'!$B$13,Paramètres!$A$1:$I$89,3,0)*VLOOKUP('Données projet'!$B$13,Paramètres!$A$1:$I$89,5,0)</f>
        <v>186.32249999999996</v>
      </c>
      <c r="CV108" s="14">
        <f t="shared" si="95"/>
        <v>46.725987276254116</v>
      </c>
      <c r="CW108" s="22">
        <f t="shared" si="67"/>
        <v>405.89278200614257</v>
      </c>
      <c r="CX108" s="62">
        <f t="shared" si="68"/>
        <v>699.22611533947588</v>
      </c>
      <c r="CY108" s="62">
        <f ca="1">AVERAGE(OFFSET($CX$3,0,0,'Données projet'!$E$13+1,1))-AVERAGE(OFFSET($H$3,0,0,'Données projet'!$E$13+1,1))</f>
        <v>247.92503505485405</v>
      </c>
      <c r="CZ108" s="62">
        <f t="shared" si="96"/>
        <v>148.26437652597514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42.542003441256291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42.542003441256291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3.4</v>
      </c>
      <c r="DO108" s="13">
        <f>IF('Données projet'!$A$166&gt;35,DO107+DN108-DW107,IF(A108&lt;'Données projet'!$A$166,$DL$205^A108,IF(A108='Données projet'!$A$166,'Données projet'!$B$166,DO107+DN108-DW107)))</f>
        <v>129.00000000000006</v>
      </c>
      <c r="DP108" s="18">
        <f>DO108*VLOOKUP('Données projet'!$B$14,Paramètres!$A$1:$I$89,3,0)*VLOOKUP('Données projet'!$B$14,Paramètres!$A$1:$I$89,5,0)</f>
        <v>124.76880000000006</v>
      </c>
      <c r="DQ108" s="14">
        <f t="shared" si="97"/>
        <v>32.784708369928126</v>
      </c>
      <c r="DR108" s="22">
        <f t="shared" si="70"/>
        <v>274.40569374429157</v>
      </c>
      <c r="DS108" s="62">
        <f t="shared" si="71"/>
        <v>567.73902707762488</v>
      </c>
      <c r="DT108" s="62">
        <f ca="1">AVERAGE(OFFSET($DS$3,0,0,'Données projet'!$E$14+1,1))-AVERAGE(OFFSET($H$3,0,0,'Données projet'!$E$14+1,1))</f>
        <v>154.0837760161366</v>
      </c>
      <c r="DU108" s="62">
        <f t="shared" si="98"/>
        <v>96.484500841546037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16.875610175956965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16.875610175956965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-5.6843418860808015E-14</v>
      </c>
      <c r="EK108" s="18">
        <f>EJ108*VLOOKUP('Données projet'!$B$15,Paramètres!$A$1:$I$89,3,0)*VLOOKUP('Données projet'!$B$15,Paramètres!$A$1:$I$89,5,0)</f>
        <v>-3.813056537183002E-14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205.35893113421139</v>
      </c>
      <c r="EP108" s="62">
        <f t="shared" si="100"/>
        <v>220.4399811285175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48.281737247595068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48.281737247595068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-5.6843418860808015E-14</v>
      </c>
      <c r="FF108" s="18">
        <f>FE108*VLOOKUP('Données projet'!$B$16,Paramètres!$A$1:$I$89,3,0)*VLOOKUP('Données projet'!$B$16,Paramètres!$A$1:$I$89,5,0)</f>
        <v>-4.4337866711430253E-14</v>
      </c>
      <c r="FG108" s="14" t="e">
        <f t="shared" si="101"/>
        <v>#NUM!</v>
      </c>
      <c r="FH108" s="22" t="e">
        <f t="shared" si="76"/>
        <v>#NUM!</v>
      </c>
      <c r="FI108" s="62" t="e">
        <f t="shared" si="77"/>
        <v>#NUM!</v>
      </c>
      <c r="FJ108" s="62">
        <f ca="1">AVERAGE(OFFSET($FI$3,0,0,'Données projet'!$E$16+1,1))-AVERAGE(OFFSET($H$3,0,0,'Données projet'!$E$16+1,1))</f>
        <v>242.81177364426878</v>
      </c>
      <c r="FK108" s="62">
        <f t="shared" si="102"/>
        <v>260.72115764896671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45.548808724146298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45.548808724146298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-5.6843418860808015E-14</v>
      </c>
      <c r="GA108" s="18">
        <f>FZ108*VLOOKUP('Données projet'!$B$17,Paramètres!$A$1:$I$89,3,0)*VLOOKUP('Données projet'!$B$17,Paramètres!$A$1:$I$89,5,0)</f>
        <v>-4.5224624045658861E-14</v>
      </c>
      <c r="GB108" s="14" t="e">
        <f t="shared" si="103"/>
        <v>#NUM!</v>
      </c>
      <c r="GC108" s="22" t="e">
        <f t="shared" si="79"/>
        <v>#NUM!</v>
      </c>
      <c r="GD108" s="62" t="e">
        <f t="shared" si="80"/>
        <v>#NUM!</v>
      </c>
      <c r="GE108" s="62">
        <f ca="1">AVERAGE(OFFSET($GD$3,0,0,'Données projet'!$E$17+1,1))-AVERAGE(OFFSET($H$3,0,0,'Données projet'!$E$17+1,1))</f>
        <v>248.15263300983543</v>
      </c>
      <c r="GF108" s="62">
        <f t="shared" si="104"/>
        <v>266.46511459244618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57.264386037845291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57.264386037845291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382.55387448074327</v>
      </c>
      <c r="T109" s="62">
        <f t="shared" si="88"/>
        <v>476.29465646955543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104.0632042835514</v>
      </c>
      <c r="AA109" s="23">
        <f>EXP(-LN(2)/25)*AA108+(1-EXP(-LN(2)/25))/(LN(2)/25)*Calculateur!V109*Calculateur!X109*VLOOKUP('Données projet'!$B$9,Paramètres!$A$1:$I$89,3,0)*0.475*44/12</f>
        <v>17.995134513729386</v>
      </c>
      <c r="AB109" s="23">
        <f>EXP(-LN(2)/2)*AB108+(1-EXP(-LN(2)/2))/(LN(2)/2)*V109*Y109*VLOOKUP('Données projet'!$B$9,Paramètres!$A$1:$I$89,3,0)*0.475*44/12</f>
        <v>6.7139685625206581E-6</v>
      </c>
      <c r="AC109" s="24">
        <f t="shared" si="57"/>
        <v>122.05834551124934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-1.7053025658242404E-13</v>
      </c>
      <c r="AJ109" s="14">
        <f>AI109*VLOOKUP('Données projet'!$B$10,Paramètres!$A$1:$I$89,3,0)*VLOOKUP('Données projet'!$B$10,Paramètres!$A$1:$I$89,5,0)</f>
        <v>-1.064108801074326E-13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482.28841373508675</v>
      </c>
      <c r="AO109" s="62">
        <f t="shared" si="90"/>
        <v>746.97309214631684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194.56890954979343</v>
      </c>
      <c r="AV109" s="23">
        <f>EXP(-LN(2)/25)*AV108+(1-EXP(-LN(2)/25))/(LN(2)/25)*Calculateur!AQ109*Calculateur!AS109*VLOOKUP('Données projet'!$B$10,Paramètres!$A$1:$I$89,3,0)*0.475*44/12</f>
        <v>33.741638201496372</v>
      </c>
      <c r="AW109" s="23">
        <f>EXP(-LN(2)/2)*AW108+(1-EXP(-LN(2)/2))/(LN(2)/2)*AQ109*AT109*VLOOKUP('Données projet'!$B$10,Paramètres!$A$1:$I$89,3,0)*0.475*44/12</f>
        <v>2.5078358276716052E-3</v>
      </c>
      <c r="AX109" s="23">
        <f t="shared" si="60"/>
        <v>228.31305558711747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-1.7053025658242404E-13</v>
      </c>
      <c r="BE109" s="14">
        <f>BD109*VLOOKUP('Données projet'!$B$11,Paramètres!$A$1:$I$89,3,0)*VLOOKUP('Données projet'!$B$11,Paramètres!$A$1:$I$89,5,0)</f>
        <v>-9.3109520094003535E-14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417.99456559608217</v>
      </c>
      <c r="BJ109" s="62">
        <f t="shared" si="92"/>
        <v>651.41353014863932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170.24779585606927</v>
      </c>
      <c r="BQ109" s="23">
        <f>EXP(-LN(2)/25)*BQ108+(1-EXP(-LN(2)/25))/(LN(2)/25)*Calculateur!BL109*Calculateur!BN109*VLOOKUP('Données projet'!$B$11,Paramètres!$A$1:$I$89,3,0)*0.475*44/12</f>
        <v>29.875408824241568</v>
      </c>
      <c r="BR109" s="23">
        <f>EXP(-LN(2)/2)*BR108+(1-EXP(-LN(2)/2))/(LN(2)/2)*BL109*BO109*VLOOKUP('Données projet'!$B$11,Paramètres!$A$1:$I$89,3,0)*0.475*44/12</f>
        <v>2.161108525739734E-3</v>
      </c>
      <c r="BS109" s="24">
        <f t="shared" si="63"/>
        <v>200.12536578883658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4.583333333333333</v>
      </c>
      <c r="BY109" s="13">
        <f>IF('Données projet'!$A$114&gt;35,BY108+BX109-CG108,IF(A109&lt;'Données projet'!$A$114,$BV$205^A109,IF(A109='Données projet'!$A$114,'Données projet'!$B$114,BY108+BX109-CG108)))</f>
        <v>188.33333333333329</v>
      </c>
      <c r="BZ109" s="14">
        <f>BY109*VLOOKUP('Données projet'!$B$12,Paramètres!$A$1:$I$89,3,0)*VLOOKUP('Données projet'!$B$12,Paramètres!$A$1:$I$89,5,0)</f>
        <v>170.40399999999994</v>
      </c>
      <c r="CA109" s="14">
        <f t="shared" si="93"/>
        <v>43.180493642348132</v>
      </c>
      <c r="CB109" s="22">
        <f t="shared" si="64"/>
        <v>371.99299309375618</v>
      </c>
      <c r="CC109" s="62">
        <f t="shared" si="65"/>
        <v>665.3263264270895</v>
      </c>
      <c r="CD109" s="62">
        <f ca="1">AVERAGE(OFFSET($CC$3,0,0,'Données projet'!$E$12+1,1))-AVERAGE(OFFSET($H$3,0,0,'Données projet'!$E$12+1,1))</f>
        <v>213.07277043804817</v>
      </c>
      <c r="CE109" s="62">
        <f t="shared" si="94"/>
        <v>129.14539883354166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37.216173549328076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37.216173549328076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4.583333333333333</v>
      </c>
      <c r="CT109" s="13">
        <f>IF('Données projet'!$A$140&gt;35,CT108+CS109-DB108,IF(A109&lt;'Données projet'!$A$140,$CQ$205^A109,IF(A109='Données projet'!$A$140,'Données projet'!$B$140,CT108+CS109-DB108)))</f>
        <v>188.33333333333329</v>
      </c>
      <c r="CU109" s="18">
        <f>CT109*VLOOKUP('Données projet'!$B$13,Paramètres!$A$1:$I$89,3,0)*VLOOKUP('Données projet'!$B$13,Paramètres!$A$1:$I$89,5,0)</f>
        <v>190.96999999999997</v>
      </c>
      <c r="CV109" s="14">
        <f t="shared" si="95"/>
        <v>47.754342479994186</v>
      </c>
      <c r="CW109" s="22">
        <f t="shared" si="67"/>
        <v>415.77822981932314</v>
      </c>
      <c r="CX109" s="62">
        <f t="shared" si="68"/>
        <v>709.11156315265646</v>
      </c>
      <c r="CY109" s="62">
        <f ca="1">AVERAGE(OFFSET($CX$3,0,0,'Données projet'!$E$13+1,1))-AVERAGE(OFFSET($H$3,0,0,'Données projet'!$E$13+1,1))</f>
        <v>247.92503505485405</v>
      </c>
      <c r="CZ109" s="62">
        <f t="shared" si="96"/>
        <v>148.26437652597514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41.707780701833194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41.707780701833194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3.4</v>
      </c>
      <c r="DO109" s="13">
        <f>IF('Données projet'!$A$166&gt;35,DO108+DN109-DW108,IF(A109&lt;'Données projet'!$A$166,$DL$205^A109,IF(A109='Données projet'!$A$166,'Données projet'!$B$166,DO108+DN109-DW108)))</f>
        <v>132.40000000000006</v>
      </c>
      <c r="DP109" s="18">
        <f>DO109*VLOOKUP('Données projet'!$B$14,Paramètres!$A$1:$I$89,3,0)*VLOOKUP('Données projet'!$B$14,Paramètres!$A$1:$I$89,5,0)</f>
        <v>128.05728000000005</v>
      </c>
      <c r="DQ109" s="14">
        <f t="shared" si="97"/>
        <v>33.54706115995706</v>
      </c>
      <c r="DR109" s="22">
        <f t="shared" si="70"/>
        <v>281.46089418692526</v>
      </c>
      <c r="DS109" s="62">
        <f t="shared" si="71"/>
        <v>574.79422752025857</v>
      </c>
      <c r="DT109" s="62">
        <f ca="1">AVERAGE(OFFSET($DS$3,0,0,'Données projet'!$E$14+1,1))-AVERAGE(OFFSET($H$3,0,0,'Données projet'!$E$14+1,1))</f>
        <v>154.0837760161366</v>
      </c>
      <c r="DU109" s="62">
        <f t="shared" si="98"/>
        <v>96.484500841546037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16.544689753512294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16.544689753512294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-5.6843418860808015E-14</v>
      </c>
      <c r="EK109" s="18">
        <f>EJ109*VLOOKUP('Données projet'!$B$15,Paramètres!$A$1:$I$89,3,0)*VLOOKUP('Données projet'!$B$15,Paramètres!$A$1:$I$89,5,0)</f>
        <v>-3.813056537183002E-14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205.35893113421139</v>
      </c>
      <c r="EP109" s="62">
        <f t="shared" si="100"/>
        <v>220.4399811285175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47.33496182912161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47.33496182912161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-5.6843418860808015E-14</v>
      </c>
      <c r="FF109" s="18">
        <f>FE109*VLOOKUP('Données projet'!$B$16,Paramètres!$A$1:$I$89,3,0)*VLOOKUP('Données projet'!$B$16,Paramètres!$A$1:$I$89,5,0)</f>
        <v>-4.4337866711430253E-14</v>
      </c>
      <c r="FG109" s="14" t="e">
        <f t="shared" si="101"/>
        <v>#NUM!</v>
      </c>
      <c r="FH109" s="22" t="e">
        <f t="shared" si="76"/>
        <v>#NUM!</v>
      </c>
      <c r="FI109" s="62" t="e">
        <f t="shared" si="77"/>
        <v>#NUM!</v>
      </c>
      <c r="FJ109" s="62">
        <f ca="1">AVERAGE(OFFSET($FI$3,0,0,'Données projet'!$E$16+1,1))-AVERAGE(OFFSET($H$3,0,0,'Données projet'!$E$16+1,1))</f>
        <v>242.81177364426878</v>
      </c>
      <c r="FK109" s="62">
        <f t="shared" si="102"/>
        <v>260.72115764896671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44.655624367095861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44.655624367095861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-5.6843418860808015E-14</v>
      </c>
      <c r="GA109" s="18">
        <f>FZ109*VLOOKUP('Données projet'!$B$17,Paramètres!$A$1:$I$89,3,0)*VLOOKUP('Données projet'!$B$17,Paramètres!$A$1:$I$89,5,0)</f>
        <v>-4.5224624045658861E-14</v>
      </c>
      <c r="GB109" s="14" t="e">
        <f t="shared" si="103"/>
        <v>#NUM!</v>
      </c>
      <c r="GC109" s="22" t="e">
        <f t="shared" si="79"/>
        <v>#NUM!</v>
      </c>
      <c r="GD109" s="62" t="e">
        <f t="shared" si="80"/>
        <v>#NUM!</v>
      </c>
      <c r="GE109" s="62">
        <f ca="1">AVERAGE(OFFSET($GD$3,0,0,'Données projet'!$E$17+1,1))-AVERAGE(OFFSET($H$3,0,0,'Données projet'!$E$17+1,1))</f>
        <v>248.15263300983543</v>
      </c>
      <c r="GF109" s="62">
        <f t="shared" si="104"/>
        <v>266.46511459244618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56.141466355469795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56.141466355469795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382.55387448074327</v>
      </c>
      <c r="T110" s="62">
        <f t="shared" si="88"/>
        <v>476.29465646955543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102.02258831983821</v>
      </c>
      <c r="AA110" s="23">
        <f>EXP(-LN(2)/25)*AA109+(1-EXP(-LN(2)/25))/(LN(2)/25)*Calculateur!V110*Calculateur!X110*VLOOKUP('Données projet'!$B$9,Paramètres!$A$1:$I$89,3,0)*0.475*44/12</f>
        <v>17.503056614128461</v>
      </c>
      <c r="AB110" s="23">
        <f>EXP(-LN(2)/2)*AB109+(1-EXP(-LN(2)/2))/(LN(2)/2)*V110*Y110*VLOOKUP('Données projet'!$B$9,Paramètres!$A$1:$I$89,3,0)*0.475*44/12</f>
        <v>4.7474926992316539E-6</v>
      </c>
      <c r="AC110" s="24">
        <f t="shared" si="57"/>
        <v>119.52564968145937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-1.7053025658242404E-13</v>
      </c>
      <c r="AJ110" s="14">
        <f>AI110*VLOOKUP('Données projet'!$B$10,Paramètres!$A$1:$I$89,3,0)*VLOOKUP('Données projet'!$B$10,Paramètres!$A$1:$I$89,5,0)</f>
        <v>-1.064108801074326E-13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482.28841373508675</v>
      </c>
      <c r="AO110" s="62">
        <f t="shared" si="90"/>
        <v>746.97309214631684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190.7535319088386</v>
      </c>
      <c r="AV110" s="23">
        <f>EXP(-LN(2)/25)*AV109+(1-EXP(-LN(2)/25))/(LN(2)/25)*Calculateur!AQ110*Calculateur!AS110*VLOOKUP('Données projet'!$B$10,Paramètres!$A$1:$I$89,3,0)*0.475*44/12</f>
        <v>32.818971330480821</v>
      </c>
      <c r="AW110" s="23">
        <f>EXP(-LN(2)/2)*AW109+(1-EXP(-LN(2)/2))/(LN(2)/2)*AQ110*AT110*VLOOKUP('Données projet'!$B$10,Paramètres!$A$1:$I$89,3,0)*0.475*44/12</f>
        <v>1.7733077198491701E-3</v>
      </c>
      <c r="AX110" s="23">
        <f t="shared" si="60"/>
        <v>223.57427654703926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-1.7053025658242404E-13</v>
      </c>
      <c r="BE110" s="14">
        <f>BD110*VLOOKUP('Données projet'!$B$11,Paramètres!$A$1:$I$89,3,0)*VLOOKUP('Données projet'!$B$11,Paramètres!$A$1:$I$89,5,0)</f>
        <v>-9.3109520094003535E-14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417.99456559608217</v>
      </c>
      <c r="BJ110" s="62">
        <f t="shared" si="92"/>
        <v>651.41353014863932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166.9093404202338</v>
      </c>
      <c r="BQ110" s="23">
        <f>EXP(-LN(2)/25)*BQ109+(1-EXP(-LN(2)/25))/(LN(2)/25)*Calculateur!BL110*Calculateur!BN110*VLOOKUP('Données projet'!$B$11,Paramètres!$A$1:$I$89,3,0)*0.475*44/12</f>
        <v>29.058464198863213</v>
      </c>
      <c r="BR110" s="23">
        <f>EXP(-LN(2)/2)*BR109+(1-EXP(-LN(2)/2))/(LN(2)/2)*BL110*BO110*VLOOKUP('Données projet'!$B$11,Paramètres!$A$1:$I$89,3,0)*0.475*44/12</f>
        <v>1.5281344934306284E-3</v>
      </c>
      <c r="BS110" s="24">
        <f t="shared" si="63"/>
        <v>195.96933275359046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4.583333333333333</v>
      </c>
      <c r="BY110" s="13">
        <f>IF('Données projet'!$A$114&gt;35,BY109+BX110-CG109,IF(A110&lt;'Données projet'!$A$114,$BV$205^A110,IF(A110='Données projet'!$A$114,'Données projet'!$B$114,BY109+BX110-CG109)))</f>
        <v>192.91666666666663</v>
      </c>
      <c r="BZ110" s="14">
        <f>BY110*VLOOKUP('Données projet'!$B$12,Paramètres!$A$1:$I$89,3,0)*VLOOKUP('Données projet'!$B$12,Paramètres!$A$1:$I$89,5,0)</f>
        <v>174.55099999999996</v>
      </c>
      <c r="CA110" s="14">
        <f t="shared" si="93"/>
        <v>44.10772371781929</v>
      </c>
      <c r="CB110" s="22">
        <f t="shared" si="64"/>
        <v>380.83061047520181</v>
      </c>
      <c r="CC110" s="62">
        <f t="shared" si="65"/>
        <v>674.16394380853512</v>
      </c>
      <c r="CD110" s="62">
        <f ca="1">AVERAGE(OFFSET($CC$3,0,0,'Données projet'!$E$12+1,1))-AVERAGE(OFFSET($H$3,0,0,'Données projet'!$E$12+1,1))</f>
        <v>213.07277043804817</v>
      </c>
      <c r="CE110" s="62">
        <f t="shared" si="94"/>
        <v>129.14539883354166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36.486387085650215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36.486387085650215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4.583333333333333</v>
      </c>
      <c r="CT110" s="13">
        <f>IF('Données projet'!$A$140&gt;35,CT109+CS110-DB109,IF(A110&lt;'Données projet'!$A$140,$CQ$205^A110,IF(A110='Données projet'!$A$140,'Données projet'!$B$140,CT109+CS110-DB109)))</f>
        <v>192.91666666666663</v>
      </c>
      <c r="CU110" s="18">
        <f>CT110*VLOOKUP('Données projet'!$B$13,Paramètres!$A$1:$I$89,3,0)*VLOOKUP('Données projet'!$B$13,Paramètres!$A$1:$I$89,5,0)</f>
        <v>195.61749999999998</v>
      </c>
      <c r="CV110" s="14">
        <f t="shared" si="95"/>
        <v>48.779788435951872</v>
      </c>
      <c r="CW110" s="22">
        <f t="shared" si="67"/>
        <v>425.65861069261609</v>
      </c>
      <c r="CX110" s="62">
        <f t="shared" si="68"/>
        <v>718.99194402594935</v>
      </c>
      <c r="CY110" s="62">
        <f ca="1">AVERAGE(OFFSET($CX$3,0,0,'Données projet'!$E$13+1,1))-AVERAGE(OFFSET($H$3,0,0,'Données projet'!$E$13+1,1))</f>
        <v>247.92503505485405</v>
      </c>
      <c r="CZ110" s="62">
        <f t="shared" si="96"/>
        <v>148.26437652597514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40.889916561504556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40.889916561504556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3.4</v>
      </c>
      <c r="DO110" s="13">
        <f>IF('Données projet'!$A$166&gt;35,DO109+DN110-DW109,IF(A110&lt;'Données projet'!$A$166,$DL$205^A110,IF(A110='Données projet'!$A$166,'Données projet'!$B$166,DO109+DN110-DW109)))</f>
        <v>135.80000000000007</v>
      </c>
      <c r="DP110" s="18">
        <f>DO110*VLOOKUP('Données projet'!$B$14,Paramètres!$A$1:$I$89,3,0)*VLOOKUP('Données projet'!$B$14,Paramètres!$A$1:$I$89,5,0)</f>
        <v>131.34576000000007</v>
      </c>
      <c r="DQ110" s="14">
        <f t="shared" si="97"/>
        <v>34.30713832111968</v>
      </c>
      <c r="DR110" s="22">
        <f t="shared" si="70"/>
        <v>288.51213124261687</v>
      </c>
      <c r="DS110" s="62">
        <f t="shared" si="71"/>
        <v>581.84546457595025</v>
      </c>
      <c r="DT110" s="62">
        <f ca="1">AVERAGE(OFFSET($DS$3,0,0,'Données projet'!$E$14+1,1))-AVERAGE(OFFSET($H$3,0,0,'Données projet'!$E$14+1,1))</f>
        <v>154.0837760161366</v>
      </c>
      <c r="DU110" s="62">
        <f t="shared" si="98"/>
        <v>96.484500841546037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16.220258478710239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16.220258478710239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-5.6843418860808015E-14</v>
      </c>
      <c r="EK110" s="18">
        <f>EJ110*VLOOKUP('Données projet'!$B$15,Paramètres!$A$1:$I$89,3,0)*VLOOKUP('Données projet'!$B$15,Paramètres!$A$1:$I$89,5,0)</f>
        <v>-3.813056537183002E-14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205.35893113421139</v>
      </c>
      <c r="EP110" s="62">
        <f t="shared" si="100"/>
        <v>220.4399811285175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46.406752099128433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46.406752099128433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-5.6843418860808015E-14</v>
      </c>
      <c r="FF110" s="18">
        <f>FE110*VLOOKUP('Données projet'!$B$16,Paramètres!$A$1:$I$89,3,0)*VLOOKUP('Données projet'!$B$16,Paramètres!$A$1:$I$89,5,0)</f>
        <v>-4.4337866711430253E-14</v>
      </c>
      <c r="FG110" s="14" t="e">
        <f t="shared" si="101"/>
        <v>#NUM!</v>
      </c>
      <c r="FH110" s="22" t="e">
        <f t="shared" si="76"/>
        <v>#NUM!</v>
      </c>
      <c r="FI110" s="62" t="e">
        <f t="shared" si="77"/>
        <v>#NUM!</v>
      </c>
      <c r="FJ110" s="62">
        <f ca="1">AVERAGE(OFFSET($FI$3,0,0,'Données projet'!$E$16+1,1))-AVERAGE(OFFSET($H$3,0,0,'Données projet'!$E$16+1,1))</f>
        <v>242.81177364426878</v>
      </c>
      <c r="FK110" s="62">
        <f t="shared" si="102"/>
        <v>260.72115764896671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43.779954810498523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43.779954810498523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-5.6843418860808015E-14</v>
      </c>
      <c r="GA110" s="18">
        <f>FZ110*VLOOKUP('Données projet'!$B$17,Paramètres!$A$1:$I$89,3,0)*VLOOKUP('Données projet'!$B$17,Paramètres!$A$1:$I$89,5,0)</f>
        <v>-4.5224624045658861E-14</v>
      </c>
      <c r="GB110" s="14" t="e">
        <f t="shared" si="103"/>
        <v>#NUM!</v>
      </c>
      <c r="GC110" s="22" t="e">
        <f t="shared" si="79"/>
        <v>#NUM!</v>
      </c>
      <c r="GD110" s="62" t="e">
        <f t="shared" si="80"/>
        <v>#NUM!</v>
      </c>
      <c r="GE110" s="62">
        <f ca="1">AVERAGE(OFFSET($GD$3,0,0,'Données projet'!$E$17+1,1))-AVERAGE(OFFSET($H$3,0,0,'Données projet'!$E$17+1,1))</f>
        <v>248.15263300983543</v>
      </c>
      <c r="GF110" s="62">
        <f t="shared" si="104"/>
        <v>266.46511459244618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55.040566443152301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55.040566443152301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382.55387448074327</v>
      </c>
      <c r="T111" s="62">
        <f t="shared" si="88"/>
        <v>476.29465646955543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100.02198759052058</v>
      </c>
      <c r="AA111" s="23">
        <f>EXP(-LN(2)/25)*AA110+(1-EXP(-LN(2)/25))/(LN(2)/25)*Calculateur!V111*Calculateur!X111*VLOOKUP('Données projet'!$B$9,Paramètres!$A$1:$I$89,3,0)*0.475*44/12</f>
        <v>17.024434610569376</v>
      </c>
      <c r="AB111" s="23">
        <f>EXP(-LN(2)/2)*AB110+(1-EXP(-LN(2)/2))/(LN(2)/2)*V111*Y111*VLOOKUP('Données projet'!$B$9,Paramètres!$A$1:$I$89,3,0)*0.475*44/12</f>
        <v>3.3569842812603291E-6</v>
      </c>
      <c r="AC111" s="24">
        <f t="shared" si="57"/>
        <v>117.04642555807423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-1.7053025658242404E-13</v>
      </c>
      <c r="AJ111" s="14">
        <f>AI111*VLOOKUP('Données projet'!$B$10,Paramètres!$A$1:$I$89,3,0)*VLOOKUP('Données projet'!$B$10,Paramètres!$A$1:$I$89,5,0)</f>
        <v>-1.064108801074326E-13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482.28841373508675</v>
      </c>
      <c r="AO111" s="62">
        <f t="shared" si="90"/>
        <v>746.97309214631684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187.01297149627231</v>
      </c>
      <c r="AV111" s="23">
        <f>EXP(-LN(2)/25)*AV110+(1-EXP(-LN(2)/25))/(LN(2)/25)*Calculateur!AQ111*Calculateur!AS111*VLOOKUP('Données projet'!$B$10,Paramètres!$A$1:$I$89,3,0)*0.475*44/12</f>
        <v>31.921534833574128</v>
      </c>
      <c r="AW111" s="23">
        <f>EXP(-LN(2)/2)*AW110+(1-EXP(-LN(2)/2))/(LN(2)/2)*AQ111*AT111*VLOOKUP('Données projet'!$B$10,Paramètres!$A$1:$I$89,3,0)*0.475*44/12</f>
        <v>1.2539179138358026E-3</v>
      </c>
      <c r="AX111" s="23">
        <f t="shared" si="60"/>
        <v>218.93576024776027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-1.7053025658242404E-13</v>
      </c>
      <c r="BE111" s="14">
        <f>BD111*VLOOKUP('Données projet'!$B$11,Paramètres!$A$1:$I$89,3,0)*VLOOKUP('Données projet'!$B$11,Paramètres!$A$1:$I$89,5,0)</f>
        <v>-9.3109520094003535E-14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417.99456559608217</v>
      </c>
      <c r="BJ111" s="62">
        <f t="shared" si="92"/>
        <v>651.41353014863932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163.63635005923831</v>
      </c>
      <c r="BQ111" s="23">
        <f>EXP(-LN(2)/25)*BQ110+(1-EXP(-LN(2)/25))/(LN(2)/25)*Calculateur!BL111*Calculateur!BN111*VLOOKUP('Données projet'!$B$11,Paramètres!$A$1:$I$89,3,0)*0.475*44/12</f>
        <v>28.26385896722708</v>
      </c>
      <c r="BR111" s="23">
        <f>EXP(-LN(2)/2)*BR110+(1-EXP(-LN(2)/2))/(LN(2)/2)*BL111*BO111*VLOOKUP('Données projet'!$B$11,Paramètres!$A$1:$I$89,3,0)*0.475*44/12</f>
        <v>1.080554262869867E-3</v>
      </c>
      <c r="BS111" s="24">
        <f t="shared" si="63"/>
        <v>191.90128958072827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4.583333333333333</v>
      </c>
      <c r="BY111" s="13">
        <f>IF('Données projet'!$A$114&gt;35,BY110+BX111-CG110,IF(A111&lt;'Données projet'!$A$114,$BV$205^A111,IF(A111='Données projet'!$A$114,'Données projet'!$B$114,BY110+BX111-CG110)))</f>
        <v>197.49999999999997</v>
      </c>
      <c r="BZ111" s="14">
        <f>BY111*VLOOKUP('Données projet'!$B$12,Paramètres!$A$1:$I$89,3,0)*VLOOKUP('Données projet'!$B$12,Paramètres!$A$1:$I$89,5,0)</f>
        <v>178.69799999999995</v>
      </c>
      <c r="CA111" s="14">
        <f t="shared" si="93"/>
        <v>45.032392879276927</v>
      </c>
      <c r="CB111" s="22">
        <f t="shared" si="64"/>
        <v>389.66376759807389</v>
      </c>
      <c r="CC111" s="62">
        <f t="shared" si="65"/>
        <v>682.9971009314072</v>
      </c>
      <c r="CD111" s="62">
        <f ca="1">AVERAGE(OFFSET($CC$3,0,0,'Données projet'!$E$12+1,1))-AVERAGE(OFFSET($H$3,0,0,'Données projet'!$E$12+1,1))</f>
        <v>213.07277043804817</v>
      </c>
      <c r="CE111" s="62">
        <f t="shared" si="94"/>
        <v>129.14539883354166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35.770911289399287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35.770911289399287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4.583333333333333</v>
      </c>
      <c r="CT111" s="13">
        <f>IF('Données projet'!$A$140&gt;35,CT110+CS111-DB110,IF(A111&lt;'Données projet'!$A$140,$CQ$205^A111,IF(A111='Données projet'!$A$140,'Données projet'!$B$140,CT110+CS111-DB110)))</f>
        <v>197.49999999999997</v>
      </c>
      <c r="CU111" s="18">
        <f>CT111*VLOOKUP('Données projet'!$B$13,Paramètres!$A$1:$I$89,3,0)*VLOOKUP('Données projet'!$B$13,Paramètres!$A$1:$I$89,5,0)</f>
        <v>200.26500000000001</v>
      </c>
      <c r="CV111" s="14">
        <f t="shared" si="95"/>
        <v>49.802402215745047</v>
      </c>
      <c r="CW111" s="22">
        <f t="shared" si="67"/>
        <v>435.53405885908927</v>
      </c>
      <c r="CX111" s="62">
        <f t="shared" si="68"/>
        <v>728.86739219242259</v>
      </c>
      <c r="CY111" s="62">
        <f ca="1">AVERAGE(OFFSET($CX$3,0,0,'Données projet'!$E$13+1,1))-AVERAGE(OFFSET($H$3,0,0,'Données projet'!$E$13+1,1))</f>
        <v>247.92503505485405</v>
      </c>
      <c r="CZ111" s="62">
        <f t="shared" si="96"/>
        <v>148.26437652597514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40.088090238119896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40.088090238119896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3.4</v>
      </c>
      <c r="DO111" s="13">
        <f>IF('Données projet'!$A$166&gt;35,DO110+DN111-DW110,IF(A111&lt;'Données projet'!$A$166,$DL$205^A111,IF(A111='Données projet'!$A$166,'Données projet'!$B$166,DO110+DN111-DW110)))</f>
        <v>139.20000000000007</v>
      </c>
      <c r="DP111" s="18">
        <f>DO111*VLOOKUP('Données projet'!$B$14,Paramètres!$A$1:$I$89,3,0)*VLOOKUP('Données projet'!$B$14,Paramètres!$A$1:$I$89,5,0)</f>
        <v>134.63424000000006</v>
      </c>
      <c r="DQ111" s="14">
        <f t="shared" si="97"/>
        <v>35.065003380589729</v>
      </c>
      <c r="DR111" s="22">
        <f t="shared" si="70"/>
        <v>295.5595155545272</v>
      </c>
      <c r="DS111" s="62">
        <f t="shared" si="71"/>
        <v>588.89284888786051</v>
      </c>
      <c r="DT111" s="62">
        <f ca="1">AVERAGE(OFFSET($DS$3,0,0,'Données projet'!$E$14+1,1))-AVERAGE(OFFSET($H$3,0,0,'Données projet'!$E$14+1,1))</f>
        <v>154.0837760161366</v>
      </c>
      <c r="DU111" s="62">
        <f t="shared" si="98"/>
        <v>96.484500841546037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15.902189103323513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15.902189103323513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-5.6843418860808015E-14</v>
      </c>
      <c r="EK111" s="18">
        <f>EJ111*VLOOKUP('Données projet'!$B$15,Paramètres!$A$1:$I$89,3,0)*VLOOKUP('Données projet'!$B$15,Paramètres!$A$1:$I$89,5,0)</f>
        <v>-3.813056537183002E-14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205.35893113421139</v>
      </c>
      <c r="EP111" s="62">
        <f t="shared" si="100"/>
        <v>220.4399811285175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45.496743995788385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45.496743995788385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-5.6843418860808015E-14</v>
      </c>
      <c r="FF111" s="18">
        <f>FE111*VLOOKUP('Données projet'!$B$16,Paramètres!$A$1:$I$89,3,0)*VLOOKUP('Données projet'!$B$16,Paramètres!$A$1:$I$89,5,0)</f>
        <v>-4.4337866711430253E-14</v>
      </c>
      <c r="FG111" s="14" t="e">
        <f t="shared" si="101"/>
        <v>#NUM!</v>
      </c>
      <c r="FH111" s="22" t="e">
        <f t="shared" si="76"/>
        <v>#NUM!</v>
      </c>
      <c r="FI111" s="62" t="e">
        <f t="shared" si="77"/>
        <v>#NUM!</v>
      </c>
      <c r="FJ111" s="62">
        <f ca="1">AVERAGE(OFFSET($FI$3,0,0,'Données projet'!$E$16+1,1))-AVERAGE(OFFSET($H$3,0,0,'Données projet'!$E$16+1,1))</f>
        <v>242.81177364426878</v>
      </c>
      <c r="FK111" s="62">
        <f t="shared" si="102"/>
        <v>260.72115764896671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42.921456599800365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42.921456599800365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-5.6843418860808015E-14</v>
      </c>
      <c r="GA111" s="18">
        <f>FZ111*VLOOKUP('Données projet'!$B$17,Paramètres!$A$1:$I$89,3,0)*VLOOKUP('Données projet'!$B$17,Paramètres!$A$1:$I$89,5,0)</f>
        <v>-4.5224624045658861E-14</v>
      </c>
      <c r="GB111" s="14" t="e">
        <f t="shared" si="103"/>
        <v>#NUM!</v>
      </c>
      <c r="GC111" s="22" t="e">
        <f t="shared" si="79"/>
        <v>#NUM!</v>
      </c>
      <c r="GD111" s="62" t="e">
        <f t="shared" si="80"/>
        <v>#NUM!</v>
      </c>
      <c r="GE111" s="62">
        <f ca="1">AVERAGE(OFFSET($GD$3,0,0,'Données projet'!$E$17+1,1))-AVERAGE(OFFSET($H$3,0,0,'Données projet'!$E$17+1,1))</f>
        <v>248.15263300983543</v>
      </c>
      <c r="GF111" s="62">
        <f t="shared" si="104"/>
        <v>266.46511459244618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53.961254506632713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53.961254506632713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382.55387448074327</v>
      </c>
      <c r="T112" s="62">
        <f t="shared" si="88"/>
        <v>476.29465646955543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98.060617421258925</v>
      </c>
      <c r="AA112" s="23">
        <f>EXP(-LN(2)/25)*AA111+(1-EXP(-LN(2)/25))/(LN(2)/25)*Calculateur!V112*Calculateur!X112*VLOOKUP('Données projet'!$B$9,Paramètres!$A$1:$I$89,3,0)*0.475*44/12</f>
        <v>16.55890055086725</v>
      </c>
      <c r="AB112" s="23">
        <f>EXP(-LN(2)/2)*AB111+(1-EXP(-LN(2)/2))/(LN(2)/2)*V112*Y112*VLOOKUP('Données projet'!$B$9,Paramètres!$A$1:$I$89,3,0)*0.475*44/12</f>
        <v>2.373746349615827E-6</v>
      </c>
      <c r="AC112" s="24">
        <f t="shared" si="57"/>
        <v>114.61952034587253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-1.7053025658242404E-13</v>
      </c>
      <c r="AJ112" s="14">
        <f>AI112*VLOOKUP('Données projet'!$B$10,Paramètres!$A$1:$I$89,3,0)*VLOOKUP('Données projet'!$B$10,Paramètres!$A$1:$I$89,5,0)</f>
        <v>-1.064108801074326E-13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482.28841373508675</v>
      </c>
      <c r="AO112" s="62">
        <f t="shared" si="90"/>
        <v>746.97309214631684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183.34576119187989</v>
      </c>
      <c r="AV112" s="23">
        <f>EXP(-LN(2)/25)*AV111+(1-EXP(-LN(2)/25))/(LN(2)/25)*Calculateur!AQ112*Calculateur!AS112*VLOOKUP('Données projet'!$B$10,Paramètres!$A$1:$I$89,3,0)*0.475*44/12</f>
        <v>31.048638784869485</v>
      </c>
      <c r="AW112" s="23">
        <f>EXP(-LN(2)/2)*AW111+(1-EXP(-LN(2)/2))/(LN(2)/2)*AQ112*AT112*VLOOKUP('Données projet'!$B$10,Paramètres!$A$1:$I$89,3,0)*0.475*44/12</f>
        <v>8.8665385992458504E-4</v>
      </c>
      <c r="AX112" s="23">
        <f t="shared" si="60"/>
        <v>214.39528663060932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-1.7053025658242404E-13</v>
      </c>
      <c r="BE112" s="14">
        <f>BD112*VLOOKUP('Données projet'!$B$11,Paramètres!$A$1:$I$89,3,0)*VLOOKUP('Données projet'!$B$11,Paramètres!$A$1:$I$89,5,0)</f>
        <v>-9.3109520094003535E-14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417.99456559608217</v>
      </c>
      <c r="BJ112" s="62">
        <f t="shared" si="92"/>
        <v>651.41353014863932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160.42754104289494</v>
      </c>
      <c r="BQ112" s="23">
        <f>EXP(-LN(2)/25)*BQ111+(1-EXP(-LN(2)/25))/(LN(2)/25)*Calculateur!BL112*Calculateur!BN112*VLOOKUP('Données projet'!$B$11,Paramètres!$A$1:$I$89,3,0)*0.475*44/12</f>
        <v>27.49098225743651</v>
      </c>
      <c r="BR112" s="23">
        <f>EXP(-LN(2)/2)*BR111+(1-EXP(-LN(2)/2))/(LN(2)/2)*BL112*BO112*VLOOKUP('Données projet'!$B$11,Paramètres!$A$1:$I$89,3,0)*0.475*44/12</f>
        <v>7.640672467153142E-4</v>
      </c>
      <c r="BS112" s="24">
        <f t="shared" si="63"/>
        <v>187.91928736757816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4.583333333333333</v>
      </c>
      <c r="BY112" s="13">
        <f>IF('Données projet'!$A$114&gt;35,BY111+BX112-CG111,IF(A112&lt;'Données projet'!$A$114,$BV$205^A112,IF(A112='Données projet'!$A$114,'Données projet'!$B$114,BY111+BX112-CG111)))</f>
        <v>202.08333333333331</v>
      </c>
      <c r="BZ112" s="14">
        <f>BY112*VLOOKUP('Données projet'!$B$12,Paramètres!$A$1:$I$89,3,0)*VLOOKUP('Données projet'!$B$12,Paramètres!$A$1:$I$89,5,0)</f>
        <v>182.84499999999997</v>
      </c>
      <c r="CA112" s="14">
        <f t="shared" si="93"/>
        <v>45.954567397416497</v>
      </c>
      <c r="CB112" s="22">
        <f t="shared" si="64"/>
        <v>398.49257988383368</v>
      </c>
      <c r="CC112" s="62">
        <f t="shared" si="65"/>
        <v>691.825913217167</v>
      </c>
      <c r="CD112" s="62">
        <f ca="1">AVERAGE(OFFSET($CC$3,0,0,'Données projet'!$E$12+1,1))-AVERAGE(OFFSET($H$3,0,0,'Données projet'!$E$12+1,1))</f>
        <v>213.07277043804817</v>
      </c>
      <c r="CE112" s="62">
        <f t="shared" si="94"/>
        <v>129.14539883354166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35.069465537115697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35.069465537115697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4.583333333333333</v>
      </c>
      <c r="CT112" s="13">
        <f>IF('Données projet'!$A$140&gt;35,CT111+CS112-DB111,IF(A112&lt;'Données projet'!$A$140,$CQ$205^A112,IF(A112='Données projet'!$A$140,'Données projet'!$B$140,CT111+CS112-DB111)))</f>
        <v>202.08333333333331</v>
      </c>
      <c r="CU112" s="18">
        <f>CT112*VLOOKUP('Données projet'!$B$13,Paramètres!$A$1:$I$89,3,0)*VLOOKUP('Données projet'!$B$13,Paramètres!$A$1:$I$89,5,0)</f>
        <v>204.91249999999999</v>
      </c>
      <c r="CV112" s="14">
        <f t="shared" si="95"/>
        <v>50.822257109723651</v>
      </c>
      <c r="CW112" s="22">
        <f t="shared" si="67"/>
        <v>445.40470196610204</v>
      </c>
      <c r="CX112" s="62">
        <f t="shared" si="68"/>
        <v>738.7380352994353</v>
      </c>
      <c r="CY112" s="62">
        <f ca="1">AVERAGE(OFFSET($CX$3,0,0,'Données projet'!$E$13+1,1))-AVERAGE(OFFSET($H$3,0,0,'Données projet'!$E$13+1,1))</f>
        <v>247.92503505485405</v>
      </c>
      <c r="CZ112" s="62">
        <f t="shared" si="96"/>
        <v>148.26437652597514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39.301987239871046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39.301987239871046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3.4</v>
      </c>
      <c r="DO112" s="13">
        <f>IF('Données projet'!$A$166&gt;35,DO111+DN112-DW111,IF(A112&lt;'Données projet'!$A$166,$DL$205^A112,IF(A112='Données projet'!$A$166,'Données projet'!$B$166,DO111+DN112-DW111)))</f>
        <v>142.60000000000008</v>
      </c>
      <c r="DP112" s="18">
        <f>DO112*VLOOKUP('Données projet'!$B$14,Paramètres!$A$1:$I$89,3,0)*VLOOKUP('Données projet'!$B$14,Paramètres!$A$1:$I$89,5,0)</f>
        <v>137.92272000000008</v>
      </c>
      <c r="DQ112" s="14">
        <f t="shared" si="97"/>
        <v>35.820716585268755</v>
      </c>
      <c r="DR112" s="22">
        <f t="shared" si="70"/>
        <v>302.60315205267653</v>
      </c>
      <c r="DS112" s="62">
        <f t="shared" si="71"/>
        <v>595.93648538600985</v>
      </c>
      <c r="DT112" s="62">
        <f ca="1">AVERAGE(OFFSET($DS$3,0,0,'Données projet'!$E$14+1,1))-AVERAGE(OFFSET($H$3,0,0,'Données projet'!$E$14+1,1))</f>
        <v>154.0837760161366</v>
      </c>
      <c r="DU112" s="62">
        <f t="shared" si="98"/>
        <v>96.484500841546037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15.590356874384959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15.590356874384959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-5.6843418860808015E-14</v>
      </c>
      <c r="EK112" s="18">
        <f>EJ112*VLOOKUP('Données projet'!$B$15,Paramètres!$A$1:$I$89,3,0)*VLOOKUP('Données projet'!$B$15,Paramètres!$A$1:$I$89,5,0)</f>
        <v>-3.813056537183002E-14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205.35893113421139</v>
      </c>
      <c r="EP112" s="62">
        <f t="shared" si="100"/>
        <v>220.4399811285175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44.6045805963047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44.6045805963047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-5.6843418860808015E-14</v>
      </c>
      <c r="FF112" s="18">
        <f>FE112*VLOOKUP('Données projet'!$B$16,Paramètres!$A$1:$I$89,3,0)*VLOOKUP('Données projet'!$B$16,Paramètres!$A$1:$I$89,5,0)</f>
        <v>-4.4337866711430253E-14</v>
      </c>
      <c r="FG112" s="14" t="e">
        <f t="shared" si="101"/>
        <v>#NUM!</v>
      </c>
      <c r="FH112" s="22" t="e">
        <f t="shared" si="76"/>
        <v>#NUM!</v>
      </c>
      <c r="FI112" s="62" t="e">
        <f t="shared" si="77"/>
        <v>#NUM!</v>
      </c>
      <c r="FJ112" s="62">
        <f ca="1">AVERAGE(OFFSET($FI$3,0,0,'Données projet'!$E$16+1,1))-AVERAGE(OFFSET($H$3,0,0,'Données projet'!$E$16+1,1))</f>
        <v>242.81177364426878</v>
      </c>
      <c r="FK112" s="62">
        <f t="shared" si="102"/>
        <v>260.72115764896671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42.079793015381796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42.079793015381796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-5.6843418860808015E-14</v>
      </c>
      <c r="GA112" s="18">
        <f>FZ112*VLOOKUP('Données projet'!$B$17,Paramètres!$A$1:$I$89,3,0)*VLOOKUP('Données projet'!$B$17,Paramètres!$A$1:$I$89,5,0)</f>
        <v>-4.5224624045658861E-14</v>
      </c>
      <c r="GB112" s="14" t="e">
        <f t="shared" si="103"/>
        <v>#NUM!</v>
      </c>
      <c r="GC112" s="22" t="e">
        <f t="shared" si="79"/>
        <v>#NUM!</v>
      </c>
      <c r="GD112" s="62" t="e">
        <f t="shared" si="80"/>
        <v>#NUM!</v>
      </c>
      <c r="GE112" s="62">
        <f ca="1">AVERAGE(OFFSET($GD$3,0,0,'Données projet'!$E$17+1,1))-AVERAGE(OFFSET($H$3,0,0,'Données projet'!$E$17+1,1))</f>
        <v>248.15263300983543</v>
      </c>
      <c r="GF112" s="62">
        <f t="shared" si="104"/>
        <v>266.46511459244618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52.903107218872996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52.903107218872996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382.55387448074327</v>
      </c>
      <c r="T113" s="62">
        <f t="shared" si="88"/>
        <v>476.29465646955543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96.137708524698809</v>
      </c>
      <c r="AA113" s="23">
        <f>EXP(-LN(2)/25)*AA112+(1-EXP(-LN(2)/25))/(LN(2)/25)*Calculateur!V113*Calculateur!X113*VLOOKUP('Données projet'!$B$9,Paramètres!$A$1:$I$89,3,0)*0.475*44/12</f>
        <v>16.10609654450905</v>
      </c>
      <c r="AB113" s="23">
        <f>EXP(-LN(2)/2)*AB112+(1-EXP(-LN(2)/2))/(LN(2)/2)*V113*Y113*VLOOKUP('Données projet'!$B$9,Paramètres!$A$1:$I$89,3,0)*0.475*44/12</f>
        <v>1.6784921406301645E-6</v>
      </c>
      <c r="AC113" s="24">
        <f t="shared" si="57"/>
        <v>112.24380674770001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-1.7053025658242404E-13</v>
      </c>
      <c r="AJ113" s="14">
        <f>AI113*VLOOKUP('Données projet'!$B$10,Paramètres!$A$1:$I$89,3,0)*VLOOKUP('Données projet'!$B$10,Paramètres!$A$1:$I$89,5,0)</f>
        <v>-1.064108801074326E-13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482.28841373508675</v>
      </c>
      <c r="AO113" s="62">
        <f t="shared" si="90"/>
        <v>746.97309214631684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179.75046264477916</v>
      </c>
      <c r="AV113" s="23">
        <f>EXP(-LN(2)/25)*AV112+(1-EXP(-LN(2)/25))/(LN(2)/25)*Calculateur!AQ113*Calculateur!AS113*VLOOKUP('Données projet'!$B$10,Paramètres!$A$1:$I$89,3,0)*0.475*44/12</f>
        <v>30.199612124520279</v>
      </c>
      <c r="AW113" s="23">
        <f>EXP(-LN(2)/2)*AW112+(1-EXP(-LN(2)/2))/(LN(2)/2)*AQ113*AT113*VLOOKUP('Données projet'!$B$10,Paramètres!$A$1:$I$89,3,0)*0.475*44/12</f>
        <v>6.2695895691790131E-4</v>
      </c>
      <c r="AX113" s="23">
        <f t="shared" si="60"/>
        <v>209.95070172825638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-1.7053025658242404E-13</v>
      </c>
      <c r="BE113" s="14">
        <f>BD113*VLOOKUP('Données projet'!$B$11,Paramètres!$A$1:$I$89,3,0)*VLOOKUP('Données projet'!$B$11,Paramètres!$A$1:$I$89,5,0)</f>
        <v>-9.3109520094003535E-14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417.99456559608217</v>
      </c>
      <c r="BJ113" s="62">
        <f t="shared" si="92"/>
        <v>651.41353014863932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157.28165481418182</v>
      </c>
      <c r="BQ113" s="23">
        <f>EXP(-LN(2)/25)*BQ112+(1-EXP(-LN(2)/25))/(LN(2)/25)*Calculateur!BL113*Calculateur!BN113*VLOOKUP('Données projet'!$B$11,Paramètres!$A$1:$I$89,3,0)*0.475*44/12</f>
        <v>26.739239901918982</v>
      </c>
      <c r="BR113" s="23">
        <f>EXP(-LN(2)/2)*BR112+(1-EXP(-LN(2)/2))/(LN(2)/2)*BL113*BO113*VLOOKUP('Données projet'!$B$11,Paramètres!$A$1:$I$89,3,0)*0.475*44/12</f>
        <v>5.402771314349335E-4</v>
      </c>
      <c r="BS113" s="24">
        <f t="shared" si="63"/>
        <v>184.02143499323222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4.583333333333333</v>
      </c>
      <c r="BY113" s="13">
        <f>IF('Données projet'!$A$114&gt;35,BY112+BX113-CG112,IF(A113&lt;'Données projet'!$A$114,$BV$205^A113,IF(A113='Données projet'!$A$114,'Données projet'!$B$114,BY112+BX113-CG112)))</f>
        <v>206.66666666666666</v>
      </c>
      <c r="BZ113" s="14">
        <f>BY113*VLOOKUP('Données projet'!$B$12,Paramètres!$A$1:$I$89,3,0)*VLOOKUP('Données projet'!$B$12,Paramètres!$A$1:$I$89,5,0)</f>
        <v>186.99199999999996</v>
      </c>
      <c r="CA113" s="14">
        <f t="shared" si="93"/>
        <v>46.87431036526138</v>
      </c>
      <c r="CB113" s="22">
        <f t="shared" si="64"/>
        <v>407.31715721949678</v>
      </c>
      <c r="CC113" s="62">
        <f t="shared" si="65"/>
        <v>700.65049055283009</v>
      </c>
      <c r="CD113" s="62">
        <f ca="1">AVERAGE(OFFSET($CC$3,0,0,'Données projet'!$E$12+1,1))-AVERAGE(OFFSET($H$3,0,0,'Données projet'!$E$12+1,1))</f>
        <v>213.07277043804817</v>
      </c>
      <c r="CE113" s="62">
        <f t="shared" si="94"/>
        <v>129.14539883354166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34.381774708194726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34.381774708194726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4.583333333333333</v>
      </c>
      <c r="CT113" s="13">
        <f>IF('Données projet'!$A$140&gt;35,CT112+CS113-DB112,IF(A113&lt;'Données projet'!$A$140,$CQ$205^A113,IF(A113='Données projet'!$A$140,'Données projet'!$B$140,CT112+CS113-DB112)))</f>
        <v>206.66666666666666</v>
      </c>
      <c r="CU113" s="18">
        <f>CT113*VLOOKUP('Données projet'!$B$13,Paramètres!$A$1:$I$89,3,0)*VLOOKUP('Données projet'!$B$13,Paramètres!$A$1:$I$89,5,0)</f>
        <v>209.56000000000003</v>
      </c>
      <c r="CV113" s="14">
        <f t="shared" si="95"/>
        <v>51.839422893973833</v>
      </c>
      <c r="CW113" s="22">
        <f t="shared" si="67"/>
        <v>455.2706615403377</v>
      </c>
      <c r="CX113" s="62">
        <f t="shared" si="68"/>
        <v>748.60399487367101</v>
      </c>
      <c r="CY113" s="62">
        <f ca="1">AVERAGE(OFFSET($CX$3,0,0,'Données projet'!$E$13+1,1))-AVERAGE(OFFSET($H$3,0,0,'Données projet'!$E$13+1,1))</f>
        <v>247.92503505485405</v>
      </c>
      <c r="CZ113" s="62">
        <f t="shared" si="96"/>
        <v>148.26437652597514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38.531299241942371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38.531299241942371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146</v>
      </c>
      <c r="DM113" s="13">
        <f>VLOOKUP(A113,'Données projet'!$A$165:$I$185,9,0)</f>
        <v>3.4</v>
      </c>
      <c r="DN113" s="13">
        <f t="array" ref="DN113">INDEX(DM:DM,MIN(IF(ISNUMBER(DM113:DM309),ROW(DM113:DM309),"")))</f>
        <v>3.4</v>
      </c>
      <c r="DO113" s="13">
        <f>IF('Données projet'!$A$166&gt;35,DO112+DN113-DW112,IF(A113&lt;'Données projet'!$A$166,$DL$205^A113,IF(A113='Données projet'!$A$166,'Données projet'!$B$166,DO112+DN113-DW112)))</f>
        <v>146.00000000000009</v>
      </c>
      <c r="DP113" s="18">
        <f>DO113*VLOOKUP('Données projet'!$B$14,Paramètres!$A$1:$I$89,3,0)*VLOOKUP('Données projet'!$B$14,Paramètres!$A$1:$I$89,5,0)</f>
        <v>141.21120000000008</v>
      </c>
      <c r="DQ113" s="14">
        <f t="shared" si="97"/>
        <v>36.574335145278773</v>
      </c>
      <c r="DR113" s="22">
        <f t="shared" si="70"/>
        <v>309.64314037802734</v>
      </c>
      <c r="DS113" s="62">
        <f t="shared" si="71"/>
        <v>602.97647371136065</v>
      </c>
      <c r="DT113" s="62">
        <f ca="1">AVERAGE(OFFSET($DS$3,0,0,'Données projet'!$E$14+1,1))-AVERAGE(OFFSET($H$3,0,0,'Données projet'!$E$14+1,1))</f>
        <v>154.0837760161366</v>
      </c>
      <c r="DU113" s="62">
        <f t="shared" si="98"/>
        <v>96.484500841546037</v>
      </c>
      <c r="DV113" s="16">
        <f>IF(ISNA(VLOOKUP(A113,'Données projet'!$A$165:$I$185,3,0)),0,VLOOKUP(A113,'Données projet'!$A$165:$I$185,3,0))</f>
        <v>7</v>
      </c>
      <c r="DW113" s="16">
        <f>IF(ISNA(VLOOKUP(A113,'Données projet'!$A$165:$I$185,4,0)),0,VLOOKUP(A113,'Données projet'!$A$165:$I$185,4,0))</f>
        <v>24</v>
      </c>
      <c r="DX113" s="17">
        <f>IF(ISNA(VLOOKUP(A113,'Données projet'!$A$165:$I$185,5,0)),0%,VLOOKUP(A113,'Données projet'!$A$165:$I$185,5,0)*VLOOKUP('Données projet'!$B$14,Paramètres!$A$1:$I$89,7,0))</f>
        <v>0.30099999999999999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23.008619395889774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23.008619395889774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-5.6843418860808015E-14</v>
      </c>
      <c r="EK113" s="18">
        <f>EJ113*VLOOKUP('Données projet'!$B$15,Paramètres!$A$1:$I$89,3,0)*VLOOKUP('Données projet'!$B$15,Paramètres!$A$1:$I$89,5,0)</f>
        <v>-3.813056537183002E-14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205.35893113421139</v>
      </c>
      <c r="EP113" s="62">
        <f t="shared" si="100"/>
        <v>220.4399811285175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43.729911976918949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43.729911976918949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-5.6843418860808015E-14</v>
      </c>
      <c r="FF113" s="18">
        <f>FE113*VLOOKUP('Données projet'!$B$16,Paramètres!$A$1:$I$89,3,0)*VLOOKUP('Données projet'!$B$16,Paramètres!$A$1:$I$89,5,0)</f>
        <v>-4.4337866711430253E-14</v>
      </c>
      <c r="FG113" s="14" t="e">
        <f t="shared" si="101"/>
        <v>#NUM!</v>
      </c>
      <c r="FH113" s="22" t="e">
        <f t="shared" si="76"/>
        <v>#NUM!</v>
      </c>
      <c r="FI113" s="62" t="e">
        <f t="shared" si="77"/>
        <v>#NUM!</v>
      </c>
      <c r="FJ113" s="62">
        <f ca="1">AVERAGE(OFFSET($FI$3,0,0,'Données projet'!$E$16+1,1))-AVERAGE(OFFSET($H$3,0,0,'Données projet'!$E$16+1,1))</f>
        <v>242.81177364426878</v>
      </c>
      <c r="FK113" s="62">
        <f t="shared" si="102"/>
        <v>260.72115764896671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41.254633940489576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41.254633940489576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-5.6843418860808015E-14</v>
      </c>
      <c r="GA113" s="18">
        <f>FZ113*VLOOKUP('Données projet'!$B$17,Paramètres!$A$1:$I$89,3,0)*VLOOKUP('Données projet'!$B$17,Paramètres!$A$1:$I$89,5,0)</f>
        <v>-4.5224624045658861E-14</v>
      </c>
      <c r="GB113" s="14" t="e">
        <f t="shared" si="103"/>
        <v>#NUM!</v>
      </c>
      <c r="GC113" s="22" t="e">
        <f t="shared" si="79"/>
        <v>#NUM!</v>
      </c>
      <c r="GD113" s="62" t="e">
        <f t="shared" si="80"/>
        <v>#NUM!</v>
      </c>
      <c r="GE113" s="62">
        <f ca="1">AVERAGE(OFFSET($GD$3,0,0,'Données projet'!$E$17+1,1))-AVERAGE(OFFSET($H$3,0,0,'Données projet'!$E$17+1,1))</f>
        <v>248.15263300983543</v>
      </c>
      <c r="GF113" s="62">
        <f t="shared" si="104"/>
        <v>266.46511459244618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51.865709554020128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51.865709554020128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382.55387448074327</v>
      </c>
      <c r="T114" s="62">
        <f t="shared" si="88"/>
        <v>476.29465646955543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94.252506698741627</v>
      </c>
      <c r="AA114" s="23">
        <f>EXP(-LN(2)/25)*AA113+(1-EXP(-LN(2)/25))/(LN(2)/25)*Calculateur!V114*Calculateur!X114*VLOOKUP('Données projet'!$B$9,Paramètres!$A$1:$I$89,3,0)*0.475*44/12</f>
        <v>15.665674487516643</v>
      </c>
      <c r="AB114" s="23">
        <f>EXP(-LN(2)/2)*AB113+(1-EXP(-LN(2)/2))/(LN(2)/2)*V114*Y114*VLOOKUP('Données projet'!$B$9,Paramètres!$A$1:$I$89,3,0)*0.475*44/12</f>
        <v>1.1868731748079135E-6</v>
      </c>
      <c r="AC114" s="24">
        <f t="shared" si="57"/>
        <v>109.91818237313144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-1.7053025658242404E-13</v>
      </c>
      <c r="AJ114" s="14">
        <f>AI114*VLOOKUP('Données projet'!$B$10,Paramètres!$A$1:$I$89,3,0)*VLOOKUP('Données projet'!$B$10,Paramètres!$A$1:$I$89,5,0)</f>
        <v>-1.064108801074326E-13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482.28841373508675</v>
      </c>
      <c r="AO114" s="62">
        <f t="shared" si="90"/>
        <v>746.97309214631684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176.22566570927151</v>
      </c>
      <c r="AV114" s="23">
        <f>EXP(-LN(2)/25)*AV113+(1-EXP(-LN(2)/25))/(LN(2)/25)*Calculateur!AQ114*Calculateur!AS114*VLOOKUP('Données projet'!$B$10,Paramètres!$A$1:$I$89,3,0)*0.475*44/12</f>
        <v>29.373802142846692</v>
      </c>
      <c r="AW114" s="23">
        <f>EXP(-LN(2)/2)*AW113+(1-EXP(-LN(2)/2))/(LN(2)/2)*AQ114*AT114*VLOOKUP('Données projet'!$B$10,Paramètres!$A$1:$I$89,3,0)*0.475*44/12</f>
        <v>4.4332692996229252E-4</v>
      </c>
      <c r="AX114" s="23">
        <f t="shared" si="60"/>
        <v>205.59991117904818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-1.7053025658242404E-13</v>
      </c>
      <c r="BE114" s="14">
        <f>BD114*VLOOKUP('Données projet'!$B$11,Paramètres!$A$1:$I$89,3,0)*VLOOKUP('Données projet'!$B$11,Paramètres!$A$1:$I$89,5,0)</f>
        <v>-9.3109520094003535E-14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417.99456559608217</v>
      </c>
      <c r="BJ114" s="62">
        <f t="shared" si="92"/>
        <v>651.41353014863932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154.19745749561261</v>
      </c>
      <c r="BQ114" s="23">
        <f>EXP(-LN(2)/25)*BQ113+(1-EXP(-LN(2)/25))/(LN(2)/25)*Calculateur!BL114*Calculateur!BN114*VLOOKUP('Données projet'!$B$11,Paramètres!$A$1:$I$89,3,0)*0.475*44/12</f>
        <v>26.008053980645496</v>
      </c>
      <c r="BR114" s="23">
        <f>EXP(-LN(2)/2)*BR113+(1-EXP(-LN(2)/2))/(LN(2)/2)*BL114*BO114*VLOOKUP('Données projet'!$B$11,Paramètres!$A$1:$I$89,3,0)*0.475*44/12</f>
        <v>3.820336233576571E-4</v>
      </c>
      <c r="BS114" s="24">
        <f t="shared" si="63"/>
        <v>180.20589350988146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4.583333333333333</v>
      </c>
      <c r="BY114" s="13">
        <f>IF('Données projet'!$A$114&gt;35,BY113+BX114-CG113,IF(A114&lt;'Données projet'!$A$114,$BV$205^A114,IF(A114='Données projet'!$A$114,'Données projet'!$B$114,BY113+BX114-CG113)))</f>
        <v>211.25</v>
      </c>
      <c r="BZ114" s="14">
        <f>BY114*VLOOKUP('Données projet'!$B$12,Paramètres!$A$1:$I$89,3,0)*VLOOKUP('Données projet'!$B$12,Paramètres!$A$1:$I$89,5,0)</f>
        <v>191.13899999999998</v>
      </c>
      <c r="CA114" s="14">
        <f t="shared" si="93"/>
        <v>47.791681917572546</v>
      </c>
      <c r="CB114" s="22">
        <f t="shared" si="64"/>
        <v>416.13760433977217</v>
      </c>
      <c r="CC114" s="62">
        <f t="shared" si="65"/>
        <v>709.47093767310548</v>
      </c>
      <c r="CD114" s="62">
        <f ca="1">AVERAGE(OFFSET($CC$3,0,0,'Données projet'!$E$12+1,1))-AVERAGE(OFFSET($H$3,0,0,'Données projet'!$E$12+1,1))</f>
        <v>213.07277043804817</v>
      </c>
      <c r="CE114" s="62">
        <f t="shared" si="94"/>
        <v>129.14539883354166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33.707569076978906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33.707569076978906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4.583333333333333</v>
      </c>
      <c r="CT114" s="13">
        <f>IF('Données projet'!$A$140&gt;35,CT113+CS114-DB113,IF(A114&lt;'Données projet'!$A$140,$CQ$205^A114,IF(A114='Données projet'!$A$140,'Données projet'!$B$140,CT113+CS114-DB113)))</f>
        <v>211.25</v>
      </c>
      <c r="CU114" s="18">
        <f>CT114*VLOOKUP('Données projet'!$B$13,Paramètres!$A$1:$I$89,3,0)*VLOOKUP('Données projet'!$B$13,Paramètres!$A$1:$I$89,5,0)</f>
        <v>214.20750000000001</v>
      </c>
      <c r="CV114" s="14">
        <f t="shared" si="95"/>
        <v>52.853966072968603</v>
      </c>
      <c r="CW114" s="22">
        <f t="shared" si="67"/>
        <v>465.13205341042038</v>
      </c>
      <c r="CX114" s="62">
        <f t="shared" si="68"/>
        <v>758.4653867437537</v>
      </c>
      <c r="CY114" s="62">
        <f ca="1">AVERAGE(OFFSET($CX$3,0,0,'Données projet'!$E$13+1,1))-AVERAGE(OFFSET($H$3,0,0,'Données projet'!$E$13+1,1))</f>
        <v>247.92503505485405</v>
      </c>
      <c r="CZ114" s="62">
        <f t="shared" si="96"/>
        <v>148.26437652597514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37.775723965579814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37.775723965579814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3.0833333333333335</v>
      </c>
      <c r="DO114" s="13">
        <f>IF('Données projet'!$A$166&gt;35,DO113+DN114-DW113,IF(A114&lt;'Données projet'!$A$166,$DL$205^A114,IF(A114='Données projet'!$A$166,'Données projet'!$B$166,DO113+DN114-DW113)))</f>
        <v>125.08333333333343</v>
      </c>
      <c r="DP114" s="18">
        <f>DO114*VLOOKUP('Données projet'!$B$14,Paramètres!$A$1:$I$89,3,0)*VLOOKUP('Données projet'!$B$14,Paramètres!$A$1:$I$89,5,0)</f>
        <v>120.98060000000008</v>
      </c>
      <c r="DQ114" s="14">
        <f t="shared" si="97"/>
        <v>31.903599698320718</v>
      </c>
      <c r="DR114" s="22">
        <f t="shared" si="70"/>
        <v>266.27331447457539</v>
      </c>
      <c r="DS114" s="62">
        <f t="shared" si="71"/>
        <v>559.60664780790876</v>
      </c>
      <c r="DT114" s="62">
        <f ca="1">AVERAGE(OFFSET($DS$3,0,0,'Données projet'!$E$14+1,1))-AVERAGE(OFFSET($H$3,0,0,'Données projet'!$E$14+1,1))</f>
        <v>154.0837760161366</v>
      </c>
      <c r="DU114" s="62">
        <f t="shared" si="98"/>
        <v>96.484500841546037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22.557434403408475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22.557434403408475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-5.6843418860808015E-14</v>
      </c>
      <c r="EK114" s="18">
        <f>EJ114*VLOOKUP('Données projet'!$B$15,Paramètres!$A$1:$I$89,3,0)*VLOOKUP('Données projet'!$B$15,Paramètres!$A$1:$I$89,5,0)</f>
        <v>-3.813056537183002E-14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205.35893113421139</v>
      </c>
      <c r="EP114" s="62">
        <f t="shared" si="100"/>
        <v>220.4399811285175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42.872395075664173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42.872395075664173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-5.6843418860808015E-14</v>
      </c>
      <c r="FF114" s="18">
        <f>FE114*VLOOKUP('Données projet'!$B$16,Paramètres!$A$1:$I$89,3,0)*VLOOKUP('Données projet'!$B$16,Paramètres!$A$1:$I$89,5,0)</f>
        <v>-4.4337866711430253E-14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242.81177364426878</v>
      </c>
      <c r="FK114" s="62">
        <f t="shared" si="102"/>
        <v>260.72115764896671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40.445655731758656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40.445655731758656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-5.6843418860808015E-14</v>
      </c>
      <c r="GA114" s="18">
        <f>FZ114*VLOOKUP('Données projet'!$B$17,Paramètres!$A$1:$I$89,3,0)*VLOOKUP('Données projet'!$B$17,Paramètres!$A$1:$I$89,5,0)</f>
        <v>-4.5224624045658861E-14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248.15263300983543</v>
      </c>
      <c r="GF114" s="62">
        <f t="shared" si="104"/>
        <v>266.46511459244618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50.848654624624928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50.848654624624928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382.55387448074327</v>
      </c>
      <c r="T115" s="62">
        <f t="shared" si="88"/>
        <v>476.29465646955543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92.404272530731888</v>
      </c>
      <c r="AA115" s="23">
        <f>EXP(-LN(2)/25)*AA114+(1-EXP(-LN(2)/25))/(LN(2)/25)*Calculateur!V115*Calculateur!X115*VLOOKUP('Données projet'!$B$9,Paramètres!$A$1:$I$89,3,0)*0.475*44/12</f>
        <v>15.237295794833484</v>
      </c>
      <c r="AB115" s="23">
        <f>EXP(-LN(2)/2)*AB114+(1-EXP(-LN(2)/2))/(LN(2)/2)*V115*Y115*VLOOKUP('Données projet'!$B$9,Paramètres!$A$1:$I$89,3,0)*0.475*44/12</f>
        <v>8.3924607031508227E-7</v>
      </c>
      <c r="AC115" s="24">
        <f t="shared" si="57"/>
        <v>107.64156916481144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-1.7053025658242404E-13</v>
      </c>
      <c r="AJ115" s="14">
        <f>AI115*VLOOKUP('Données projet'!$B$10,Paramètres!$A$1:$I$89,3,0)*VLOOKUP('Données projet'!$B$10,Paramètres!$A$1:$I$89,5,0)</f>
        <v>-1.064108801074326E-13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482.28841373508675</v>
      </c>
      <c r="AO115" s="62">
        <f t="shared" si="90"/>
        <v>746.97309214631684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172.76998789175531</v>
      </c>
      <c r="AV115" s="23">
        <f>EXP(-LN(2)/25)*AV114+(1-EXP(-LN(2)/25))/(LN(2)/25)*Calculateur!AQ115*Calculateur!AS115*VLOOKUP('Données projet'!$B$10,Paramètres!$A$1:$I$89,3,0)*0.475*44/12</f>
        <v>28.570573978549429</v>
      </c>
      <c r="AW115" s="23">
        <f>EXP(-LN(2)/2)*AW114+(1-EXP(-LN(2)/2))/(LN(2)/2)*AQ115*AT115*VLOOKUP('Données projet'!$B$10,Paramètres!$A$1:$I$89,3,0)*0.475*44/12</f>
        <v>3.1347947845895065E-4</v>
      </c>
      <c r="AX115" s="23">
        <f t="shared" si="60"/>
        <v>201.34087534978318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-1.7053025658242404E-13</v>
      </c>
      <c r="BE115" s="14">
        <f>BD115*VLOOKUP('Données projet'!$B$11,Paramètres!$A$1:$I$89,3,0)*VLOOKUP('Données projet'!$B$11,Paramètres!$A$1:$I$89,5,0)</f>
        <v>-9.3109520094003535E-14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417.99456559608217</v>
      </c>
      <c r="BJ115" s="62">
        <f t="shared" si="92"/>
        <v>651.41353014863932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151.17373940528594</v>
      </c>
      <c r="BQ115" s="23">
        <f>EXP(-LN(2)/25)*BQ114+(1-EXP(-LN(2)/25))/(LN(2)/25)*Calculateur!BL115*Calculateur!BN115*VLOOKUP('Données projet'!$B$11,Paramètres!$A$1:$I$89,3,0)*0.475*44/12</f>
        <v>25.296862376840629</v>
      </c>
      <c r="BR115" s="23">
        <f>EXP(-LN(2)/2)*BR114+(1-EXP(-LN(2)/2))/(LN(2)/2)*BL115*BO115*VLOOKUP('Données projet'!$B$11,Paramètres!$A$1:$I$89,3,0)*0.475*44/12</f>
        <v>2.7013856571746675E-4</v>
      </c>
      <c r="BS115" s="24">
        <f t="shared" si="63"/>
        <v>176.4708719206923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4.583333333333333</v>
      </c>
      <c r="BY115" s="13">
        <f>IF('Données projet'!$A$114&gt;35,BY114+BX115-CG114,IF(A115&lt;'Données projet'!$A$114,$BV$205^A115,IF(A115='Données projet'!$A$114,'Données projet'!$B$114,BY114+BX115-CG114)))</f>
        <v>215.83333333333334</v>
      </c>
      <c r="BZ115" s="14">
        <f>BY115*VLOOKUP('Données projet'!$B$12,Paramètres!$A$1:$I$89,3,0)*VLOOKUP('Données projet'!$B$12,Paramètres!$A$1:$I$89,5,0)</f>
        <v>195.286</v>
      </c>
      <c r="CA115" s="14">
        <f t="shared" si="93"/>
        <v>48.70673943067964</v>
      </c>
      <c r="CB115" s="22">
        <f t="shared" si="64"/>
        <v>424.95402117510031</v>
      </c>
      <c r="CC115" s="62">
        <f t="shared" si="65"/>
        <v>718.28735450843362</v>
      </c>
      <c r="CD115" s="62">
        <f ca="1">AVERAGE(OFFSET($CC$3,0,0,'Données projet'!$E$12+1,1))-AVERAGE(OFFSET($H$3,0,0,'Données projet'!$E$12+1,1))</f>
        <v>213.07277043804817</v>
      </c>
      <c r="CE115" s="62">
        <f t="shared" si="94"/>
        <v>129.14539883354166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33.046584206966394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33.046584206966394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4.583333333333333</v>
      </c>
      <c r="CT115" s="13">
        <f>IF('Données projet'!$A$140&gt;35,CT114+CS115-DB114,IF(A115&lt;'Données projet'!$A$140,$CQ$205^A115,IF(A115='Données projet'!$A$140,'Données projet'!$B$140,CT114+CS115-DB114)))</f>
        <v>215.83333333333334</v>
      </c>
      <c r="CU115" s="18">
        <f>CT115*VLOOKUP('Données projet'!$B$13,Paramètres!$A$1:$I$89,3,0)*VLOOKUP('Données projet'!$B$13,Paramètres!$A$1:$I$89,5,0)</f>
        <v>218.85500000000005</v>
      </c>
      <c r="CV115" s="14">
        <f t="shared" si="95"/>
        <v>53.865950100565549</v>
      </c>
      <c r="CW115" s="22">
        <f t="shared" si="67"/>
        <v>474.98898809181838</v>
      </c>
      <c r="CX115" s="62">
        <f t="shared" si="68"/>
        <v>768.3223214251517</v>
      </c>
      <c r="CY115" s="62">
        <f ca="1">AVERAGE(OFFSET($CX$3,0,0,'Données projet'!$E$13+1,1))-AVERAGE(OFFSET($H$3,0,0,'Données projet'!$E$13+1,1))</f>
        <v>247.92503505485405</v>
      </c>
      <c r="CZ115" s="62">
        <f t="shared" si="96"/>
        <v>148.26437652597514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37.034965059531309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37.034965059531309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3.0833333333333335</v>
      </c>
      <c r="DO115" s="13">
        <f>IF('Données projet'!$A$166&gt;35,DO114+DN115-DW114,IF(A115&lt;'Données projet'!$A$166,$DL$205^A115,IF(A115='Données projet'!$A$166,'Données projet'!$B$166,DO114+DN115-DW114)))</f>
        <v>128.16666666666677</v>
      </c>
      <c r="DP115" s="18">
        <f>DO115*VLOOKUP('Données projet'!$B$14,Paramètres!$A$1:$I$89,3,0)*VLOOKUP('Données projet'!$B$14,Paramètres!$A$1:$I$89,5,0)</f>
        <v>123.9628000000001</v>
      </c>
      <c r="DQ115" s="14">
        <f t="shared" si="97"/>
        <v>32.597502388848135</v>
      </c>
      <c r="DR115" s="22">
        <f t="shared" si="70"/>
        <v>272.67585999391065</v>
      </c>
      <c r="DS115" s="62">
        <f t="shared" si="71"/>
        <v>566.00919332724402</v>
      </c>
      <c r="DT115" s="62">
        <f ca="1">AVERAGE(OFFSET($DS$3,0,0,'Données projet'!$E$14+1,1))-AVERAGE(OFFSET($H$3,0,0,'Données projet'!$E$14+1,1))</f>
        <v>154.0837760161366</v>
      </c>
      <c r="DU115" s="62">
        <f t="shared" si="98"/>
        <v>96.484500841546037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22.115096873434066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22.115096873434066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-5.6843418860808015E-14</v>
      </c>
      <c r="EK115" s="18">
        <f>EJ115*VLOOKUP('Données projet'!$B$15,Paramètres!$A$1:$I$89,3,0)*VLOOKUP('Données projet'!$B$15,Paramètres!$A$1:$I$89,5,0)</f>
        <v>-3.813056537183002E-14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205.35893113421139</v>
      </c>
      <c r="EP115" s="62">
        <f t="shared" si="100"/>
        <v>220.4399811285175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42.031693557809341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42.031693557809341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-5.6843418860808015E-14</v>
      </c>
      <c r="FF115" s="18">
        <f>FE115*VLOOKUP('Données projet'!$B$16,Paramètres!$A$1:$I$89,3,0)*VLOOKUP('Données projet'!$B$16,Paramètres!$A$1:$I$89,5,0)</f>
        <v>-4.4337866711430253E-14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242.81177364426878</v>
      </c>
      <c r="FK115" s="62">
        <f t="shared" si="102"/>
        <v>260.72115764896671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39.652541092272962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39.652541092272962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-5.6843418860808015E-14</v>
      </c>
      <c r="GA115" s="18">
        <f>FZ115*VLOOKUP('Données projet'!$B$17,Paramètres!$A$1:$I$89,3,0)*VLOOKUP('Données projet'!$B$17,Paramètres!$A$1:$I$89,5,0)</f>
        <v>-4.5224624045658861E-14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248.15263300983543</v>
      </c>
      <c r="GF115" s="62">
        <f t="shared" si="104"/>
        <v>266.46511459244618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49.851543522052914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49.851543522052914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382.55387448074327</v>
      </c>
      <c r="T116" s="62">
        <f t="shared" si="88"/>
        <v>476.29465646955543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90.592281107445288</v>
      </c>
      <c r="AA116" s="23">
        <f>EXP(-LN(2)/25)*AA115+(1-EXP(-LN(2)/25))/(LN(2)/25)*Calculateur!V116*Calculateur!X116*VLOOKUP('Données projet'!$B$9,Paramètres!$A$1:$I$89,3,0)*0.475*44/12</f>
        <v>14.820631140029201</v>
      </c>
      <c r="AB116" s="23">
        <f>EXP(-LN(2)/2)*AB115+(1-EXP(-LN(2)/2))/(LN(2)/2)*V116*Y116*VLOOKUP('Données projet'!$B$9,Paramètres!$A$1:$I$89,3,0)*0.475*44/12</f>
        <v>5.9343658740395674E-7</v>
      </c>
      <c r="AC116" s="24">
        <f t="shared" si="57"/>
        <v>105.41291284091108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-1.7053025658242404E-13</v>
      </c>
      <c r="AJ116" s="14">
        <f>AI116*VLOOKUP('Données projet'!$B$10,Paramètres!$A$1:$I$89,3,0)*VLOOKUP('Données projet'!$B$10,Paramètres!$A$1:$I$89,5,0)</f>
        <v>-1.064108801074326E-13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482.28841373508675</v>
      </c>
      <c r="AO116" s="62">
        <f t="shared" si="90"/>
        <v>746.97309214631684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169.38207380848525</v>
      </c>
      <c r="AV116" s="23">
        <f>EXP(-LN(2)/25)*AV115+(1-EXP(-LN(2)/25))/(LN(2)/25)*Calculateur!AQ116*Calculateur!AS116*VLOOKUP('Données projet'!$B$10,Paramètres!$A$1:$I$89,3,0)*0.475*44/12</f>
        <v>27.789310130644807</v>
      </c>
      <c r="AW116" s="23">
        <f>EXP(-LN(2)/2)*AW115+(1-EXP(-LN(2)/2))/(LN(2)/2)*AQ116*AT116*VLOOKUP('Données projet'!$B$10,Paramètres!$A$1:$I$89,3,0)*0.475*44/12</f>
        <v>2.2166346498114626E-4</v>
      </c>
      <c r="AX116" s="23">
        <f t="shared" si="60"/>
        <v>197.17160560259504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-1.7053025658242404E-13</v>
      </c>
      <c r="BE116" s="14">
        <f>BD116*VLOOKUP('Données projet'!$B$11,Paramètres!$A$1:$I$89,3,0)*VLOOKUP('Données projet'!$B$11,Paramètres!$A$1:$I$89,5,0)</f>
        <v>-9.3109520094003535E-14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417.99456559608217</v>
      </c>
      <c r="BJ116" s="62">
        <f t="shared" si="92"/>
        <v>651.41353014863932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148.20931458242464</v>
      </c>
      <c r="BQ116" s="23">
        <f>EXP(-LN(2)/25)*BQ115+(1-EXP(-LN(2)/25))/(LN(2)/25)*Calculateur!BL116*Calculateur!BN116*VLOOKUP('Données projet'!$B$11,Paramètres!$A$1:$I$89,3,0)*0.475*44/12</f>
        <v>24.605118344841745</v>
      </c>
      <c r="BR116" s="23">
        <f>EXP(-LN(2)/2)*BR115+(1-EXP(-LN(2)/2))/(LN(2)/2)*BL116*BO116*VLOOKUP('Données projet'!$B$11,Paramètres!$A$1:$I$89,3,0)*0.475*44/12</f>
        <v>1.9101681167882855E-4</v>
      </c>
      <c r="BS116" s="24">
        <f t="shared" si="63"/>
        <v>172.81462394407805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4.583333333333333</v>
      </c>
      <c r="BY116" s="13">
        <f>IF('Données projet'!$A$114&gt;35,BY115+BX116-CG115,IF(A116&lt;'Données projet'!$A$114,$BV$205^A116,IF(A116='Données projet'!$A$114,'Données projet'!$B$114,BY115+BX116-CG115)))</f>
        <v>220.41666666666669</v>
      </c>
      <c r="BZ116" s="14">
        <f>BY116*VLOOKUP('Données projet'!$B$12,Paramètres!$A$1:$I$89,3,0)*VLOOKUP('Données projet'!$B$12,Paramètres!$A$1:$I$89,5,0)</f>
        <v>199.43300000000002</v>
      </c>
      <c r="CA116" s="14">
        <f t="shared" si="93"/>
        <v>49.619537704859006</v>
      </c>
      <c r="CB116" s="22">
        <f t="shared" si="64"/>
        <v>433.76650316929613</v>
      </c>
      <c r="CC116" s="62">
        <f t="shared" si="65"/>
        <v>727.09983650262939</v>
      </c>
      <c r="CD116" s="62">
        <f ca="1">AVERAGE(OFFSET($CC$3,0,0,'Données projet'!$E$12+1,1))-AVERAGE(OFFSET($H$3,0,0,'Données projet'!$E$12+1,1))</f>
        <v>213.07277043804817</v>
      </c>
      <c r="CE116" s="62">
        <f t="shared" si="94"/>
        <v>129.14539883354166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32.398560847093869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32.398560847093869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4.583333333333333</v>
      </c>
      <c r="CT116" s="13">
        <f>IF('Données projet'!$A$140&gt;35,CT115+CS116-DB115,IF(A116&lt;'Données projet'!$A$140,$CQ$205^A116,IF(A116='Données projet'!$A$140,'Données projet'!$B$140,CT115+CS116-DB115)))</f>
        <v>220.41666666666669</v>
      </c>
      <c r="CU116" s="18">
        <f>CT116*VLOOKUP('Données projet'!$B$13,Paramètres!$A$1:$I$89,3,0)*VLOOKUP('Données projet'!$B$13,Paramètres!$A$1:$I$89,5,0)</f>
        <v>223.50250000000003</v>
      </c>
      <c r="CV116" s="14">
        <f t="shared" si="95"/>
        <v>54.875435581703243</v>
      </c>
      <c r="CW116" s="22">
        <f t="shared" si="67"/>
        <v>484.84157113813313</v>
      </c>
      <c r="CX116" s="62">
        <f t="shared" si="68"/>
        <v>778.17490447146645</v>
      </c>
      <c r="CY116" s="62">
        <f ca="1">AVERAGE(OFFSET($CX$3,0,0,'Données projet'!$E$13+1,1))-AVERAGE(OFFSET($H$3,0,0,'Données projet'!$E$13+1,1))</f>
        <v>247.92503505485405</v>
      </c>
      <c r="CZ116" s="62">
        <f t="shared" si="96"/>
        <v>148.26437652597514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36.308731983812102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36.308731983812102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3.0833333333333335</v>
      </c>
      <c r="DO116" s="13">
        <f>IF('Données projet'!$A$166&gt;35,DO115+DN116-DW115,IF(A116&lt;'Données projet'!$A$166,$DL$205^A116,IF(A116='Données projet'!$A$166,'Données projet'!$B$166,DO115+DN116-DW115)))</f>
        <v>131.25000000000011</v>
      </c>
      <c r="DP116" s="18">
        <f>DO116*VLOOKUP('Données projet'!$B$14,Paramètres!$A$1:$I$89,3,0)*VLOOKUP('Données projet'!$B$14,Paramètres!$A$1:$I$89,5,0)</f>
        <v>126.94500000000012</v>
      </c>
      <c r="DQ116" s="14">
        <f t="shared" si="97"/>
        <v>33.289464491608861</v>
      </c>
      <c r="DR116" s="22">
        <f t="shared" si="70"/>
        <v>279.07502565621894</v>
      </c>
      <c r="DS116" s="62">
        <f t="shared" si="71"/>
        <v>572.4083589895522</v>
      </c>
      <c r="DT116" s="62">
        <f ca="1">AVERAGE(OFFSET($DS$3,0,0,'Données projet'!$E$14+1,1))-AVERAGE(OFFSET($H$3,0,0,'Données projet'!$E$14+1,1))</f>
        <v>154.0837760161366</v>
      </c>
      <c r="DU116" s="62">
        <f t="shared" si="98"/>
        <v>96.484500841546037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21.681433312623202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21.681433312623202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-5.6843418860808015E-14</v>
      </c>
      <c r="EK116" s="18">
        <f>EJ116*VLOOKUP('Données projet'!$B$15,Paramètres!$A$1:$I$89,3,0)*VLOOKUP('Données projet'!$B$15,Paramètres!$A$1:$I$89,5,0)</f>
        <v>-3.813056537183002E-14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205.35893113421139</v>
      </c>
      <c r="EP116" s="62">
        <f t="shared" si="100"/>
        <v>220.4399811285175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41.207477683942344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41.207477683942344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-5.6843418860808015E-14</v>
      </c>
      <c r="FF116" s="18">
        <f>FE116*VLOOKUP('Données projet'!$B$16,Paramètres!$A$1:$I$89,3,0)*VLOOKUP('Données projet'!$B$16,Paramètres!$A$1:$I$89,5,0)</f>
        <v>-4.4337866711430253E-14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242.81177364426878</v>
      </c>
      <c r="FK116" s="62">
        <f t="shared" si="102"/>
        <v>260.72115764896671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38.874978947115423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38.874978947115423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-5.6843418860808015E-14</v>
      </c>
      <c r="GA116" s="18">
        <f>FZ116*VLOOKUP('Données projet'!$B$17,Paramètres!$A$1:$I$89,3,0)*VLOOKUP('Données projet'!$B$17,Paramètres!$A$1:$I$89,5,0)</f>
        <v>-4.5224624045658861E-14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248.15263300983543</v>
      </c>
      <c r="GF116" s="62">
        <f t="shared" si="104"/>
        <v>266.46511459244618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48.873985160024617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48.873985160024617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382.55387448074327</v>
      </c>
      <c r="T117" s="62">
        <f t="shared" si="88"/>
        <v>476.29465646955543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88.815821730763702</v>
      </c>
      <c r="AA117" s="23">
        <f>EXP(-LN(2)/25)*AA116+(1-EXP(-LN(2)/25))/(LN(2)/25)*Calculateur!V117*Calculateur!X117*VLOOKUP('Données projet'!$B$9,Paramètres!$A$1:$I$89,3,0)*0.475*44/12</f>
        <v>14.415360202121985</v>
      </c>
      <c r="AB117" s="23">
        <f>EXP(-LN(2)/2)*AB116+(1-EXP(-LN(2)/2))/(LN(2)/2)*V117*Y117*VLOOKUP('Données projet'!$B$9,Paramètres!$A$1:$I$89,3,0)*0.475*44/12</f>
        <v>4.1962303515754113E-7</v>
      </c>
      <c r="AC117" s="24">
        <f t="shared" si="57"/>
        <v>103.23118235250872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-1.7053025658242404E-13</v>
      </c>
      <c r="AJ117" s="14">
        <f>AI117*VLOOKUP('Données projet'!$B$10,Paramètres!$A$1:$I$89,3,0)*VLOOKUP('Données projet'!$B$10,Paramètres!$A$1:$I$89,5,0)</f>
        <v>-1.064108801074326E-13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482.28841373508675</v>
      </c>
      <c r="AO117" s="62">
        <f t="shared" si="90"/>
        <v>746.97309214631684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166.06059465396459</v>
      </c>
      <c r="AV117" s="23">
        <f>EXP(-LN(2)/25)*AV116+(1-EXP(-LN(2)/25))/(LN(2)/25)*Calculateur!AQ117*Calculateur!AS117*VLOOKUP('Données projet'!$B$10,Paramètres!$A$1:$I$89,3,0)*0.475*44/12</f>
        <v>27.029409983746017</v>
      </c>
      <c r="AW117" s="23">
        <f>EXP(-LN(2)/2)*AW116+(1-EXP(-LN(2)/2))/(LN(2)/2)*AQ117*AT117*VLOOKUP('Données projet'!$B$10,Paramètres!$A$1:$I$89,3,0)*0.475*44/12</f>
        <v>1.5673973922947533E-4</v>
      </c>
      <c r="AX117" s="23">
        <f t="shared" si="60"/>
        <v>193.09016137744982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-1.7053025658242404E-13</v>
      </c>
      <c r="BE117" s="14">
        <f>BD117*VLOOKUP('Données projet'!$B$11,Paramètres!$A$1:$I$89,3,0)*VLOOKUP('Données projet'!$B$11,Paramètres!$A$1:$I$89,5,0)</f>
        <v>-9.3109520094003535E-14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417.99456559608217</v>
      </c>
      <c r="BJ117" s="62">
        <f t="shared" si="92"/>
        <v>651.41353014863932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145.30302032221906</v>
      </c>
      <c r="BQ117" s="23">
        <f>EXP(-LN(2)/25)*BQ116+(1-EXP(-LN(2)/25))/(LN(2)/25)*Calculateur!BL117*Calculateur!BN117*VLOOKUP('Données projet'!$B$11,Paramètres!$A$1:$I$89,3,0)*0.475*44/12</f>
        <v>23.932290089775108</v>
      </c>
      <c r="BR117" s="23">
        <f>EXP(-LN(2)/2)*BR116+(1-EXP(-LN(2)/2))/(LN(2)/2)*BL117*BO117*VLOOKUP('Données projet'!$B$11,Paramètres!$A$1:$I$89,3,0)*0.475*44/12</f>
        <v>1.3506928285873337E-4</v>
      </c>
      <c r="BS117" s="24">
        <f t="shared" si="63"/>
        <v>169.23544548127703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>
        <f>VLOOKUP(A117,'Données projet'!$A$113:$I$133,2,0)</f>
        <v>225</v>
      </c>
      <c r="BW117" s="13">
        <f>VLOOKUP(A117,'Données projet'!$A$113:$I$133,9,0)</f>
        <v>4.583333333333333</v>
      </c>
      <c r="BX117" s="13">
        <f t="array" ref="BX117">INDEX(BW:BW,MIN(IF(ISNUMBER(BW117:BW313),ROW(BW117:BW313),"")))</f>
        <v>4.583333333333333</v>
      </c>
      <c r="BY117" s="13">
        <f>IF('Données projet'!$A$114&gt;35,BY116+BX117-CG116,IF(A117&lt;'Données projet'!$A$114,$BV$205^A117,IF(A117='Données projet'!$A$114,'Données projet'!$B$114,BY116+BX117-CG116)))</f>
        <v>225.00000000000003</v>
      </c>
      <c r="BZ117" s="14">
        <f>BY117*VLOOKUP('Données projet'!$B$12,Paramètres!$A$1:$I$89,3,0)*VLOOKUP('Données projet'!$B$12,Paramètres!$A$1:$I$89,5,0)</f>
        <v>203.58</v>
      </c>
      <c r="CA117" s="14">
        <f t="shared" si="93"/>
        <v>50.530129131114101</v>
      </c>
      <c r="CB117" s="22">
        <f t="shared" si="64"/>
        <v>442.57514157002373</v>
      </c>
      <c r="CC117" s="62">
        <f t="shared" si="65"/>
        <v>735.90847490335705</v>
      </c>
      <c r="CD117" s="62">
        <f ca="1">AVERAGE(OFFSET($CC$3,0,0,'Données projet'!$E$12+1,1))-AVERAGE(OFFSET($H$3,0,0,'Données projet'!$E$12+1,1))</f>
        <v>213.07277043804817</v>
      </c>
      <c r="CE117" s="62">
        <f t="shared" si="94"/>
        <v>129.14539883354166</v>
      </c>
      <c r="CF117" s="16">
        <f>IF(ISNA(VLOOKUP(A117,'Données projet'!$A$113:$I$133,3,0)),0,VLOOKUP(A117,'Données projet'!$A$113:$I$133,3,0))</f>
        <v>9</v>
      </c>
      <c r="CG117" s="16">
        <f>IF(ISNA(VLOOKUP(A117,'Données projet'!$A$113:$I$133,4,0)),0,VLOOKUP(A117,'Données projet'!$A$113:$I$133,4,0))</f>
        <v>37</v>
      </c>
      <c r="CH117" s="17">
        <f>IF(ISNA(VLOOKUP(A117,'Données projet'!$A$113:$I$133,5,0)),0%,VLOOKUP(A117,'Données projet'!$A$113:$I$133,5,0)*VLOOKUP('Données projet'!$B$12,Paramètres!$A$1:$I$89,7,0))</f>
        <v>0.38700000000000001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46.08553246388206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46.08553246388206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>
        <f>VLOOKUP(A117,'Données projet'!$A$139:$I$159,2,0)</f>
        <v>225</v>
      </c>
      <c r="CR117" s="13">
        <f>VLOOKUP(A117,'Données projet'!$A$139:$I$159,9,0)</f>
        <v>4.583333333333333</v>
      </c>
      <c r="CS117" s="13">
        <f t="array" ref="CS117">INDEX(CR:CR,MIN(IF(ISNUMBER(CR117:CR313),ROW(CR117:CR313),"")))</f>
        <v>4.583333333333333</v>
      </c>
      <c r="CT117" s="13">
        <f>IF('Données projet'!$A$140&gt;35,CT116+CS117-DB116,IF(A117&lt;'Données projet'!$A$140,$CQ$205^A117,IF(A117='Données projet'!$A$140,'Données projet'!$B$140,CT116+CS117-DB116)))</f>
        <v>225.00000000000003</v>
      </c>
      <c r="CU117" s="18">
        <f>CT117*VLOOKUP('Données projet'!$B$13,Paramètres!$A$1:$I$89,3,0)*VLOOKUP('Données projet'!$B$13,Paramètres!$A$1:$I$89,5,0)</f>
        <v>228.15000000000006</v>
      </c>
      <c r="CV117" s="14">
        <f t="shared" si="95"/>
        <v>55.882480456847702</v>
      </c>
      <c r="CW117" s="22">
        <f t="shared" si="67"/>
        <v>494.68990346234324</v>
      </c>
      <c r="CX117" s="62">
        <f t="shared" si="68"/>
        <v>788.02323679567655</v>
      </c>
      <c r="CY117" s="62">
        <f ca="1">AVERAGE(OFFSET($CX$3,0,0,'Données projet'!$E$13+1,1))-AVERAGE(OFFSET($H$3,0,0,'Données projet'!$E$13+1,1))</f>
        <v>247.92503505485405</v>
      </c>
      <c r="CZ117" s="62">
        <f t="shared" si="96"/>
        <v>148.26437652597514</v>
      </c>
      <c r="DA117" s="16">
        <f>IF(ISNA(VLOOKUP(A117,'Données projet'!$A$139:$I$159,3,0)),0,VLOOKUP(A117,'Données projet'!$A$139:$I$159,3,0))</f>
        <v>9</v>
      </c>
      <c r="DB117" s="16">
        <f>IF(ISNA(VLOOKUP(A117,'Données projet'!$A$139:$I$159,4,0)),0,VLOOKUP(A117,'Données projet'!$A$139:$I$159,4,0))</f>
        <v>37</v>
      </c>
      <c r="DC117" s="17">
        <f>IF(ISNA(VLOOKUP(A117,'Données projet'!$A$139:$I$159,5,0)),0%,VLOOKUP(A117,'Données projet'!$A$139:$I$159,5,0)*VLOOKUP('Données projet'!$B$13,Paramètres!$A$1:$I$89,7,0))</f>
        <v>0.38700000000000001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51.64757948538508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51.64757948538508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3.0833333333333335</v>
      </c>
      <c r="DO117" s="13">
        <f>IF('Données projet'!$A$166&gt;35,DO116+DN117-DW116,IF(A117&lt;'Données projet'!$A$166,$DL$205^A117,IF(A117='Données projet'!$A$166,'Données projet'!$B$166,DO116+DN117-DW116)))</f>
        <v>134.33333333333346</v>
      </c>
      <c r="DP117" s="18">
        <f>DO117*VLOOKUP('Données projet'!$B$14,Paramètres!$A$1:$I$89,3,0)*VLOOKUP('Données projet'!$B$14,Paramètres!$A$1:$I$89,5,0)</f>
        <v>129.92720000000014</v>
      </c>
      <c r="DQ117" s="14">
        <f t="shared" si="97"/>
        <v>33.979536841435355</v>
      </c>
      <c r="DR117" s="22">
        <f t="shared" si="70"/>
        <v>285.47089999883349</v>
      </c>
      <c r="DS117" s="62">
        <f t="shared" si="71"/>
        <v>578.80423333216686</v>
      </c>
      <c r="DT117" s="62">
        <f ca="1">AVERAGE(OFFSET($DS$3,0,0,'Données projet'!$E$14+1,1))-AVERAGE(OFFSET($H$3,0,0,'Données projet'!$E$14+1,1))</f>
        <v>154.0837760161366</v>
      </c>
      <c r="DU117" s="62">
        <f t="shared" si="98"/>
        <v>96.484500841546037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21.256273629731183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21.256273629731183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-5.6843418860808015E-14</v>
      </c>
      <c r="EK117" s="18">
        <f>EJ117*VLOOKUP('Données projet'!$B$15,Paramètres!$A$1:$I$89,3,0)*VLOOKUP('Données projet'!$B$15,Paramètres!$A$1:$I$89,5,0)</f>
        <v>-3.813056537183002E-14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205.35893113421139</v>
      </c>
      <c r="EP117" s="62">
        <f t="shared" si="100"/>
        <v>220.4399811285175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40.399424180639841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40.399424180639841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-5.6843418860808015E-14</v>
      </c>
      <c r="FF117" s="18">
        <f>FE117*VLOOKUP('Données projet'!$B$16,Paramètres!$A$1:$I$89,3,0)*VLOOKUP('Données projet'!$B$16,Paramètres!$A$1:$I$89,5,0)</f>
        <v>-4.4337866711430253E-14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242.81177364426878</v>
      </c>
      <c r="FK117" s="62">
        <f t="shared" si="102"/>
        <v>260.72115764896671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38.112664321358345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38.112664321358345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-5.6843418860808015E-14</v>
      </c>
      <c r="GA117" s="18">
        <f>FZ117*VLOOKUP('Données projet'!$B$17,Paramètres!$A$1:$I$89,3,0)*VLOOKUP('Données projet'!$B$17,Paramètres!$A$1:$I$89,5,0)</f>
        <v>-4.5224624045658861E-14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248.15263300983543</v>
      </c>
      <c r="GF117" s="62">
        <f t="shared" si="104"/>
        <v>266.46511459244618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47.91559612122397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47.91559612122397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382.55387448074327</v>
      </c>
      <c r="T118" s="62">
        <f t="shared" si="88"/>
        <v>476.29465646955543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87.074197638925611</v>
      </c>
      <c r="AA118" s="23">
        <f>EXP(-LN(2)/25)*AA117+(1-EXP(-LN(2)/25))/(LN(2)/25)*Calculateur!V118*Calculateur!X118*VLOOKUP('Données projet'!$B$9,Paramètres!$A$1:$I$89,3,0)*0.475*44/12</f>
        <v>14.021171419324112</v>
      </c>
      <c r="AB118" s="23">
        <f>EXP(-LN(2)/2)*AB117+(1-EXP(-LN(2)/2))/(LN(2)/2)*V118*Y118*VLOOKUP('Données projet'!$B$9,Paramètres!$A$1:$I$89,3,0)*0.475*44/12</f>
        <v>2.9671829370197837E-7</v>
      </c>
      <c r="AC118" s="24">
        <f t="shared" si="57"/>
        <v>101.09536935496803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-1.7053025658242404E-13</v>
      </c>
      <c r="AJ118" s="14">
        <f>AI118*VLOOKUP('Données projet'!$B$10,Paramètres!$A$1:$I$89,3,0)*VLOOKUP('Données projet'!$B$10,Paramètres!$A$1:$I$89,5,0)</f>
        <v>-1.064108801074326E-13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482.28841373508675</v>
      </c>
      <c r="AO118" s="62">
        <f t="shared" si="90"/>
        <v>746.97309214631684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162.80424767976183</v>
      </c>
      <c r="AV118" s="23">
        <f>EXP(-LN(2)/25)*AV117+(1-EXP(-LN(2)/25))/(LN(2)/25)*Calculateur!AQ118*Calculateur!AS118*VLOOKUP('Données projet'!$B$10,Paramètres!$A$1:$I$89,3,0)*0.475*44/12</f>
        <v>26.290289346325586</v>
      </c>
      <c r="AW118" s="23">
        <f>EXP(-LN(2)/2)*AW117+(1-EXP(-LN(2)/2))/(LN(2)/2)*AQ118*AT118*VLOOKUP('Données projet'!$B$10,Paramètres!$A$1:$I$89,3,0)*0.475*44/12</f>
        <v>1.1083173249057313E-4</v>
      </c>
      <c r="AX118" s="23">
        <f t="shared" si="60"/>
        <v>189.09464785781989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-1.7053025658242404E-13</v>
      </c>
      <c r="BE118" s="14">
        <f>BD118*VLOOKUP('Données projet'!$B$11,Paramètres!$A$1:$I$89,3,0)*VLOOKUP('Données projet'!$B$11,Paramètres!$A$1:$I$89,5,0)</f>
        <v>-9.3109520094003535E-14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417.99456559608217</v>
      </c>
      <c r="BJ118" s="62">
        <f t="shared" si="92"/>
        <v>651.41353014863932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142.45371671979163</v>
      </c>
      <c r="BQ118" s="23">
        <f>EXP(-LN(2)/25)*BQ117+(1-EXP(-LN(2)/25))/(LN(2)/25)*Calculateur!BL118*Calculateur!BN118*VLOOKUP('Données projet'!$B$11,Paramètres!$A$1:$I$89,3,0)*0.475*44/12</f>
        <v>23.277860358725771</v>
      </c>
      <c r="BR118" s="23">
        <f>EXP(-LN(2)/2)*BR117+(1-EXP(-LN(2)/2))/(LN(2)/2)*BL118*BO118*VLOOKUP('Données projet'!$B$11,Paramètres!$A$1:$I$89,3,0)*0.475*44/12</f>
        <v>9.5508405839414274E-5</v>
      </c>
      <c r="BS118" s="24">
        <f t="shared" si="63"/>
        <v>165.73167258692325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4.666666666666667</v>
      </c>
      <c r="BY118" s="13">
        <f>IF('Données projet'!$A$114&gt;35,BY117+BX118-CG117,IF(A118&lt;'Données projet'!$A$114,$BV$205^A118,IF(A118='Données projet'!$A$114,'Données projet'!$B$114,BY117+BX118-CG117)))</f>
        <v>192.66666666666669</v>
      </c>
      <c r="BZ118" s="14">
        <f>BY118*VLOOKUP('Données projet'!$B$12,Paramètres!$A$1:$I$89,3,0)*VLOOKUP('Données projet'!$B$12,Paramètres!$A$1:$I$89,5,0)</f>
        <v>174.32480000000001</v>
      </c>
      <c r="CA118" s="14">
        <f t="shared" si="93"/>
        <v>44.057214181496924</v>
      </c>
      <c r="CB118" s="22">
        <f t="shared" si="64"/>
        <v>380.34867469944055</v>
      </c>
      <c r="CC118" s="62">
        <f t="shared" si="65"/>
        <v>673.68200803277387</v>
      </c>
      <c r="CD118" s="62">
        <f ca="1">AVERAGE(OFFSET($CC$3,0,0,'Données projet'!$E$12+1,1))-AVERAGE(OFFSET($H$3,0,0,'Données projet'!$E$12+1,1))</f>
        <v>213.07277043804817</v>
      </c>
      <c r="CE118" s="62">
        <f t="shared" si="94"/>
        <v>129.14539883354166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45.181823281664563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45.181823281664563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4.666666666666667</v>
      </c>
      <c r="CT118" s="13">
        <f>IF('Données projet'!$A$140&gt;35,CT117+CS118-DB117,IF(A118&lt;'Données projet'!$A$140,$CQ$205^A118,IF(A118='Données projet'!$A$140,'Données projet'!$B$140,CT117+CS118-DB117)))</f>
        <v>192.66666666666669</v>
      </c>
      <c r="CU118" s="18">
        <f>CT118*VLOOKUP('Données projet'!$B$13,Paramètres!$A$1:$I$89,3,0)*VLOOKUP('Données projet'!$B$13,Paramètres!$A$1:$I$89,5,0)</f>
        <v>195.36400000000003</v>
      </c>
      <c r="CV118" s="14">
        <f t="shared" si="95"/>
        <v>48.723928729575597</v>
      </c>
      <c r="CW118" s="22">
        <f t="shared" si="67"/>
        <v>425.11980920401083</v>
      </c>
      <c r="CX118" s="62">
        <f t="shared" si="68"/>
        <v>718.45314253734409</v>
      </c>
      <c r="CY118" s="62">
        <f ca="1">AVERAGE(OFFSET($CX$3,0,0,'Données projet'!$E$13+1,1))-AVERAGE(OFFSET($H$3,0,0,'Données projet'!$E$13+1,1))</f>
        <v>247.92503505485405</v>
      </c>
      <c r="CZ118" s="62">
        <f t="shared" si="96"/>
        <v>148.26437652597514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50.634801953589609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50.634801953589609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3.0833333333333335</v>
      </c>
      <c r="DO118" s="13">
        <f>IF('Données projet'!$A$166&gt;35,DO117+DN118-DW117,IF(A118&lt;'Données projet'!$A$166,$DL$205^A118,IF(A118='Données projet'!$A$166,'Données projet'!$B$166,DO117+DN118-DW117)))</f>
        <v>137.4166666666668</v>
      </c>
      <c r="DP118" s="18">
        <f>DO118*VLOOKUP('Données projet'!$B$14,Paramètres!$A$1:$I$89,3,0)*VLOOKUP('Données projet'!$B$14,Paramètres!$A$1:$I$89,5,0)</f>
        <v>132.90940000000012</v>
      </c>
      <c r="DQ118" s="14">
        <f t="shared" si="97"/>
        <v>34.667767806379231</v>
      </c>
      <c r="DR118" s="22">
        <f t="shared" si="70"/>
        <v>291.86356726277734</v>
      </c>
      <c r="DS118" s="62">
        <f t="shared" si="71"/>
        <v>585.19690059611071</v>
      </c>
      <c r="DT118" s="62">
        <f ca="1">AVERAGE(OFFSET($DS$3,0,0,'Données projet'!$E$14+1,1))-AVERAGE(OFFSET($H$3,0,0,'Données projet'!$E$14+1,1))</f>
        <v>154.0837760161366</v>
      </c>
      <c r="DU118" s="62">
        <f t="shared" si="98"/>
        <v>96.484500841546037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20.839451068898878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20.839451068898878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-5.6843418860808015E-14</v>
      </c>
      <c r="EK118" s="18">
        <f>EJ118*VLOOKUP('Données projet'!$B$15,Paramètres!$A$1:$I$89,3,0)*VLOOKUP('Données projet'!$B$15,Paramètres!$A$1:$I$89,5,0)</f>
        <v>-3.813056537183002E-14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205.35893113421139</v>
      </c>
      <c r="EP118" s="62">
        <f t="shared" si="100"/>
        <v>220.4399811285175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39.607216113673125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39.607216113673125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-5.6843418860808015E-14</v>
      </c>
      <c r="FF118" s="18">
        <f>FE118*VLOOKUP('Données projet'!$B$16,Paramètres!$A$1:$I$89,3,0)*VLOOKUP('Données projet'!$B$16,Paramètres!$A$1:$I$89,5,0)</f>
        <v>-4.4337866711430253E-14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242.81177364426878</v>
      </c>
      <c r="FK118" s="62">
        <f t="shared" si="102"/>
        <v>260.72115764896671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37.365298220446348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37.365298220446348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-5.6843418860808015E-14</v>
      </c>
      <c r="GA118" s="18">
        <f>FZ118*VLOOKUP('Données projet'!$B$17,Paramètres!$A$1:$I$89,3,0)*VLOOKUP('Données projet'!$B$17,Paramètres!$A$1:$I$89,5,0)</f>
        <v>-4.5224624045658861E-14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248.15263300983543</v>
      </c>
      <c r="GF118" s="62">
        <f t="shared" si="104"/>
        <v>266.46511459244618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46.976000506914609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46.976000506914609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382.55387448074327</v>
      </c>
      <c r="T119" s="62">
        <f t="shared" si="88"/>
        <v>476.29465646955543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85.36672573324266</v>
      </c>
      <c r="AA119" s="23">
        <f>EXP(-LN(2)/25)*AA118+(1-EXP(-LN(2)/25))/(LN(2)/25)*Calculateur!V119*Calculateur!X119*VLOOKUP('Données projet'!$B$9,Paramètres!$A$1:$I$89,3,0)*0.475*44/12</f>
        <v>13.637761749521335</v>
      </c>
      <c r="AB119" s="23">
        <f>EXP(-LN(2)/2)*AB118+(1-EXP(-LN(2)/2))/(LN(2)/2)*V119*Y119*VLOOKUP('Données projet'!$B$9,Paramètres!$A$1:$I$89,3,0)*0.475*44/12</f>
        <v>2.0981151757877057E-7</v>
      </c>
      <c r="AC119" s="24">
        <f t="shared" si="57"/>
        <v>99.004487692575509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-1.7053025658242404E-13</v>
      </c>
      <c r="AJ119" s="14">
        <f>AI119*VLOOKUP('Données projet'!$B$10,Paramètres!$A$1:$I$89,3,0)*VLOOKUP('Données projet'!$B$10,Paramètres!$A$1:$I$89,5,0)</f>
        <v>-1.064108801074326E-13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482.28841373508675</v>
      </c>
      <c r="AO119" s="62">
        <f t="shared" si="90"/>
        <v>746.97309214631684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159.61175568354764</v>
      </c>
      <c r="AV119" s="23">
        <f>EXP(-LN(2)/25)*AV118+(1-EXP(-LN(2)/25))/(LN(2)/25)*Calculateur!AQ119*Calculateur!AS119*VLOOKUP('Données projet'!$B$10,Paramètres!$A$1:$I$89,3,0)*0.475*44/12</f>
        <v>25.571380001604084</v>
      </c>
      <c r="AW119" s="23">
        <f>EXP(-LN(2)/2)*AW118+(1-EXP(-LN(2)/2))/(LN(2)/2)*AQ119*AT119*VLOOKUP('Données projet'!$B$10,Paramètres!$A$1:$I$89,3,0)*0.475*44/12</f>
        <v>7.8369869614737663E-5</v>
      </c>
      <c r="AX119" s="23">
        <f t="shared" si="60"/>
        <v>185.18321405502135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-1.7053025658242404E-13</v>
      </c>
      <c r="BE119" s="14">
        <f>BD119*VLOOKUP('Données projet'!$B$11,Paramètres!$A$1:$I$89,3,0)*VLOOKUP('Données projet'!$B$11,Paramètres!$A$1:$I$89,5,0)</f>
        <v>-9.3109520094003535E-14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417.99456559608217</v>
      </c>
      <c r="BJ119" s="62">
        <f t="shared" si="92"/>
        <v>651.41353014863932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139.66028622310421</v>
      </c>
      <c r="BQ119" s="23">
        <f>EXP(-LN(2)/25)*BQ118+(1-EXP(-LN(2)/25))/(LN(2)/25)*Calculateur!BL119*Calculateur!BN119*VLOOKUP('Données projet'!$B$11,Paramètres!$A$1:$I$89,3,0)*0.475*44/12</f>
        <v>22.641326043086941</v>
      </c>
      <c r="BR119" s="23">
        <f>EXP(-LN(2)/2)*BR118+(1-EXP(-LN(2)/2))/(LN(2)/2)*BL119*BO119*VLOOKUP('Données projet'!$B$11,Paramètres!$A$1:$I$89,3,0)*0.475*44/12</f>
        <v>6.7534641429366687E-5</v>
      </c>
      <c r="BS119" s="24">
        <f t="shared" si="63"/>
        <v>162.30167980083257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4.666666666666667</v>
      </c>
      <c r="BY119" s="13">
        <f>IF('Données projet'!$A$114&gt;35,BY118+BX119-CG118,IF(A119&lt;'Données projet'!$A$114,$BV$205^A119,IF(A119='Données projet'!$A$114,'Données projet'!$B$114,BY118+BX119-CG118)))</f>
        <v>197.33333333333334</v>
      </c>
      <c r="BZ119" s="14">
        <f>BY119*VLOOKUP('Données projet'!$B$12,Paramètres!$A$1:$I$89,3,0)*VLOOKUP('Données projet'!$B$12,Paramètres!$A$1:$I$89,5,0)</f>
        <v>178.5472</v>
      </c>
      <c r="CA119" s="14">
        <f t="shared" si="93"/>
        <v>44.998812645322751</v>
      </c>
      <c r="CB119" s="22">
        <f t="shared" si="64"/>
        <v>389.34263869060379</v>
      </c>
      <c r="CC119" s="62">
        <f t="shared" si="65"/>
        <v>682.67597202393711</v>
      </c>
      <c r="CD119" s="62">
        <f ca="1">AVERAGE(OFFSET($CC$3,0,0,'Données projet'!$E$12+1,1))-AVERAGE(OFFSET($H$3,0,0,'Données projet'!$E$12+1,1))</f>
        <v>213.07277043804817</v>
      </c>
      <c r="CE119" s="62">
        <f t="shared" si="94"/>
        <v>129.14539883354166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44.295835285302175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44.295835285302175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4.666666666666667</v>
      </c>
      <c r="CT119" s="13">
        <f>IF('Données projet'!$A$140&gt;35,CT118+CS119-DB118,IF(A119&lt;'Données projet'!$A$140,$CQ$205^A119,IF(A119='Données projet'!$A$140,'Données projet'!$B$140,CT118+CS119-DB118)))</f>
        <v>197.33333333333334</v>
      </c>
      <c r="CU119" s="18">
        <f>CT119*VLOOKUP('Données projet'!$B$13,Paramètres!$A$1:$I$89,3,0)*VLOOKUP('Données projet'!$B$13,Paramètres!$A$1:$I$89,5,0)</f>
        <v>200.09600000000003</v>
      </c>
      <c r="CV119" s="14">
        <f t="shared" si="95"/>
        <v>49.765265030466708</v>
      </c>
      <c r="CW119" s="22">
        <f t="shared" si="67"/>
        <v>435.17503659472953</v>
      </c>
      <c r="CX119" s="62">
        <f t="shared" si="68"/>
        <v>728.50836992806285</v>
      </c>
      <c r="CY119" s="62">
        <f ca="1">AVERAGE(OFFSET($CX$3,0,0,'Données projet'!$E$13+1,1))-AVERAGE(OFFSET($H$3,0,0,'Données projet'!$E$13+1,1))</f>
        <v>247.92503505485405</v>
      </c>
      <c r="CZ119" s="62">
        <f t="shared" si="96"/>
        <v>148.26437652597514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49.641884371459348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49.641884371459348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3.0833333333333335</v>
      </c>
      <c r="DO119" s="13">
        <f>IF('Données projet'!$A$166&gt;35,DO118+DN119-DW118,IF(A119&lt;'Données projet'!$A$166,$DL$205^A119,IF(A119='Données projet'!$A$166,'Données projet'!$B$166,DO118+DN119-DW118)))</f>
        <v>140.50000000000014</v>
      </c>
      <c r="DP119" s="18">
        <f>DO119*VLOOKUP('Données projet'!$B$14,Paramètres!$A$1:$I$89,3,0)*VLOOKUP('Données projet'!$B$14,Paramètres!$A$1:$I$89,5,0)</f>
        <v>135.89160000000012</v>
      </c>
      <c r="DQ119" s="14">
        <f t="shared" si="97"/>
        <v>35.354203460034832</v>
      </c>
      <c r="DR119" s="22">
        <f t="shared" si="70"/>
        <v>298.25310769289422</v>
      </c>
      <c r="DS119" s="62">
        <f t="shared" si="71"/>
        <v>591.58644102622748</v>
      </c>
      <c r="DT119" s="62">
        <f ca="1">AVERAGE(OFFSET($DS$3,0,0,'Données projet'!$E$14+1,1))-AVERAGE(OFFSET($H$3,0,0,'Données projet'!$E$14+1,1))</f>
        <v>154.0837760161366</v>
      </c>
      <c r="DU119" s="62">
        <f t="shared" si="98"/>
        <v>96.484500841546037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20.430802144247835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20.430802144247835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-5.6843418860808015E-14</v>
      </c>
      <c r="EK119" s="18">
        <f>EJ119*VLOOKUP('Données projet'!$B$15,Paramètres!$A$1:$I$89,3,0)*VLOOKUP('Données projet'!$B$15,Paramètres!$A$1:$I$89,5,0)</f>
        <v>-3.813056537183002E-14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205.35893113421139</v>
      </c>
      <c r="EP119" s="62">
        <f t="shared" si="100"/>
        <v>220.4399811285175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38.830542763700421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38.830542763700421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-5.6843418860808015E-14</v>
      </c>
      <c r="FF119" s="18">
        <f>FE119*VLOOKUP('Données projet'!$B$16,Paramètres!$A$1:$I$89,3,0)*VLOOKUP('Données projet'!$B$16,Paramètres!$A$1:$I$89,5,0)</f>
        <v>-4.4337866711430253E-14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242.81177364426878</v>
      </c>
      <c r="FK119" s="62">
        <f t="shared" si="102"/>
        <v>260.72115764896671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36.632587512924928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36.632587512924928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-5.6843418860808015E-14</v>
      </c>
      <c r="GA119" s="18">
        <f>FZ119*VLOOKUP('Données projet'!$B$17,Paramètres!$A$1:$I$89,3,0)*VLOOKUP('Données projet'!$B$17,Paramètres!$A$1:$I$89,5,0)</f>
        <v>-4.5224624045658861E-14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248.15263300983543</v>
      </c>
      <c r="GF119" s="62">
        <f t="shared" si="104"/>
        <v>266.46511459244618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46.054829789505121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46.054829789505121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382.55387448074327</v>
      </c>
      <c r="T120" s="62">
        <f t="shared" si="88"/>
        <v>476.29465646955543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83.692736310175121</v>
      </c>
      <c r="AA120" s="23">
        <f>EXP(-LN(2)/25)*AA119+(1-EXP(-LN(2)/25))/(LN(2)/25)*Calculateur!V120*Calculateur!X120*VLOOKUP('Données projet'!$B$9,Paramètres!$A$1:$I$89,3,0)*0.475*44/12</f>
        <v>13.264836437301954</v>
      </c>
      <c r="AB120" s="23">
        <f>EXP(-LN(2)/2)*AB119+(1-EXP(-LN(2)/2))/(LN(2)/2)*V120*Y120*VLOOKUP('Données projet'!$B$9,Paramètres!$A$1:$I$89,3,0)*0.475*44/12</f>
        <v>1.4835914685098919E-7</v>
      </c>
      <c r="AC120" s="24">
        <f t="shared" si="57"/>
        <v>96.957572895836222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-1.7053025658242404E-13</v>
      </c>
      <c r="AJ120" s="14">
        <f>AI120*VLOOKUP('Données projet'!$B$10,Paramètres!$A$1:$I$89,3,0)*VLOOKUP('Données projet'!$B$10,Paramètres!$A$1:$I$89,5,0)</f>
        <v>-1.064108801074326E-13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482.28841373508675</v>
      </c>
      <c r="AO120" s="62">
        <f t="shared" si="90"/>
        <v>746.97309214631684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156.48186650815137</v>
      </c>
      <c r="AV120" s="23">
        <f>EXP(-LN(2)/25)*AV119+(1-EXP(-LN(2)/25))/(LN(2)/25)*Calculateur!AQ120*Calculateur!AS120*VLOOKUP('Données projet'!$B$10,Paramètres!$A$1:$I$89,3,0)*0.475*44/12</f>
        <v>24.872129270719789</v>
      </c>
      <c r="AW120" s="23">
        <f>EXP(-LN(2)/2)*AW119+(1-EXP(-LN(2)/2))/(LN(2)/2)*AQ120*AT120*VLOOKUP('Données projet'!$B$10,Paramètres!$A$1:$I$89,3,0)*0.475*44/12</f>
        <v>5.5415866245286565E-5</v>
      </c>
      <c r="AX120" s="23">
        <f t="shared" si="60"/>
        <v>181.35405119473742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-1.7053025658242404E-13</v>
      </c>
      <c r="BE120" s="14">
        <f>BD120*VLOOKUP('Données projet'!$B$11,Paramètres!$A$1:$I$89,3,0)*VLOOKUP('Données projet'!$B$11,Paramètres!$A$1:$I$89,5,0)</f>
        <v>-9.3109520094003535E-14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417.99456559608217</v>
      </c>
      <c r="BJ120" s="62">
        <f t="shared" si="92"/>
        <v>651.41353014863932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136.92163319463248</v>
      </c>
      <c r="BQ120" s="23">
        <f>EXP(-LN(2)/25)*BQ119+(1-EXP(-LN(2)/25))/(LN(2)/25)*Calculateur!BL120*Calculateur!BN120*VLOOKUP('Données projet'!$B$11,Paramètres!$A$1:$I$89,3,0)*0.475*44/12</f>
        <v>22.022197791783139</v>
      </c>
      <c r="BR120" s="23">
        <f>EXP(-LN(2)/2)*BR119+(1-EXP(-LN(2)/2))/(LN(2)/2)*BL120*BO120*VLOOKUP('Données projet'!$B$11,Paramètres!$A$1:$I$89,3,0)*0.475*44/12</f>
        <v>4.7754202919707137E-5</v>
      </c>
      <c r="BS120" s="24">
        <f t="shared" si="63"/>
        <v>158.94387874061852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4.666666666666667</v>
      </c>
      <c r="BY120" s="13">
        <f>IF('Données projet'!$A$114&gt;35,BY119+BX120-CG119,IF(A120&lt;'Données projet'!$A$114,$BV$205^A120,IF(A120='Données projet'!$A$114,'Données projet'!$B$114,BY119+BX120-CG119)))</f>
        <v>202</v>
      </c>
      <c r="BZ120" s="14">
        <f>BY120*VLOOKUP('Données projet'!$B$12,Paramètres!$A$1:$I$89,3,0)*VLOOKUP('Données projet'!$B$12,Paramètres!$A$1:$I$89,5,0)</f>
        <v>182.7696</v>
      </c>
      <c r="CA120" s="14">
        <f t="shared" si="93"/>
        <v>45.937822477650357</v>
      </c>
      <c r="CB120" s="22">
        <f t="shared" si="64"/>
        <v>398.33209414857441</v>
      </c>
      <c r="CC120" s="62">
        <f t="shared" si="65"/>
        <v>691.66542748190773</v>
      </c>
      <c r="CD120" s="62">
        <f ca="1">AVERAGE(OFFSET($CC$3,0,0,'Données projet'!$E$12+1,1))-AVERAGE(OFFSET($H$3,0,0,'Données projet'!$E$12+1,1))</f>
        <v>213.07277043804817</v>
      </c>
      <c r="CE120" s="62">
        <f t="shared" si="94"/>
        <v>129.14539883354166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43.42722097314914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43.42722097314914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4.666666666666667</v>
      </c>
      <c r="CT120" s="13">
        <f>IF('Données projet'!$A$140&gt;35,CT119+CS120-DB119,IF(A120&lt;'Données projet'!$A$140,$CQ$205^A120,IF(A120='Données projet'!$A$140,'Données projet'!$B$140,CT119+CS120-DB119)))</f>
        <v>202</v>
      </c>
      <c r="CU120" s="18">
        <f>CT120*VLOOKUP('Données projet'!$B$13,Paramètres!$A$1:$I$89,3,0)*VLOOKUP('Données projet'!$B$13,Paramètres!$A$1:$I$89,5,0)</f>
        <v>204.82800000000003</v>
      </c>
      <c r="CV120" s="14">
        <f t="shared" si="95"/>
        <v>50.80373850176295</v>
      </c>
      <c r="CW120" s="22">
        <f t="shared" si="67"/>
        <v>445.22527789057045</v>
      </c>
      <c r="CX120" s="62">
        <f t="shared" si="68"/>
        <v>738.55861122390377</v>
      </c>
      <c r="CY120" s="62">
        <f ca="1">AVERAGE(OFFSET($CX$3,0,0,'Données projet'!$E$13+1,1))-AVERAGE(OFFSET($H$3,0,0,'Données projet'!$E$13+1,1))</f>
        <v>247.92503505485405</v>
      </c>
      <c r="CZ120" s="62">
        <f t="shared" si="96"/>
        <v>148.26437652597514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48.668437297494734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48.668437297494734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3.0833333333333335</v>
      </c>
      <c r="DO120" s="13">
        <f>IF('Données projet'!$A$166&gt;35,DO119+DN120-DW119,IF(A120&lt;'Données projet'!$A$166,$DL$205^A120,IF(A120='Données projet'!$A$166,'Données projet'!$B$166,DO119+DN120-DW119)))</f>
        <v>143.58333333333348</v>
      </c>
      <c r="DP120" s="18">
        <f>DO120*VLOOKUP('Données projet'!$B$14,Paramètres!$A$1:$I$89,3,0)*VLOOKUP('Données projet'!$B$14,Paramètres!$A$1:$I$89,5,0)</f>
        <v>138.87380000000016</v>
      </c>
      <c r="DQ120" s="14">
        <f t="shared" si="97"/>
        <v>36.038887738309072</v>
      </c>
      <c r="DR120" s="22">
        <f t="shared" si="70"/>
        <v>304.63959781088852</v>
      </c>
      <c r="DS120" s="62">
        <f t="shared" si="71"/>
        <v>597.97293114422177</v>
      </c>
      <c r="DT120" s="62">
        <f ca="1">AVERAGE(OFFSET($DS$3,0,0,'Données projet'!$E$14+1,1))-AVERAGE(OFFSET($H$3,0,0,'Données projet'!$E$14+1,1))</f>
        <v>154.0837760161366</v>
      </c>
      <c r="DU120" s="62">
        <f t="shared" si="98"/>
        <v>96.484500841546037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20.030166575757967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20.030166575757967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-5.6843418860808015E-14</v>
      </c>
      <c r="EK120" s="18">
        <f>EJ120*VLOOKUP('Données projet'!$B$15,Paramètres!$A$1:$I$89,3,0)*VLOOKUP('Données projet'!$B$15,Paramètres!$A$1:$I$89,5,0)</f>
        <v>-3.813056537183002E-14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205.35893113421139</v>
      </c>
      <c r="EP120" s="62">
        <f t="shared" si="100"/>
        <v>220.4399811285175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38.069099504396711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38.069099504396711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-5.6843418860808015E-14</v>
      </c>
      <c r="FF120" s="18">
        <f>FE120*VLOOKUP('Données projet'!$B$16,Paramètres!$A$1:$I$89,3,0)*VLOOKUP('Données projet'!$B$16,Paramètres!$A$1:$I$89,5,0)</f>
        <v>-4.4337866711430253E-14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242.81177364426878</v>
      </c>
      <c r="FK120" s="62">
        <f t="shared" si="102"/>
        <v>260.72115764896671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35.914244815468599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35.914244815468599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-5.6843418860808015E-14</v>
      </c>
      <c r="GA120" s="18">
        <f>FZ120*VLOOKUP('Données projet'!$B$17,Paramètres!$A$1:$I$89,3,0)*VLOOKUP('Données projet'!$B$17,Paramètres!$A$1:$I$89,5,0)</f>
        <v>-4.5224624045658861E-14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248.15263300983543</v>
      </c>
      <c r="GF120" s="62">
        <f t="shared" si="104"/>
        <v>266.46511459244618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45.151722668005377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45.151722668005377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382.55387448074327</v>
      </c>
      <c r="T121" s="62">
        <f t="shared" si="88"/>
        <v>476.29465646955543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82.051572798661212</v>
      </c>
      <c r="AA121" s="23">
        <f>EXP(-LN(2)/25)*AA120+(1-EXP(-LN(2)/25))/(LN(2)/25)*Calculateur!V121*Calculateur!X121*VLOOKUP('Données projet'!$B$9,Paramètres!$A$1:$I$89,3,0)*0.475*44/12</f>
        <v>12.9021087873565</v>
      </c>
      <c r="AB121" s="23">
        <f>EXP(-LN(2)/2)*AB120+(1-EXP(-LN(2)/2))/(LN(2)/2)*V121*Y121*VLOOKUP('Données projet'!$B$9,Paramètres!$A$1:$I$89,3,0)*0.475*44/12</f>
        <v>1.0490575878938528E-7</v>
      </c>
      <c r="AC121" s="24">
        <f t="shared" si="57"/>
        <v>94.953681690923474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-1.7053025658242404E-13</v>
      </c>
      <c r="AJ121" s="14">
        <f>AI121*VLOOKUP('Données projet'!$B$10,Paramètres!$A$1:$I$89,3,0)*VLOOKUP('Données projet'!$B$10,Paramètres!$A$1:$I$89,5,0)</f>
        <v>-1.064108801074326E-13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482.28841373508675</v>
      </c>
      <c r="AO121" s="62">
        <f t="shared" si="90"/>
        <v>746.97309214631684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153.41335255044072</v>
      </c>
      <c r="AV121" s="23">
        <f>EXP(-LN(2)/25)*AV120+(1-EXP(-LN(2)/25))/(LN(2)/25)*Calculateur!AQ121*Calculateur!AS121*VLOOKUP('Données projet'!$B$10,Paramètres!$A$1:$I$89,3,0)*0.475*44/12</f>
        <v>24.191999587843522</v>
      </c>
      <c r="AW121" s="23">
        <f>EXP(-LN(2)/2)*AW120+(1-EXP(-LN(2)/2))/(LN(2)/2)*AQ121*AT121*VLOOKUP('Données projet'!$B$10,Paramètres!$A$1:$I$89,3,0)*0.475*44/12</f>
        <v>3.9184934807368832E-5</v>
      </c>
      <c r="AX121" s="23">
        <f t="shared" si="60"/>
        <v>177.60539132321907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-1.7053025658242404E-13</v>
      </c>
      <c r="BE121" s="14">
        <f>BD121*VLOOKUP('Données projet'!$B$11,Paramètres!$A$1:$I$89,3,0)*VLOOKUP('Données projet'!$B$11,Paramètres!$A$1:$I$89,5,0)</f>
        <v>-9.3109520094003535E-14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417.99456559608217</v>
      </c>
      <c r="BJ121" s="62">
        <f t="shared" si="92"/>
        <v>651.41353014863932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134.23668348163565</v>
      </c>
      <c r="BQ121" s="23">
        <f>EXP(-LN(2)/25)*BQ120+(1-EXP(-LN(2)/25))/(LN(2)/25)*Calculateur!BL121*Calculateur!BN121*VLOOKUP('Données projet'!$B$11,Paramètres!$A$1:$I$89,3,0)*0.475*44/12</f>
        <v>21.419999635069779</v>
      </c>
      <c r="BR121" s="23">
        <f>EXP(-LN(2)/2)*BR120+(1-EXP(-LN(2)/2))/(LN(2)/2)*BL121*BO121*VLOOKUP('Données projet'!$B$11,Paramètres!$A$1:$I$89,3,0)*0.475*44/12</f>
        <v>3.3767320714683344E-5</v>
      </c>
      <c r="BS121" s="24">
        <f t="shared" si="63"/>
        <v>155.65671688402614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4.666666666666667</v>
      </c>
      <c r="BY121" s="13">
        <f>IF('Données projet'!$A$114&gt;35,BY120+BX121-CG120,IF(A121&lt;'Données projet'!$A$114,$BV$205^A121,IF(A121='Données projet'!$A$114,'Données projet'!$B$114,BY120+BX121-CG120)))</f>
        <v>206.66666666666666</v>
      </c>
      <c r="BZ121" s="14">
        <f>BY121*VLOOKUP('Données projet'!$B$12,Paramètres!$A$1:$I$89,3,0)*VLOOKUP('Données projet'!$B$12,Paramètres!$A$1:$I$89,5,0)</f>
        <v>186.99199999999996</v>
      </c>
      <c r="CA121" s="14">
        <f t="shared" si="93"/>
        <v>46.87431036526138</v>
      </c>
      <c r="CB121" s="22">
        <f t="shared" si="64"/>
        <v>407.31715721949678</v>
      </c>
      <c r="CC121" s="62">
        <f t="shared" si="65"/>
        <v>700.65049055283009</v>
      </c>
      <c r="CD121" s="62">
        <f ca="1">AVERAGE(OFFSET($CC$3,0,0,'Données projet'!$E$12+1,1))-AVERAGE(OFFSET($H$3,0,0,'Données projet'!$E$12+1,1))</f>
        <v>213.07277043804817</v>
      </c>
      <c r="CE121" s="62">
        <f t="shared" si="94"/>
        <v>129.14539883354166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42.575639657855007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42.575639657855007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4.666666666666667</v>
      </c>
      <c r="CT121" s="13">
        <f>IF('Données projet'!$A$140&gt;35,CT120+CS121-DB120,IF(A121&lt;'Données projet'!$A$140,$CQ$205^A121,IF(A121='Données projet'!$A$140,'Données projet'!$B$140,CT120+CS121-DB120)))</f>
        <v>206.66666666666666</v>
      </c>
      <c r="CU121" s="18">
        <f>CT121*VLOOKUP('Données projet'!$B$13,Paramètres!$A$1:$I$89,3,0)*VLOOKUP('Données projet'!$B$13,Paramètres!$A$1:$I$89,5,0)</f>
        <v>209.56000000000003</v>
      </c>
      <c r="CV121" s="14">
        <f t="shared" si="95"/>
        <v>51.839422893973833</v>
      </c>
      <c r="CW121" s="22">
        <f t="shared" si="67"/>
        <v>455.2706615403377</v>
      </c>
      <c r="CX121" s="62">
        <f t="shared" si="68"/>
        <v>748.60399487367101</v>
      </c>
      <c r="CY121" s="62">
        <f ca="1">AVERAGE(OFFSET($CX$3,0,0,'Données projet'!$E$13+1,1))-AVERAGE(OFFSET($H$3,0,0,'Données projet'!$E$13+1,1))</f>
        <v>247.92503505485405</v>
      </c>
      <c r="CZ121" s="62">
        <f t="shared" si="96"/>
        <v>148.26437652597514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47.714078926906481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47.714078926906481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3.0833333333333335</v>
      </c>
      <c r="DO121" s="13">
        <f>IF('Données projet'!$A$166&gt;35,DO120+DN121-DW120,IF(A121&lt;'Données projet'!$A$166,$DL$205^A121,IF(A121='Données projet'!$A$166,'Données projet'!$B$166,DO120+DN121-DW120)))</f>
        <v>146.66666666666683</v>
      </c>
      <c r="DP121" s="18">
        <f>DO121*VLOOKUP('Données projet'!$B$14,Paramètres!$A$1:$I$89,3,0)*VLOOKUP('Données projet'!$B$14,Paramètres!$A$1:$I$89,5,0)</f>
        <v>141.85600000000017</v>
      </c>
      <c r="DQ121" s="14">
        <f t="shared" si="97"/>
        <v>36.721862582345246</v>
      </c>
      <c r="DR121" s="22">
        <f t="shared" si="70"/>
        <v>311.02311066425153</v>
      </c>
      <c r="DS121" s="62">
        <f t="shared" si="71"/>
        <v>604.35644399758485</v>
      </c>
      <c r="DT121" s="62">
        <f ca="1">AVERAGE(OFFSET($DS$3,0,0,'Données projet'!$E$14+1,1))-AVERAGE(OFFSET($H$3,0,0,'Données projet'!$E$14+1,1))</f>
        <v>154.0837760161366</v>
      </c>
      <c r="DU121" s="62">
        <f t="shared" si="98"/>
        <v>96.484500841546037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19.637387226402616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19.637387226402616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-5.6843418860808015E-14</v>
      </c>
      <c r="EK121" s="18">
        <f>EJ121*VLOOKUP('Données projet'!$B$15,Paramètres!$A$1:$I$89,3,0)*VLOOKUP('Données projet'!$B$15,Paramètres!$A$1:$I$89,5,0)</f>
        <v>-3.813056537183002E-14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205.35893113421139</v>
      </c>
      <c r="EP121" s="62">
        <f t="shared" si="100"/>
        <v>220.4399811285175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37.32258768297342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37.32258768297342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-5.6843418860808015E-14</v>
      </c>
      <c r="FF121" s="18">
        <f>FE121*VLOOKUP('Données projet'!$B$16,Paramètres!$A$1:$I$89,3,0)*VLOOKUP('Données projet'!$B$16,Paramètres!$A$1:$I$89,5,0)</f>
        <v>-4.4337866711430253E-14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242.81177364426878</v>
      </c>
      <c r="FK121" s="62">
        <f t="shared" si="102"/>
        <v>260.72115764896671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35.209988380163608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35.209988380163608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-5.6843418860808015E-14</v>
      </c>
      <c r="GA121" s="18">
        <f>FZ121*VLOOKUP('Données projet'!$B$17,Paramètres!$A$1:$I$89,3,0)*VLOOKUP('Données projet'!$B$17,Paramètres!$A$1:$I$89,5,0)</f>
        <v>-4.5224624045658861E-14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248.15263300983543</v>
      </c>
      <c r="GF121" s="62">
        <f t="shared" si="104"/>
        <v>266.46511459244618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44.266324926317289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44.266324926317289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382.55387448074327</v>
      </c>
      <c r="T122" s="62">
        <f t="shared" si="88"/>
        <v>476.29465646955543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80.442591502597196</v>
      </c>
      <c r="AA122" s="23">
        <f>EXP(-LN(2)/25)*AA121+(1-EXP(-LN(2)/25))/(LN(2)/25)*Calculateur!V122*Calculateur!X122*VLOOKUP('Données projet'!$B$9,Paramètres!$A$1:$I$89,3,0)*0.475*44/12</f>
        <v>12.549299944073823</v>
      </c>
      <c r="AB122" s="23">
        <f>EXP(-LN(2)/2)*AB121+(1-EXP(-LN(2)/2))/(LN(2)/2)*V122*Y122*VLOOKUP('Données projet'!$B$9,Paramètres!$A$1:$I$89,3,0)*0.475*44/12</f>
        <v>7.4179573425494593E-8</v>
      </c>
      <c r="AC122" s="24">
        <f t="shared" si="57"/>
        <v>92.991891520850587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-1.7053025658242404E-13</v>
      </c>
      <c r="AJ122" s="14">
        <f>AI122*VLOOKUP('Données projet'!$B$10,Paramètres!$A$1:$I$89,3,0)*VLOOKUP('Données projet'!$B$10,Paramètres!$A$1:$I$89,5,0)</f>
        <v>-1.064108801074326E-13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482.28841373508675</v>
      </c>
      <c r="AO122" s="62">
        <f t="shared" si="90"/>
        <v>746.97309214631684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150.40501027983208</v>
      </c>
      <c r="AV122" s="23">
        <f>EXP(-LN(2)/25)*AV121+(1-EXP(-LN(2)/25))/(LN(2)/25)*Calculateur!AQ122*Calculateur!AS122*VLOOKUP('Données projet'!$B$10,Paramètres!$A$1:$I$89,3,0)*0.475*44/12</f>
        <v>23.530468086911974</v>
      </c>
      <c r="AW122" s="23">
        <f>EXP(-LN(2)/2)*AW121+(1-EXP(-LN(2)/2))/(LN(2)/2)*AQ122*AT122*VLOOKUP('Données projet'!$B$10,Paramètres!$A$1:$I$89,3,0)*0.475*44/12</f>
        <v>2.7707933122643283E-5</v>
      </c>
      <c r="AX122" s="23">
        <f t="shared" si="60"/>
        <v>173.93550607467719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-1.7053025658242404E-13</v>
      </c>
      <c r="BE122" s="14">
        <f>BD122*VLOOKUP('Données projet'!$B$11,Paramètres!$A$1:$I$89,3,0)*VLOOKUP('Données projet'!$B$11,Paramètres!$A$1:$I$89,5,0)</f>
        <v>-9.3109520094003535E-14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417.99456559608217</v>
      </c>
      <c r="BJ122" s="62">
        <f t="shared" si="92"/>
        <v>651.41353014863932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131.60438399485309</v>
      </c>
      <c r="BQ122" s="23">
        <f>EXP(-LN(2)/25)*BQ121+(1-EXP(-LN(2)/25))/(LN(2)/25)*Calculateur!BL122*Calculateur!BN122*VLOOKUP('Données projet'!$B$11,Paramètres!$A$1:$I$89,3,0)*0.475*44/12</f>
        <v>20.834268618619969</v>
      </c>
      <c r="BR122" s="23">
        <f>EXP(-LN(2)/2)*BR121+(1-EXP(-LN(2)/2))/(LN(2)/2)*BL122*BO122*VLOOKUP('Données projet'!$B$11,Paramètres!$A$1:$I$89,3,0)*0.475*44/12</f>
        <v>2.3877101459853569E-5</v>
      </c>
      <c r="BS122" s="24">
        <f t="shared" si="63"/>
        <v>152.43867649057452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4.666666666666667</v>
      </c>
      <c r="BY122" s="13">
        <f>IF('Données projet'!$A$114&gt;35,BY121+BX122-CG121,IF(A122&lt;'Données projet'!$A$114,$BV$205^A122,IF(A122='Données projet'!$A$114,'Données projet'!$B$114,BY121+BX122-CG121)))</f>
        <v>211.33333333333331</v>
      </c>
      <c r="BZ122" s="14">
        <f>BY122*VLOOKUP('Données projet'!$B$12,Paramètres!$A$1:$I$89,3,0)*VLOOKUP('Données projet'!$B$12,Paramètres!$A$1:$I$89,5,0)</f>
        <v>191.21439999999996</v>
      </c>
      <c r="CA122" s="14">
        <f t="shared" si="93"/>
        <v>47.808339811368604</v>
      </c>
      <c r="CB122" s="22">
        <f t="shared" si="64"/>
        <v>416.29793850480019</v>
      </c>
      <c r="CC122" s="62">
        <f t="shared" si="65"/>
        <v>709.63127183813344</v>
      </c>
      <c r="CD122" s="62">
        <f ca="1">AVERAGE(OFFSET($CC$3,0,0,'Données projet'!$E$12+1,1))-AVERAGE(OFFSET($H$3,0,0,'Données projet'!$E$12+1,1))</f>
        <v>213.07277043804817</v>
      </c>
      <c r="CE122" s="62">
        <f t="shared" si="94"/>
        <v>129.14539883354166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41.740757332740479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41.740757332740479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4.666666666666667</v>
      </c>
      <c r="CT122" s="13">
        <f>IF('Données projet'!$A$140&gt;35,CT121+CS122-DB121,IF(A122&lt;'Données projet'!$A$140,$CQ$205^A122,IF(A122='Données projet'!$A$140,'Données projet'!$B$140,CT121+CS122-DB121)))</f>
        <v>211.33333333333331</v>
      </c>
      <c r="CU122" s="18">
        <f>CT122*VLOOKUP('Données projet'!$B$13,Paramètres!$A$1:$I$89,3,0)*VLOOKUP('Données projet'!$B$13,Paramètres!$A$1:$I$89,5,0)</f>
        <v>214.29199999999997</v>
      </c>
      <c r="CV122" s="14">
        <f t="shared" si="95"/>
        <v>52.87238843682394</v>
      </c>
      <c r="CW122" s="22">
        <f t="shared" si="67"/>
        <v>465.31130986080166</v>
      </c>
      <c r="CX122" s="62">
        <f t="shared" si="68"/>
        <v>758.64464319413491</v>
      </c>
      <c r="CY122" s="62">
        <f ca="1">AVERAGE(OFFSET($CX$3,0,0,'Données projet'!$E$13+1,1))-AVERAGE(OFFSET($H$3,0,0,'Données projet'!$E$13+1,1))</f>
        <v>247.92503505485405</v>
      </c>
      <c r="CZ122" s="62">
        <f t="shared" si="96"/>
        <v>148.26437652597514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46.778434941864333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46.778434941864333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3.0833333333333335</v>
      </c>
      <c r="DO122" s="13">
        <f>IF('Données projet'!$A$166&gt;35,DO121+DN122-DW121,IF(A122&lt;'Données projet'!$A$166,$DL$205^A122,IF(A122='Données projet'!$A$166,'Données projet'!$B$166,DO121+DN122-DW121)))</f>
        <v>149.75000000000017</v>
      </c>
      <c r="DP122" s="18">
        <f>DO122*VLOOKUP('Données projet'!$B$14,Paramètres!$A$1:$I$89,3,0)*VLOOKUP('Données projet'!$B$14,Paramètres!$A$1:$I$89,5,0)</f>
        <v>144.83820000000017</v>
      </c>
      <c r="DQ122" s="14">
        <f t="shared" si="97"/>
        <v>37.40316806908951</v>
      </c>
      <c r="DR122" s="22">
        <f t="shared" si="70"/>
        <v>317.40371605366448</v>
      </c>
      <c r="DS122" s="62">
        <f t="shared" si="71"/>
        <v>610.7370493869978</v>
      </c>
      <c r="DT122" s="62">
        <f ca="1">AVERAGE(OFFSET($DS$3,0,0,'Données projet'!$E$14+1,1))-AVERAGE(OFFSET($H$3,0,0,'Données projet'!$E$14+1,1))</f>
        <v>154.0837760161366</v>
      </c>
      <c r="DU122" s="62">
        <f t="shared" si="98"/>
        <v>96.484500841546037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19.252310040516377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19.252310040516377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-5.6843418860808015E-14</v>
      </c>
      <c r="EK122" s="18">
        <f>EJ122*VLOOKUP('Données projet'!$B$15,Paramètres!$A$1:$I$89,3,0)*VLOOKUP('Données projet'!$B$15,Paramètres!$A$1:$I$89,5,0)</f>
        <v>-3.813056537183002E-14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205.35893113421139</v>
      </c>
      <c r="EP122" s="62">
        <f t="shared" si="100"/>
        <v>220.4399811285175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36.590714503040985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36.590714503040985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-5.6843418860808015E-14</v>
      </c>
      <c r="FF122" s="18">
        <f>FE122*VLOOKUP('Données projet'!$B$16,Paramètres!$A$1:$I$89,3,0)*VLOOKUP('Données projet'!$B$16,Paramètres!$A$1:$I$89,5,0)</f>
        <v>-4.4337866711430253E-14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242.81177364426878</v>
      </c>
      <c r="FK122" s="62">
        <f t="shared" si="102"/>
        <v>260.72115764896671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34.519541984000938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34.519541984000938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-5.6843418860808015E-14</v>
      </c>
      <c r="GA122" s="18">
        <f>FZ122*VLOOKUP('Données projet'!$B$17,Paramètres!$A$1:$I$89,3,0)*VLOOKUP('Données projet'!$B$17,Paramètres!$A$1:$I$89,5,0)</f>
        <v>-4.5224624045658861E-14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248.15263300983543</v>
      </c>
      <c r="GF122" s="62">
        <f t="shared" si="104"/>
        <v>266.46511459244618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43.398289294304405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43.398289294304405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382.55387448074327</v>
      </c>
      <c r="T123" s="62">
        <f t="shared" si="88"/>
        <v>476.29465646955543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78.865161348367309</v>
      </c>
      <c r="AA123" s="23">
        <f>EXP(-LN(2)/25)*AA122+(1-EXP(-LN(2)/25))/(LN(2)/25)*Calculateur!V123*Calculateur!X123*VLOOKUP('Données projet'!$B$9,Paramètres!$A$1:$I$89,3,0)*0.475*44/12</f>
        <v>12.206138677164121</v>
      </c>
      <c r="AB123" s="23">
        <f>EXP(-LN(2)/2)*AB122+(1-EXP(-LN(2)/2))/(LN(2)/2)*V123*Y123*VLOOKUP('Données projet'!$B$9,Paramètres!$A$1:$I$89,3,0)*0.475*44/12</f>
        <v>5.2452879394692642E-8</v>
      </c>
      <c r="AC123" s="24">
        <f t="shared" si="57"/>
        <v>91.071300077984304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-1.7053025658242404E-13</v>
      </c>
      <c r="AJ123" s="14">
        <f>AI123*VLOOKUP('Données projet'!$B$10,Paramètres!$A$1:$I$89,3,0)*VLOOKUP('Données projet'!$B$10,Paramètres!$A$1:$I$89,5,0)</f>
        <v>-1.064108801074326E-13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482.28841373508675</v>
      </c>
      <c r="AO123" s="62">
        <f t="shared" si="90"/>
        <v>746.97309214631684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147.45565976624246</v>
      </c>
      <c r="AV123" s="23">
        <f>EXP(-LN(2)/25)*AV122+(1-EXP(-LN(2)/25))/(LN(2)/25)*Calculateur!AQ123*Calculateur!AS123*VLOOKUP('Données projet'!$B$10,Paramètres!$A$1:$I$89,3,0)*0.475*44/12</f>
        <v>22.887026199661829</v>
      </c>
      <c r="AW123" s="23">
        <f>EXP(-LN(2)/2)*AW122+(1-EXP(-LN(2)/2))/(LN(2)/2)*AQ123*AT123*VLOOKUP('Données projet'!$B$10,Paramètres!$A$1:$I$89,3,0)*0.475*44/12</f>
        <v>1.9592467403684416E-5</v>
      </c>
      <c r="AX123" s="23">
        <f t="shared" si="60"/>
        <v>170.34270555837168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-1.7053025658242404E-13</v>
      </c>
      <c r="BE123" s="14">
        <f>BD123*VLOOKUP('Données projet'!$B$11,Paramètres!$A$1:$I$89,3,0)*VLOOKUP('Données projet'!$B$11,Paramètres!$A$1:$I$89,5,0)</f>
        <v>-9.3109520094003535E-14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417.99456559608217</v>
      </c>
      <c r="BJ123" s="62">
        <f t="shared" si="92"/>
        <v>651.41353014863932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129.02370229546219</v>
      </c>
      <c r="BQ123" s="23">
        <f>EXP(-LN(2)/25)*BQ122+(1-EXP(-LN(2)/25))/(LN(2)/25)*Calculateur!BL123*Calculateur!BN123*VLOOKUP('Données projet'!$B$11,Paramètres!$A$1:$I$89,3,0)*0.475*44/12</f>
        <v>20.264554447617236</v>
      </c>
      <c r="BR123" s="23">
        <f>EXP(-LN(2)/2)*BR122+(1-EXP(-LN(2)/2))/(LN(2)/2)*BL123*BO123*VLOOKUP('Données projet'!$B$11,Paramètres!$A$1:$I$89,3,0)*0.475*44/12</f>
        <v>1.6883660357341672E-5</v>
      </c>
      <c r="BS123" s="24">
        <f t="shared" si="63"/>
        <v>149.28827362673977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4.666666666666667</v>
      </c>
      <c r="BY123" s="13">
        <f>IF('Données projet'!$A$114&gt;35,BY122+BX123-CG122,IF(A123&lt;'Données projet'!$A$114,$BV$205^A123,IF(A123='Données projet'!$A$114,'Données projet'!$B$114,BY122+BX123-CG122)))</f>
        <v>215.99999999999997</v>
      </c>
      <c r="BZ123" s="14">
        <f>BY123*VLOOKUP('Données projet'!$B$12,Paramètres!$A$1:$I$89,3,0)*VLOOKUP('Données projet'!$B$12,Paramètres!$A$1:$I$89,5,0)</f>
        <v>195.43679999999998</v>
      </c>
      <c r="CA123" s="14">
        <f t="shared" si="93"/>
        <v>48.739971354487849</v>
      </c>
      <c r="CB123" s="22">
        <f t="shared" si="64"/>
        <v>425.27454344239959</v>
      </c>
      <c r="CC123" s="62">
        <f t="shared" si="65"/>
        <v>718.60787677573285</v>
      </c>
      <c r="CD123" s="62">
        <f ca="1">AVERAGE(OFFSET($CC$3,0,0,'Données projet'!$E$12+1,1))-AVERAGE(OFFSET($H$3,0,0,'Données projet'!$E$12+1,1))</f>
        <v>213.07277043804817</v>
      </c>
      <c r="CE123" s="62">
        <f t="shared" si="94"/>
        <v>129.14539883354166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40.922246540793509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40.922246540793509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4.666666666666667</v>
      </c>
      <c r="CT123" s="13">
        <f>IF('Données projet'!$A$140&gt;35,CT122+CS123-DB122,IF(A123&lt;'Données projet'!$A$140,$CQ$205^A123,IF(A123='Données projet'!$A$140,'Données projet'!$B$140,CT122+CS123-DB122)))</f>
        <v>215.99999999999997</v>
      </c>
      <c r="CU123" s="18">
        <f>CT123*VLOOKUP('Données projet'!$B$13,Paramètres!$A$1:$I$89,3,0)*VLOOKUP('Données projet'!$B$13,Paramètres!$A$1:$I$89,5,0)</f>
        <v>219.02399999999997</v>
      </c>
      <c r="CV123" s="14">
        <f t="shared" si="95"/>
        <v>53.902702081308355</v>
      </c>
      <c r="CW123" s="22">
        <f t="shared" si="67"/>
        <v>475.34733945827867</v>
      </c>
      <c r="CX123" s="62">
        <f t="shared" si="68"/>
        <v>768.68067279161198</v>
      </c>
      <c r="CY123" s="62">
        <f ca="1">AVERAGE(OFFSET($CX$3,0,0,'Données projet'!$E$13+1,1))-AVERAGE(OFFSET($H$3,0,0,'Données projet'!$E$13+1,1))</f>
        <v>247.92503505485405</v>
      </c>
      <c r="CZ123" s="62">
        <f t="shared" si="96"/>
        <v>148.26437652597514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45.861138364682382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45.861138364682382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3.0833333333333335</v>
      </c>
      <c r="DO123" s="13">
        <f>IF('Données projet'!$A$166&gt;35,DO122+DN123-DW122,IF(A123&lt;'Données projet'!$A$166,$DL$205^A123,IF(A123='Données projet'!$A$166,'Données projet'!$B$166,DO122+DN123-DW122)))</f>
        <v>152.83333333333351</v>
      </c>
      <c r="DP123" s="18">
        <f>DO123*VLOOKUP('Données projet'!$B$14,Paramètres!$A$1:$I$89,3,0)*VLOOKUP('Données projet'!$B$14,Paramètres!$A$1:$I$89,5,0)</f>
        <v>147.82040000000018</v>
      </c>
      <c r="DQ123" s="14">
        <f t="shared" si="97"/>
        <v>38.082842530799908</v>
      </c>
      <c r="DR123" s="22">
        <f t="shared" si="70"/>
        <v>323.78148074114341</v>
      </c>
      <c r="DS123" s="62">
        <f t="shared" si="71"/>
        <v>617.11481407447673</v>
      </c>
      <c r="DT123" s="62">
        <f ca="1">AVERAGE(OFFSET($DS$3,0,0,'Données projet'!$E$14+1,1))-AVERAGE(OFFSET($H$3,0,0,'Données projet'!$E$14+1,1))</f>
        <v>154.0837760161366</v>
      </c>
      <c r="DU123" s="62">
        <f t="shared" si="98"/>
        <v>96.484500841546037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18.874783983371476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18.874783983371476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-5.6843418860808015E-14</v>
      </c>
      <c r="EK123" s="18">
        <f>EJ123*VLOOKUP('Données projet'!$B$15,Paramètres!$A$1:$I$89,3,0)*VLOOKUP('Données projet'!$B$15,Paramètres!$A$1:$I$89,5,0)</f>
        <v>-3.813056537183002E-14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205.35893113421139</v>
      </c>
      <c r="EP123" s="62">
        <f t="shared" si="100"/>
        <v>220.4399811285175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35.873192909768463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35.873192909768463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-5.6843418860808015E-14</v>
      </c>
      <c r="FF123" s="18">
        <f>FE123*VLOOKUP('Données projet'!$B$16,Paramètres!$A$1:$I$89,3,0)*VLOOKUP('Données projet'!$B$16,Paramètres!$A$1:$I$89,5,0)</f>
        <v>-4.4337866711430253E-14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242.81177364426878</v>
      </c>
      <c r="FK123" s="62">
        <f t="shared" si="102"/>
        <v>260.72115764896671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33.842634820536297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33.842634820536297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-5.6843418860808015E-14</v>
      </c>
      <c r="GA123" s="18">
        <f>FZ123*VLOOKUP('Données projet'!$B$17,Paramètres!$A$1:$I$89,3,0)*VLOOKUP('Données projet'!$B$17,Paramètres!$A$1:$I$89,5,0)</f>
        <v>-4.5224624045658861E-14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248.15263300983543</v>
      </c>
      <c r="GF123" s="62">
        <f t="shared" si="104"/>
        <v>266.46511459244618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42.547275311585835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42.547275311585835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382.55387448074327</v>
      </c>
      <c r="T124" s="62">
        <f t="shared" si="88"/>
        <v>476.29465646955543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77.318663637324477</v>
      </c>
      <c r="AA124" s="23">
        <f>EXP(-LN(2)/25)*AA123+(1-EXP(-LN(2)/25))/(LN(2)/25)*Calculateur!V124*Calculateur!X124*VLOOKUP('Données projet'!$B$9,Paramètres!$A$1:$I$89,3,0)*0.475*44/12</f>
        <v>11.872361173144133</v>
      </c>
      <c r="AB124" s="23">
        <f>EXP(-LN(2)/2)*AB123+(1-EXP(-LN(2)/2))/(LN(2)/2)*V124*Y124*VLOOKUP('Données projet'!$B$9,Paramètres!$A$1:$I$89,3,0)*0.475*44/12</f>
        <v>3.7089786712747296E-8</v>
      </c>
      <c r="AC124" s="24">
        <f t="shared" si="57"/>
        <v>89.191024847558396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-1.7053025658242404E-13</v>
      </c>
      <c r="AJ124" s="14">
        <f>AI124*VLOOKUP('Données projet'!$B$10,Paramètres!$A$1:$I$89,3,0)*VLOOKUP('Données projet'!$B$10,Paramètres!$A$1:$I$89,5,0)</f>
        <v>-1.064108801074326E-13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482.28841373508675</v>
      </c>
      <c r="AO124" s="62">
        <f t="shared" si="90"/>
        <v>746.97309214631684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144.56414421729815</v>
      </c>
      <c r="AV124" s="23">
        <f>EXP(-LN(2)/25)*AV123+(1-EXP(-LN(2)/25))/(LN(2)/25)*Calculateur!AQ124*Calculateur!AS124*VLOOKUP('Données projet'!$B$10,Paramètres!$A$1:$I$89,3,0)*0.475*44/12</f>
        <v>22.261179264655677</v>
      </c>
      <c r="AW124" s="23">
        <f>EXP(-LN(2)/2)*AW123+(1-EXP(-LN(2)/2))/(LN(2)/2)*AQ124*AT124*VLOOKUP('Données projet'!$B$10,Paramètres!$A$1:$I$89,3,0)*0.475*44/12</f>
        <v>1.3853966561321641E-5</v>
      </c>
      <c r="AX124" s="23">
        <f t="shared" si="60"/>
        <v>166.82533733592038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-1.7053025658242404E-13</v>
      </c>
      <c r="BE124" s="14">
        <f>BD124*VLOOKUP('Données projet'!$B$11,Paramètres!$A$1:$I$89,3,0)*VLOOKUP('Données projet'!$B$11,Paramètres!$A$1:$I$89,5,0)</f>
        <v>-9.3109520094003535E-14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417.99456559608217</v>
      </c>
      <c r="BJ124" s="62">
        <f t="shared" si="92"/>
        <v>651.41353014863932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126.49362619013593</v>
      </c>
      <c r="BQ124" s="23">
        <f>EXP(-LN(2)/25)*BQ123+(1-EXP(-LN(2)/25))/(LN(2)/25)*Calculateur!BL124*Calculateur!BN124*VLOOKUP('Données projet'!$B$11,Paramètres!$A$1:$I$89,3,0)*0.475*44/12</f>
        <v>19.710419140580541</v>
      </c>
      <c r="BR124" s="23">
        <f>EXP(-LN(2)/2)*BR123+(1-EXP(-LN(2)/2))/(LN(2)/2)*BL124*BO124*VLOOKUP('Données projet'!$B$11,Paramètres!$A$1:$I$89,3,0)*0.475*44/12</f>
        <v>1.1938550729926784E-5</v>
      </c>
      <c r="BS124" s="24">
        <f t="shared" si="63"/>
        <v>146.2040572692672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4.666666666666667</v>
      </c>
      <c r="BY124" s="13">
        <f>IF('Données projet'!$A$114&gt;35,BY123+BX124-CG123,IF(A124&lt;'Données projet'!$A$114,$BV$205^A124,IF(A124='Données projet'!$A$114,'Données projet'!$B$114,BY123+BX124-CG123)))</f>
        <v>220.66666666666663</v>
      </c>
      <c r="BZ124" s="14">
        <f>BY124*VLOOKUP('Données projet'!$B$12,Paramètres!$A$1:$I$89,3,0)*VLOOKUP('Données projet'!$B$12,Paramètres!$A$1:$I$89,5,0)</f>
        <v>199.65919999999997</v>
      </c>
      <c r="CA124" s="14">
        <f t="shared" si="93"/>
        <v>49.66926276786149</v>
      </c>
      <c r="CB124" s="22">
        <f t="shared" si="64"/>
        <v>434.24707265402532</v>
      </c>
      <c r="CC124" s="62">
        <f t="shared" si="65"/>
        <v>727.58040598735863</v>
      </c>
      <c r="CD124" s="62">
        <f ca="1">AVERAGE(OFFSET($CC$3,0,0,'Données projet'!$E$12+1,1))-AVERAGE(OFFSET($H$3,0,0,'Données projet'!$E$12+1,1))</f>
        <v>213.07277043804817</v>
      </c>
      <c r="CE124" s="62">
        <f t="shared" si="94"/>
        <v>129.14539883354166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40.119786246234334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40.119786246234334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4.666666666666667</v>
      </c>
      <c r="CT124" s="13">
        <f>IF('Données projet'!$A$140&gt;35,CT123+CS124-DB123,IF(A124&lt;'Données projet'!$A$140,$CQ$205^A124,IF(A124='Données projet'!$A$140,'Données projet'!$B$140,CT123+CS124-DB123)))</f>
        <v>220.66666666666663</v>
      </c>
      <c r="CU124" s="18">
        <f>CT124*VLOOKUP('Données projet'!$B$13,Paramètres!$A$1:$I$89,3,0)*VLOOKUP('Données projet'!$B$13,Paramètres!$A$1:$I$89,5,0)</f>
        <v>223.75599999999997</v>
      </c>
      <c r="CV124" s="14">
        <f t="shared" si="95"/>
        <v>54.930427720239869</v>
      </c>
      <c r="CW124" s="22">
        <f t="shared" si="67"/>
        <v>485.37886161275105</v>
      </c>
      <c r="CX124" s="62">
        <f t="shared" si="68"/>
        <v>778.71219494608431</v>
      </c>
      <c r="CY124" s="62">
        <f ca="1">AVERAGE(OFFSET($CX$3,0,0,'Données projet'!$E$13+1,1))-AVERAGE(OFFSET($H$3,0,0,'Données projet'!$E$13+1,1))</f>
        <v>247.92503505485405</v>
      </c>
      <c r="CZ124" s="62">
        <f t="shared" si="96"/>
        <v>148.26437652597514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44.961829413883308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44.961829413883308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3.0833333333333335</v>
      </c>
      <c r="DO124" s="13">
        <f>IF('Données projet'!$A$166&gt;35,DO123+DN124-DW123,IF(A124&lt;'Données projet'!$A$166,$DL$205^A124,IF(A124='Données projet'!$A$166,'Données projet'!$B$166,DO123+DN124-DW123)))</f>
        <v>155.91666666666686</v>
      </c>
      <c r="DP124" s="18">
        <f>DO124*VLOOKUP('Données projet'!$B$14,Paramètres!$A$1:$I$89,3,0)*VLOOKUP('Données projet'!$B$14,Paramètres!$A$1:$I$89,5,0)</f>
        <v>150.80260000000018</v>
      </c>
      <c r="DQ124" s="14">
        <f t="shared" si="97"/>
        <v>38.760922664638876</v>
      </c>
      <c r="DR124" s="22">
        <f t="shared" si="70"/>
        <v>330.15646864091303</v>
      </c>
      <c r="DS124" s="62">
        <f t="shared" si="71"/>
        <v>623.48980197424635</v>
      </c>
      <c r="DT124" s="62">
        <f ca="1">AVERAGE(OFFSET($DS$3,0,0,'Données projet'!$E$14+1,1))-AVERAGE(OFFSET($H$3,0,0,'Données projet'!$E$14+1,1))</f>
        <v>154.0837760161366</v>
      </c>
      <c r="DU124" s="62">
        <f t="shared" si="98"/>
        <v>96.484500841546037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18.504660981939029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18.504660981939029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-5.6843418860808015E-14</v>
      </c>
      <c r="EK124" s="18">
        <f>EJ124*VLOOKUP('Données projet'!$B$15,Paramètres!$A$1:$I$89,3,0)*VLOOKUP('Données projet'!$B$15,Paramètres!$A$1:$I$89,5,0)</f>
        <v>-3.813056537183002E-14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205.35893113421139</v>
      </c>
      <c r="EP124" s="62">
        <f t="shared" si="100"/>
        <v>220.4399811285175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35.169741477295062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35.169741477295062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-5.6843418860808015E-14</v>
      </c>
      <c r="FF124" s="18">
        <f>FE124*VLOOKUP('Données projet'!$B$16,Paramètres!$A$1:$I$89,3,0)*VLOOKUP('Données projet'!$B$16,Paramètres!$A$1:$I$89,5,0)</f>
        <v>-4.4337866711430253E-14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242.81177364426878</v>
      </c>
      <c r="FK124" s="62">
        <f t="shared" si="102"/>
        <v>260.72115764896671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33.179001393674596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33.179001393674596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-5.6843418860808015E-14</v>
      </c>
      <c r="GA124" s="18">
        <f>FZ124*VLOOKUP('Données projet'!$B$17,Paramètres!$A$1:$I$89,3,0)*VLOOKUP('Données projet'!$B$17,Paramètres!$A$1:$I$89,5,0)</f>
        <v>-4.5224624045658861E-14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248.15263300983543</v>
      </c>
      <c r="GF124" s="62">
        <f t="shared" si="104"/>
        <v>266.46511459244618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41.712949194001105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41.712949194001105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382.55387448074327</v>
      </c>
      <c r="T125" s="62">
        <f t="shared" si="88"/>
        <v>476.29465646955543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75.802491803124724</v>
      </c>
      <c r="AA125" s="23">
        <f>EXP(-LN(2)/25)*AA124+(1-EXP(-LN(2)/25))/(LN(2)/25)*Calculateur!V125*Calculateur!X125*VLOOKUP('Données projet'!$B$9,Paramètres!$A$1:$I$89,3,0)*0.475*44/12</f>
        <v>11.547710832524167</v>
      </c>
      <c r="AB125" s="23">
        <f>EXP(-LN(2)/2)*AB124+(1-EXP(-LN(2)/2))/(LN(2)/2)*V125*Y125*VLOOKUP('Données projet'!$B$9,Paramètres!$A$1:$I$89,3,0)*0.475*44/12</f>
        <v>2.6226439697346321E-8</v>
      </c>
      <c r="AC125" s="24">
        <f t="shared" si="57"/>
        <v>87.350202661875329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-1.7053025658242404E-13</v>
      </c>
      <c r="AJ125" s="14">
        <f>AI125*VLOOKUP('Données projet'!$B$10,Paramètres!$A$1:$I$89,3,0)*VLOOKUP('Données projet'!$B$10,Paramètres!$A$1:$I$89,5,0)</f>
        <v>-1.064108801074326E-13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482.28841373508675</v>
      </c>
      <c r="AO125" s="62">
        <f t="shared" si="90"/>
        <v>746.97309214631684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141.72932952461829</v>
      </c>
      <c r="AV125" s="23">
        <f>EXP(-LN(2)/25)*AV124+(1-EXP(-LN(2)/25))/(LN(2)/25)*Calculateur!AQ125*Calculateur!AS125*VLOOKUP('Données projet'!$B$10,Paramètres!$A$1:$I$89,3,0)*0.475*44/12</f>
        <v>21.652446146999129</v>
      </c>
      <c r="AW125" s="23">
        <f>EXP(-LN(2)/2)*AW124+(1-EXP(-LN(2)/2))/(LN(2)/2)*AQ125*AT125*VLOOKUP('Données projet'!$B$10,Paramètres!$A$1:$I$89,3,0)*0.475*44/12</f>
        <v>9.7962337018422079E-6</v>
      </c>
      <c r="AX125" s="23">
        <f t="shared" si="60"/>
        <v>163.38178546785113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-1.7053025658242404E-13</v>
      </c>
      <c r="BE125" s="14">
        <f>BD125*VLOOKUP('Données projet'!$B$11,Paramètres!$A$1:$I$89,3,0)*VLOOKUP('Données projet'!$B$11,Paramètres!$A$1:$I$89,5,0)</f>
        <v>-9.3109520094003535E-14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417.99456559608217</v>
      </c>
      <c r="BJ125" s="62">
        <f t="shared" si="92"/>
        <v>651.41353014863932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124.01316333404107</v>
      </c>
      <c r="BQ125" s="23">
        <f>EXP(-LN(2)/25)*BQ124+(1-EXP(-LN(2)/25))/(LN(2)/25)*Calculateur!BL125*Calculateur!BN125*VLOOKUP('Données projet'!$B$11,Paramètres!$A$1:$I$89,3,0)*0.475*44/12</f>
        <v>19.171436692655472</v>
      </c>
      <c r="BR125" s="23">
        <f>EXP(-LN(2)/2)*BR124+(1-EXP(-LN(2)/2))/(LN(2)/2)*BL125*BO125*VLOOKUP('Données projet'!$B$11,Paramètres!$A$1:$I$89,3,0)*0.475*44/12</f>
        <v>8.4418301786708359E-6</v>
      </c>
      <c r="BS125" s="24">
        <f t="shared" si="63"/>
        <v>143.1846084685267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4.666666666666667</v>
      </c>
      <c r="BY125" s="13">
        <f>IF('Données projet'!$A$114&gt;35,BY124+BX125-CG124,IF(A125&lt;'Données projet'!$A$114,$BV$205^A125,IF(A125='Données projet'!$A$114,'Données projet'!$B$114,BY124+BX125-CG124)))</f>
        <v>225.33333333333329</v>
      </c>
      <c r="BZ125" s="14">
        <f>BY125*VLOOKUP('Données projet'!$B$12,Paramètres!$A$1:$I$89,3,0)*VLOOKUP('Données projet'!$B$12,Paramètres!$A$1:$I$89,5,0)</f>
        <v>203.88159999999996</v>
      </c>
      <c r="CA125" s="14">
        <f t="shared" si="93"/>
        <v>50.596269241536007</v>
      </c>
      <c r="CB125" s="22">
        <f t="shared" si="64"/>
        <v>443.21562226234187</v>
      </c>
      <c r="CC125" s="62">
        <f t="shared" si="65"/>
        <v>736.54895559567512</v>
      </c>
      <c r="CD125" s="62">
        <f ca="1">AVERAGE(OFFSET($CC$3,0,0,'Données projet'!$E$12+1,1))-AVERAGE(OFFSET($H$3,0,0,'Données projet'!$E$12+1,1))</f>
        <v>213.07277043804817</v>
      </c>
      <c r="CE125" s="62">
        <f t="shared" si="94"/>
        <v>129.14539883354166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39.333061708599011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39.333061708599011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4.666666666666667</v>
      </c>
      <c r="CT125" s="13">
        <f>IF('Données projet'!$A$140&gt;35,CT124+CS125-DB124,IF(A125&lt;'Données projet'!$A$140,$CQ$205^A125,IF(A125='Données projet'!$A$140,'Données projet'!$B$140,CT124+CS125-DB124)))</f>
        <v>225.33333333333329</v>
      </c>
      <c r="CU125" s="18">
        <f>CT125*VLOOKUP('Données projet'!$B$13,Paramètres!$A$1:$I$89,3,0)*VLOOKUP('Données projet'!$B$13,Paramètres!$A$1:$I$89,5,0)</f>
        <v>228.48799999999997</v>
      </c>
      <c r="CV125" s="14">
        <f t="shared" si="95"/>
        <v>55.955626389613336</v>
      </c>
      <c r="CW125" s="22">
        <f t="shared" si="67"/>
        <v>495.40598262857651</v>
      </c>
      <c r="CX125" s="62">
        <f t="shared" si="68"/>
        <v>788.73931596190982</v>
      </c>
      <c r="CY125" s="62">
        <f ca="1">AVERAGE(OFFSET($CX$3,0,0,'Données projet'!$E$13+1,1))-AVERAGE(OFFSET($H$3,0,0,'Données projet'!$E$13+1,1))</f>
        <v>247.92503505485405</v>
      </c>
      <c r="CZ125" s="62">
        <f t="shared" si="96"/>
        <v>148.26437652597514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44.080155363085105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44.080155363085105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>
        <f>VLOOKUP(A125,'Données projet'!$A$165:$I$185,2,0)</f>
        <v>159</v>
      </c>
      <c r="DM125" s="13">
        <f>VLOOKUP(A125,'Données projet'!$A$165:$I$185,9,0)</f>
        <v>3.0833333333333335</v>
      </c>
      <c r="DN125" s="13">
        <f t="array" ref="DN125">INDEX(DM:DM,MIN(IF(ISNUMBER(DM125:DM321),ROW(DM125:DM321),"")))</f>
        <v>3.0833333333333335</v>
      </c>
      <c r="DO125" s="13">
        <f>IF('Données projet'!$A$166&gt;35,DO124+DN125-DW124,IF(A125&lt;'Données projet'!$A$166,$DL$205^A125,IF(A125='Données projet'!$A$166,'Données projet'!$B$166,DO124+DN125-DW124)))</f>
        <v>159.0000000000002</v>
      </c>
      <c r="DP125" s="18">
        <f>DO125*VLOOKUP('Données projet'!$B$14,Paramètres!$A$1:$I$89,3,0)*VLOOKUP('Données projet'!$B$14,Paramètres!$A$1:$I$89,5,0)</f>
        <v>153.78480000000019</v>
      </c>
      <c r="DQ125" s="14">
        <f t="shared" si="97"/>
        <v>39.437443633352331</v>
      </c>
      <c r="DR125" s="22">
        <f t="shared" si="70"/>
        <v>336.52874099475559</v>
      </c>
      <c r="DS125" s="62">
        <f t="shared" si="71"/>
        <v>629.86207432808897</v>
      </c>
      <c r="DT125" s="62">
        <f ca="1">AVERAGE(OFFSET($DS$3,0,0,'Données projet'!$E$14+1,1))-AVERAGE(OFFSET($H$3,0,0,'Données projet'!$E$14+1,1))</f>
        <v>154.0837760161366</v>
      </c>
      <c r="DU125" s="62">
        <f t="shared" si="98"/>
        <v>96.484500841546037</v>
      </c>
      <c r="DV125" s="16">
        <f>IF(ISNA(VLOOKUP(A125,'Données projet'!$A$165:$I$185,3,0)),0,VLOOKUP(A125,'Données projet'!$A$165:$I$185,3,0))</f>
        <v>8</v>
      </c>
      <c r="DW125" s="16">
        <f>IF(ISNA(VLOOKUP(A125,'Données projet'!$A$165:$I$185,4,0)),0,VLOOKUP(A125,'Données projet'!$A$165:$I$185,4,0))</f>
        <v>25</v>
      </c>
      <c r="DX125" s="17">
        <f>IF(ISNA(VLOOKUP(A125,'Données projet'!$A$165:$I$185,5,0)),0%,VLOOKUP(A125,'Données projet'!$A$165:$I$185,5,0)*VLOOKUP('Données projet'!$B$14,Paramètres!$A$1:$I$89,7,0))</f>
        <v>0.38700000000000001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28.486411818552241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28.486411818552241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-5.6843418860808015E-14</v>
      </c>
      <c r="EK125" s="18">
        <f>EJ125*VLOOKUP('Données projet'!$B$15,Paramètres!$A$1:$I$89,3,0)*VLOOKUP('Données projet'!$B$15,Paramètres!$A$1:$I$89,5,0)</f>
        <v>-3.813056537183002E-14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205.35893113421139</v>
      </c>
      <c r="EP125" s="62">
        <f t="shared" si="100"/>
        <v>220.4399811285175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34.480084298349453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34.480084298349453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-5.6843418860808015E-14</v>
      </c>
      <c r="FF125" s="18">
        <f>FE125*VLOOKUP('Données projet'!$B$16,Paramètres!$A$1:$I$89,3,0)*VLOOKUP('Données projet'!$B$16,Paramètres!$A$1:$I$89,5,0)</f>
        <v>-4.4337866711430253E-14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242.81177364426878</v>
      </c>
      <c r="FK125" s="62">
        <f t="shared" si="102"/>
        <v>260.72115764896671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32.528381413537232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32.528381413537232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-5.6843418860808015E-14</v>
      </c>
      <c r="GA125" s="18">
        <f>FZ125*VLOOKUP('Données projet'!$B$17,Paramètres!$A$1:$I$89,3,0)*VLOOKUP('Données projet'!$B$17,Paramètres!$A$1:$I$89,5,0)</f>
        <v>-4.5224624045658861E-14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248.15263300983543</v>
      </c>
      <c r="GF125" s="62">
        <f t="shared" si="104"/>
        <v>266.46511459244618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40.894983702693523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40.894983702693523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382.55387448074327</v>
      </c>
      <c r="T126" s="62">
        <f t="shared" si="88"/>
        <v>476.29465646955543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74.316051173820128</v>
      </c>
      <c r="AA126" s="23">
        <f>EXP(-LN(2)/25)*AA125+(1-EXP(-LN(2)/25))/(LN(2)/25)*Calculateur!V126*Calculateur!X126*VLOOKUP('Données projet'!$B$9,Paramètres!$A$1:$I$89,3,0)*0.475*44/12</f>
        <v>11.231938072541073</v>
      </c>
      <c r="AB126" s="23">
        <f>EXP(-LN(2)/2)*AB125+(1-EXP(-LN(2)/2))/(LN(2)/2)*V126*Y126*VLOOKUP('Données projet'!$B$9,Paramètres!$A$1:$I$89,3,0)*0.475*44/12</f>
        <v>1.8544893356373648E-8</v>
      </c>
      <c r="AC126" s="24">
        <f t="shared" si="57"/>
        <v>85.547989264906093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-1.7053025658242404E-13</v>
      </c>
      <c r="AJ126" s="14">
        <f>AI126*VLOOKUP('Données projet'!$B$10,Paramètres!$A$1:$I$89,3,0)*VLOOKUP('Données projet'!$B$10,Paramètres!$A$1:$I$89,5,0)</f>
        <v>-1.064108801074326E-13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482.28841373508675</v>
      </c>
      <c r="AO126" s="62">
        <f t="shared" si="90"/>
        <v>746.97309214631684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138.95010381899567</v>
      </c>
      <c r="AV126" s="23">
        <f>EXP(-LN(2)/25)*AV125+(1-EXP(-LN(2)/25))/(LN(2)/25)*Calculateur!AQ126*Calculateur!AS126*VLOOKUP('Données projet'!$B$10,Paramètres!$A$1:$I$89,3,0)*0.475*44/12</f>
        <v>21.060358868456781</v>
      </c>
      <c r="AW126" s="23">
        <f>EXP(-LN(2)/2)*AW125+(1-EXP(-LN(2)/2))/(LN(2)/2)*AQ126*AT126*VLOOKUP('Données projet'!$B$10,Paramètres!$A$1:$I$89,3,0)*0.475*44/12</f>
        <v>6.9269832806608206E-6</v>
      </c>
      <c r="AX126" s="23">
        <f t="shared" si="60"/>
        <v>160.01046961443572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-1.7053025658242404E-13</v>
      </c>
      <c r="BE126" s="14">
        <f>BD126*VLOOKUP('Données projet'!$B$11,Paramètres!$A$1:$I$89,3,0)*VLOOKUP('Données projet'!$B$11,Paramètres!$A$1:$I$89,5,0)</f>
        <v>-9.3109520094003535E-14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417.99456559608217</v>
      </c>
      <c r="BJ126" s="62">
        <f t="shared" si="92"/>
        <v>651.41353014863932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121.58134084162127</v>
      </c>
      <c r="BQ126" s="23">
        <f>EXP(-LN(2)/25)*BQ125+(1-EXP(-LN(2)/25))/(LN(2)/25)*Calculateur!BL126*Calculateur!BN126*VLOOKUP('Données projet'!$B$11,Paramètres!$A$1:$I$89,3,0)*0.475*44/12</f>
        <v>18.647192748112769</v>
      </c>
      <c r="BR126" s="23">
        <f>EXP(-LN(2)/2)*BR125+(1-EXP(-LN(2)/2))/(LN(2)/2)*BL126*BO126*VLOOKUP('Données projet'!$B$11,Paramètres!$A$1:$I$89,3,0)*0.475*44/12</f>
        <v>5.9692753649633922E-6</v>
      </c>
      <c r="BS126" s="24">
        <f t="shared" si="63"/>
        <v>140.22853955900942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4.666666666666667</v>
      </c>
      <c r="BY126" s="13">
        <f>IF('Données projet'!$A$114&gt;35,BY125+BX126-CG125,IF(A126&lt;'Données projet'!$A$114,$BV$205^A126,IF(A126='Données projet'!$A$114,'Données projet'!$B$114,BY125+BX126-CG125)))</f>
        <v>229.99999999999994</v>
      </c>
      <c r="BZ126" s="14">
        <f>BY126*VLOOKUP('Données projet'!$B$12,Paramètres!$A$1:$I$89,3,0)*VLOOKUP('Données projet'!$B$12,Paramètres!$A$1:$I$89,5,0)</f>
        <v>208.10399999999993</v>
      </c>
      <c r="CA126" s="14">
        <f t="shared" si="93"/>
        <v>51.52104354893045</v>
      </c>
      <c r="CB126" s="22">
        <f t="shared" si="64"/>
        <v>452.18028418105376</v>
      </c>
      <c r="CC126" s="62">
        <f t="shared" si="65"/>
        <v>745.51361751438708</v>
      </c>
      <c r="CD126" s="62">
        <f ca="1">AVERAGE(OFFSET($CC$3,0,0,'Données projet'!$E$12+1,1))-AVERAGE(OFFSET($H$3,0,0,'Données projet'!$E$12+1,1))</f>
        <v>213.07277043804817</v>
      </c>
      <c r="CE126" s="62">
        <f t="shared" si="94"/>
        <v>129.14539883354166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38.561764359292134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38.561764359292134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4.666666666666667</v>
      </c>
      <c r="CT126" s="13">
        <f>IF('Données projet'!$A$140&gt;35,CT125+CS126-DB125,IF(A126&lt;'Données projet'!$A$140,$CQ$205^A126,IF(A126='Données projet'!$A$140,'Données projet'!$B$140,CT125+CS126-DB125)))</f>
        <v>229.99999999999994</v>
      </c>
      <c r="CU126" s="18">
        <f>CT126*VLOOKUP('Données projet'!$B$13,Paramètres!$A$1:$I$89,3,0)*VLOOKUP('Données projet'!$B$13,Paramètres!$A$1:$I$89,5,0)</f>
        <v>233.21999999999997</v>
      </c>
      <c r="CV126" s="14">
        <f t="shared" si="95"/>
        <v>56.978356452817273</v>
      </c>
      <c r="CW126" s="22">
        <f t="shared" si="67"/>
        <v>505.42880415532323</v>
      </c>
      <c r="CX126" s="62">
        <f t="shared" si="68"/>
        <v>798.76213748865655</v>
      </c>
      <c r="CY126" s="62">
        <f ca="1">AVERAGE(OFFSET($CX$3,0,0,'Données projet'!$E$13+1,1))-AVERAGE(OFFSET($H$3,0,0,'Données projet'!$E$13+1,1))</f>
        <v>247.92503505485405</v>
      </c>
      <c r="CZ126" s="62">
        <f t="shared" si="96"/>
        <v>148.26437652597514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43.215770402654982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43.215770402654982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3.0833333333333335</v>
      </c>
      <c r="DO126" s="13">
        <f>IF('Données projet'!$A$166&gt;35,DO125+DN126-DW125,IF(A126&lt;'Données projet'!$A$166,$DL$205^A126,IF(A126='Données projet'!$A$166,'Données projet'!$B$166,DO125+DN126-DW125)))</f>
        <v>137.08333333333354</v>
      </c>
      <c r="DP126" s="18">
        <f>DO126*VLOOKUP('Données projet'!$B$14,Paramètres!$A$1:$I$89,3,0)*VLOOKUP('Données projet'!$B$14,Paramètres!$A$1:$I$89,5,0)</f>
        <v>132.58700000000022</v>
      </c>
      <c r="DQ126" s="14">
        <f t="shared" si="97"/>
        <v>34.593451813359991</v>
      </c>
      <c r="DR126" s="22">
        <f t="shared" si="70"/>
        <v>291.17262024160237</v>
      </c>
      <c r="DS126" s="62">
        <f t="shared" si="71"/>
        <v>584.50595357493569</v>
      </c>
      <c r="DT126" s="62">
        <f ca="1">AVERAGE(OFFSET($DS$3,0,0,'Données projet'!$E$14+1,1))-AVERAGE(OFFSET($H$3,0,0,'Données projet'!$E$14+1,1))</f>
        <v>154.0837760161366</v>
      </c>
      <c r="DU126" s="62">
        <f t="shared" si="98"/>
        <v>96.484500841546037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27.927810657786004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27.927810657786004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-5.6843418860808015E-14</v>
      </c>
      <c r="EK126" s="18">
        <f>EJ126*VLOOKUP('Données projet'!$B$15,Paramètres!$A$1:$I$89,3,0)*VLOOKUP('Données projet'!$B$15,Paramètres!$A$1:$I$89,5,0)</f>
        <v>-3.813056537183002E-14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205.35893113421139</v>
      </c>
      <c r="EP126" s="62">
        <f t="shared" si="100"/>
        <v>220.4399811285175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33.803950876033625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33.803950876033625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-5.6843418860808015E-14</v>
      </c>
      <c r="FF126" s="18">
        <f>FE126*VLOOKUP('Données projet'!$B$16,Paramètres!$A$1:$I$89,3,0)*VLOOKUP('Données projet'!$B$16,Paramètres!$A$1:$I$89,5,0)</f>
        <v>-4.4337866711430253E-14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242.81177364426878</v>
      </c>
      <c r="FK126" s="62">
        <f t="shared" si="102"/>
        <v>260.72115764896671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31.890519694371356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31.890519694371356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-5.6843418860808015E-14</v>
      </c>
      <c r="GA126" s="18">
        <f>FZ126*VLOOKUP('Données projet'!$B$17,Paramètres!$A$1:$I$89,3,0)*VLOOKUP('Données projet'!$B$17,Paramètres!$A$1:$I$89,5,0)</f>
        <v>-4.5224624045658861E-14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248.15263300983543</v>
      </c>
      <c r="GF126" s="62">
        <f t="shared" si="104"/>
        <v>266.46511459244618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40.093058015760796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40.093058015760796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382.55387448074327</v>
      </c>
      <c r="T127" s="62">
        <f t="shared" si="88"/>
        <v>476.29465646955543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72.858758738616928</v>
      </c>
      <c r="AA127" s="23">
        <f>EXP(-LN(2)/25)*AA126+(1-EXP(-LN(2)/25))/(LN(2)/25)*Calculateur!V127*Calculateur!X127*VLOOKUP('Données projet'!$B$9,Paramètres!$A$1:$I$89,3,0)*0.475*44/12</f>
        <v>10.924800135285485</v>
      </c>
      <c r="AB127" s="23">
        <f>EXP(-LN(2)/2)*AB126+(1-EXP(-LN(2)/2))/(LN(2)/2)*V127*Y127*VLOOKUP('Données projet'!$B$9,Paramètres!$A$1:$I$89,3,0)*0.475*44/12</f>
        <v>1.311321984867316E-8</v>
      </c>
      <c r="AC127" s="24">
        <f t="shared" si="57"/>
        <v>83.78355888701563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-1.7053025658242404E-13</v>
      </c>
      <c r="AJ127" s="14">
        <f>AI127*VLOOKUP('Données projet'!$B$10,Paramètres!$A$1:$I$89,3,0)*VLOOKUP('Données projet'!$B$10,Paramètres!$A$1:$I$89,5,0)</f>
        <v>-1.064108801074326E-13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482.28841373508675</v>
      </c>
      <c r="AO127" s="62">
        <f t="shared" si="90"/>
        <v>746.97309214631684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136.22537703430001</v>
      </c>
      <c r="AV127" s="23">
        <f>EXP(-LN(2)/25)*AV126+(1-EXP(-LN(2)/25))/(LN(2)/25)*Calculateur!AQ127*Calculateur!AS127*VLOOKUP('Données projet'!$B$10,Paramètres!$A$1:$I$89,3,0)*0.475*44/12</f>
        <v>20.484462247682693</v>
      </c>
      <c r="AW127" s="23">
        <f>EXP(-LN(2)/2)*AW126+(1-EXP(-LN(2)/2))/(LN(2)/2)*AQ127*AT127*VLOOKUP('Données projet'!$B$10,Paramètres!$A$1:$I$89,3,0)*0.475*44/12</f>
        <v>4.898116850921104E-6</v>
      </c>
      <c r="AX127" s="23">
        <f t="shared" si="60"/>
        <v>156.70984418009957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-1.7053025658242404E-13</v>
      </c>
      <c r="BE127" s="14">
        <f>BD127*VLOOKUP('Données projet'!$B$11,Paramètres!$A$1:$I$89,3,0)*VLOOKUP('Données projet'!$B$11,Paramètres!$A$1:$I$89,5,0)</f>
        <v>-9.3109520094003535E-14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417.99456559608217</v>
      </c>
      <c r="BJ127" s="62">
        <f t="shared" si="92"/>
        <v>651.41353014863932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119.19720490501257</v>
      </c>
      <c r="BQ127" s="23">
        <f>EXP(-LN(2)/25)*BQ126+(1-EXP(-LN(2)/25))/(LN(2)/25)*Calculateur!BL127*Calculateur!BN127*VLOOKUP('Données projet'!$B$11,Paramètres!$A$1:$I$89,3,0)*0.475*44/12</f>
        <v>18.137284281802376</v>
      </c>
      <c r="BR127" s="23">
        <f>EXP(-LN(2)/2)*BR126+(1-EXP(-LN(2)/2))/(LN(2)/2)*BL127*BO127*VLOOKUP('Données projet'!$B$11,Paramètres!$A$1:$I$89,3,0)*0.475*44/12</f>
        <v>4.220915089335418E-6</v>
      </c>
      <c r="BS127" s="24">
        <f t="shared" si="63"/>
        <v>137.33449340773004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4.666666666666667</v>
      </c>
      <c r="BY127" s="13">
        <f>IF('Données projet'!$A$114&gt;35,BY126+BX127-CG126,IF(A127&lt;'Données projet'!$A$114,$BV$205^A127,IF(A127='Données projet'!$A$114,'Données projet'!$B$114,BY126+BX127-CG126)))</f>
        <v>234.6666666666666</v>
      </c>
      <c r="BZ127" s="14">
        <f>BY127*VLOOKUP('Données projet'!$B$12,Paramètres!$A$1:$I$89,3,0)*VLOOKUP('Données projet'!$B$12,Paramètres!$A$1:$I$89,5,0)</f>
        <v>212.32639999999995</v>
      </c>
      <c r="CA127" s="14">
        <f t="shared" si="93"/>
        <v>52.443636199504745</v>
      </c>
      <c r="CB127" s="22">
        <f t="shared" si="64"/>
        <v>461.141146380804</v>
      </c>
      <c r="CC127" s="62">
        <f t="shared" si="65"/>
        <v>754.47447971413726</v>
      </c>
      <c r="CD127" s="62">
        <f ca="1">AVERAGE(OFFSET($CC$3,0,0,'Données projet'!$E$12+1,1))-AVERAGE(OFFSET($H$3,0,0,'Données projet'!$E$12+1,1))</f>
        <v>213.07277043804817</v>
      </c>
      <c r="CE127" s="62">
        <f t="shared" si="94"/>
        <v>129.14539883354166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37.805591680560234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37.805591680560234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4.666666666666667</v>
      </c>
      <c r="CT127" s="13">
        <f>IF('Données projet'!$A$140&gt;35,CT126+CS127-DB126,IF(A127&lt;'Données projet'!$A$140,$CQ$205^A127,IF(A127='Données projet'!$A$140,'Données projet'!$B$140,CT126+CS127-DB126)))</f>
        <v>234.6666666666666</v>
      </c>
      <c r="CU127" s="18">
        <f>CT127*VLOOKUP('Données projet'!$B$13,Paramètres!$A$1:$I$89,3,0)*VLOOKUP('Données projet'!$B$13,Paramètres!$A$1:$I$89,5,0)</f>
        <v>237.95199999999997</v>
      </c>
      <c r="CV127" s="14">
        <f t="shared" si="95"/>
        <v>57.99867376947342</v>
      </c>
      <c r="CW127" s="22">
        <f t="shared" si="67"/>
        <v>515.44742348183274</v>
      </c>
      <c r="CX127" s="62">
        <f t="shared" si="68"/>
        <v>808.78075681516611</v>
      </c>
      <c r="CY127" s="62">
        <f ca="1">AVERAGE(OFFSET($CX$3,0,0,'Données projet'!$E$13+1,1))-AVERAGE(OFFSET($H$3,0,0,'Données projet'!$E$13+1,1))</f>
        <v>247.92503505485405</v>
      </c>
      <c r="CZ127" s="62">
        <f t="shared" si="96"/>
        <v>148.26437652597514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42.368335504076128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42.368335504076128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3.0833333333333335</v>
      </c>
      <c r="DO127" s="13">
        <f>IF('Données projet'!$A$166&gt;35,DO126+DN127-DW126,IF(A127&lt;'Données projet'!$A$166,$DL$205^A127,IF(A127='Données projet'!$A$166,'Données projet'!$B$166,DO126+DN127-DW126)))</f>
        <v>140.16666666666688</v>
      </c>
      <c r="DP127" s="18">
        <f>DO127*VLOOKUP('Données projet'!$B$14,Paramètres!$A$1:$I$89,3,0)*VLOOKUP('Données projet'!$B$14,Paramètres!$A$1:$I$89,5,0)</f>
        <v>135.56920000000022</v>
      </c>
      <c r="DQ127" s="14">
        <f t="shared" si="97"/>
        <v>35.280079399739499</v>
      </c>
      <c r="DR127" s="22">
        <f t="shared" si="70"/>
        <v>297.56249495454671</v>
      </c>
      <c r="DS127" s="62">
        <f t="shared" si="71"/>
        <v>590.89582828788002</v>
      </c>
      <c r="DT127" s="62">
        <f ca="1">AVERAGE(OFFSET($DS$3,0,0,'Données projet'!$E$14+1,1))-AVERAGE(OFFSET($H$3,0,0,'Données projet'!$E$14+1,1))</f>
        <v>154.0837760161366</v>
      </c>
      <c r="DU127" s="62">
        <f t="shared" si="98"/>
        <v>96.484500841546037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27.380163325069326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27.380163325069326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-5.6843418860808015E-14</v>
      </c>
      <c r="EK127" s="18">
        <f>EJ127*VLOOKUP('Données projet'!$B$15,Paramètres!$A$1:$I$89,3,0)*VLOOKUP('Données projet'!$B$15,Paramètres!$A$1:$I$89,5,0)</f>
        <v>-3.813056537183002E-14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205.35893113421139</v>
      </c>
      <c r="EP127" s="62">
        <f t="shared" si="100"/>
        <v>220.4399811285175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33.141076017728743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33.141076017728743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-5.6843418860808015E-14</v>
      </c>
      <c r="FF127" s="18">
        <f>FE127*VLOOKUP('Données projet'!$B$16,Paramètres!$A$1:$I$89,3,0)*VLOOKUP('Données projet'!$B$16,Paramètres!$A$1:$I$89,5,0)</f>
        <v>-4.4337866711430253E-14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242.81177364426878</v>
      </c>
      <c r="FK127" s="62">
        <f t="shared" si="102"/>
        <v>260.72115764896671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31.265166054461091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31.265166054461091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-5.6843418860808015E-14</v>
      </c>
      <c r="GA127" s="18">
        <f>FZ127*VLOOKUP('Données projet'!$B$17,Paramètres!$A$1:$I$89,3,0)*VLOOKUP('Données projet'!$B$17,Paramètres!$A$1:$I$89,5,0)</f>
        <v>-4.5224624045658861E-14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248.15263300983543</v>
      </c>
      <c r="GF127" s="62">
        <f t="shared" si="104"/>
        <v>266.46511459244618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39.306857602422447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39.306857602422447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382.55387448074327</v>
      </c>
      <c r="T128" s="62">
        <f t="shared" si="88"/>
        <v>476.29465646955543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71.430042919207452</v>
      </c>
      <c r="AA128" s="23">
        <f>EXP(-LN(2)/25)*AA127+(1-EXP(-LN(2)/25))/(LN(2)/25)*Calculateur!V128*Calculateur!X128*VLOOKUP('Données projet'!$B$9,Paramètres!$A$1:$I$89,3,0)*0.475*44/12</f>
        <v>10.626060901075833</v>
      </c>
      <c r="AB128" s="23">
        <f>EXP(-LN(2)/2)*AB127+(1-EXP(-LN(2)/2))/(LN(2)/2)*V128*Y128*VLOOKUP('Données projet'!$B$9,Paramètres!$A$1:$I$89,3,0)*0.475*44/12</f>
        <v>9.2724466781868241E-9</v>
      </c>
      <c r="AC128" s="24">
        <f t="shared" si="57"/>
        <v>82.056103829555724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-1.7053025658242404E-13</v>
      </c>
      <c r="AJ128" s="14">
        <f>AI128*VLOOKUP('Données projet'!$B$10,Paramètres!$A$1:$I$89,3,0)*VLOOKUP('Données projet'!$B$10,Paramètres!$A$1:$I$89,5,0)</f>
        <v>-1.064108801074326E-13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482.28841373508675</v>
      </c>
      <c r="AO128" s="62">
        <f t="shared" si="90"/>
        <v>746.97309214631684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133.55408047993299</v>
      </c>
      <c r="AV128" s="23">
        <f>EXP(-LN(2)/25)*AV127+(1-EXP(-LN(2)/25))/(LN(2)/25)*Calculateur!AQ128*Calculateur!AS128*VLOOKUP('Données projet'!$B$10,Paramètres!$A$1:$I$89,3,0)*0.475*44/12</f>
        <v>19.924313550288758</v>
      </c>
      <c r="AW128" s="23">
        <f>EXP(-LN(2)/2)*AW127+(1-EXP(-LN(2)/2))/(LN(2)/2)*AQ128*AT128*VLOOKUP('Données projet'!$B$10,Paramètres!$A$1:$I$89,3,0)*0.475*44/12</f>
        <v>3.4634916403304103E-6</v>
      </c>
      <c r="AX128" s="23">
        <f t="shared" si="60"/>
        <v>153.4783974937134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-1.7053025658242404E-13</v>
      </c>
      <c r="BE128" s="14">
        <f>BD128*VLOOKUP('Données projet'!$B$11,Paramètres!$A$1:$I$89,3,0)*VLOOKUP('Données projet'!$B$11,Paramètres!$A$1:$I$89,5,0)</f>
        <v>-9.3109520094003535E-14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417.99456559608217</v>
      </c>
      <c r="BJ128" s="62">
        <f t="shared" si="92"/>
        <v>651.41353014863932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116.85982041994143</v>
      </c>
      <c r="BQ128" s="23">
        <f>EXP(-LN(2)/25)*BQ127+(1-EXP(-LN(2)/25))/(LN(2)/25)*Calculateur!BL128*Calculateur!BN128*VLOOKUP('Données projet'!$B$11,Paramètres!$A$1:$I$89,3,0)*0.475*44/12</f>
        <v>17.641319289318162</v>
      </c>
      <c r="BR128" s="23">
        <f>EXP(-LN(2)/2)*BR127+(1-EXP(-LN(2)/2))/(LN(2)/2)*BL128*BO128*VLOOKUP('Données projet'!$B$11,Paramètres!$A$1:$I$89,3,0)*0.475*44/12</f>
        <v>2.9846376824816961E-6</v>
      </c>
      <c r="BS128" s="24">
        <f t="shared" si="63"/>
        <v>134.50114269389726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4.666666666666667</v>
      </c>
      <c r="BY128" s="13">
        <f>IF('Données projet'!$A$114&gt;35,BY127+BX128-CG127,IF(A128&lt;'Données projet'!$A$114,$BV$205^A128,IF(A128='Données projet'!$A$114,'Données projet'!$B$114,BY127+BX128-CG127)))</f>
        <v>239.33333333333326</v>
      </c>
      <c r="BZ128" s="14">
        <f>BY128*VLOOKUP('Données projet'!$B$12,Paramètres!$A$1:$I$89,3,0)*VLOOKUP('Données projet'!$B$12,Paramètres!$A$1:$I$89,5,0)</f>
        <v>216.54879999999991</v>
      </c>
      <c r="CA128" s="14">
        <f t="shared" si="93"/>
        <v>53.364095578940429</v>
      </c>
      <c r="CB128" s="22">
        <f t="shared" si="64"/>
        <v>470.09829313332102</v>
      </c>
      <c r="CC128" s="62">
        <f t="shared" si="65"/>
        <v>763.43162646665428</v>
      </c>
      <c r="CD128" s="62">
        <f ca="1">AVERAGE(OFFSET($CC$3,0,0,'Données projet'!$E$12+1,1))-AVERAGE(OFFSET($H$3,0,0,'Données projet'!$E$12+1,1))</f>
        <v>213.07277043804817</v>
      </c>
      <c r="CE128" s="62">
        <f t="shared" si="94"/>
        <v>129.14539883354166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37.064247086838471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37.064247086838471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4.666666666666667</v>
      </c>
      <c r="CT128" s="13">
        <f>IF('Données projet'!$A$140&gt;35,CT127+CS128-DB127,IF(A128&lt;'Données projet'!$A$140,$CQ$205^A128,IF(A128='Données projet'!$A$140,'Données projet'!$B$140,CT127+CS128-DB127)))</f>
        <v>239.33333333333326</v>
      </c>
      <c r="CU128" s="18">
        <f>CT128*VLOOKUP('Données projet'!$B$13,Paramètres!$A$1:$I$89,3,0)*VLOOKUP('Données projet'!$B$13,Paramètres!$A$1:$I$89,5,0)</f>
        <v>242.68399999999997</v>
      </c>
      <c r="CV128" s="14">
        <f t="shared" si="95"/>
        <v>59.016631850466453</v>
      </c>
      <c r="CW128" s="22">
        <f t="shared" si="67"/>
        <v>525.46193380622901</v>
      </c>
      <c r="CX128" s="62">
        <f t="shared" si="68"/>
        <v>818.79526713956238</v>
      </c>
      <c r="CY128" s="62">
        <f ca="1">AVERAGE(OFFSET($CX$3,0,0,'Données projet'!$E$13+1,1))-AVERAGE(OFFSET($H$3,0,0,'Données projet'!$E$13+1,1))</f>
        <v>247.92503505485405</v>
      </c>
      <c r="CZ128" s="62">
        <f t="shared" si="96"/>
        <v>148.26437652597514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41.537518286974155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41.537518286974155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3.0833333333333335</v>
      </c>
      <c r="DO128" s="13">
        <f>IF('Données projet'!$A$166&gt;35,DO127+DN128-DW127,IF(A128&lt;'Données projet'!$A$166,$DL$205^A128,IF(A128='Données projet'!$A$166,'Données projet'!$B$166,DO127+DN128-DW127)))</f>
        <v>143.25000000000023</v>
      </c>
      <c r="DP128" s="18">
        <f>DO128*VLOOKUP('Données projet'!$B$14,Paramètres!$A$1:$I$89,3,0)*VLOOKUP('Données projet'!$B$14,Paramètres!$A$1:$I$89,5,0)</f>
        <v>138.55140000000023</v>
      </c>
      <c r="DQ128" s="14">
        <f t="shared" si="97"/>
        <v>35.964950959514198</v>
      </c>
      <c r="DR128" s="22">
        <f t="shared" si="70"/>
        <v>303.94931125448761</v>
      </c>
      <c r="DS128" s="62">
        <f t="shared" si="71"/>
        <v>597.28264458782087</v>
      </c>
      <c r="DT128" s="62">
        <f ca="1">AVERAGE(OFFSET($DS$3,0,0,'Données projet'!$E$14+1,1))-AVERAGE(OFFSET($H$3,0,0,'Données projet'!$E$14+1,1))</f>
        <v>154.0837760161366</v>
      </c>
      <c r="DU128" s="62">
        <f t="shared" si="98"/>
        <v>96.484500841546037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26.843255022515333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26.843255022515333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-5.6843418860808015E-14</v>
      </c>
      <c r="EK128" s="18">
        <f>EJ128*VLOOKUP('Données projet'!$B$15,Paramètres!$A$1:$I$89,3,0)*VLOOKUP('Données projet'!$B$15,Paramètres!$A$1:$I$89,5,0)</f>
        <v>-3.813056537183002E-14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205.35893113421139</v>
      </c>
      <c r="EP128" s="62">
        <f t="shared" si="100"/>
        <v>220.4399811285175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32.49119973108148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32.49119973108148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-5.6843418860808015E-14</v>
      </c>
      <c r="FF128" s="18">
        <f>FE128*VLOOKUP('Données projet'!$B$16,Paramètres!$A$1:$I$89,3,0)*VLOOKUP('Données projet'!$B$16,Paramètres!$A$1:$I$89,5,0)</f>
        <v>-4.4337866711430253E-14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242.81177364426878</v>
      </c>
      <c r="FK128" s="62">
        <f t="shared" si="102"/>
        <v>260.72115764896671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30.652075218001407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30.652075218001407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-5.6843418860808015E-14</v>
      </c>
      <c r="GA128" s="18">
        <f>FZ128*VLOOKUP('Données projet'!$B$17,Paramètres!$A$1:$I$89,3,0)*VLOOKUP('Données projet'!$B$17,Paramètres!$A$1:$I$89,5,0)</f>
        <v>-4.5224624045658861E-14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248.15263300983543</v>
      </c>
      <c r="GF128" s="62">
        <f t="shared" si="104"/>
        <v>266.46511459244618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38.536074099654762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38.536074099654762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382.55387448074327</v>
      </c>
      <c r="T129" s="62">
        <f t="shared" si="88"/>
        <v>476.29465646955543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70.029343345585986</v>
      </c>
      <c r="AA129" s="23">
        <f>EXP(-LN(2)/25)*AA128+(1-EXP(-LN(2)/25))/(LN(2)/25)*Calculateur!V129*Calculateur!X129*VLOOKUP('Données projet'!$B$9,Paramètres!$A$1:$I$89,3,0)*0.475*44/12</f>
        <v>10.335490706935659</v>
      </c>
      <c r="AB129" s="23">
        <f>EXP(-LN(2)/2)*AB128+(1-EXP(-LN(2)/2))/(LN(2)/2)*V129*Y129*VLOOKUP('Données projet'!$B$9,Paramètres!$A$1:$I$89,3,0)*0.475*44/12</f>
        <v>6.5566099243365802E-9</v>
      </c>
      <c r="AC129" s="24">
        <f t="shared" si="57"/>
        <v>80.364834059078248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-1.7053025658242404E-13</v>
      </c>
      <c r="AJ129" s="14">
        <f>AI129*VLOOKUP('Données projet'!$B$10,Paramètres!$A$1:$I$89,3,0)*VLOOKUP('Données projet'!$B$10,Paramètres!$A$1:$I$89,5,0)</f>
        <v>-1.064108801074326E-13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482.28841373508675</v>
      </c>
      <c r="AO129" s="62">
        <f t="shared" si="90"/>
        <v>746.97309214631684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130.93516642166711</v>
      </c>
      <c r="AV129" s="23">
        <f>EXP(-LN(2)/25)*AV128+(1-EXP(-LN(2)/25))/(LN(2)/25)*Calculateur!AQ129*Calculateur!AS129*VLOOKUP('Données projet'!$B$10,Paramètres!$A$1:$I$89,3,0)*0.475*44/12</f>
        <v>19.379482148482001</v>
      </c>
      <c r="AW129" s="23">
        <f>EXP(-LN(2)/2)*AW128+(1-EXP(-LN(2)/2))/(LN(2)/2)*AQ129*AT129*VLOOKUP('Données projet'!$B$10,Paramètres!$A$1:$I$89,3,0)*0.475*44/12</f>
        <v>2.449058425460552E-6</v>
      </c>
      <c r="AX129" s="23">
        <f t="shared" si="60"/>
        <v>150.31465101920753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-1.7053025658242404E-13</v>
      </c>
      <c r="BE129" s="14">
        <f>BD129*VLOOKUP('Données projet'!$B$11,Paramètres!$A$1:$I$89,3,0)*VLOOKUP('Données projet'!$B$11,Paramètres!$A$1:$I$89,5,0)</f>
        <v>-9.3109520094003535E-14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417.99456559608217</v>
      </c>
      <c r="BJ129" s="62">
        <f t="shared" si="92"/>
        <v>651.41353014863932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114.56827061895876</v>
      </c>
      <c r="BQ129" s="23">
        <f>EXP(-LN(2)/25)*BQ128+(1-EXP(-LN(2)/25))/(LN(2)/25)*Calculateur!BL129*Calculateur!BN129*VLOOKUP('Données projet'!$B$11,Paramètres!$A$1:$I$89,3,0)*0.475*44/12</f>
        <v>17.158916485635096</v>
      </c>
      <c r="BR129" s="23">
        <f>EXP(-LN(2)/2)*BR128+(1-EXP(-LN(2)/2))/(LN(2)/2)*BL129*BO129*VLOOKUP('Données projet'!$B$11,Paramètres!$A$1:$I$89,3,0)*0.475*44/12</f>
        <v>2.110457544667709E-6</v>
      </c>
      <c r="BS129" s="24">
        <f t="shared" si="63"/>
        <v>131.72718921505142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>
        <f>VLOOKUP(A129,'Données projet'!$A$113:$I$133,2,0)</f>
        <v>244</v>
      </c>
      <c r="BW129" s="13">
        <f>VLOOKUP(A129,'Données projet'!$A$113:$I$133,9,0)</f>
        <v>4.666666666666667</v>
      </c>
      <c r="BX129" s="13">
        <f t="array" ref="BX129">INDEX(BW:BW,MIN(IF(ISNUMBER(BW129:BW325),ROW(BW129:BW325),"")))</f>
        <v>4.666666666666667</v>
      </c>
      <c r="BY129" s="13">
        <f>IF('Données projet'!$A$114&gt;35,BY128+BX129-CG128,IF(A129&lt;'Données projet'!$A$114,$BV$205^A129,IF(A129='Données projet'!$A$114,'Données projet'!$B$114,BY128+BX129-CG128)))</f>
        <v>243.99999999999991</v>
      </c>
      <c r="BZ129" s="14">
        <f>BY129*VLOOKUP('Données projet'!$B$12,Paramètres!$A$1:$I$89,3,0)*VLOOKUP('Données projet'!$B$12,Paramètres!$A$1:$I$89,5,0)</f>
        <v>220.77119999999994</v>
      </c>
      <c r="CA129" s="14">
        <f t="shared" si="93"/>
        <v>54.28246807807983</v>
      </c>
      <c r="CB129" s="22">
        <f t="shared" si="64"/>
        <v>479.05180523598892</v>
      </c>
      <c r="CC129" s="62">
        <f t="shared" si="65"/>
        <v>772.38513856932218</v>
      </c>
      <c r="CD129" s="62">
        <f ca="1">AVERAGE(OFFSET($CC$3,0,0,'Données projet'!$E$12+1,1))-AVERAGE(OFFSET($H$3,0,0,'Données projet'!$E$12+1,1))</f>
        <v>213.07277043804817</v>
      </c>
      <c r="CE129" s="62">
        <f t="shared" si="94"/>
        <v>129.14539883354166</v>
      </c>
      <c r="CF129" s="16">
        <f>IF(ISNA(VLOOKUP(A129,'Données projet'!$A$113:$I$133,3,0)),0,VLOOKUP(A129,'Données projet'!$A$113:$I$133,3,0))</f>
        <v>10</v>
      </c>
      <c r="CG129" s="16">
        <f>IF(ISNA(VLOOKUP(A129,'Données projet'!$A$113:$I$133,4,0)),0,VLOOKUP(A129,'Données projet'!$A$113:$I$133,4,0))</f>
        <v>38</v>
      </c>
      <c r="CH129" s="17">
        <f>IF(ISNA(VLOOKUP(A129,'Données projet'!$A$113:$I$133,5,0)),0%,VLOOKUP(A129,'Données projet'!$A$113:$I$133,5,0)*VLOOKUP('Données projet'!$B$12,Paramètres!$A$1:$I$89,7,0))</f>
        <v>0.38700000000000001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51.04681629722122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51.04681629722122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>
        <f>VLOOKUP(A129,'Données projet'!$A$139:$I$159,2,0)</f>
        <v>244</v>
      </c>
      <c r="CR129" s="13">
        <f>VLOOKUP(A129,'Données projet'!$A$139:$I$159,9,0)</f>
        <v>4.666666666666667</v>
      </c>
      <c r="CS129" s="13">
        <f t="array" ref="CS129">INDEX(CR:CR,MIN(IF(ISNUMBER(CR129:CR325),ROW(CR129:CR325),"")))</f>
        <v>4.666666666666667</v>
      </c>
      <c r="CT129" s="13">
        <f>IF('Données projet'!$A$140&gt;35,CT128+CS129-DB128,IF(A129&lt;'Données projet'!$A$140,$CQ$205^A129,IF(A129='Données projet'!$A$140,'Données projet'!$B$140,CT128+CS129-DB128)))</f>
        <v>243.99999999999991</v>
      </c>
      <c r="CU129" s="18">
        <f>CT129*VLOOKUP('Données projet'!$B$13,Paramètres!$A$1:$I$89,3,0)*VLOOKUP('Données projet'!$B$13,Paramètres!$A$1:$I$89,5,0)</f>
        <v>247.41599999999991</v>
      </c>
      <c r="CV129" s="14">
        <f t="shared" si="95"/>
        <v>60.032282000540192</v>
      </c>
      <c r="CW129" s="22">
        <f t="shared" si="67"/>
        <v>535.47242448427392</v>
      </c>
      <c r="CX129" s="62">
        <f t="shared" si="68"/>
        <v>828.80575781760717</v>
      </c>
      <c r="CY129" s="62">
        <f ca="1">AVERAGE(OFFSET($CX$3,0,0,'Données projet'!$E$13+1,1))-AVERAGE(OFFSET($H$3,0,0,'Données projet'!$E$13+1,1))</f>
        <v>247.92503505485405</v>
      </c>
      <c r="CZ129" s="62">
        <f t="shared" si="96"/>
        <v>148.26437652597514</v>
      </c>
      <c r="DA129" s="16">
        <f>IF(ISNA(VLOOKUP(A129,'Données projet'!$A$139:$I$159,3,0)),0,VLOOKUP(A129,'Données projet'!$A$139:$I$159,3,0))</f>
        <v>10</v>
      </c>
      <c r="DB129" s="16">
        <f>IF(ISNA(VLOOKUP(A129,'Données projet'!$A$139:$I$159,4,0)),0,VLOOKUP(A129,'Données projet'!$A$139:$I$159,4,0))</f>
        <v>38</v>
      </c>
      <c r="DC129" s="17">
        <f>IF(ISNA(VLOOKUP(A129,'Données projet'!$A$139:$I$159,5,0)),0%,VLOOKUP(A129,'Données projet'!$A$139:$I$159,5,0)*VLOOKUP('Données projet'!$B$13,Paramètres!$A$1:$I$89,7,0))</f>
        <v>0.38700000000000001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57.207638953782414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57.207638953782414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3.0833333333333335</v>
      </c>
      <c r="DO129" s="13">
        <f>IF('Données projet'!$A$166&gt;35,DO128+DN129-DW128,IF(A129&lt;'Données projet'!$A$166,$DL$205^A129,IF(A129='Données projet'!$A$166,'Données projet'!$B$166,DO128+DN129-DW128)))</f>
        <v>146.33333333333357</v>
      </c>
      <c r="DP129" s="18">
        <f>DO129*VLOOKUP('Données projet'!$B$14,Paramètres!$A$1:$I$89,3,0)*VLOOKUP('Données projet'!$B$14,Paramètres!$A$1:$I$89,5,0)</f>
        <v>141.53360000000023</v>
      </c>
      <c r="DQ129" s="14">
        <f t="shared" si="97"/>
        <v>36.648108642974499</v>
      </c>
      <c r="DR129" s="22">
        <f t="shared" si="70"/>
        <v>310.33314255318101</v>
      </c>
      <c r="DS129" s="62">
        <f t="shared" si="71"/>
        <v>603.66647588651426</v>
      </c>
      <c r="DT129" s="62">
        <f ca="1">AVERAGE(OFFSET($DS$3,0,0,'Données projet'!$E$14+1,1))-AVERAGE(OFFSET($H$3,0,0,'Données projet'!$E$14+1,1))</f>
        <v>154.0837760161366</v>
      </c>
      <c r="DU129" s="62">
        <f t="shared" si="98"/>
        <v>96.484500841546037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26.316875164292693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26.316875164292693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-5.6843418860808015E-14</v>
      </c>
      <c r="EK129" s="18">
        <f>EJ129*VLOOKUP('Données projet'!$B$15,Paramètres!$A$1:$I$89,3,0)*VLOOKUP('Données projet'!$B$15,Paramètres!$A$1:$I$89,5,0)</f>
        <v>-3.813056537183002E-14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205.35893113421139</v>
      </c>
      <c r="EP129" s="62">
        <f t="shared" si="100"/>
        <v>220.4399811285175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31.854067122029974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31.854067122029974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-5.6843418860808015E-14</v>
      </c>
      <c r="FF129" s="18">
        <f>FE129*VLOOKUP('Données projet'!$B$16,Paramètres!$A$1:$I$89,3,0)*VLOOKUP('Données projet'!$B$16,Paramètres!$A$1:$I$89,5,0)</f>
        <v>-4.4337866711430253E-14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242.81177364426878</v>
      </c>
      <c r="FK129" s="62">
        <f t="shared" si="102"/>
        <v>260.72115764896671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30.051006718896215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30.051006718896215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-5.6843418860808015E-14</v>
      </c>
      <c r="GA129" s="18">
        <f>FZ129*VLOOKUP('Données projet'!$B$17,Paramètres!$A$1:$I$89,3,0)*VLOOKUP('Données projet'!$B$17,Paramètres!$A$1:$I$89,5,0)</f>
        <v>-4.5224624045658861E-14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248.15263300983543</v>
      </c>
      <c r="GF129" s="62">
        <f t="shared" si="104"/>
        <v>266.46511459244618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37.780405191244839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37.780405191244839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382.55387448074327</v>
      </c>
      <c r="T130" s="62">
        <f t="shared" si="88"/>
        <v>476.29465646955543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68.656110636260863</v>
      </c>
      <c r="AA130" s="23">
        <f>EXP(-LN(2)/25)*AA129+(1-EXP(-LN(2)/25))/(LN(2)/25)*Calculateur!V130*Calculateur!X130*VLOOKUP('Données projet'!$B$9,Paramètres!$A$1:$I$89,3,0)*0.475*44/12</f>
        <v>10.052866170034669</v>
      </c>
      <c r="AB130" s="23">
        <f>EXP(-LN(2)/2)*AB129+(1-EXP(-LN(2)/2))/(LN(2)/2)*V130*Y130*VLOOKUP('Données projet'!$B$9,Paramètres!$A$1:$I$89,3,0)*0.475*44/12</f>
        <v>4.636223339093412E-9</v>
      </c>
      <c r="AC130" s="24">
        <f t="shared" si="57"/>
        <v>78.708976810931759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-1.7053025658242404E-13</v>
      </c>
      <c r="AJ130" s="14">
        <f>AI130*VLOOKUP('Données projet'!$B$10,Paramètres!$A$1:$I$89,3,0)*VLOOKUP('Données projet'!$B$10,Paramètres!$A$1:$I$89,5,0)</f>
        <v>-1.064108801074326E-13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482.28841373508675</v>
      </c>
      <c r="AO130" s="62">
        <f t="shared" si="90"/>
        <v>746.97309214631684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128.36760767070396</v>
      </c>
      <c r="AV130" s="23">
        <f>EXP(-LN(2)/25)*AV129+(1-EXP(-LN(2)/25))/(LN(2)/25)*Calculateur!AQ130*Calculateur!AS130*VLOOKUP('Données projet'!$B$10,Paramètres!$A$1:$I$89,3,0)*0.475*44/12</f>
        <v>18.849549190009085</v>
      </c>
      <c r="AW130" s="23">
        <f>EXP(-LN(2)/2)*AW129+(1-EXP(-LN(2)/2))/(LN(2)/2)*AQ130*AT130*VLOOKUP('Données projet'!$B$10,Paramètres!$A$1:$I$89,3,0)*0.475*44/12</f>
        <v>1.7317458201652052E-6</v>
      </c>
      <c r="AX130" s="23">
        <f t="shared" si="60"/>
        <v>147.21715859245884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-1.7053025658242404E-13</v>
      </c>
      <c r="BE130" s="14">
        <f>BD130*VLOOKUP('Données projet'!$B$11,Paramètres!$A$1:$I$89,3,0)*VLOOKUP('Données projet'!$B$11,Paramètres!$A$1:$I$89,5,0)</f>
        <v>-9.3109520094003535E-14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417.99456559608217</v>
      </c>
      <c r="BJ130" s="62">
        <f t="shared" si="92"/>
        <v>651.41353014863932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112.32165671186601</v>
      </c>
      <c r="BQ130" s="23">
        <f>EXP(-LN(2)/25)*BQ129+(1-EXP(-LN(2)/25))/(LN(2)/25)*Calculateur!BL130*Calculateur!BN130*VLOOKUP('Données projet'!$B$11,Paramètres!$A$1:$I$89,3,0)*0.475*44/12</f>
        <v>16.689705011987204</v>
      </c>
      <c r="BR130" s="23">
        <f>EXP(-LN(2)/2)*BR129+(1-EXP(-LN(2)/2))/(LN(2)/2)*BL130*BO130*VLOOKUP('Données projet'!$B$11,Paramètres!$A$1:$I$89,3,0)*0.475*44/12</f>
        <v>1.492318841240848E-6</v>
      </c>
      <c r="BS130" s="24">
        <f t="shared" si="63"/>
        <v>129.01136321617204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4.666666666666667</v>
      </c>
      <c r="BY130" s="13">
        <f>IF('Données projet'!$A$114&gt;35,BY129+BX130-CG129,IF(A130&lt;'Données projet'!$A$114,$BV$205^A130,IF(A130='Données projet'!$A$114,'Données projet'!$B$114,BY129+BX130-CG129)))</f>
        <v>210.66666666666657</v>
      </c>
      <c r="BZ130" s="14">
        <f>BY130*VLOOKUP('Données projet'!$B$12,Paramètres!$A$1:$I$89,3,0)*VLOOKUP('Données projet'!$B$12,Paramètres!$A$1:$I$89,5,0)</f>
        <v>190.61119999999988</v>
      </c>
      <c r="CA130" s="14">
        <f t="shared" si="93"/>
        <v>47.675055224887458</v>
      </c>
      <c r="CB130" s="22">
        <f t="shared" si="64"/>
        <v>415.01522785001202</v>
      </c>
      <c r="CC130" s="62">
        <f t="shared" si="65"/>
        <v>708.34856118334528</v>
      </c>
      <c r="CD130" s="62">
        <f ca="1">AVERAGE(OFFSET($CC$3,0,0,'Données projet'!$E$12+1,1))-AVERAGE(OFFSET($H$3,0,0,'Données projet'!$E$12+1,1))</f>
        <v>213.07277043804817</v>
      </c>
      <c r="CE130" s="62">
        <f t="shared" si="94"/>
        <v>129.14539883354166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50.04581936511628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50.04581936511628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4.666666666666667</v>
      </c>
      <c r="CT130" s="13">
        <f>IF('Données projet'!$A$140&gt;35,CT129+CS130-DB129,IF(A130&lt;'Données projet'!$A$140,$CQ$205^A130,IF(A130='Données projet'!$A$140,'Données projet'!$B$140,CT129+CS130-DB129)))</f>
        <v>210.66666666666657</v>
      </c>
      <c r="CU130" s="18">
        <f>CT130*VLOOKUP('Données projet'!$B$13,Paramètres!$A$1:$I$89,3,0)*VLOOKUP('Données projet'!$B$13,Paramètres!$A$1:$I$89,5,0)</f>
        <v>213.61599999999993</v>
      </c>
      <c r="CV130" s="14">
        <f t="shared" si="95"/>
        <v>52.72498581927065</v>
      </c>
      <c r="CW130" s="22">
        <f t="shared" si="67"/>
        <v>463.87721696856289</v>
      </c>
      <c r="CX130" s="62">
        <f t="shared" si="68"/>
        <v>757.21055030189621</v>
      </c>
      <c r="CY130" s="62">
        <f ca="1">AVERAGE(OFFSET($CX$3,0,0,'Données projet'!$E$13+1,1))-AVERAGE(OFFSET($H$3,0,0,'Données projet'!$E$13+1,1))</f>
        <v>247.92503505485405</v>
      </c>
      <c r="CZ130" s="62">
        <f t="shared" si="96"/>
        <v>148.26437652597514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56.085832047113087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56.085832047113087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3.0833333333333335</v>
      </c>
      <c r="DO130" s="13">
        <f>IF('Données projet'!$A$166&gt;35,DO129+DN130-DW129,IF(A130&lt;'Données projet'!$A$166,$DL$205^A130,IF(A130='Données projet'!$A$166,'Données projet'!$B$166,DO129+DN130-DW129)))</f>
        <v>149.41666666666691</v>
      </c>
      <c r="DP130" s="18">
        <f>DO130*VLOOKUP('Données projet'!$B$14,Paramètres!$A$1:$I$89,3,0)*VLOOKUP('Données projet'!$B$14,Paramètres!$A$1:$I$89,5,0)</f>
        <v>144.51580000000024</v>
      </c>
      <c r="DQ130" s="14">
        <f t="shared" si="97"/>
        <v>37.329592722652954</v>
      </c>
      <c r="DR130" s="22">
        <f t="shared" si="70"/>
        <v>316.71405899195429</v>
      </c>
      <c r="DS130" s="62">
        <f t="shared" si="71"/>
        <v>610.04739232528755</v>
      </c>
      <c r="DT130" s="62">
        <f ca="1">AVERAGE(OFFSET($DS$3,0,0,'Données projet'!$E$14+1,1))-AVERAGE(OFFSET($H$3,0,0,'Données projet'!$E$14+1,1))</f>
        <v>154.0837760161366</v>
      </c>
      <c r="DU130" s="62">
        <f t="shared" si="98"/>
        <v>96.484500841546037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25.800817294029788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25.800817294029788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-5.6843418860808015E-14</v>
      </c>
      <c r="EK130" s="18">
        <f>EJ130*VLOOKUP('Données projet'!$B$15,Paramètres!$A$1:$I$89,3,0)*VLOOKUP('Données projet'!$B$15,Paramètres!$A$1:$I$89,5,0)</f>
        <v>-3.813056537183002E-14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205.35893113421139</v>
      </c>
      <c r="EP130" s="62">
        <f t="shared" si="100"/>
        <v>220.4399811285175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31.22942829482945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31.22942829482945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-5.6843418860808015E-14</v>
      </c>
      <c r="FF130" s="18">
        <f>FE130*VLOOKUP('Données projet'!$B$16,Paramètres!$A$1:$I$89,3,0)*VLOOKUP('Données projet'!$B$16,Paramètres!$A$1:$I$89,5,0)</f>
        <v>-4.4337866711430253E-14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242.81177364426878</v>
      </c>
      <c r="FK130" s="62">
        <f t="shared" si="102"/>
        <v>260.72115764896671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29.461724806442891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29.461724806442891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-5.6843418860808015E-14</v>
      </c>
      <c r="GA130" s="18">
        <f>FZ130*VLOOKUP('Données projet'!$B$17,Paramètres!$A$1:$I$89,3,0)*VLOOKUP('Données projet'!$B$17,Paramètres!$A$1:$I$89,5,0)</f>
        <v>-4.5224624045658861E-14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248.15263300983543</v>
      </c>
      <c r="GF130" s="62">
        <f t="shared" si="104"/>
        <v>266.46511459244618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37.039554489216307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37.039554489216307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382.55387448074327</v>
      </c>
      <c r="T131" s="62">
        <f t="shared" si="88"/>
        <v>476.29465646955543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67.309806182776356</v>
      </c>
      <c r="AA131" s="23">
        <f>EXP(-LN(2)/25)*AA130+(1-EXP(-LN(2)/25))/(LN(2)/25)*Calculateur!V131*Calculateur!X131*VLOOKUP('Données projet'!$B$9,Paramètres!$A$1:$I$89,3,0)*0.475*44/12</f>
        <v>9.7779700159578145</v>
      </c>
      <c r="AB131" s="23">
        <f>EXP(-LN(2)/2)*AB130+(1-EXP(-LN(2)/2))/(LN(2)/2)*V131*Y131*VLOOKUP('Données projet'!$B$9,Paramètres!$A$1:$I$89,3,0)*0.475*44/12</f>
        <v>3.2783049621682901E-9</v>
      </c>
      <c r="AC131" s="24">
        <f t="shared" si="57"/>
        <v>77.087776202012478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-1.7053025658242404E-13</v>
      </c>
      <c r="AJ131" s="14">
        <f>AI131*VLOOKUP('Données projet'!$B$10,Paramètres!$A$1:$I$89,3,0)*VLOOKUP('Données projet'!$B$10,Paramètres!$A$1:$I$89,5,0)</f>
        <v>-1.064108801074326E-13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482.28841373508675</v>
      </c>
      <c r="AO131" s="62">
        <f t="shared" si="90"/>
        <v>746.97309214631684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125.85039718079099</v>
      </c>
      <c r="AV131" s="23">
        <f>EXP(-LN(2)/25)*AV130+(1-EXP(-LN(2)/25))/(LN(2)/25)*Calculateur!AQ131*Calculateur!AS131*VLOOKUP('Données projet'!$B$10,Paramètres!$A$1:$I$89,3,0)*0.475*44/12</f>
        <v>18.334107276153578</v>
      </c>
      <c r="AW131" s="23">
        <f>EXP(-LN(2)/2)*AW130+(1-EXP(-LN(2)/2))/(LN(2)/2)*AQ131*AT131*VLOOKUP('Données projet'!$B$10,Paramètres!$A$1:$I$89,3,0)*0.475*44/12</f>
        <v>1.224529212730276E-6</v>
      </c>
      <c r="AX131" s="23">
        <f t="shared" si="60"/>
        <v>144.18450568147378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-1.7053025658242404E-13</v>
      </c>
      <c r="BE131" s="14">
        <f>BD131*VLOOKUP('Données projet'!$B$11,Paramètres!$A$1:$I$89,3,0)*VLOOKUP('Données projet'!$B$11,Paramètres!$A$1:$I$89,5,0)</f>
        <v>-9.3109520094003535E-14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417.99456559608217</v>
      </c>
      <c r="BJ131" s="62">
        <f t="shared" si="92"/>
        <v>651.41353014863932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110.11909753319217</v>
      </c>
      <c r="BQ131" s="23">
        <f>EXP(-LN(2)/25)*BQ130+(1-EXP(-LN(2)/25))/(LN(2)/25)*Calculateur!BL131*Calculateur!BN131*VLOOKUP('Données projet'!$B$11,Paramètres!$A$1:$I$89,3,0)*0.475*44/12</f>
        <v>16.233324150760971</v>
      </c>
      <c r="BR131" s="23">
        <f>EXP(-LN(2)/2)*BR130+(1-EXP(-LN(2)/2))/(LN(2)/2)*BL131*BO131*VLOOKUP('Données projet'!$B$11,Paramètres!$A$1:$I$89,3,0)*0.475*44/12</f>
        <v>1.0552287723338545E-6</v>
      </c>
      <c r="BS131" s="24">
        <f t="shared" si="63"/>
        <v>126.35242273918192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4.666666666666667</v>
      </c>
      <c r="BY131" s="13">
        <f>IF('Données projet'!$A$114&gt;35,BY130+BX131-CG130,IF(A131&lt;'Données projet'!$A$114,$BV$205^A131,IF(A131='Données projet'!$A$114,'Données projet'!$B$114,BY130+BX131-CG130)))</f>
        <v>215.33333333333323</v>
      </c>
      <c r="BZ131" s="14">
        <f>BY131*VLOOKUP('Données projet'!$B$12,Paramètres!$A$1:$I$89,3,0)*VLOOKUP('Données projet'!$B$12,Paramètres!$A$1:$I$89,5,0)</f>
        <v>194.8335999999999</v>
      </c>
      <c r="CA131" s="14">
        <f t="shared" si="93"/>
        <v>48.607025725990823</v>
      </c>
      <c r="CB131" s="22">
        <f t="shared" si="64"/>
        <v>423.99242313943387</v>
      </c>
      <c r="CC131" s="62">
        <f t="shared" si="65"/>
        <v>717.32575647276713</v>
      </c>
      <c r="CD131" s="62">
        <f ca="1">AVERAGE(OFFSET($CC$3,0,0,'Données projet'!$E$12+1,1))-AVERAGE(OFFSET($H$3,0,0,'Données projet'!$E$12+1,1))</f>
        <v>213.07277043804817</v>
      </c>
      <c r="CE131" s="62">
        <f t="shared" si="94"/>
        <v>129.14539883354166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49.064451372302074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49.064451372302074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4.666666666666667</v>
      </c>
      <c r="CT131" s="13">
        <f>IF('Données projet'!$A$140&gt;35,CT130+CS131-DB130,IF(A131&lt;'Données projet'!$A$140,$CQ$205^A131,IF(A131='Données projet'!$A$140,'Données projet'!$B$140,CT130+CS131-DB130)))</f>
        <v>215.33333333333323</v>
      </c>
      <c r="CU131" s="18">
        <f>CT131*VLOOKUP('Données projet'!$B$13,Paramètres!$A$1:$I$89,3,0)*VLOOKUP('Données projet'!$B$13,Paramètres!$A$1:$I$89,5,0)</f>
        <v>218.34799999999993</v>
      </c>
      <c r="CV131" s="14">
        <f t="shared" si="95"/>
        <v>53.755674325510796</v>
      </c>
      <c r="CW131" s="22">
        <f t="shared" si="67"/>
        <v>473.91389945026441</v>
      </c>
      <c r="CX131" s="62">
        <f t="shared" si="68"/>
        <v>767.24723278359772</v>
      </c>
      <c r="CY131" s="62">
        <f ca="1">AVERAGE(OFFSET($CX$3,0,0,'Données projet'!$E$13+1,1))-AVERAGE(OFFSET($H$3,0,0,'Données projet'!$E$13+1,1))</f>
        <v>247.92503505485405</v>
      </c>
      <c r="CZ131" s="62">
        <f t="shared" si="96"/>
        <v>148.26437652597514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54.986023089648889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54.986023089648889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3.0833333333333335</v>
      </c>
      <c r="DO131" s="13">
        <f>IF('Données projet'!$A$166&gt;35,DO130+DN131-DW130,IF(A131&lt;'Données projet'!$A$166,$DL$205^A131,IF(A131='Données projet'!$A$166,'Données projet'!$B$166,DO130+DN131-DW130)))</f>
        <v>152.50000000000026</v>
      </c>
      <c r="DP131" s="18">
        <f>DO131*VLOOKUP('Données projet'!$B$14,Paramètres!$A$1:$I$89,3,0)*VLOOKUP('Données projet'!$B$14,Paramètres!$A$1:$I$89,5,0)</f>
        <v>147.49800000000025</v>
      </c>
      <c r="DQ131" s="14">
        <f t="shared" si="97"/>
        <v>38.009441713971313</v>
      </c>
      <c r="DR131" s="22">
        <f t="shared" si="70"/>
        <v>323.09212765183378</v>
      </c>
      <c r="DS131" s="62">
        <f t="shared" si="71"/>
        <v>616.42546098516709</v>
      </c>
      <c r="DT131" s="62">
        <f ca="1">AVERAGE(OFFSET($DS$3,0,0,'Données projet'!$E$14+1,1))-AVERAGE(OFFSET($H$3,0,0,'Données projet'!$E$14+1,1))</f>
        <v>154.0837760161366</v>
      </c>
      <c r="DU131" s="62">
        <f t="shared" si="98"/>
        <v>96.484500841546037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25.294879003838517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25.294879003838517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-5.6843418860808015E-14</v>
      </c>
      <c r="EK131" s="18">
        <f>EJ131*VLOOKUP('Données projet'!$B$15,Paramètres!$A$1:$I$89,3,0)*VLOOKUP('Données projet'!$B$15,Paramètres!$A$1:$I$89,5,0)</f>
        <v>-3.813056537183002E-14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205.35893113421139</v>
      </c>
      <c r="EP131" s="62">
        <f t="shared" si="100"/>
        <v>220.4399811285175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30.617038254038263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30.617038254038263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-5.6843418860808015E-14</v>
      </c>
      <c r="FF131" s="18">
        <f>FE131*VLOOKUP('Données projet'!$B$16,Paramètres!$A$1:$I$89,3,0)*VLOOKUP('Données projet'!$B$16,Paramètres!$A$1:$I$89,5,0)</f>
        <v>-4.4337866711430253E-14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242.81177364426878</v>
      </c>
      <c r="FK131" s="62">
        <f t="shared" si="102"/>
        <v>260.72115764896671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28.8839983528663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28.8839983528663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-5.6843418860808015E-14</v>
      </c>
      <c r="GA131" s="18">
        <f>FZ131*VLOOKUP('Données projet'!$B$17,Paramètres!$A$1:$I$89,3,0)*VLOOKUP('Données projet'!$B$17,Paramètres!$A$1:$I$89,5,0)</f>
        <v>-4.5224624045658861E-14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248.15263300983543</v>
      </c>
      <c r="GF131" s="62">
        <f t="shared" si="104"/>
        <v>266.46511459244618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36.313231417580248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36.313231417580248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382.55387448074327</v>
      </c>
      <c r="T132" s="62">
        <f t="shared" si="88"/>
        <v>476.29465646955543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65.989901938460051</v>
      </c>
      <c r="AA132" s="23">
        <f>EXP(-LN(2)/25)*AA131+(1-EXP(-LN(2)/25))/(LN(2)/25)*Calculateur!V132*Calculateur!X132*VLOOKUP('Données projet'!$B$9,Paramètres!$A$1:$I$89,3,0)*0.475*44/12</f>
        <v>9.5105909116703522</v>
      </c>
      <c r="AB132" s="23">
        <f>EXP(-LN(2)/2)*AB131+(1-EXP(-LN(2)/2))/(LN(2)/2)*V132*Y132*VLOOKUP('Données projet'!$B$9,Paramètres!$A$1:$I$89,3,0)*0.475*44/12</f>
        <v>2.318111669546706E-9</v>
      </c>
      <c r="AC132" s="24">
        <f t="shared" ref="AC132:AC153" si="111">SUM(Z132:AB132)</f>
        <v>75.500492852448517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-1.7053025658242404E-13</v>
      </c>
      <c r="AJ132" s="14">
        <f>AI132*VLOOKUP('Données projet'!$B$10,Paramètres!$A$1:$I$89,3,0)*VLOOKUP('Données projet'!$B$10,Paramètres!$A$1:$I$89,5,0)</f>
        <v>-1.064108801074326E-13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482.28841373508675</v>
      </c>
      <c r="AO132" s="62">
        <f t="shared" si="90"/>
        <v>746.97309214631684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123.38254765323842</v>
      </c>
      <c r="AV132" s="23">
        <f>EXP(-LN(2)/25)*AV131+(1-EXP(-LN(2)/25))/(LN(2)/25)*Calculateur!AQ132*Calculateur!AS132*VLOOKUP('Données projet'!$B$10,Paramètres!$A$1:$I$89,3,0)*0.475*44/12</f>
        <v>17.832760148538359</v>
      </c>
      <c r="AW132" s="23">
        <f>EXP(-LN(2)/2)*AW131+(1-EXP(-LN(2)/2))/(LN(2)/2)*AQ132*AT132*VLOOKUP('Données projet'!$B$10,Paramètres!$A$1:$I$89,3,0)*0.475*44/12</f>
        <v>8.6587291008260258E-7</v>
      </c>
      <c r="AX132" s="23">
        <f t="shared" ref="AX132:AX153" si="114">SUM(AU132:AW132)</f>
        <v>141.21530866764971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-1.7053025658242404E-13</v>
      </c>
      <c r="BE132" s="14">
        <f>BD132*VLOOKUP('Données projet'!$B$11,Paramètres!$A$1:$I$89,3,0)*VLOOKUP('Données projet'!$B$11,Paramètres!$A$1:$I$89,5,0)</f>
        <v>-9.3109520094003535E-14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417.99456559608217</v>
      </c>
      <c r="BJ132" s="62">
        <f t="shared" si="92"/>
        <v>651.41353014863932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107.95972919658368</v>
      </c>
      <c r="BQ132" s="23">
        <f>EXP(-LN(2)/25)*BQ131+(1-EXP(-LN(2)/25))/(LN(2)/25)*Calculateur!BL132*Calculateur!BN132*VLOOKUP('Données projet'!$B$11,Paramètres!$A$1:$I$89,3,0)*0.475*44/12</f>
        <v>15.789423048184997</v>
      </c>
      <c r="BR132" s="23">
        <f>EXP(-LN(2)/2)*BR131+(1-EXP(-LN(2)/2))/(LN(2)/2)*BL132*BO132*VLOOKUP('Données projet'!$B$11,Paramètres!$A$1:$I$89,3,0)*0.475*44/12</f>
        <v>7.4615942062042402E-7</v>
      </c>
      <c r="BS132" s="24">
        <f t="shared" ref="BS132:BS153" si="117">SUM(BP132:BR132)</f>
        <v>123.7491529909281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4.666666666666667</v>
      </c>
      <c r="BY132" s="13">
        <f>IF('Données projet'!$A$114&gt;35,BY131+BX132-CG131,IF(A132&lt;'Données projet'!$A$114,$BV$205^A132,IF(A132='Données projet'!$A$114,'Données projet'!$B$114,BY131+BX132-CG131)))</f>
        <v>219.99999999999989</v>
      </c>
      <c r="BZ132" s="14">
        <f>BY132*VLOOKUP('Données projet'!$B$12,Paramètres!$A$1:$I$89,3,0)*VLOOKUP('Données projet'!$B$12,Paramètres!$A$1:$I$89,5,0)</f>
        <v>199.0559999999999</v>
      </c>
      <c r="CA132" s="14">
        <f t="shared" si="93"/>
        <v>49.536648006253891</v>
      </c>
      <c r="CB132" s="22">
        <f t="shared" ref="CB132:CB153" si="118">(BZ132+CA132)*0.475*44/12</f>
        <v>432.96552861089202</v>
      </c>
      <c r="CC132" s="62">
        <f t="shared" ref="CC132:CC195" si="119">CB132+(BT132+BU132)*44/12</f>
        <v>726.29886194422534</v>
      </c>
      <c r="CD132" s="62">
        <f ca="1">AVERAGE(OFFSET($CC$3,0,0,'Données projet'!$E$12+1,1))-AVERAGE(OFFSET($H$3,0,0,'Données projet'!$E$12+1,1))</f>
        <v>213.07277043804817</v>
      </c>
      <c r="CE132" s="62">
        <f t="shared" si="94"/>
        <v>129.14539883354166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48.102327407251586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48.102327407251586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4.666666666666667</v>
      </c>
      <c r="CT132" s="13">
        <f>IF('Données projet'!$A$140&gt;35,CT131+CS132-DB131,IF(A132&lt;'Données projet'!$A$140,$CQ$205^A132,IF(A132='Données projet'!$A$140,'Données projet'!$B$140,CT131+CS132-DB131)))</f>
        <v>219.99999999999989</v>
      </c>
      <c r="CU132" s="18">
        <f>CT132*VLOOKUP('Données projet'!$B$13,Paramètres!$A$1:$I$89,3,0)*VLOOKUP('Données projet'!$B$13,Paramètres!$A$1:$I$89,5,0)</f>
        <v>223.07999999999993</v>
      </c>
      <c r="CV132" s="14">
        <f t="shared" si="95"/>
        <v>54.783765878062617</v>
      </c>
      <c r="CW132" s="22">
        <f t="shared" ref="CW132:CW153" si="121">(CU132+CV132)*0.475*44/12</f>
        <v>483.94605890429222</v>
      </c>
      <c r="CX132" s="62">
        <f t="shared" ref="CX132:CX195" si="122">CW132+(CO132+CP132)*44/12</f>
        <v>777.27939223762553</v>
      </c>
      <c r="CY132" s="62">
        <f ca="1">AVERAGE(OFFSET($CX$3,0,0,'Données projet'!$E$13+1,1))-AVERAGE(OFFSET($H$3,0,0,'Données projet'!$E$13+1,1))</f>
        <v>247.92503505485405</v>
      </c>
      <c r="CZ132" s="62">
        <f t="shared" si="96"/>
        <v>148.26437652597514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53.907780715023343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53.907780715023343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3.0833333333333335</v>
      </c>
      <c r="DO132" s="13">
        <f>IF('Données projet'!$A$166&gt;35,DO131+DN132-DW131,IF(A132&lt;'Données projet'!$A$166,$DL$205^A132,IF(A132='Données projet'!$A$166,'Données projet'!$B$166,DO131+DN132-DW131)))</f>
        <v>155.5833333333336</v>
      </c>
      <c r="DP132" s="18">
        <f>DO132*VLOOKUP('Données projet'!$B$14,Paramètres!$A$1:$I$89,3,0)*VLOOKUP('Données projet'!$B$14,Paramètres!$A$1:$I$89,5,0)</f>
        <v>150.48020000000025</v>
      </c>
      <c r="DQ132" s="14">
        <f t="shared" si="97"/>
        <v>38.687692485854498</v>
      </c>
      <c r="DR132" s="22">
        <f t="shared" ref="DR132:DR153" si="124">(DP132+DQ132)*0.475*44/12</f>
        <v>329.467412746197</v>
      </c>
      <c r="DS132" s="62">
        <f t="shared" ref="DS132:DS195" si="125">DR132+(DJ132+DK132)*44/12</f>
        <v>622.80074607953031</v>
      </c>
      <c r="DT132" s="62">
        <f ca="1">AVERAGE(OFFSET($DS$3,0,0,'Données projet'!$E$14+1,1))-AVERAGE(OFFSET($H$3,0,0,'Données projet'!$E$14+1,1))</f>
        <v>154.0837760161366</v>
      </c>
      <c r="DU132" s="62">
        <f t="shared" si="98"/>
        <v>96.484500841546037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24.798861854926013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24.798861854926013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-5.6843418860808015E-14</v>
      </c>
      <c r="EK132" s="18">
        <f>EJ132*VLOOKUP('Données projet'!$B$15,Paramètres!$A$1:$I$89,3,0)*VLOOKUP('Données projet'!$B$15,Paramètres!$A$1:$I$89,5,0)</f>
        <v>-3.813056537183002E-14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205.35893113421139</v>
      </c>
      <c r="EP132" s="62">
        <f t="shared" si="100"/>
        <v>220.4399811285175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30.01665680842595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30.01665680842595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-5.6843418860808015E-14</v>
      </c>
      <c r="FF132" s="18">
        <f>FE132*VLOOKUP('Données projet'!$B$16,Paramètres!$A$1:$I$89,3,0)*VLOOKUP('Données projet'!$B$16,Paramètres!$A$1:$I$89,5,0)</f>
        <v>-4.4337866711430253E-14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242.81177364426878</v>
      </c>
      <c r="FK132" s="62">
        <f t="shared" si="102"/>
        <v>260.72115764896671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28.317600762666004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28.317600762666004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-5.6843418860808015E-14</v>
      </c>
      <c r="GA132" s="18">
        <f>FZ132*VLOOKUP('Données projet'!$B$17,Paramètres!$A$1:$I$89,3,0)*VLOOKUP('Données projet'!$B$17,Paramètres!$A$1:$I$89,5,0)</f>
        <v>-4.5224624045658861E-14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248.15263300983543</v>
      </c>
      <c r="GF132" s="62">
        <f t="shared" si="104"/>
        <v>266.46511459244618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35.601151098365641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35.601151098365641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382.55387448074327</v>
      </c>
      <c r="T133" s="62">
        <f t="shared" ref="T133:T196" si="142">$T$3</f>
        <v>476.29465646955543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64.695880211312684</v>
      </c>
      <c r="AA133" s="23">
        <f>EXP(-LN(2)/25)*AA132+(1-EXP(-LN(2)/25))/(LN(2)/25)*Calculateur!V133*Calculateur!X133*VLOOKUP('Données projet'!$B$9,Paramètres!$A$1:$I$89,3,0)*0.475*44/12</f>
        <v>9.2505233030504872</v>
      </c>
      <c r="AB133" s="23">
        <f>EXP(-LN(2)/2)*AB132+(1-EXP(-LN(2)/2))/(LN(2)/2)*V133*Y133*VLOOKUP('Données projet'!$B$9,Paramètres!$A$1:$I$89,3,0)*0.475*44/12</f>
        <v>1.6391524810841451E-9</v>
      </c>
      <c r="AC133" s="24">
        <f t="shared" si="111"/>
        <v>73.94640351600232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-1.7053025658242404E-13</v>
      </c>
      <c r="AJ133" s="14">
        <f>AI133*VLOOKUP('Données projet'!$B$10,Paramètres!$A$1:$I$89,3,0)*VLOOKUP('Données projet'!$B$10,Paramètres!$A$1:$I$89,5,0)</f>
        <v>-1.064108801074326E-13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482.28841373508675</v>
      </c>
      <c r="AO133" s="62">
        <f t="shared" ref="AO133:AO196" si="144">$AO$3</f>
        <v>746.97309214631684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120.96309114968157</v>
      </c>
      <c r="AV133" s="23">
        <f>EXP(-LN(2)/25)*AV132+(1-EXP(-LN(2)/25))/(LN(2)/25)*Calculateur!AQ133*Calculateur!AS133*VLOOKUP('Données projet'!$B$10,Paramètres!$A$1:$I$89,3,0)*0.475*44/12</f>
        <v>17.345122384492477</v>
      </c>
      <c r="AW133" s="23">
        <f>EXP(-LN(2)/2)*AW132+(1-EXP(-LN(2)/2))/(LN(2)/2)*AQ133*AT133*VLOOKUP('Données projet'!$B$10,Paramètres!$A$1:$I$89,3,0)*0.475*44/12</f>
        <v>6.1226460636513799E-7</v>
      </c>
      <c r="AX133" s="23">
        <f t="shared" si="114"/>
        <v>138.30821414643867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-1.7053025658242404E-13</v>
      </c>
      <c r="BE133" s="14">
        <f>BD133*VLOOKUP('Données projet'!$B$11,Paramètres!$A$1:$I$89,3,0)*VLOOKUP('Données projet'!$B$11,Paramètres!$A$1:$I$89,5,0)</f>
        <v>-9.3109520094003535E-14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417.99456559608217</v>
      </c>
      <c r="BJ133" s="62">
        <f t="shared" ref="BJ133:BJ196" si="146">$BJ$3</f>
        <v>651.41353014863932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105.84270475597144</v>
      </c>
      <c r="BQ133" s="23">
        <f>EXP(-LN(2)/25)*BQ132+(1-EXP(-LN(2)/25))/(LN(2)/25)*Calculateur!BL133*Calculateur!BN133*VLOOKUP('Données projet'!$B$11,Paramètres!$A$1:$I$89,3,0)*0.475*44/12</f>
        <v>15.357660444602708</v>
      </c>
      <c r="BR133" s="23">
        <f>EXP(-LN(2)/2)*BR132+(1-EXP(-LN(2)/2))/(LN(2)/2)*BL133*BO133*VLOOKUP('Données projet'!$B$11,Paramètres!$A$1:$I$89,3,0)*0.475*44/12</f>
        <v>5.2761438616692724E-7</v>
      </c>
      <c r="BS133" s="24">
        <f t="shared" si="117"/>
        <v>121.20036572818853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4.666666666666667</v>
      </c>
      <c r="BY133" s="13">
        <f>IF('Données projet'!$A$114&gt;35,BY132+BX133-CG132,IF(A133&lt;'Données projet'!$A$114,$BV$205^A133,IF(A133='Données projet'!$A$114,'Données projet'!$B$114,BY132+BX133-CG132)))</f>
        <v>224.66666666666654</v>
      </c>
      <c r="BZ133" s="14">
        <f>BY133*VLOOKUP('Données projet'!$B$12,Paramètres!$A$1:$I$89,3,0)*VLOOKUP('Données projet'!$B$12,Paramètres!$A$1:$I$89,5,0)</f>
        <v>203.27839999999989</v>
      </c>
      <c r="CA133" s="14">
        <f t="shared" ref="CA133:CA153" si="147">EXP(-1.0587+0.8836*LN(BZ133)+0.284)</f>
        <v>50.463977614209732</v>
      </c>
      <c r="CB133" s="22">
        <f t="shared" si="118"/>
        <v>441.93464101141507</v>
      </c>
      <c r="CC133" s="62">
        <f t="shared" si="119"/>
        <v>735.26797434474838</v>
      </c>
      <c r="CD133" s="62">
        <f ca="1">AVERAGE(OFFSET($CC$3,0,0,'Données projet'!$E$12+1,1))-AVERAGE(OFFSET($H$3,0,0,'Données projet'!$E$12+1,1))</f>
        <v>213.07277043804817</v>
      </c>
      <c r="CE133" s="62">
        <f t="shared" ref="CE133:CE196" si="148">$CE$3</f>
        <v>129.14539883354166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47.159070106318062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47.159070106318062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4.666666666666667</v>
      </c>
      <c r="CT133" s="13">
        <f>IF('Données projet'!$A$140&gt;35,CT132+CS133-DB132,IF(A133&lt;'Données projet'!$A$140,$CQ$205^A133,IF(A133='Données projet'!$A$140,'Données projet'!$B$140,CT132+CS133-DB132)))</f>
        <v>224.66666666666654</v>
      </c>
      <c r="CU133" s="18">
        <f>CT133*VLOOKUP('Données projet'!$B$13,Paramètres!$A$1:$I$89,3,0)*VLOOKUP('Données projet'!$B$13,Paramètres!$A$1:$I$89,5,0)</f>
        <v>227.81199999999987</v>
      </c>
      <c r="CV133" s="14">
        <f t="shared" ref="CV133:CV153" si="149">EXP(-1.0587+0.8836*LN(CU133)+0.284)</f>
        <v>55.809321909379719</v>
      </c>
      <c r="CW133" s="22">
        <f t="shared" si="121"/>
        <v>493.97380232550273</v>
      </c>
      <c r="CX133" s="62">
        <f t="shared" si="122"/>
        <v>787.30713565883605</v>
      </c>
      <c r="CY133" s="62">
        <f ca="1">AVERAGE(OFFSET($CX$3,0,0,'Données projet'!$E$13+1,1))-AVERAGE(OFFSET($H$3,0,0,'Données projet'!$E$13+1,1))</f>
        <v>247.92503505485405</v>
      </c>
      <c r="CZ133" s="62">
        <f t="shared" ref="CZ133:CZ196" si="150">$CZ$3</f>
        <v>148.26437652597514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52.850682015701288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52.850682015701288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3.0833333333333335</v>
      </c>
      <c r="DO133" s="13">
        <f>IF('Données projet'!$A$166&gt;35,DO132+DN133-DW132,IF(A133&lt;'Données projet'!$A$166,$DL$205^A133,IF(A133='Données projet'!$A$166,'Données projet'!$B$166,DO132+DN133-DW132)))</f>
        <v>158.66666666666694</v>
      </c>
      <c r="DP133" s="18">
        <f>DO133*VLOOKUP('Données projet'!$B$14,Paramètres!$A$1:$I$89,3,0)*VLOOKUP('Données projet'!$B$14,Paramètres!$A$1:$I$89,5,0)</f>
        <v>153.46240000000029</v>
      </c>
      <c r="DQ133" s="14">
        <f t="shared" ref="DQ133:DQ153" si="151">EXP(-1.0587+0.8836*LN(DP133)+0.284)</f>
        <v>39.364380362328575</v>
      </c>
      <c r="DR133" s="22">
        <f t="shared" si="124"/>
        <v>335.83997579772279</v>
      </c>
      <c r="DS133" s="62">
        <f t="shared" si="125"/>
        <v>629.17330913105616</v>
      </c>
      <c r="DT133" s="62">
        <f ca="1">AVERAGE(OFFSET($DS$3,0,0,'Données projet'!$E$14+1,1))-AVERAGE(OFFSET($H$3,0,0,'Données projet'!$E$14+1,1))</f>
        <v>154.0837760161366</v>
      </c>
      <c r="DU133" s="62">
        <f t="shared" ref="DU133:DU196" si="152">$DU$3</f>
        <v>96.484500841546037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24.312571299763096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24.312571299763096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-5.6843418860808015E-14</v>
      </c>
      <c r="EK133" s="18">
        <f>EJ133*VLOOKUP('Données projet'!$B$15,Paramètres!$A$1:$I$89,3,0)*VLOOKUP('Données projet'!$B$15,Paramètres!$A$1:$I$89,5,0)</f>
        <v>-3.813056537183002E-14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205.35893113421139</v>
      </c>
      <c r="EP133" s="62">
        <f t="shared" ref="EP133:EP196" si="154">$EP$3</f>
        <v>220.4399811285175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29.428048476765571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29.428048476765571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-5.6843418860808015E-14</v>
      </c>
      <c r="FF133" s="18">
        <f>FE133*VLOOKUP('Données projet'!$B$16,Paramètres!$A$1:$I$89,3,0)*VLOOKUP('Données projet'!$B$16,Paramètres!$A$1:$I$89,5,0)</f>
        <v>-4.4337866711430253E-14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242.81177364426878</v>
      </c>
      <c r="FK133" s="62">
        <f t="shared" ref="FK133:FK196" si="156">$FK$3</f>
        <v>260.72115764896671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27.762309883741118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27.762309883741118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-5.6843418860808015E-14</v>
      </c>
      <c r="GA133" s="18">
        <f>FZ133*VLOOKUP('Données projet'!$B$17,Paramètres!$A$1:$I$89,3,0)*VLOOKUP('Données projet'!$B$17,Paramètres!$A$1:$I$89,5,0)</f>
        <v>-4.5224624045658861E-14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248.15263300983543</v>
      </c>
      <c r="GF133" s="62">
        <f t="shared" ref="GF133:GF196" si="158">$GF$3</f>
        <v>266.46511459244618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34.903034239884725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34.903034239884725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382.55387448074327</v>
      </c>
      <c r="T134" s="62">
        <f t="shared" si="142"/>
        <v>476.29465646955543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63.427233460959364</v>
      </c>
      <c r="AA134" s="23">
        <f>EXP(-LN(2)/25)*AA133+(1-EXP(-LN(2)/25))/(LN(2)/25)*Calculateur!V134*Calculateur!X134*VLOOKUP('Données projet'!$B$9,Paramètres!$A$1:$I$89,3,0)*0.475*44/12</f>
        <v>8.9975672568646932</v>
      </c>
      <c r="AB134" s="23">
        <f>EXP(-LN(2)/2)*AB133+(1-EXP(-LN(2)/2))/(LN(2)/2)*V134*Y134*VLOOKUP('Données projet'!$B$9,Paramètres!$A$1:$I$89,3,0)*0.475*44/12</f>
        <v>1.159055834773353E-9</v>
      </c>
      <c r="AC134" s="24">
        <f t="shared" si="111"/>
        <v>72.424800718983107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-1.7053025658242404E-13</v>
      </c>
      <c r="AJ134" s="14">
        <f>AI134*VLOOKUP('Données projet'!$B$10,Paramètres!$A$1:$I$89,3,0)*VLOOKUP('Données projet'!$B$10,Paramètres!$A$1:$I$89,5,0)</f>
        <v>-1.064108801074326E-13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482.28841373508675</v>
      </c>
      <c r="AO134" s="62">
        <f t="shared" si="144"/>
        <v>746.97309214631684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118.59107871243673</v>
      </c>
      <c r="AV134" s="23">
        <f>EXP(-LN(2)/25)*AV133+(1-EXP(-LN(2)/25))/(LN(2)/25)*Calculateur!AQ134*Calculateur!AS134*VLOOKUP('Données projet'!$B$10,Paramètres!$A$1:$I$89,3,0)*0.475*44/12</f>
        <v>16.870819100748186</v>
      </c>
      <c r="AW134" s="23">
        <f>EXP(-LN(2)/2)*AW133+(1-EXP(-LN(2)/2))/(LN(2)/2)*AQ134*AT134*VLOOKUP('Données projet'!$B$10,Paramètres!$A$1:$I$89,3,0)*0.475*44/12</f>
        <v>4.3293645504130129E-7</v>
      </c>
      <c r="AX134" s="23">
        <f t="shared" si="114"/>
        <v>135.46189824612136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-1.7053025658242404E-13</v>
      </c>
      <c r="BE134" s="14">
        <f>BD134*VLOOKUP('Données projet'!$B$11,Paramètres!$A$1:$I$89,3,0)*VLOOKUP('Données projet'!$B$11,Paramètres!$A$1:$I$89,5,0)</f>
        <v>-9.3109520094003535E-14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417.99456559608217</v>
      </c>
      <c r="BJ134" s="62">
        <f t="shared" si="146"/>
        <v>651.41353014863932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103.7671938733822</v>
      </c>
      <c r="BQ134" s="23">
        <f>EXP(-LN(2)/25)*BQ133+(1-EXP(-LN(2)/25))/(LN(2)/25)*Calculateur!BL134*Calculateur!BN134*VLOOKUP('Données projet'!$B$11,Paramètres!$A$1:$I$89,3,0)*0.475*44/12</f>
        <v>14.937704412120784</v>
      </c>
      <c r="BR134" s="23">
        <f>EXP(-LN(2)/2)*BR133+(1-EXP(-LN(2)/2))/(LN(2)/2)*BL134*BO134*VLOOKUP('Données projet'!$B$11,Paramètres!$A$1:$I$89,3,0)*0.475*44/12</f>
        <v>3.7307971031021201E-7</v>
      </c>
      <c r="BS134" s="24">
        <f t="shared" si="117"/>
        <v>118.70489865858269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4.666666666666667</v>
      </c>
      <c r="BY134" s="13">
        <f>IF('Données projet'!$A$114&gt;35,BY133+BX134-CG133,IF(A134&lt;'Données projet'!$A$114,$BV$205^A134,IF(A134='Données projet'!$A$114,'Données projet'!$B$114,BY133+BX134-CG133)))</f>
        <v>229.3333333333332</v>
      </c>
      <c r="BZ134" s="14">
        <f>BY134*VLOOKUP('Données projet'!$B$12,Paramètres!$A$1:$I$89,3,0)*VLOOKUP('Données projet'!$B$12,Paramètres!$A$1:$I$89,5,0)</f>
        <v>207.50079999999986</v>
      </c>
      <c r="CA134" s="14">
        <f t="shared" si="147"/>
        <v>51.389067658854721</v>
      </c>
      <c r="CB134" s="22">
        <f t="shared" si="118"/>
        <v>450.89985283917173</v>
      </c>
      <c r="CC134" s="62">
        <f t="shared" si="119"/>
        <v>744.23318617250504</v>
      </c>
      <c r="CD134" s="62">
        <f ca="1">AVERAGE(OFFSET($CC$3,0,0,'Données projet'!$E$12+1,1))-AVERAGE(OFFSET($H$3,0,0,'Données projet'!$E$12+1,1))</f>
        <v>213.07277043804817</v>
      </c>
      <c r="CE134" s="62">
        <f t="shared" si="148"/>
        <v>129.14539883354166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46.234309505725705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46.234309505725705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4.666666666666667</v>
      </c>
      <c r="CT134" s="13">
        <f>IF('Données projet'!$A$140&gt;35,CT133+CS134-DB133,IF(A134&lt;'Données projet'!$A$140,$CQ$205^A134,IF(A134='Données projet'!$A$140,'Données projet'!$B$140,CT133+CS134-DB133)))</f>
        <v>229.3333333333332</v>
      </c>
      <c r="CU134" s="18">
        <f>CT134*VLOOKUP('Données projet'!$B$13,Paramètres!$A$1:$I$89,3,0)*VLOOKUP('Données projet'!$B$13,Paramètres!$A$1:$I$89,5,0)</f>
        <v>232.54399999999987</v>
      </c>
      <c r="CV134" s="14">
        <f t="shared" si="149"/>
        <v>56.832401153973727</v>
      </c>
      <c r="CW134" s="22">
        <f t="shared" si="121"/>
        <v>503.99723200983732</v>
      </c>
      <c r="CX134" s="62">
        <f t="shared" si="122"/>
        <v>797.33056534317063</v>
      </c>
      <c r="CY134" s="62">
        <f ca="1">AVERAGE(OFFSET($CX$3,0,0,'Données projet'!$E$13+1,1))-AVERAGE(OFFSET($H$3,0,0,'Données projet'!$E$13+1,1))</f>
        <v>247.92503505485405</v>
      </c>
      <c r="CZ134" s="62">
        <f t="shared" si="150"/>
        <v>148.26437652597514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51.814312377106404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51.814312377106404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3.0833333333333335</v>
      </c>
      <c r="DO134" s="13">
        <f>IF('Données projet'!$A$166&gt;35,DO133+DN134-DW133,IF(A134&lt;'Données projet'!$A$166,$DL$205^A134,IF(A134='Données projet'!$A$166,'Données projet'!$B$166,DO133+DN134-DW133)))</f>
        <v>161.75000000000028</v>
      </c>
      <c r="DP134" s="18">
        <f>DO134*VLOOKUP('Données projet'!$B$14,Paramètres!$A$1:$I$89,3,0)*VLOOKUP('Données projet'!$B$14,Paramètres!$A$1:$I$89,5,0)</f>
        <v>156.44460000000029</v>
      </c>
      <c r="DQ134" s="14">
        <f t="shared" si="151"/>
        <v>40.039539215997912</v>
      </c>
      <c r="DR134" s="22">
        <f t="shared" si="124"/>
        <v>342.20987580119686</v>
      </c>
      <c r="DS134" s="62">
        <f t="shared" si="125"/>
        <v>635.54320913453012</v>
      </c>
      <c r="DT134" s="62">
        <f ca="1">AVERAGE(OFFSET($DS$3,0,0,'Données projet'!$E$14+1,1))-AVERAGE(OFFSET($H$3,0,0,'Données projet'!$E$14+1,1))</f>
        <v>154.0837760161366</v>
      </c>
      <c r="DU134" s="62">
        <f t="shared" si="152"/>
        <v>96.484500841546037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23.835816605778973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23.835816605778973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-5.6843418860808015E-14</v>
      </c>
      <c r="EK134" s="18">
        <f>EJ134*VLOOKUP('Données projet'!$B$15,Paramètres!$A$1:$I$89,3,0)*VLOOKUP('Données projet'!$B$15,Paramètres!$A$1:$I$89,5,0)</f>
        <v>-3.813056537183002E-14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205.35893113421139</v>
      </c>
      <c r="EP134" s="62">
        <f t="shared" si="154"/>
        <v>220.4399811285175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28.850982395473419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28.850982395473419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-5.6843418860808015E-14</v>
      </c>
      <c r="FF134" s="18">
        <f>FE134*VLOOKUP('Données projet'!$B$16,Paramètres!$A$1:$I$89,3,0)*VLOOKUP('Données projet'!$B$16,Paramètres!$A$1:$I$89,5,0)</f>
        <v>-4.4337866711430253E-14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242.81177364426878</v>
      </c>
      <c r="FK134" s="62">
        <f t="shared" si="156"/>
        <v>260.72115764896671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27.217907920257954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27.217907920257954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-5.6843418860808015E-14</v>
      </c>
      <c r="GA134" s="18">
        <f>FZ134*VLOOKUP('Données projet'!$B$17,Paramètres!$A$1:$I$89,3,0)*VLOOKUP('Données projet'!$B$17,Paramètres!$A$1:$I$89,5,0)</f>
        <v>-4.5224624045658861E-14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248.15263300983543</v>
      </c>
      <c r="GF134" s="62">
        <f t="shared" si="158"/>
        <v>266.46511459244618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34.218607027189385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34.218607027189385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382.55387448074327</v>
      </c>
      <c r="T135" s="62">
        <f t="shared" si="142"/>
        <v>476.29465646955543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62.183464099582359</v>
      </c>
      <c r="AA135" s="23">
        <f>EXP(-LN(2)/25)*AA134+(1-EXP(-LN(2)/25))/(LN(2)/25)*Calculateur!V135*Calculateur!X135*VLOOKUP('Données projet'!$B$9,Paramètres!$A$1:$I$89,3,0)*0.475*44/12</f>
        <v>8.7515283070642305</v>
      </c>
      <c r="AB135" s="23">
        <f>EXP(-LN(2)/2)*AB134+(1-EXP(-LN(2)/2))/(LN(2)/2)*V135*Y135*VLOOKUP('Données projet'!$B$9,Paramètres!$A$1:$I$89,3,0)*0.475*44/12</f>
        <v>8.1957624054207253E-10</v>
      </c>
      <c r="AC135" s="24">
        <f t="shared" si="111"/>
        <v>70.934992407466169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-1.7053025658242404E-13</v>
      </c>
      <c r="AJ135" s="14">
        <f>AI135*VLOOKUP('Données projet'!$B$10,Paramètres!$A$1:$I$89,3,0)*VLOOKUP('Données projet'!$B$10,Paramètres!$A$1:$I$89,5,0)</f>
        <v>-1.064108801074326E-13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482.28841373508675</v>
      </c>
      <c r="AO135" s="62">
        <f t="shared" si="144"/>
        <v>746.97309214631684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116.26557999230153</v>
      </c>
      <c r="AV135" s="23">
        <f>EXP(-LN(2)/25)*AV134+(1-EXP(-LN(2)/25))/(LN(2)/25)*Calculateur!AQ135*Calculateur!AS135*VLOOKUP('Données projet'!$B$10,Paramètres!$A$1:$I$89,3,0)*0.475*44/12</f>
        <v>16.40948566524041</v>
      </c>
      <c r="AW135" s="23">
        <f>EXP(-LN(2)/2)*AW134+(1-EXP(-LN(2)/2))/(LN(2)/2)*AQ135*AT135*VLOOKUP('Données projet'!$B$10,Paramètres!$A$1:$I$89,3,0)*0.475*44/12</f>
        <v>3.06132303182569E-7</v>
      </c>
      <c r="AX135" s="23">
        <f t="shared" si="114"/>
        <v>132.67506596367426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-1.7053025658242404E-13</v>
      </c>
      <c r="BE135" s="14">
        <f>BD135*VLOOKUP('Données projet'!$B$11,Paramètres!$A$1:$I$89,3,0)*VLOOKUP('Données projet'!$B$11,Paramètres!$A$1:$I$89,5,0)</f>
        <v>-9.3109520094003535E-14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417.99456559608217</v>
      </c>
      <c r="BJ135" s="62">
        <f t="shared" si="146"/>
        <v>651.41353014863932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101.7323824932639</v>
      </c>
      <c r="BQ135" s="23">
        <f>EXP(-LN(2)/25)*BQ134+(1-EXP(-LN(2)/25))/(LN(2)/25)*Calculateur!BL135*Calculateur!BN135*VLOOKUP('Données projet'!$B$11,Paramètres!$A$1:$I$89,3,0)*0.475*44/12</f>
        <v>14.529232099431606</v>
      </c>
      <c r="BR135" s="23">
        <f>EXP(-LN(2)/2)*BR134+(1-EXP(-LN(2)/2))/(LN(2)/2)*BL135*BO135*VLOOKUP('Données projet'!$B$11,Paramètres!$A$1:$I$89,3,0)*0.475*44/12</f>
        <v>2.6380719308346362E-7</v>
      </c>
      <c r="BS135" s="24">
        <f t="shared" si="117"/>
        <v>116.2616148565027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4.666666666666667</v>
      </c>
      <c r="BY135" s="13">
        <f>IF('Données projet'!$A$114&gt;35,BY134+BX135-CG134,IF(A135&lt;'Données projet'!$A$114,$BV$205^A135,IF(A135='Données projet'!$A$114,'Données projet'!$B$114,BY134+BX135-CG134)))</f>
        <v>233.99999999999986</v>
      </c>
      <c r="BZ135" s="14">
        <f>BY135*VLOOKUP('Données projet'!$B$12,Paramètres!$A$1:$I$89,3,0)*VLOOKUP('Données projet'!$B$12,Paramètres!$A$1:$I$89,5,0)</f>
        <v>211.72319999999988</v>
      </c>
      <c r="CA135" s="14">
        <f t="shared" si="147"/>
        <v>52.311968964212028</v>
      </c>
      <c r="CB135" s="22">
        <f t="shared" si="118"/>
        <v>459.86125261266903</v>
      </c>
      <c r="CC135" s="62">
        <f t="shared" si="119"/>
        <v>753.19458594600235</v>
      </c>
      <c r="CD135" s="62">
        <f ca="1">AVERAGE(OFFSET($CC$3,0,0,'Données projet'!$E$12+1,1))-AVERAGE(OFFSET($H$3,0,0,'Données projet'!$E$12+1,1))</f>
        <v>213.07277043804817</v>
      </c>
      <c r="CE135" s="62">
        <f t="shared" si="148"/>
        <v>129.14539883354166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45.32768289646269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45.32768289646269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4.666666666666667</v>
      </c>
      <c r="CT135" s="13">
        <f>IF('Données projet'!$A$140&gt;35,CT134+CS135-DB134,IF(A135&lt;'Données projet'!$A$140,$CQ$205^A135,IF(A135='Données projet'!$A$140,'Données projet'!$B$140,CT134+CS135-DB134)))</f>
        <v>233.99999999999986</v>
      </c>
      <c r="CU135" s="18">
        <f>CT135*VLOOKUP('Données projet'!$B$13,Paramètres!$A$1:$I$89,3,0)*VLOOKUP('Données projet'!$B$13,Paramètres!$A$1:$I$89,5,0)</f>
        <v>237.27599999999987</v>
      </c>
      <c r="CV135" s="14">
        <f t="shared" si="149"/>
        <v>57.853059819349511</v>
      </c>
      <c r="CW135" s="22">
        <f t="shared" si="121"/>
        <v>514.01644585203348</v>
      </c>
      <c r="CX135" s="62">
        <f t="shared" si="122"/>
        <v>807.34977918536674</v>
      </c>
      <c r="CY135" s="62">
        <f ca="1">AVERAGE(OFFSET($CX$3,0,0,'Données projet'!$E$13+1,1))-AVERAGE(OFFSET($H$3,0,0,'Données projet'!$E$13+1,1))</f>
        <v>247.92503505485405</v>
      </c>
      <c r="CZ135" s="62">
        <f t="shared" si="150"/>
        <v>148.26437652597514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50.798265315001302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50.798265315001302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3.0833333333333335</v>
      </c>
      <c r="DO135" s="13">
        <f>IF('Données projet'!$A$166&gt;35,DO134+DN135-DW134,IF(A135&lt;'Données projet'!$A$166,$DL$205^A135,IF(A135='Données projet'!$A$166,'Données projet'!$B$166,DO134+DN135-DW134)))</f>
        <v>164.83333333333363</v>
      </c>
      <c r="DP135" s="18">
        <f>DO135*VLOOKUP('Données projet'!$B$14,Paramètres!$A$1:$I$89,3,0)*VLOOKUP('Données projet'!$B$14,Paramètres!$A$1:$I$89,5,0)</f>
        <v>159.42680000000027</v>
      </c>
      <c r="DQ135" s="14">
        <f t="shared" si="151"/>
        <v>40.713201554193496</v>
      </c>
      <c r="DR135" s="22">
        <f t="shared" si="124"/>
        <v>348.57716937355411</v>
      </c>
      <c r="DS135" s="62">
        <f t="shared" si="125"/>
        <v>641.91050270688743</v>
      </c>
      <c r="DT135" s="62">
        <f ca="1">AVERAGE(OFFSET($DS$3,0,0,'Données projet'!$E$14+1,1))-AVERAGE(OFFSET($H$3,0,0,'Données projet'!$E$14+1,1))</f>
        <v>154.0837760161366</v>
      </c>
      <c r="DU135" s="62">
        <f t="shared" si="152"/>
        <v>96.484500841546037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23.368410780552228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23.368410780552228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-5.6843418860808015E-14</v>
      </c>
      <c r="EK135" s="18">
        <f>EJ135*VLOOKUP('Données projet'!$B$15,Paramètres!$A$1:$I$89,3,0)*VLOOKUP('Données projet'!$B$15,Paramètres!$A$1:$I$89,5,0)</f>
        <v>-3.813056537183002E-14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205.35893113421139</v>
      </c>
      <c r="EP135" s="62">
        <f t="shared" si="154"/>
        <v>220.4399811285175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28.285232228059851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28.285232228059851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-5.6843418860808015E-14</v>
      </c>
      <c r="FF135" s="18">
        <f>FE135*VLOOKUP('Données projet'!$B$16,Paramètres!$A$1:$I$89,3,0)*VLOOKUP('Données projet'!$B$16,Paramètres!$A$1:$I$89,5,0)</f>
        <v>-4.4337866711430253E-14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242.81177364426878</v>
      </c>
      <c r="FK135" s="62">
        <f t="shared" si="156"/>
        <v>260.72115764896671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26.684181347226286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26.684181347226286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-5.6843418860808015E-14</v>
      </c>
      <c r="GA135" s="18">
        <f>FZ135*VLOOKUP('Données projet'!$B$17,Paramètres!$A$1:$I$89,3,0)*VLOOKUP('Données projet'!$B$17,Paramètres!$A$1:$I$89,5,0)</f>
        <v>-4.5224624045658861E-14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248.15263300983543</v>
      </c>
      <c r="GF135" s="62">
        <f t="shared" si="158"/>
        <v>266.46511459244618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33.547601014675621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33.547601014675621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382.55387448074327</v>
      </c>
      <c r="T136" s="62">
        <f t="shared" si="142"/>
        <v>476.29465646955543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60.964084296757555</v>
      </c>
      <c r="AA136" s="23">
        <f>EXP(-LN(2)/25)*AA135+(1-EXP(-LN(2)/25))/(LN(2)/25)*Calculateur!V136*Calculateur!X136*VLOOKUP('Données projet'!$B$9,Paramètres!$A$1:$I$89,3,0)*0.475*44/12</f>
        <v>8.5122173052846879</v>
      </c>
      <c r="AB136" s="23">
        <f>EXP(-LN(2)/2)*AB135+(1-EXP(-LN(2)/2))/(LN(2)/2)*V136*Y136*VLOOKUP('Données projet'!$B$9,Paramètres!$A$1:$I$89,3,0)*0.475*44/12</f>
        <v>5.7952791738667651E-10</v>
      </c>
      <c r="AC136" s="24">
        <f t="shared" si="111"/>
        <v>69.476301602621774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-1.7053025658242404E-13</v>
      </c>
      <c r="AJ136" s="14">
        <f>AI136*VLOOKUP('Données projet'!$B$10,Paramètres!$A$1:$I$89,3,0)*VLOOKUP('Données projet'!$B$10,Paramètres!$A$1:$I$89,5,0)</f>
        <v>-1.064108801074326E-13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482.28841373508675</v>
      </c>
      <c r="AO136" s="62">
        <f t="shared" si="144"/>
        <v>746.97309214631684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113.98568288365401</v>
      </c>
      <c r="AV136" s="23">
        <f>EXP(-LN(2)/25)*AV135+(1-EXP(-LN(2)/25))/(LN(2)/25)*Calculateur!AQ136*Calculateur!AS136*VLOOKUP('Données projet'!$B$10,Paramètres!$A$1:$I$89,3,0)*0.475*44/12</f>
        <v>15.960767416787064</v>
      </c>
      <c r="AW136" s="23">
        <f>EXP(-LN(2)/2)*AW135+(1-EXP(-LN(2)/2))/(LN(2)/2)*AQ136*AT136*VLOOKUP('Données projet'!$B$10,Paramètres!$A$1:$I$89,3,0)*0.475*44/12</f>
        <v>2.1646822752065064E-7</v>
      </c>
      <c r="AX136" s="23">
        <f t="shared" si="114"/>
        <v>129.94645051690932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-1.7053025658242404E-13</v>
      </c>
      <c r="BE136" s="14">
        <f>BD136*VLOOKUP('Données projet'!$B$11,Paramètres!$A$1:$I$89,3,0)*VLOOKUP('Données projet'!$B$11,Paramètres!$A$1:$I$89,5,0)</f>
        <v>-9.3109520094003535E-14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417.99456559608217</v>
      </c>
      <c r="BJ136" s="62">
        <f t="shared" si="146"/>
        <v>651.41353014863932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99.737472523197326</v>
      </c>
      <c r="BQ136" s="23">
        <f>EXP(-LN(2)/25)*BQ135+(1-EXP(-LN(2)/25))/(LN(2)/25)*Calculateur!BL136*Calculateur!BN136*VLOOKUP('Données projet'!$B$11,Paramètres!$A$1:$I$89,3,0)*0.475*44/12</f>
        <v>14.13192948361354</v>
      </c>
      <c r="BR136" s="23">
        <f>EXP(-LN(2)/2)*BR135+(1-EXP(-LN(2)/2))/(LN(2)/2)*BL136*BO136*VLOOKUP('Données projet'!$B$11,Paramètres!$A$1:$I$89,3,0)*0.475*44/12</f>
        <v>1.86539855155106E-7</v>
      </c>
      <c r="BS136" s="24">
        <f t="shared" si="117"/>
        <v>113.86940219335072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4.666666666666667</v>
      </c>
      <c r="BY136" s="13">
        <f>IF('Données projet'!$A$114&gt;35,BY135+BX136-CG135,IF(A136&lt;'Données projet'!$A$114,$BV$205^A136,IF(A136='Données projet'!$A$114,'Données projet'!$B$114,BY135+BX136-CG135)))</f>
        <v>238.66666666666652</v>
      </c>
      <c r="BZ136" s="14">
        <f>BY136*VLOOKUP('Données projet'!$B$12,Paramètres!$A$1:$I$89,3,0)*VLOOKUP('Données projet'!$B$12,Paramètres!$A$1:$I$89,5,0)</f>
        <v>215.94559999999984</v>
      </c>
      <c r="CA136" s="14">
        <f t="shared" si="147"/>
        <v>53.232730211216257</v>
      </c>
      <c r="CB136" s="22">
        <f t="shared" si="118"/>
        <v>468.81892511786805</v>
      </c>
      <c r="CC136" s="62">
        <f t="shared" si="119"/>
        <v>762.15225845120131</v>
      </c>
      <c r="CD136" s="62">
        <f ca="1">AVERAGE(OFFSET($CC$3,0,0,'Données projet'!$E$12+1,1))-AVERAGE(OFFSET($H$3,0,0,'Données projet'!$E$12+1,1))</f>
        <v>213.07277043804817</v>
      </c>
      <c r="CE136" s="62">
        <f t="shared" si="148"/>
        <v>129.14539883354166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44.438834682019696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44.438834682019696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4.666666666666667</v>
      </c>
      <c r="CT136" s="13">
        <f>IF('Données projet'!$A$140&gt;35,CT135+CS136-DB135,IF(A136&lt;'Données projet'!$A$140,$CQ$205^A136,IF(A136='Données projet'!$A$140,'Données projet'!$B$140,CT135+CS136-DB135)))</f>
        <v>238.66666666666652</v>
      </c>
      <c r="CU136" s="18">
        <f>CT136*VLOOKUP('Données projet'!$B$13,Paramètres!$A$1:$I$89,3,0)*VLOOKUP('Données projet'!$B$13,Paramètres!$A$1:$I$89,5,0)</f>
        <v>242.00799999999987</v>
      </c>
      <c r="CV136" s="14">
        <f t="shared" si="149"/>
        <v>58.871351742919046</v>
      </c>
      <c r="CW136" s="22">
        <f t="shared" si="121"/>
        <v>524.03153761891701</v>
      </c>
      <c r="CX136" s="62">
        <f t="shared" si="122"/>
        <v>817.36487095225039</v>
      </c>
      <c r="CY136" s="62">
        <f ca="1">AVERAGE(OFFSET($CX$3,0,0,'Données projet'!$E$13+1,1))-AVERAGE(OFFSET($H$3,0,0,'Données projet'!$E$13+1,1))</f>
        <v>247.92503505485405</v>
      </c>
      <c r="CZ136" s="62">
        <f t="shared" si="150"/>
        <v>148.26437652597514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49.802142316056567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49.802142316056567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3.0833333333333335</v>
      </c>
      <c r="DO136" s="13">
        <f>IF('Données projet'!$A$166&gt;35,DO135+DN136-DW135,IF(A136&lt;'Données projet'!$A$166,$DL$205^A136,IF(A136='Données projet'!$A$166,'Données projet'!$B$166,DO135+DN136-DW135)))</f>
        <v>167.91666666666697</v>
      </c>
      <c r="DP136" s="18">
        <f>DO136*VLOOKUP('Données projet'!$B$14,Paramètres!$A$1:$I$89,3,0)*VLOOKUP('Données projet'!$B$14,Paramètres!$A$1:$I$89,5,0)</f>
        <v>162.4090000000003</v>
      </c>
      <c r="DQ136" s="14">
        <f t="shared" si="151"/>
        <v>41.385398598493012</v>
      </c>
      <c r="DR136" s="22">
        <f t="shared" si="124"/>
        <v>354.94191089237592</v>
      </c>
      <c r="DS136" s="62">
        <f t="shared" si="125"/>
        <v>648.27524422570923</v>
      </c>
      <c r="DT136" s="62">
        <f ca="1">AVERAGE(OFFSET($DS$3,0,0,'Données projet'!$E$14+1,1))-AVERAGE(OFFSET($H$3,0,0,'Données projet'!$E$14+1,1))</f>
        <v>154.0837760161366</v>
      </c>
      <c r="DU136" s="62">
        <f t="shared" si="152"/>
        <v>96.484500841546037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22.910170498468776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22.910170498468776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-5.6843418860808015E-14</v>
      </c>
      <c r="EK136" s="18">
        <f>EJ136*VLOOKUP('Données projet'!$B$15,Paramètres!$A$1:$I$89,3,0)*VLOOKUP('Données projet'!$B$15,Paramètres!$A$1:$I$89,5,0)</f>
        <v>-3.813056537183002E-14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205.35893113421139</v>
      </c>
      <c r="EP136" s="62">
        <f t="shared" si="154"/>
        <v>220.4399811285175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27.730576076355735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27.730576076355735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-5.6843418860808015E-14</v>
      </c>
      <c r="FF136" s="18">
        <f>FE136*VLOOKUP('Données projet'!$B$16,Paramètres!$A$1:$I$89,3,0)*VLOOKUP('Données projet'!$B$16,Paramètres!$A$1:$I$89,5,0)</f>
        <v>-4.4337866711430253E-14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242.81177364426878</v>
      </c>
      <c r="FK136" s="62">
        <f t="shared" si="156"/>
        <v>260.72115764896671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26.160920826750704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26.160920826750704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-5.6843418860808015E-14</v>
      </c>
      <c r="GA136" s="18">
        <f>FZ136*VLOOKUP('Données projet'!$B$17,Paramètres!$A$1:$I$89,3,0)*VLOOKUP('Données projet'!$B$17,Paramètres!$A$1:$I$89,5,0)</f>
        <v>-4.5224624045658861E-14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248.15263300983543</v>
      </c>
      <c r="GF136" s="62">
        <f t="shared" si="158"/>
        <v>266.46511459244618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32.889753020793997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32.889753020793997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382.55387448074327</v>
      </c>
      <c r="T137" s="62">
        <f t="shared" si="142"/>
        <v>476.29465646955543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59.768615788117906</v>
      </c>
      <c r="AA137" s="23">
        <f>EXP(-LN(2)/25)*AA136+(1-EXP(-LN(2)/25))/(LN(2)/25)*Calculateur!V137*Calculateur!X137*VLOOKUP('Données projet'!$B$9,Paramètres!$A$1:$I$89,3,0)*0.475*44/12</f>
        <v>8.279450275433625</v>
      </c>
      <c r="AB137" s="23">
        <f>EXP(-LN(2)/2)*AB136+(1-EXP(-LN(2)/2))/(LN(2)/2)*V137*Y137*VLOOKUP('Données projet'!$B$9,Paramètres!$A$1:$I$89,3,0)*0.475*44/12</f>
        <v>4.0978812027103626E-10</v>
      </c>
      <c r="AC137" s="24">
        <f t="shared" si="111"/>
        <v>68.048066063961315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-1.7053025658242404E-13</v>
      </c>
      <c r="AJ137" s="14">
        <f>AI137*VLOOKUP('Données projet'!$B$10,Paramètres!$A$1:$I$89,3,0)*VLOOKUP('Données projet'!$B$10,Paramètres!$A$1:$I$89,5,0)</f>
        <v>-1.064108801074326E-13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482.28841373508675</v>
      </c>
      <c r="AO137" s="62">
        <f t="shared" si="144"/>
        <v>746.97309214631684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111.75049316670714</v>
      </c>
      <c r="AV137" s="23">
        <f>EXP(-LN(2)/25)*AV136+(1-EXP(-LN(2)/25))/(LN(2)/25)*Calculateur!AQ137*Calculateur!AS137*VLOOKUP('Données projet'!$B$10,Paramètres!$A$1:$I$89,3,0)*0.475*44/12</f>
        <v>15.524319392434743</v>
      </c>
      <c r="AW137" s="23">
        <f>EXP(-LN(2)/2)*AW136+(1-EXP(-LN(2)/2))/(LN(2)/2)*AQ137*AT137*VLOOKUP('Données projet'!$B$10,Paramètres!$A$1:$I$89,3,0)*0.475*44/12</f>
        <v>1.530661515912845E-7</v>
      </c>
      <c r="AX137" s="23">
        <f t="shared" si="114"/>
        <v>127.27481271220805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-1.7053025658242404E-13</v>
      </c>
      <c r="BE137" s="14">
        <f>BD137*VLOOKUP('Données projet'!$B$11,Paramètres!$A$1:$I$89,3,0)*VLOOKUP('Données projet'!$B$11,Paramètres!$A$1:$I$89,5,0)</f>
        <v>-9.3109520094003535E-14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417.99456559608217</v>
      </c>
      <c r="BJ137" s="62">
        <f t="shared" si="146"/>
        <v>651.41353014863932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97.781681520868815</v>
      </c>
      <c r="BQ137" s="23">
        <f>EXP(-LN(2)/25)*BQ136+(1-EXP(-LN(2)/25))/(LN(2)/25)*Calculateur!BL137*Calculateur!BN137*VLOOKUP('Données projet'!$B$11,Paramètres!$A$1:$I$89,3,0)*0.475*44/12</f>
        <v>13.745491128718255</v>
      </c>
      <c r="BR137" s="23">
        <f>EXP(-LN(2)/2)*BR136+(1-EXP(-LN(2)/2))/(LN(2)/2)*BL137*BO137*VLOOKUP('Données projet'!$B$11,Paramètres!$A$1:$I$89,3,0)*0.475*44/12</f>
        <v>1.3190359654173181E-7</v>
      </c>
      <c r="BS137" s="24">
        <f t="shared" si="117"/>
        <v>111.52717278149066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4.666666666666667</v>
      </c>
      <c r="BY137" s="13">
        <f>IF('Données projet'!$A$114&gt;35,BY136+BX137-CG136,IF(A137&lt;'Données projet'!$A$114,$BV$205^A137,IF(A137='Données projet'!$A$114,'Données projet'!$B$114,BY136+BX137-CG136)))</f>
        <v>243.33333333333317</v>
      </c>
      <c r="BZ137" s="14">
        <f>BY137*VLOOKUP('Données projet'!$B$12,Paramètres!$A$1:$I$89,3,0)*VLOOKUP('Données projet'!$B$12,Paramètres!$A$1:$I$89,5,0)</f>
        <v>220.16799999999986</v>
      </c>
      <c r="CA137" s="14">
        <f t="shared" si="147"/>
        <v>54.151398068187987</v>
      </c>
      <c r="CB137" s="22">
        <f t="shared" si="118"/>
        <v>477.77295163542721</v>
      </c>
      <c r="CC137" s="62">
        <f t="shared" si="119"/>
        <v>771.10628496876052</v>
      </c>
      <c r="CD137" s="62">
        <f ca="1">AVERAGE(OFFSET($CC$3,0,0,'Données projet'!$E$12+1,1))-AVERAGE(OFFSET($H$3,0,0,'Données projet'!$E$12+1,1))</f>
        <v>213.07277043804817</v>
      </c>
      <c r="CE137" s="62">
        <f t="shared" si="148"/>
        <v>129.14539883354166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43.567416238918049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43.567416238918049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4.666666666666667</v>
      </c>
      <c r="CT137" s="13">
        <f>IF('Données projet'!$A$140&gt;35,CT136+CS137-DB136,IF(A137&lt;'Données projet'!$A$140,$CQ$205^A137,IF(A137='Données projet'!$A$140,'Données projet'!$B$140,CT136+CS137-DB136)))</f>
        <v>243.33333333333317</v>
      </c>
      <c r="CU137" s="18">
        <f>CT137*VLOOKUP('Données projet'!$B$13,Paramètres!$A$1:$I$89,3,0)*VLOOKUP('Données projet'!$B$13,Paramètres!$A$1:$I$89,5,0)</f>
        <v>246.73999999999987</v>
      </c>
      <c r="CV137" s="14">
        <f t="shared" si="149"/>
        <v>59.887328536296032</v>
      </c>
      <c r="CW137" s="22">
        <f t="shared" si="121"/>
        <v>534.04259720071548</v>
      </c>
      <c r="CX137" s="62">
        <f t="shared" si="122"/>
        <v>827.37593053404885</v>
      </c>
      <c r="CY137" s="62">
        <f ca="1">AVERAGE(OFFSET($CX$3,0,0,'Données projet'!$E$13+1,1))-AVERAGE(OFFSET($H$3,0,0,'Données projet'!$E$13+1,1))</f>
        <v>247.92503505485405</v>
      </c>
      <c r="CZ137" s="62">
        <f t="shared" si="150"/>
        <v>148.26437652597514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48.8255526815461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48.8255526815461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>
        <f>VLOOKUP(A137,'Données projet'!$A$165:$I$185,2,0)</f>
        <v>171</v>
      </c>
      <c r="DM137" s="13">
        <f>VLOOKUP(A137,'Données projet'!$A$165:$I$185,9,0)</f>
        <v>3.0833333333333335</v>
      </c>
      <c r="DN137" s="13">
        <f t="array" ref="DN137">INDEX(DM:DM,MIN(IF(ISNUMBER(DM137:DM333),ROW(DM137:DM333),"")))</f>
        <v>3.0833333333333335</v>
      </c>
      <c r="DO137" s="13">
        <f>IF('Données projet'!$A$166&gt;35,DO136+DN137-DW136,IF(A137&lt;'Données projet'!$A$166,$DL$205^A137,IF(A137='Données projet'!$A$166,'Données projet'!$B$166,DO136+DN137-DW136)))</f>
        <v>171.00000000000031</v>
      </c>
      <c r="DP137" s="18">
        <f>DO137*VLOOKUP('Données projet'!$B$14,Paramètres!$A$1:$I$89,3,0)*VLOOKUP('Données projet'!$B$14,Paramètres!$A$1:$I$89,5,0)</f>
        <v>165.39120000000031</v>
      </c>
      <c r="DQ137" s="14">
        <f t="shared" si="151"/>
        <v>42.056160358234912</v>
      </c>
      <c r="DR137" s="22">
        <f t="shared" si="124"/>
        <v>361.30415262392626</v>
      </c>
      <c r="DS137" s="62">
        <f t="shared" si="125"/>
        <v>654.63748595725951</v>
      </c>
      <c r="DT137" s="62">
        <f ca="1">AVERAGE(OFFSET($DS$3,0,0,'Données projet'!$E$14+1,1))-AVERAGE(OFFSET($H$3,0,0,'Données projet'!$E$14+1,1))</f>
        <v>154.0837760161366</v>
      </c>
      <c r="DU137" s="62">
        <f t="shared" si="152"/>
        <v>96.484500841546037</v>
      </c>
      <c r="DV137" s="16">
        <f>IF(ISNA(VLOOKUP(A137,'Données projet'!$A$165:$I$185,3,0)),0,VLOOKUP(A137,'Données projet'!$A$165:$I$185,3,0))</f>
        <v>9</v>
      </c>
      <c r="DW137" s="16">
        <f>IF(ISNA(VLOOKUP(A137,'Données projet'!$A$165:$I$185,4,0)),0,VLOOKUP(A137,'Données projet'!$A$165:$I$185,4,0))</f>
        <v>26</v>
      </c>
      <c r="DX137" s="17">
        <f>IF(ISNA(VLOOKUP(A137,'Données projet'!$A$165:$I$185,5,0)),0%,VLOOKUP(A137,'Données projet'!$A$165:$I$185,5,0)*VLOOKUP('Données projet'!$B$14,Paramètres!$A$1:$I$89,7,0))</f>
        <v>0.38700000000000001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33.219316618627929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33.219316618627929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-5.6843418860808015E-14</v>
      </c>
      <c r="EK137" s="18">
        <f>EJ137*VLOOKUP('Données projet'!$B$15,Paramètres!$A$1:$I$89,3,0)*VLOOKUP('Données projet'!$B$15,Paramètres!$A$1:$I$89,5,0)</f>
        <v>-3.813056537183002E-14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205.35893113421139</v>
      </c>
      <c r="EP137" s="62">
        <f t="shared" si="154"/>
        <v>220.4399811285175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27.186796393479689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27.186796393479689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-5.6843418860808015E-14</v>
      </c>
      <c r="FF137" s="18">
        <f>FE137*VLOOKUP('Données projet'!$B$16,Paramètres!$A$1:$I$89,3,0)*VLOOKUP('Données projet'!$B$16,Paramètres!$A$1:$I$89,5,0)</f>
        <v>-4.4337866711430253E-14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242.81177364426878</v>
      </c>
      <c r="FK137" s="62">
        <f t="shared" si="156"/>
        <v>260.72115764896671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25.647921125924245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25.647921125924245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-5.6843418860808015E-14</v>
      </c>
      <c r="GA137" s="18">
        <f>FZ137*VLOOKUP('Données projet'!$B$17,Paramètres!$A$1:$I$89,3,0)*VLOOKUP('Données projet'!$B$17,Paramètres!$A$1:$I$89,5,0)</f>
        <v>-4.5224624045658861E-14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248.15263300983543</v>
      </c>
      <c r="GF137" s="62">
        <f t="shared" si="158"/>
        <v>266.46511459244618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32.244805024824736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32.244805024824736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382.55387448074327</v>
      </c>
      <c r="T138" s="62">
        <f t="shared" si="142"/>
        <v>476.29465646955543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58.596589687768883</v>
      </c>
      <c r="AA138" s="23">
        <f>EXP(-LN(2)/25)*AA137+(1-EXP(-LN(2)/25))/(LN(2)/25)*Calculateur!V138*Calculateur!X138*VLOOKUP('Données projet'!$B$9,Paramètres!$A$1:$I$89,3,0)*0.475*44/12</f>
        <v>8.0530482722545251</v>
      </c>
      <c r="AB138" s="23">
        <f>EXP(-LN(2)/2)*AB137+(1-EXP(-LN(2)/2))/(LN(2)/2)*V138*Y138*VLOOKUP('Données projet'!$B$9,Paramètres!$A$1:$I$89,3,0)*0.475*44/12</f>
        <v>2.8976395869333825E-10</v>
      </c>
      <c r="AC138" s="24">
        <f t="shared" si="111"/>
        <v>66.649637960313171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-1.7053025658242404E-13</v>
      </c>
      <c r="AJ138" s="14">
        <f>AI138*VLOOKUP('Données projet'!$B$10,Paramètres!$A$1:$I$89,3,0)*VLOOKUP('Données projet'!$B$10,Paramètres!$A$1:$I$89,5,0)</f>
        <v>-1.064108801074326E-13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482.28841373508675</v>
      </c>
      <c r="AO138" s="62">
        <f t="shared" si="144"/>
        <v>746.97309214631684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109.5591341567785</v>
      </c>
      <c r="AV138" s="23">
        <f>EXP(-LN(2)/25)*AV137+(1-EXP(-LN(2)/25))/(LN(2)/25)*Calculateur!AQ138*Calculateur!AS138*VLOOKUP('Données projet'!$B$10,Paramètres!$A$1:$I$89,3,0)*0.475*44/12</f>
        <v>15.099806062260139</v>
      </c>
      <c r="AW138" s="23">
        <f>EXP(-LN(2)/2)*AW137+(1-EXP(-LN(2)/2))/(LN(2)/2)*AQ138*AT138*VLOOKUP('Données projet'!$B$10,Paramètres!$A$1:$I$89,3,0)*0.475*44/12</f>
        <v>1.0823411376032532E-7</v>
      </c>
      <c r="AX138" s="23">
        <f t="shared" si="114"/>
        <v>124.65894032727276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-1.7053025658242404E-13</v>
      </c>
      <c r="BE138" s="14">
        <f>BD138*VLOOKUP('Données projet'!$B$11,Paramètres!$A$1:$I$89,3,0)*VLOOKUP('Données projet'!$B$11,Paramètres!$A$1:$I$89,5,0)</f>
        <v>-9.3109520094003535E-14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417.99456559608217</v>
      </c>
      <c r="BJ138" s="62">
        <f t="shared" si="146"/>
        <v>651.41353014863932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95.86424238718125</v>
      </c>
      <c r="BQ138" s="23">
        <f>EXP(-LN(2)/25)*BQ137+(1-EXP(-LN(2)/25))/(LN(2)/25)*Calculateur!BL138*Calculateur!BN138*VLOOKUP('Données projet'!$B$11,Paramètres!$A$1:$I$89,3,0)*0.475*44/12</f>
        <v>13.369619950959491</v>
      </c>
      <c r="BR138" s="23">
        <f>EXP(-LN(2)/2)*BR137+(1-EXP(-LN(2)/2))/(LN(2)/2)*BL138*BO138*VLOOKUP('Données projet'!$B$11,Paramètres!$A$1:$I$89,3,0)*0.475*44/12</f>
        <v>9.3269927577553002E-8</v>
      </c>
      <c r="BS138" s="24">
        <f t="shared" si="117"/>
        <v>109.23386243141067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4.666666666666667</v>
      </c>
      <c r="BY138" s="13">
        <f>IF('Données projet'!$A$114&gt;35,BY137+BX138-CG137,IF(A138&lt;'Données projet'!$A$114,$BV$205^A138,IF(A138='Données projet'!$A$114,'Données projet'!$B$114,BY137+BX138-CG137)))</f>
        <v>247.99999999999983</v>
      </c>
      <c r="BZ138" s="14">
        <f>BY138*VLOOKUP('Données projet'!$B$12,Paramètres!$A$1:$I$89,3,0)*VLOOKUP('Données projet'!$B$12,Paramètres!$A$1:$I$89,5,0)</f>
        <v>224.39039999999983</v>
      </c>
      <c r="CA138" s="14">
        <f t="shared" si="147"/>
        <v>55.068017311015808</v>
      </c>
      <c r="CB138" s="22">
        <f t="shared" si="118"/>
        <v>486.72341015001888</v>
      </c>
      <c r="CC138" s="62">
        <f t="shared" si="119"/>
        <v>780.05674348335219</v>
      </c>
      <c r="CD138" s="62">
        <f ca="1">AVERAGE(OFFSET($CC$3,0,0,'Données projet'!$E$12+1,1))-AVERAGE(OFFSET($H$3,0,0,'Données projet'!$E$12+1,1))</f>
        <v>213.07277043804817</v>
      </c>
      <c r="CE138" s="62">
        <f t="shared" si="148"/>
        <v>129.14539883354166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42.713085779972857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42.713085779972857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4.666666666666667</v>
      </c>
      <c r="CT138" s="13">
        <f>IF('Données projet'!$A$140&gt;35,CT137+CS138-DB137,IF(A138&lt;'Données projet'!$A$140,$CQ$205^A138,IF(A138='Données projet'!$A$140,'Données projet'!$B$140,CT137+CS138-DB137)))</f>
        <v>247.99999999999983</v>
      </c>
      <c r="CU138" s="18">
        <f>CT138*VLOOKUP('Données projet'!$B$13,Paramètres!$A$1:$I$89,3,0)*VLOOKUP('Données projet'!$B$13,Paramètres!$A$1:$I$89,5,0)</f>
        <v>251.47199999999987</v>
      </c>
      <c r="CV138" s="14">
        <f t="shared" si="149"/>
        <v>60.901039718208594</v>
      </c>
      <c r="CW138" s="22">
        <f t="shared" si="121"/>
        <v>544.04971084254646</v>
      </c>
      <c r="CX138" s="62">
        <f t="shared" si="122"/>
        <v>837.38304417587983</v>
      </c>
      <c r="CY138" s="62">
        <f ca="1">AVERAGE(OFFSET($CX$3,0,0,'Données projet'!$E$13+1,1))-AVERAGE(OFFSET($H$3,0,0,'Données projet'!$E$13+1,1))</f>
        <v>247.92503505485405</v>
      </c>
      <c r="CZ138" s="62">
        <f t="shared" si="150"/>
        <v>148.26437652597514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47.868113374107523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47.868113374107523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3.1428571428571428</v>
      </c>
      <c r="DO138" s="13">
        <f>IF('Données projet'!$A$166&gt;35,DO137+DN138-DW137,IF(A138&lt;'Données projet'!$A$166,$DL$205^A138,IF(A138='Données projet'!$A$166,'Données projet'!$B$166,DO137+DN138-DW137)))</f>
        <v>148.14285714285745</v>
      </c>
      <c r="DP138" s="18">
        <f>DO138*VLOOKUP('Données projet'!$B$14,Paramètres!$A$1:$I$89,3,0)*VLOOKUP('Données projet'!$B$14,Paramètres!$A$1:$I$89,5,0)</f>
        <v>143.28377142857173</v>
      </c>
      <c r="DQ138" s="14">
        <f t="shared" si="151"/>
        <v>37.04825334476957</v>
      </c>
      <c r="DR138" s="22">
        <f t="shared" si="124"/>
        <v>314.07827648023607</v>
      </c>
      <c r="DS138" s="62">
        <f t="shared" si="125"/>
        <v>607.41160981356938</v>
      </c>
      <c r="DT138" s="62">
        <f ca="1">AVERAGE(OFFSET($DS$3,0,0,'Données projet'!$E$14+1,1))-AVERAGE(OFFSET($H$3,0,0,'Données projet'!$E$14+1,1))</f>
        <v>154.0837760161366</v>
      </c>
      <c r="DU138" s="62">
        <f t="shared" si="152"/>
        <v>96.484500841546037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32.567906081519091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32.567906081519091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-5.6843418860808015E-14</v>
      </c>
      <c r="EK138" s="18">
        <f>EJ138*VLOOKUP('Données projet'!$B$15,Paramètres!$A$1:$I$89,3,0)*VLOOKUP('Données projet'!$B$15,Paramètres!$A$1:$I$89,5,0)</f>
        <v>-3.813056537183002E-14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205.35893113421139</v>
      </c>
      <c r="EP138" s="62">
        <f t="shared" si="154"/>
        <v>220.4399811285175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26.653679898511985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26.653679898511985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-5.6843418860808015E-14</v>
      </c>
      <c r="FF138" s="18">
        <f>FE138*VLOOKUP('Données projet'!$B$16,Paramètres!$A$1:$I$89,3,0)*VLOOKUP('Données projet'!$B$16,Paramètres!$A$1:$I$89,5,0)</f>
        <v>-4.4337866711430253E-14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242.81177364426878</v>
      </c>
      <c r="FK138" s="62">
        <f t="shared" si="156"/>
        <v>260.72115764896671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25.144981036332073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25.144981036332073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-5.6843418860808015E-14</v>
      </c>
      <c r="GA138" s="18">
        <f>FZ138*VLOOKUP('Données projet'!$B$17,Paramètres!$A$1:$I$89,3,0)*VLOOKUP('Données projet'!$B$17,Paramètres!$A$1:$I$89,5,0)</f>
        <v>-4.5224624045658861E-14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248.15263300983543</v>
      </c>
      <c r="GF138" s="62">
        <f t="shared" si="158"/>
        <v>266.46511459244618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31.612504065676994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31.612504065676994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382.55387448074327</v>
      </c>
      <c r="T139" s="62">
        <f t="shared" si="142"/>
        <v>476.29465646955543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57.447546304382378</v>
      </c>
      <c r="AA139" s="23">
        <f>EXP(-LN(2)/25)*AA138+(1-EXP(-LN(2)/25))/(LN(2)/25)*Calculateur!V139*Calculateur!X139*VLOOKUP('Données projet'!$B$9,Paramètres!$A$1:$I$89,3,0)*0.475*44/12</f>
        <v>7.8328372437583216</v>
      </c>
      <c r="AB139" s="23">
        <f>EXP(-LN(2)/2)*AB138+(1-EXP(-LN(2)/2))/(LN(2)/2)*V139*Y139*VLOOKUP('Données projet'!$B$9,Paramètres!$A$1:$I$89,3,0)*0.475*44/12</f>
        <v>2.0489406013551813E-10</v>
      </c>
      <c r="AC139" s="24">
        <f t="shared" si="111"/>
        <v>65.280383548345597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-1.7053025658242404E-13</v>
      </c>
      <c r="AJ139" s="14">
        <f>AI139*VLOOKUP('Données projet'!$B$10,Paramètres!$A$1:$I$89,3,0)*VLOOKUP('Données projet'!$B$10,Paramètres!$A$1:$I$89,5,0)</f>
        <v>-1.064108801074326E-13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482.28841373508675</v>
      </c>
      <c r="AO139" s="62">
        <f t="shared" si="144"/>
        <v>746.97309214631684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107.41074636043754</v>
      </c>
      <c r="AV139" s="23">
        <f>EXP(-LN(2)/25)*AV138+(1-EXP(-LN(2)/25))/(LN(2)/25)*Calculateur!AQ139*Calculateur!AS139*VLOOKUP('Données projet'!$B$10,Paramètres!$A$1:$I$89,3,0)*0.475*44/12</f>
        <v>14.686901071423346</v>
      </c>
      <c r="AW139" s="23">
        <f>EXP(-LN(2)/2)*AW138+(1-EXP(-LN(2)/2))/(LN(2)/2)*AQ139*AT139*VLOOKUP('Données projet'!$B$10,Paramètres!$A$1:$I$89,3,0)*0.475*44/12</f>
        <v>7.6533075795642249E-8</v>
      </c>
      <c r="AX139" s="23">
        <f t="shared" si="114"/>
        <v>122.09764750839396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-1.7053025658242404E-13</v>
      </c>
      <c r="BE139" s="14">
        <f>BD139*VLOOKUP('Données projet'!$B$11,Paramètres!$A$1:$I$89,3,0)*VLOOKUP('Données projet'!$B$11,Paramètres!$A$1:$I$89,5,0)</f>
        <v>-9.3109520094003535E-14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417.99456559608217</v>
      </c>
      <c r="BJ139" s="62">
        <f t="shared" si="146"/>
        <v>651.41353014863932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93.984403065382907</v>
      </c>
      <c r="BQ139" s="23">
        <f>EXP(-LN(2)/25)*BQ138+(1-EXP(-LN(2)/25))/(LN(2)/25)*Calculateur!BL139*Calculateur!BN139*VLOOKUP('Données projet'!$B$11,Paramètres!$A$1:$I$89,3,0)*0.475*44/12</f>
        <v>13.004026990322748</v>
      </c>
      <c r="BR139" s="23">
        <f>EXP(-LN(2)/2)*BR138+(1-EXP(-LN(2)/2))/(LN(2)/2)*BL139*BO139*VLOOKUP('Données projet'!$B$11,Paramètres!$A$1:$I$89,3,0)*0.475*44/12</f>
        <v>6.5951798270865906E-8</v>
      </c>
      <c r="BS139" s="24">
        <f t="shared" si="117"/>
        <v>106.98843012165744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4.666666666666667</v>
      </c>
      <c r="BY139" s="13">
        <f>IF('Données projet'!$A$114&gt;35,BY138+BX139-CG138,IF(A139&lt;'Données projet'!$A$114,$BV$205^A139,IF(A139='Données projet'!$A$114,'Données projet'!$B$114,BY138+BX139-CG138)))</f>
        <v>252.66666666666649</v>
      </c>
      <c r="BZ139" s="14">
        <f>BY139*VLOOKUP('Données projet'!$B$12,Paramètres!$A$1:$I$89,3,0)*VLOOKUP('Données projet'!$B$12,Paramètres!$A$1:$I$89,5,0)</f>
        <v>228.61279999999982</v>
      </c>
      <c r="CA139" s="14">
        <f t="shared" si="147"/>
        <v>55.982630934037282</v>
      </c>
      <c r="CB139" s="22">
        <f t="shared" si="118"/>
        <v>495.67037554344796</v>
      </c>
      <c r="CC139" s="62">
        <f t="shared" si="119"/>
        <v>789.00370887678127</v>
      </c>
      <c r="CD139" s="62">
        <f ca="1">AVERAGE(OFFSET($CC$3,0,0,'Données projet'!$E$12+1,1))-AVERAGE(OFFSET($H$3,0,0,'Données projet'!$E$12+1,1))</f>
        <v>213.07277043804817</v>
      </c>
      <c r="CE139" s="62">
        <f t="shared" si="148"/>
        <v>129.14539883354166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41.875508220237457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41.875508220237457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4.666666666666667</v>
      </c>
      <c r="CT139" s="13">
        <f>IF('Données projet'!$A$140&gt;35,CT138+CS139-DB138,IF(A139&lt;'Données projet'!$A$140,$CQ$205^A139,IF(A139='Données projet'!$A$140,'Données projet'!$B$140,CT138+CS139-DB138)))</f>
        <v>252.66666666666649</v>
      </c>
      <c r="CU139" s="18">
        <f>CT139*VLOOKUP('Données projet'!$B$13,Paramètres!$A$1:$I$89,3,0)*VLOOKUP('Données projet'!$B$13,Paramètres!$A$1:$I$89,5,0)</f>
        <v>256.20399999999984</v>
      </c>
      <c r="CV139" s="14">
        <f t="shared" si="149"/>
        <v>61.912532837124694</v>
      </c>
      <c r="CW139" s="22">
        <f t="shared" si="121"/>
        <v>554.05296135799176</v>
      </c>
      <c r="CX139" s="62">
        <f t="shared" si="122"/>
        <v>847.38629469132502</v>
      </c>
      <c r="CY139" s="62">
        <f ca="1">AVERAGE(OFFSET($CX$3,0,0,'Données projet'!$E$13+1,1))-AVERAGE(OFFSET($H$3,0,0,'Données projet'!$E$13+1,1))</f>
        <v>247.92503505485405</v>
      </c>
      <c r="CZ139" s="62">
        <f t="shared" si="150"/>
        <v>148.26437652597514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46.929448867507503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46.929448867507503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3.1428571428571428</v>
      </c>
      <c r="DO139" s="13">
        <f>IF('Données projet'!$A$166&gt;35,DO138+DN139-DW138,IF(A139&lt;'Données projet'!$A$166,$DL$205^A139,IF(A139='Données projet'!$A$166,'Données projet'!$B$166,DO138+DN139-DW138)))</f>
        <v>151.28571428571459</v>
      </c>
      <c r="DP139" s="18">
        <f>DO139*VLOOKUP('Données projet'!$B$14,Paramètres!$A$1:$I$89,3,0)*VLOOKUP('Données projet'!$B$14,Paramètres!$A$1:$I$89,5,0)</f>
        <v>146.32354285714317</v>
      </c>
      <c r="DQ139" s="14">
        <f t="shared" si="151"/>
        <v>37.741894734485797</v>
      </c>
      <c r="DR139" s="22">
        <f t="shared" si="124"/>
        <v>320.58063713875373</v>
      </c>
      <c r="DS139" s="62">
        <f t="shared" si="125"/>
        <v>613.91397047208704</v>
      </c>
      <c r="DT139" s="62">
        <f ca="1">AVERAGE(OFFSET($DS$3,0,0,'Données projet'!$E$14+1,1))-AVERAGE(OFFSET($H$3,0,0,'Données projet'!$E$14+1,1))</f>
        <v>154.0837760161366</v>
      </c>
      <c r="DU139" s="62">
        <f t="shared" si="152"/>
        <v>96.484500841546037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31.929269307721757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31.929269307721757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-5.6843418860808015E-14</v>
      </c>
      <c r="EK139" s="18">
        <f>EJ139*VLOOKUP('Données projet'!$B$15,Paramètres!$A$1:$I$89,3,0)*VLOOKUP('Données projet'!$B$15,Paramètres!$A$1:$I$89,5,0)</f>
        <v>-3.813056537183002E-14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205.35893113421139</v>
      </c>
      <c r="EP139" s="62">
        <f t="shared" si="154"/>
        <v>220.4399811285175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26.131017492841643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26.131017492841643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-5.6843418860808015E-14</v>
      </c>
      <c r="FF139" s="18">
        <f>FE139*VLOOKUP('Données projet'!$B$16,Paramètres!$A$1:$I$89,3,0)*VLOOKUP('Données projet'!$B$16,Paramètres!$A$1:$I$89,5,0)</f>
        <v>-4.4337866711430253E-14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242.81177364426878</v>
      </c>
      <c r="FK139" s="62">
        <f t="shared" si="156"/>
        <v>260.72115764896671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24.651903295133639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24.651903295133639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-5.6843418860808015E-14</v>
      </c>
      <c r="GA139" s="18">
        <f>FZ139*VLOOKUP('Données projet'!$B$17,Paramètres!$A$1:$I$89,3,0)*VLOOKUP('Données projet'!$B$17,Paramètres!$A$1:$I$89,5,0)</f>
        <v>-4.5224624045658861E-14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248.15263300983543</v>
      </c>
      <c r="GF139" s="62">
        <f t="shared" si="158"/>
        <v>266.46511459244618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30.992602142672638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30.992602142672638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382.55387448074327</v>
      </c>
      <c r="T140" s="62">
        <f t="shared" si="142"/>
        <v>476.29465646955543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56.321034960896817</v>
      </c>
      <c r="AA140" s="23">
        <f>EXP(-LN(2)/25)*AA139+(1-EXP(-LN(2)/25))/(LN(2)/25)*Calculateur!V140*Calculateur!X140*VLOOKUP('Données projet'!$B$9,Paramètres!$A$1:$I$89,3,0)*0.475*44/12</f>
        <v>7.618647897416742</v>
      </c>
      <c r="AB140" s="23">
        <f>EXP(-LN(2)/2)*AB139+(1-EXP(-LN(2)/2))/(LN(2)/2)*V140*Y140*VLOOKUP('Données projet'!$B$9,Paramètres!$A$1:$I$89,3,0)*0.475*44/12</f>
        <v>1.4488197934666913E-10</v>
      </c>
      <c r="AC140" s="24">
        <f t="shared" si="111"/>
        <v>63.93968285845844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-1.7053025658242404E-13</v>
      </c>
      <c r="AJ140" s="14">
        <f>AI140*VLOOKUP('Données projet'!$B$10,Paramètres!$A$1:$I$89,3,0)*VLOOKUP('Données projet'!$B$10,Paramètres!$A$1:$I$89,5,0)</f>
        <v>-1.064108801074326E-13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482.28841373508675</v>
      </c>
      <c r="AO140" s="62">
        <f t="shared" si="144"/>
        <v>746.97309214631684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105.30448713839566</v>
      </c>
      <c r="AV140" s="23">
        <f>EXP(-LN(2)/25)*AV139+(1-EXP(-LN(2)/25))/(LN(2)/25)*Calculateur!AQ140*Calculateur!AS140*VLOOKUP('Données projet'!$B$10,Paramètres!$A$1:$I$89,3,0)*0.475*44/12</f>
        <v>14.285286989274715</v>
      </c>
      <c r="AW140" s="23">
        <f>EXP(-LN(2)/2)*AW139+(1-EXP(-LN(2)/2))/(LN(2)/2)*AQ140*AT140*VLOOKUP('Données projet'!$B$10,Paramètres!$A$1:$I$89,3,0)*0.475*44/12</f>
        <v>5.4117056880162661E-8</v>
      </c>
      <c r="AX140" s="23">
        <f t="shared" si="114"/>
        <v>119.58977418178742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-1.7053025658242404E-13</v>
      </c>
      <c r="BE140" s="14">
        <f>BD140*VLOOKUP('Données projet'!$B$11,Paramètres!$A$1:$I$89,3,0)*VLOOKUP('Données projet'!$B$11,Paramètres!$A$1:$I$89,5,0)</f>
        <v>-9.3109520094003535E-14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417.99456559608217</v>
      </c>
      <c r="BJ140" s="62">
        <f t="shared" si="146"/>
        <v>651.41353014863932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92.141426246096259</v>
      </c>
      <c r="BQ140" s="23">
        <f>EXP(-LN(2)/25)*BQ139+(1-EXP(-LN(2)/25))/(LN(2)/25)*Calculateur!BL140*Calculateur!BN140*VLOOKUP('Données projet'!$B$11,Paramètres!$A$1:$I$89,3,0)*0.475*44/12</f>
        <v>12.648431188420314</v>
      </c>
      <c r="BR140" s="23">
        <f>EXP(-LN(2)/2)*BR139+(1-EXP(-LN(2)/2))/(LN(2)/2)*BL140*BO140*VLOOKUP('Données projet'!$B$11,Paramètres!$A$1:$I$89,3,0)*0.475*44/12</f>
        <v>4.6634963788776501E-8</v>
      </c>
      <c r="BS140" s="24">
        <f t="shared" si="117"/>
        <v>104.78985748115154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4.666666666666667</v>
      </c>
      <c r="BY140" s="13">
        <f>IF('Données projet'!$A$114&gt;35,BY139+BX140-CG139,IF(A140&lt;'Données projet'!$A$114,$BV$205^A140,IF(A140='Données projet'!$A$114,'Données projet'!$B$114,BY139+BX140-CG139)))</f>
        <v>257.33333333333314</v>
      </c>
      <c r="BZ140" s="14">
        <f>BY140*VLOOKUP('Données projet'!$B$12,Paramètres!$A$1:$I$89,3,0)*VLOOKUP('Données projet'!$B$12,Paramètres!$A$1:$I$89,5,0)</f>
        <v>232.83519999999982</v>
      </c>
      <c r="CA140" s="14">
        <f t="shared" si="147"/>
        <v>56.895280252495532</v>
      </c>
      <c r="CB140" s="22">
        <f t="shared" si="118"/>
        <v>504.61391977309603</v>
      </c>
      <c r="CC140" s="62">
        <f t="shared" si="119"/>
        <v>797.94725310642934</v>
      </c>
      <c r="CD140" s="62">
        <f ca="1">AVERAGE(OFFSET($CC$3,0,0,'Données projet'!$E$12+1,1))-AVERAGE(OFFSET($H$3,0,0,'Données projet'!$E$12+1,1))</f>
        <v>213.07277043804817</v>
      </c>
      <c r="CE140" s="62">
        <f t="shared" si="148"/>
        <v>129.14539883354166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41.0543550455766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41.0543550455766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4.666666666666667</v>
      </c>
      <c r="CT140" s="13">
        <f>IF('Données projet'!$A$140&gt;35,CT139+CS140-DB139,IF(A140&lt;'Données projet'!$A$140,$CQ$205^A140,IF(A140='Données projet'!$A$140,'Données projet'!$B$140,CT139+CS140-DB139)))</f>
        <v>257.33333333333314</v>
      </c>
      <c r="CU140" s="18">
        <f>CT140*VLOOKUP('Données projet'!$B$13,Paramètres!$A$1:$I$89,3,0)*VLOOKUP('Données projet'!$B$13,Paramètres!$A$1:$I$89,5,0)</f>
        <v>260.93599999999981</v>
      </c>
      <c r="CV140" s="14">
        <f t="shared" si="149"/>
        <v>62.921853584561646</v>
      </c>
      <c r="CW140" s="22">
        <f t="shared" si="121"/>
        <v>564.05242832644456</v>
      </c>
      <c r="CX140" s="62">
        <f t="shared" si="122"/>
        <v>857.38576165977793</v>
      </c>
      <c r="CY140" s="62">
        <f ca="1">AVERAGE(OFFSET($CX$3,0,0,'Données projet'!$E$13+1,1))-AVERAGE(OFFSET($H$3,0,0,'Données projet'!$E$13+1,1))</f>
        <v>247.92503505485405</v>
      </c>
      <c r="CZ140" s="62">
        <f t="shared" si="150"/>
        <v>148.26437652597514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46.009190999353095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46.009190999353095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3.1428571428571428</v>
      </c>
      <c r="DO140" s="13">
        <f>IF('Données projet'!$A$166&gt;35,DO139+DN140-DW139,IF(A140&lt;'Données projet'!$A$166,$DL$205^A140,IF(A140='Données projet'!$A$166,'Données projet'!$B$166,DO139+DN140-DW139)))</f>
        <v>154.42857142857173</v>
      </c>
      <c r="DP140" s="18">
        <f>DO140*VLOOKUP('Données projet'!$B$14,Paramètres!$A$1:$I$89,3,0)*VLOOKUP('Données projet'!$B$14,Paramètres!$A$1:$I$89,5,0)</f>
        <v>149.36331428571458</v>
      </c>
      <c r="DQ140" s="14">
        <f t="shared" si="151"/>
        <v>38.433860707898525</v>
      </c>
      <c r="DR140" s="22">
        <f t="shared" si="124"/>
        <v>327.0800797805428</v>
      </c>
      <c r="DS140" s="62">
        <f t="shared" si="125"/>
        <v>620.41341311387612</v>
      </c>
      <c r="DT140" s="62">
        <f ca="1">AVERAGE(OFFSET($DS$3,0,0,'Données projet'!$E$14+1,1))-AVERAGE(OFFSET($H$3,0,0,'Données projet'!$E$14+1,1))</f>
        <v>154.0837760161366</v>
      </c>
      <c r="DU140" s="62">
        <f t="shared" si="152"/>
        <v>96.484500841546037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31.303155811528622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31.303155811528622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-5.6843418860808015E-14</v>
      </c>
      <c r="EK140" s="18">
        <f>EJ140*VLOOKUP('Données projet'!$B$15,Paramètres!$A$1:$I$89,3,0)*VLOOKUP('Données projet'!$B$15,Paramètres!$A$1:$I$89,5,0)</f>
        <v>-3.813056537183002E-14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205.35893113421139</v>
      </c>
      <c r="EP140" s="62">
        <f t="shared" si="154"/>
        <v>220.4399811285175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25.618604178153909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25.618604178153909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-5.6843418860808015E-14</v>
      </c>
      <c r="FF140" s="18">
        <f>FE140*VLOOKUP('Données projet'!$B$16,Paramètres!$A$1:$I$89,3,0)*VLOOKUP('Données projet'!$B$16,Paramètres!$A$1:$I$89,5,0)</f>
        <v>-4.4337866711430253E-14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242.81177364426878</v>
      </c>
      <c r="FK140" s="62">
        <f t="shared" si="156"/>
        <v>260.72115764896671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24.16849450769238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24.16849450769238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-5.6843418860808015E-14</v>
      </c>
      <c r="GA140" s="18">
        <f>FZ140*VLOOKUP('Données projet'!$B$17,Paramètres!$A$1:$I$89,3,0)*VLOOKUP('Données projet'!$B$17,Paramètres!$A$1:$I$89,5,0)</f>
        <v>-4.5224624045658861E-14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248.15263300983543</v>
      </c>
      <c r="GF140" s="62">
        <f t="shared" si="158"/>
        <v>266.46511459244618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30.384856118275557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30.384856118275557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382.55387448074327</v>
      </c>
      <c r="T141" s="62">
        <f t="shared" si="142"/>
        <v>476.29465646955543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55.216613817752936</v>
      </c>
      <c r="AA141" s="23">
        <f>EXP(-LN(2)/25)*AA140+(1-EXP(-LN(2)/25))/(LN(2)/25)*Calculateur!V141*Calculateur!X141*VLOOKUP('Données projet'!$B$9,Paramètres!$A$1:$I$89,3,0)*0.475*44/12</f>
        <v>7.4103155700146006</v>
      </c>
      <c r="AB141" s="23">
        <f>EXP(-LN(2)/2)*AB140+(1-EXP(-LN(2)/2))/(LN(2)/2)*V141*Y141*VLOOKUP('Données projet'!$B$9,Paramètres!$A$1:$I$89,3,0)*0.475*44/12</f>
        <v>1.0244703006775907E-10</v>
      </c>
      <c r="AC141" s="24">
        <f t="shared" si="111"/>
        <v>62.626929387869986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-1.7053025658242404E-13</v>
      </c>
      <c r="AJ141" s="14">
        <f>AI141*VLOOKUP('Données projet'!$B$10,Paramètres!$A$1:$I$89,3,0)*VLOOKUP('Données projet'!$B$10,Paramètres!$A$1:$I$89,5,0)</f>
        <v>-1.064108801074326E-13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482.28841373508675</v>
      </c>
      <c r="AO141" s="62">
        <f t="shared" si="144"/>
        <v>746.97309214631684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103.23953037500675</v>
      </c>
      <c r="AV141" s="23">
        <f>EXP(-LN(2)/25)*AV140+(1-EXP(-LN(2)/25))/(LN(2)/25)*Calculateur!AQ141*Calculateur!AS141*VLOOKUP('Données projet'!$B$10,Paramètres!$A$1:$I$89,3,0)*0.475*44/12</f>
        <v>13.894655065322404</v>
      </c>
      <c r="AW141" s="23">
        <f>EXP(-LN(2)/2)*AW140+(1-EXP(-LN(2)/2))/(LN(2)/2)*AQ141*AT141*VLOOKUP('Données projet'!$B$10,Paramètres!$A$1:$I$89,3,0)*0.475*44/12</f>
        <v>3.8266537897821125E-8</v>
      </c>
      <c r="AX141" s="23">
        <f t="shared" si="114"/>
        <v>117.1341854785957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-1.7053025658242404E-13</v>
      </c>
      <c r="BE141" s="14">
        <f>BD141*VLOOKUP('Données projet'!$B$11,Paramètres!$A$1:$I$89,3,0)*VLOOKUP('Données projet'!$B$11,Paramètres!$A$1:$I$89,5,0)</f>
        <v>-9.3109520094003535E-14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417.99456559608217</v>
      </c>
      <c r="BJ141" s="62">
        <f t="shared" si="146"/>
        <v>651.41353014863932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90.334589078130961</v>
      </c>
      <c r="BQ141" s="23">
        <f>EXP(-LN(2)/25)*BQ140+(1-EXP(-LN(2)/25))/(LN(2)/25)*Calculateur!BL141*Calculateur!BN141*VLOOKUP('Données projet'!$B$11,Paramètres!$A$1:$I$89,3,0)*0.475*44/12</f>
        <v>12.302559172420873</v>
      </c>
      <c r="BR141" s="23">
        <f>EXP(-LN(2)/2)*BR140+(1-EXP(-LN(2)/2))/(LN(2)/2)*BL141*BO141*VLOOKUP('Données projet'!$B$11,Paramètres!$A$1:$I$89,3,0)*0.475*44/12</f>
        <v>3.2975899135432953E-8</v>
      </c>
      <c r="BS141" s="24">
        <f t="shared" si="117"/>
        <v>102.63714828352774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>
        <f>VLOOKUP(A141,'Données projet'!$A$113:$I$133,2,0)</f>
        <v>262</v>
      </c>
      <c r="BW141" s="13">
        <f>VLOOKUP(A141,'Données projet'!$A$113:$I$133,9,0)</f>
        <v>4.666666666666667</v>
      </c>
      <c r="BX141" s="13">
        <f t="array" ref="BX141">INDEX(BW:BW,MIN(IF(ISNUMBER(BW141:BW337),ROW(BW141:BW337),"")))</f>
        <v>4.666666666666667</v>
      </c>
      <c r="BY141" s="13">
        <f>IF('Données projet'!$A$114&gt;35,BY140+BX141-CG140,IF(A141&lt;'Données projet'!$A$114,$BV$205^A141,IF(A141='Données projet'!$A$114,'Données projet'!$B$114,BY140+BX141-CG140)))</f>
        <v>261.99999999999983</v>
      </c>
      <c r="BZ141" s="14">
        <f>BY141*VLOOKUP('Données projet'!$B$12,Paramètres!$A$1:$I$89,3,0)*VLOOKUP('Données projet'!$B$12,Paramètres!$A$1:$I$89,5,0)</f>
        <v>237.05759999999984</v>
      </c>
      <c r="CA141" s="14">
        <f t="shared" si="147"/>
        <v>57.806004997354641</v>
      </c>
      <c r="CB141" s="22">
        <f t="shared" si="118"/>
        <v>513.55411203705899</v>
      </c>
      <c r="CC141" s="62">
        <f t="shared" si="119"/>
        <v>806.88744537039224</v>
      </c>
      <c r="CD141" s="62">
        <f ca="1">AVERAGE(OFFSET($CC$3,0,0,'Données projet'!$E$12+1,1))-AVERAGE(OFFSET($H$3,0,0,'Données projet'!$E$12+1,1))</f>
        <v>213.07277043804817</v>
      </c>
      <c r="CE141" s="62">
        <f t="shared" si="148"/>
        <v>129.14539883354166</v>
      </c>
      <c r="CF141" s="16">
        <f>IF(ISNA(VLOOKUP(A141,'Données projet'!$A$113:$I$133,3,0)),0,VLOOKUP(A141,'Données projet'!$A$113:$I$133,3,0))</f>
        <v>11</v>
      </c>
      <c r="CG141" s="16">
        <f>IF(ISNA(VLOOKUP(A141,'Données projet'!$A$113:$I$133,4,0)),0,VLOOKUP(A141,'Données projet'!$A$113:$I$133,4,0))</f>
        <v>39</v>
      </c>
      <c r="CH141" s="17">
        <f>IF(ISNA(VLOOKUP(A141,'Données projet'!$A$113:$I$133,5,0)),0%,VLOOKUP(A141,'Données projet'!$A$113:$I$133,5,0)*VLOOKUP('Données projet'!$B$12,Paramètres!$A$1:$I$89,7,0))</f>
        <v>0.38700000000000001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55.345769527582391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55.345769527582391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>
        <f>VLOOKUP(A141,'Données projet'!$A$139:$I$159,2,0)</f>
        <v>262</v>
      </c>
      <c r="CR141" s="13">
        <f>VLOOKUP(A141,'Données projet'!$A$139:$I$159,9,0)</f>
        <v>4.666666666666667</v>
      </c>
      <c r="CS141" s="13">
        <f t="array" ref="CS141">INDEX(CR:CR,MIN(IF(ISNUMBER(CR141:CR337),ROW(CR141:CR337),"")))</f>
        <v>4.666666666666667</v>
      </c>
      <c r="CT141" s="13">
        <f>IF('Données projet'!$A$140&gt;35,CT140+CS141-DB140,IF(A141&lt;'Données projet'!$A$140,$CQ$205^A141,IF(A141='Données projet'!$A$140,'Données projet'!$B$140,CT140+CS141-DB140)))</f>
        <v>261.99999999999983</v>
      </c>
      <c r="CU141" s="18">
        <f>CT141*VLOOKUP('Données projet'!$B$13,Paramètres!$A$1:$I$89,3,0)*VLOOKUP('Données projet'!$B$13,Paramètres!$A$1:$I$89,5,0)</f>
        <v>265.66799999999984</v>
      </c>
      <c r="CV141" s="14">
        <f t="shared" si="149"/>
        <v>63.929045899944349</v>
      </c>
      <c r="CW141" s="22">
        <f t="shared" si="121"/>
        <v>574.04818827573615</v>
      </c>
      <c r="CX141" s="62">
        <f t="shared" si="122"/>
        <v>867.38152160906952</v>
      </c>
      <c r="CY141" s="62">
        <f ca="1">AVERAGE(OFFSET($CX$3,0,0,'Données projet'!$E$13+1,1))-AVERAGE(OFFSET($H$3,0,0,'Données projet'!$E$13+1,1))</f>
        <v>247.92503505485405</v>
      </c>
      <c r="CZ141" s="62">
        <f t="shared" si="150"/>
        <v>148.26437652597514</v>
      </c>
      <c r="DA141" s="16">
        <f>IF(ISNA(VLOOKUP(A141,'Données projet'!$A$139:$I$159,3,0)),0,VLOOKUP(A141,'Données projet'!$A$139:$I$159,3,0))</f>
        <v>11</v>
      </c>
      <c r="DB141" s="16">
        <f>IF(ISNA(VLOOKUP(A141,'Données projet'!$A$139:$I$159,4,0)),0,VLOOKUP(A141,'Données projet'!$A$139:$I$159,4,0))</f>
        <v>39</v>
      </c>
      <c r="DC141" s="17">
        <f>IF(ISNA(VLOOKUP(A141,'Données projet'!$A$139:$I$159,5,0)),0%,VLOOKUP(A141,'Données projet'!$A$139:$I$159,5,0)*VLOOKUP('Données projet'!$B$13,Paramètres!$A$1:$I$89,7,0))</f>
        <v>0.38700000000000001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62.025431367118202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62.025431367118202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3.1428571428571428</v>
      </c>
      <c r="DO141" s="13">
        <f>IF('Données projet'!$A$166&gt;35,DO140+DN141-DW140,IF(A141&lt;'Données projet'!$A$166,$DL$205^A141,IF(A141='Données projet'!$A$166,'Données projet'!$B$166,DO140+DN141-DW140)))</f>
        <v>157.57142857142887</v>
      </c>
      <c r="DP141" s="18">
        <f>DO141*VLOOKUP('Données projet'!$B$14,Paramètres!$A$1:$I$89,3,0)*VLOOKUP('Données projet'!$B$14,Paramètres!$A$1:$I$89,5,0)</f>
        <v>152.40308571428599</v>
      </c>
      <c r="DQ141" s="14">
        <f t="shared" si="151"/>
        <v>39.124189291456617</v>
      </c>
      <c r="DR141" s="22">
        <f t="shared" si="124"/>
        <v>333.57667063500168</v>
      </c>
      <c r="DS141" s="62">
        <f t="shared" si="125"/>
        <v>626.91000396833499</v>
      </c>
      <c r="DT141" s="62">
        <f ca="1">AVERAGE(OFFSET($DS$3,0,0,'Données projet'!$E$14+1,1))-AVERAGE(OFFSET($H$3,0,0,'Données projet'!$E$14+1,1))</f>
        <v>154.0837760161366</v>
      </c>
      <c r="DU141" s="62">
        <f t="shared" si="152"/>
        <v>96.484500841546037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30.689320019104311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30.689320019104311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-5.6843418860808015E-14</v>
      </c>
      <c r="EK141" s="18">
        <f>EJ141*VLOOKUP('Données projet'!$B$15,Paramètres!$A$1:$I$89,3,0)*VLOOKUP('Données projet'!$B$15,Paramètres!$A$1:$I$89,5,0)</f>
        <v>-3.813056537183002E-14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205.35893113421139</v>
      </c>
      <c r="EP141" s="62">
        <f t="shared" si="154"/>
        <v>220.4399811285175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25.11623897602594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25.11623897602594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-5.6843418860808015E-14</v>
      </c>
      <c r="FF141" s="18">
        <f>FE141*VLOOKUP('Données projet'!$B$16,Paramètres!$A$1:$I$89,3,0)*VLOOKUP('Données projet'!$B$16,Paramètres!$A$1:$I$89,5,0)</f>
        <v>-4.4337866711430253E-14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242.81177364426878</v>
      </c>
      <c r="FK141" s="62">
        <f t="shared" si="156"/>
        <v>260.72115764896671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23.694565071722597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23.694565071722597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-5.6843418860808015E-14</v>
      </c>
      <c r="GA141" s="18">
        <f>FZ141*VLOOKUP('Données projet'!$B$17,Paramètres!$A$1:$I$89,3,0)*VLOOKUP('Données projet'!$B$17,Paramètres!$A$1:$I$89,5,0)</f>
        <v>-4.5224624045658861E-14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248.15263300983543</v>
      </c>
      <c r="GF141" s="62">
        <f t="shared" si="158"/>
        <v>266.46511459244618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29.78902762272843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29.78902762272843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382.55387448074327</v>
      </c>
      <c r="T142" s="62">
        <f t="shared" si="142"/>
        <v>476.29465646955543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54.133849699595721</v>
      </c>
      <c r="AA142" s="23">
        <f>EXP(-LN(2)/25)*AA141+(1-EXP(-LN(2)/25))/(LN(2)/25)*Calculateur!V142*Calculateur!X142*VLOOKUP('Données projet'!$B$9,Paramètres!$A$1:$I$89,3,0)*0.475*44/12</f>
        <v>7.2076801010609923</v>
      </c>
      <c r="AB142" s="23">
        <f>EXP(-LN(2)/2)*AB141+(1-EXP(-LN(2)/2))/(LN(2)/2)*V142*Y142*VLOOKUP('Données projet'!$B$9,Paramètres!$A$1:$I$89,3,0)*0.475*44/12</f>
        <v>7.2440989673334563E-11</v>
      </c>
      <c r="AC142" s="24">
        <f t="shared" si="111"/>
        <v>61.341529800729155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-1.7053025658242404E-13</v>
      </c>
      <c r="AJ142" s="14">
        <f>AI142*VLOOKUP('Données projet'!$B$10,Paramètres!$A$1:$I$89,3,0)*VLOOKUP('Données projet'!$B$10,Paramètres!$A$1:$I$89,5,0)</f>
        <v>-1.064108801074326E-13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482.28841373508675</v>
      </c>
      <c r="AO142" s="62">
        <f t="shared" si="144"/>
        <v>746.97309214631684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101.21506615424863</v>
      </c>
      <c r="AV142" s="23">
        <f>EXP(-LN(2)/25)*AV141+(1-EXP(-LN(2)/25))/(LN(2)/25)*Calculateur!AQ142*Calculateur!AS142*VLOOKUP('Données projet'!$B$10,Paramètres!$A$1:$I$89,3,0)*0.475*44/12</f>
        <v>13.514704991873009</v>
      </c>
      <c r="AW142" s="23">
        <f>EXP(-LN(2)/2)*AW141+(1-EXP(-LN(2)/2))/(LN(2)/2)*AQ142*AT142*VLOOKUP('Données projet'!$B$10,Paramètres!$A$1:$I$89,3,0)*0.475*44/12</f>
        <v>2.7058528440081331E-8</v>
      </c>
      <c r="AX142" s="23">
        <f t="shared" si="114"/>
        <v>114.72977117318017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-1.7053025658242404E-13</v>
      </c>
      <c r="BE142" s="14">
        <f>BD142*VLOOKUP('Données projet'!$B$11,Paramètres!$A$1:$I$89,3,0)*VLOOKUP('Données projet'!$B$11,Paramètres!$A$1:$I$89,5,0)</f>
        <v>-9.3109520094003535E-14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417.99456559608217</v>
      </c>
      <c r="BJ142" s="62">
        <f t="shared" si="146"/>
        <v>651.41353014863932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88.563182884967603</v>
      </c>
      <c r="BQ142" s="23">
        <f>EXP(-LN(2)/25)*BQ141+(1-EXP(-LN(2)/25))/(LN(2)/25)*Calculateur!BL142*Calculateur!BN142*VLOOKUP('Données projet'!$B$11,Paramètres!$A$1:$I$89,3,0)*0.475*44/12</f>
        <v>11.966145044887554</v>
      </c>
      <c r="BR142" s="23">
        <f>EXP(-LN(2)/2)*BR141+(1-EXP(-LN(2)/2))/(LN(2)/2)*BL142*BO142*VLOOKUP('Données projet'!$B$11,Paramètres!$A$1:$I$89,3,0)*0.475*44/12</f>
        <v>2.3317481894388251E-8</v>
      </c>
      <c r="BS142" s="24">
        <f t="shared" si="117"/>
        <v>100.52932795317264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4.8666666666666663</v>
      </c>
      <c r="BY142" s="13">
        <f>IF('Données projet'!$A$114&gt;35,BY141+BX142-CG141,IF(A142&lt;'Données projet'!$A$114,$BV$205^A142,IF(A142='Données projet'!$A$114,'Données projet'!$B$114,BY141+BX142-CG141)))</f>
        <v>227.8666666666665</v>
      </c>
      <c r="BZ142" s="14">
        <f>BY142*VLOOKUP('Données projet'!$B$12,Paramètres!$A$1:$I$89,3,0)*VLOOKUP('Données projet'!$B$12,Paramètres!$A$1:$I$89,5,0)</f>
        <v>206.17375999999982</v>
      </c>
      <c r="CA142" s="14">
        <f t="shared" si="147"/>
        <v>51.098563276577075</v>
      </c>
      <c r="CB142" s="22">
        <f t="shared" si="118"/>
        <v>448.08262970670484</v>
      </c>
      <c r="CC142" s="62">
        <f t="shared" si="119"/>
        <v>741.41596304003815</v>
      </c>
      <c r="CD142" s="62">
        <f ca="1">AVERAGE(OFFSET($CC$3,0,0,'Données projet'!$E$12+1,1))-AVERAGE(OFFSET($H$3,0,0,'Données projet'!$E$12+1,1))</f>
        <v>213.07277043804817</v>
      </c>
      <c r="CE142" s="62">
        <f t="shared" si="148"/>
        <v>129.14539883354166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54.260472744732624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54.260472744732624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4.8666666666666663</v>
      </c>
      <c r="CT142" s="13">
        <f>IF('Données projet'!$A$140&gt;35,CT141+CS142-DB141,IF(A142&lt;'Données projet'!$A$140,$CQ$205^A142,IF(A142='Données projet'!$A$140,'Données projet'!$B$140,CT141+CS142-DB141)))</f>
        <v>227.8666666666665</v>
      </c>
      <c r="CU142" s="18">
        <f>CT142*VLOOKUP('Données projet'!$B$13,Paramètres!$A$1:$I$89,3,0)*VLOOKUP('Données projet'!$B$13,Paramètres!$A$1:$I$89,5,0)</f>
        <v>231.05679999999984</v>
      </c>
      <c r="CV142" s="14">
        <f t="shared" si="149"/>
        <v>56.511125397421971</v>
      </c>
      <c r="CW142" s="22">
        <f t="shared" si="121"/>
        <v>500.84747006717635</v>
      </c>
      <c r="CX142" s="62">
        <f t="shared" si="122"/>
        <v>794.1808034005096</v>
      </c>
      <c r="CY142" s="62">
        <f ca="1">AVERAGE(OFFSET($CX$3,0,0,'Données projet'!$E$13+1,1))-AVERAGE(OFFSET($H$3,0,0,'Données projet'!$E$13+1,1))</f>
        <v>247.92503505485405</v>
      </c>
      <c r="CZ142" s="62">
        <f t="shared" si="150"/>
        <v>148.26437652597514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60.809150489786568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60.809150489786568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3.1428571428571428</v>
      </c>
      <c r="DO142" s="13">
        <f>IF('Données projet'!$A$166&gt;35,DO141+DN142-DW141,IF(A142&lt;'Données projet'!$A$166,$DL$205^A142,IF(A142='Données projet'!$A$166,'Données projet'!$B$166,DO141+DN142-DW141)))</f>
        <v>160.71428571428601</v>
      </c>
      <c r="DP142" s="18">
        <f>DO142*VLOOKUP('Données projet'!$B$14,Paramètres!$A$1:$I$89,3,0)*VLOOKUP('Données projet'!$B$14,Paramètres!$A$1:$I$89,5,0)</f>
        <v>155.44285714285743</v>
      </c>
      <c r="DQ142" s="14">
        <f t="shared" si="151"/>
        <v>39.81291690794626</v>
      </c>
      <c r="DR142" s="22">
        <f t="shared" si="124"/>
        <v>340.07047313848307</v>
      </c>
      <c r="DS142" s="62">
        <f t="shared" si="125"/>
        <v>633.40380647181632</v>
      </c>
      <c r="DT142" s="62">
        <f ca="1">AVERAGE(OFFSET($DS$3,0,0,'Données projet'!$E$14+1,1))-AVERAGE(OFFSET($H$3,0,0,'Données projet'!$E$14+1,1))</f>
        <v>154.0837760161366</v>
      </c>
      <c r="DU142" s="62">
        <f t="shared" si="152"/>
        <v>96.484500841546037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30.087521172166575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30.087521172166575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-5.6843418860808015E-14</v>
      </c>
      <c r="EK142" s="18">
        <f>EJ142*VLOOKUP('Données projet'!$B$15,Paramètres!$A$1:$I$89,3,0)*VLOOKUP('Données projet'!$B$15,Paramètres!$A$1:$I$89,5,0)</f>
        <v>-3.813056537183002E-14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205.35893113421139</v>
      </c>
      <c r="EP142" s="62">
        <f t="shared" si="154"/>
        <v>220.4399811285175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24.623724849099183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24.623724849099183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-5.6843418860808015E-14</v>
      </c>
      <c r="FF142" s="18">
        <f>FE142*VLOOKUP('Données projet'!$B$16,Paramètres!$A$1:$I$89,3,0)*VLOOKUP('Données projet'!$B$16,Paramètres!$A$1:$I$89,5,0)</f>
        <v>-4.4337866711430253E-14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242.81177364426878</v>
      </c>
      <c r="FK142" s="62">
        <f t="shared" si="156"/>
        <v>260.72115764896671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23.229929102923769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23.229929102923769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-5.6843418860808015E-14</v>
      </c>
      <c r="GA142" s="18">
        <f>FZ142*VLOOKUP('Données projet'!$B$17,Paramètres!$A$1:$I$89,3,0)*VLOOKUP('Données projet'!$B$17,Paramètres!$A$1:$I$89,5,0)</f>
        <v>-4.5224624045658861E-14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248.15263300983543</v>
      </c>
      <c r="GF142" s="62">
        <f t="shared" si="158"/>
        <v>266.46511459244618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29.204882960559484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29.204882960559484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382.55387448074327</v>
      </c>
      <c r="T143" s="62">
        <f t="shared" si="142"/>
        <v>476.29465646955543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53.072317925374669</v>
      </c>
      <c r="AA143" s="23">
        <f>EXP(-LN(2)/25)*AA142+(1-EXP(-LN(2)/25))/(LN(2)/25)*Calculateur!V143*Calculateur!X143*VLOOKUP('Données projet'!$B$9,Paramètres!$A$1:$I$89,3,0)*0.475*44/12</f>
        <v>7.0105857096620561</v>
      </c>
      <c r="AB143" s="23">
        <f>EXP(-LN(2)/2)*AB142+(1-EXP(-LN(2)/2))/(LN(2)/2)*V143*Y143*VLOOKUP('Données projet'!$B$9,Paramètres!$A$1:$I$89,3,0)*0.475*44/12</f>
        <v>5.1223515033879533E-11</v>
      </c>
      <c r="AC143" s="24">
        <f t="shared" si="111"/>
        <v>60.082903635087952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-1.7053025658242404E-13</v>
      </c>
      <c r="AJ143" s="14">
        <f>AI143*VLOOKUP('Données projet'!$B$10,Paramètres!$A$1:$I$89,3,0)*VLOOKUP('Données projet'!$B$10,Paramètres!$A$1:$I$89,5,0)</f>
        <v>-1.064108801074326E-13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482.28841373508675</v>
      </c>
      <c r="AO143" s="62">
        <f t="shared" si="144"/>
        <v>746.97309214631684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99.230300442058336</v>
      </c>
      <c r="AV143" s="23">
        <f>EXP(-LN(2)/25)*AV142+(1-EXP(-LN(2)/25))/(LN(2)/25)*Calculateur!AQ143*Calculateur!AS143*VLOOKUP('Données projet'!$B$10,Paramètres!$A$1:$I$89,3,0)*0.475*44/12</f>
        <v>13.145144673162793</v>
      </c>
      <c r="AW143" s="23">
        <f>EXP(-LN(2)/2)*AW142+(1-EXP(-LN(2)/2))/(LN(2)/2)*AQ143*AT143*VLOOKUP('Données projet'!$B$10,Paramètres!$A$1:$I$89,3,0)*0.475*44/12</f>
        <v>1.9133268948910562E-8</v>
      </c>
      <c r="AX143" s="23">
        <f t="shared" si="114"/>
        <v>112.37544513435439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-1.7053025658242404E-13</v>
      </c>
      <c r="BE143" s="14">
        <f>BD143*VLOOKUP('Données projet'!$B$11,Paramètres!$A$1:$I$89,3,0)*VLOOKUP('Données projet'!$B$11,Paramètres!$A$1:$I$89,5,0)</f>
        <v>-9.3109520094003535E-14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417.99456559608217</v>
      </c>
      <c r="BJ143" s="62">
        <f t="shared" si="146"/>
        <v>651.41353014863932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86.826512886801098</v>
      </c>
      <c r="BQ143" s="23">
        <f>EXP(-LN(2)/25)*BQ142+(1-EXP(-LN(2)/25))/(LN(2)/25)*Calculateur!BL143*Calculateur!BN143*VLOOKUP('Données projet'!$B$11,Paramètres!$A$1:$I$89,3,0)*0.475*44/12</f>
        <v>11.638930179362886</v>
      </c>
      <c r="BR143" s="23">
        <f>EXP(-LN(2)/2)*BR142+(1-EXP(-LN(2)/2))/(LN(2)/2)*BL143*BO143*VLOOKUP('Données projet'!$B$11,Paramètres!$A$1:$I$89,3,0)*0.475*44/12</f>
        <v>1.6487949567716476E-8</v>
      </c>
      <c r="BS143" s="24">
        <f t="shared" si="117"/>
        <v>98.46544308265193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4.8666666666666663</v>
      </c>
      <c r="BY143" s="13">
        <f>IF('Données projet'!$A$114&gt;35,BY142+BX143-CG142,IF(A143&lt;'Données projet'!$A$114,$BV$205^A143,IF(A143='Données projet'!$A$114,'Données projet'!$B$114,BY142+BX143-CG142)))</f>
        <v>232.73333333333318</v>
      </c>
      <c r="BZ143" s="14">
        <f>BY143*VLOOKUP('Données projet'!$B$12,Paramètres!$A$1:$I$89,3,0)*VLOOKUP('Données projet'!$B$12,Paramètres!$A$1:$I$89,5,0)</f>
        <v>210.57711999999987</v>
      </c>
      <c r="CA143" s="14">
        <f t="shared" si="147"/>
        <v>52.061680787565365</v>
      </c>
      <c r="CB143" s="22">
        <f t="shared" si="118"/>
        <v>457.42924470500947</v>
      </c>
      <c r="CC143" s="62">
        <f t="shared" si="119"/>
        <v>750.76257803834278</v>
      </c>
      <c r="CD143" s="62">
        <f ca="1">AVERAGE(OFFSET($CC$3,0,0,'Données projet'!$E$12+1,1))-AVERAGE(OFFSET($H$3,0,0,'Données projet'!$E$12+1,1))</f>
        <v>213.07277043804817</v>
      </c>
      <c r="CE143" s="62">
        <f t="shared" si="148"/>
        <v>129.14539883354166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53.19645796982887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53.19645796982887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4.8666666666666663</v>
      </c>
      <c r="CT143" s="13">
        <f>IF('Données projet'!$A$140&gt;35,CT142+CS143-DB142,IF(A143&lt;'Données projet'!$A$140,$CQ$205^A143,IF(A143='Données projet'!$A$140,'Données projet'!$B$140,CT142+CS143-DB142)))</f>
        <v>232.73333333333318</v>
      </c>
      <c r="CU143" s="18">
        <f>CT143*VLOOKUP('Données projet'!$B$13,Paramètres!$A$1:$I$89,3,0)*VLOOKUP('Données projet'!$B$13,Paramètres!$A$1:$I$89,5,0)</f>
        <v>235.99159999999983</v>
      </c>
      <c r="CV143" s="14">
        <f t="shared" si="149"/>
        <v>57.57626012814459</v>
      </c>
      <c r="CW143" s="22">
        <f t="shared" si="121"/>
        <v>511.29735638985153</v>
      </c>
      <c r="CX143" s="62">
        <f t="shared" si="122"/>
        <v>804.63068972318479</v>
      </c>
      <c r="CY143" s="62">
        <f ca="1">AVERAGE(OFFSET($CX$3,0,0,'Données projet'!$E$13+1,1))-AVERAGE(OFFSET($H$3,0,0,'Données projet'!$E$13+1,1))</f>
        <v>247.92503505485405</v>
      </c>
      <c r="CZ143" s="62">
        <f t="shared" si="150"/>
        <v>148.26437652597514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59.616720138601323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59.616720138601323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3.1428571428571428</v>
      </c>
      <c r="DO143" s="13">
        <f>IF('Données projet'!$A$166&gt;35,DO142+DN143-DW142,IF(A143&lt;'Données projet'!$A$166,$DL$205^A143,IF(A143='Données projet'!$A$166,'Données projet'!$B$166,DO142+DN143-DW142)))</f>
        <v>163.85714285714315</v>
      </c>
      <c r="DP143" s="18">
        <f>DO143*VLOOKUP('Données projet'!$B$14,Paramètres!$A$1:$I$89,3,0)*VLOOKUP('Données projet'!$B$14,Paramètres!$A$1:$I$89,5,0)</f>
        <v>158.48262857142885</v>
      </c>
      <c r="DQ143" s="14">
        <f t="shared" si="151"/>
        <v>40.500078474136558</v>
      </c>
      <c r="DR143" s="22">
        <f t="shared" si="124"/>
        <v>346.5615481043597</v>
      </c>
      <c r="DS143" s="62">
        <f t="shared" si="125"/>
        <v>639.89488143769302</v>
      </c>
      <c r="DT143" s="62">
        <f ca="1">AVERAGE(OFFSET($DS$3,0,0,'Données projet'!$E$14+1,1))-AVERAGE(OFFSET($H$3,0,0,'Données projet'!$E$14+1,1))</f>
        <v>154.0837760161366</v>
      </c>
      <c r="DU143" s="62">
        <f t="shared" si="152"/>
        <v>96.484500841546037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29.497523233556237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29.497523233556237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-5.6843418860808015E-14</v>
      </c>
      <c r="EK143" s="18">
        <f>EJ143*VLOOKUP('Données projet'!$B$15,Paramètres!$A$1:$I$89,3,0)*VLOOKUP('Données projet'!$B$15,Paramètres!$A$1:$I$89,5,0)</f>
        <v>-3.813056537183002E-14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205.35893113421139</v>
      </c>
      <c r="EP143" s="62">
        <f t="shared" si="154"/>
        <v>220.4399811285175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24.140868623797505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24.140868623797505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-5.6843418860808015E-14</v>
      </c>
      <c r="FF143" s="18">
        <f>FE143*VLOOKUP('Données projet'!$B$16,Paramètres!$A$1:$I$89,3,0)*VLOOKUP('Données projet'!$B$16,Paramètres!$A$1:$I$89,5,0)</f>
        <v>-4.4337866711430253E-14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242.81177364426878</v>
      </c>
      <c r="FK143" s="62">
        <f t="shared" si="156"/>
        <v>260.72115764896671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22.774404362073128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22.774404362073128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-5.6843418860808015E-14</v>
      </c>
      <c r="GA143" s="18">
        <f>FZ143*VLOOKUP('Données projet'!$B$17,Paramètres!$A$1:$I$89,3,0)*VLOOKUP('Données projet'!$B$17,Paramètres!$A$1:$I$89,5,0)</f>
        <v>-4.5224624045658861E-14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248.15263300983543</v>
      </c>
      <c r="GF143" s="62">
        <f t="shared" si="158"/>
        <v>266.46511459244618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28.63219301892261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28.63219301892261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382.55387448074327</v>
      </c>
      <c r="T144" s="62">
        <f t="shared" si="142"/>
        <v>476.29465646955543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52.031602141775643</v>
      </c>
      <c r="AA144" s="23">
        <f>EXP(-LN(2)/25)*AA143+(1-EXP(-LN(2)/25))/(LN(2)/25)*Calculateur!V144*Calculateur!X144*VLOOKUP('Données projet'!$B$9,Paramètres!$A$1:$I$89,3,0)*0.475*44/12</f>
        <v>6.8188808747606675</v>
      </c>
      <c r="AB144" s="23">
        <f>EXP(-LN(2)/2)*AB143+(1-EXP(-LN(2)/2))/(LN(2)/2)*V144*Y144*VLOOKUP('Données projet'!$B$9,Paramètres!$A$1:$I$89,3,0)*0.475*44/12</f>
        <v>3.6220494836667282E-11</v>
      </c>
      <c r="AC144" s="24">
        <f t="shared" si="111"/>
        <v>58.850483016572532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-1.7053025658242404E-13</v>
      </c>
      <c r="AJ144" s="14">
        <f>AI144*VLOOKUP('Données projet'!$B$10,Paramètres!$A$1:$I$89,3,0)*VLOOKUP('Données projet'!$B$10,Paramètres!$A$1:$I$89,5,0)</f>
        <v>-1.064108801074326E-13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482.28841373508675</v>
      </c>
      <c r="AO144" s="62">
        <f t="shared" si="144"/>
        <v>746.97309214631684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97.284454774896545</v>
      </c>
      <c r="AV144" s="23">
        <f>EXP(-LN(2)/25)*AV143+(1-EXP(-LN(2)/25))/(LN(2)/25)*Calculateur!AQ144*Calculateur!AS144*VLOOKUP('Données projet'!$B$10,Paramètres!$A$1:$I$89,3,0)*0.475*44/12</f>
        <v>12.785690000802042</v>
      </c>
      <c r="AW144" s="23">
        <f>EXP(-LN(2)/2)*AW143+(1-EXP(-LN(2)/2))/(LN(2)/2)*AQ144*AT144*VLOOKUP('Données projet'!$B$10,Paramètres!$A$1:$I$89,3,0)*0.475*44/12</f>
        <v>1.3529264220040665E-8</v>
      </c>
      <c r="AX144" s="23">
        <f t="shared" si="114"/>
        <v>110.07014478922785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-1.7053025658242404E-13</v>
      </c>
      <c r="BE144" s="14">
        <f>BD144*VLOOKUP('Données projet'!$B$11,Paramètres!$A$1:$I$89,3,0)*VLOOKUP('Données projet'!$B$11,Paramètres!$A$1:$I$89,5,0)</f>
        <v>-9.3109520094003535E-14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417.99456559608217</v>
      </c>
      <c r="BJ144" s="62">
        <f t="shared" si="146"/>
        <v>651.41353014863932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85.123897928034523</v>
      </c>
      <c r="BQ144" s="23">
        <f>EXP(-LN(2)/25)*BQ143+(1-EXP(-LN(2)/25))/(LN(2)/25)*Calculateur!BL144*Calculateur!BN144*VLOOKUP('Données projet'!$B$11,Paramètres!$A$1:$I$89,3,0)*0.475*44/12</f>
        <v>11.320663021543471</v>
      </c>
      <c r="BR144" s="23">
        <f>EXP(-LN(2)/2)*BR143+(1-EXP(-LN(2)/2))/(LN(2)/2)*BL144*BO144*VLOOKUP('Données projet'!$B$11,Paramètres!$A$1:$I$89,3,0)*0.475*44/12</f>
        <v>1.1658740947194125E-8</v>
      </c>
      <c r="BS144" s="24">
        <f t="shared" si="117"/>
        <v>96.444560961236732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4.8666666666666663</v>
      </c>
      <c r="BY144" s="13">
        <f>IF('Données projet'!$A$114&gt;35,BY143+BX144-CG143,IF(A144&lt;'Données projet'!$A$114,$BV$205^A144,IF(A144='Données projet'!$A$114,'Données projet'!$B$114,BY143+BX144-CG143)))</f>
        <v>237.59999999999985</v>
      </c>
      <c r="BZ144" s="14">
        <f>BY144*VLOOKUP('Données projet'!$B$12,Paramètres!$A$1:$I$89,3,0)*VLOOKUP('Données projet'!$B$12,Paramètres!$A$1:$I$89,5,0)</f>
        <v>214.98047999999986</v>
      </c>
      <c r="CA144" s="14">
        <f t="shared" si="147"/>
        <v>53.022456711590607</v>
      </c>
      <c r="CB144" s="22">
        <f t="shared" si="118"/>
        <v>466.77178143935333</v>
      </c>
      <c r="CC144" s="62">
        <f t="shared" si="119"/>
        <v>760.10511477268665</v>
      </c>
      <c r="CD144" s="62">
        <f ca="1">AVERAGE(OFFSET($CC$3,0,0,'Données projet'!$E$12+1,1))-AVERAGE(OFFSET($H$3,0,0,'Données projet'!$E$12+1,1))</f>
        <v>213.07277043804817</v>
      </c>
      <c r="CE144" s="62">
        <f t="shared" si="148"/>
        <v>129.14539883354166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52.153307875676049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52.153307875676049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4.8666666666666663</v>
      </c>
      <c r="CT144" s="13">
        <f>IF('Données projet'!$A$140&gt;35,CT143+CS144-DB143,IF(A144&lt;'Données projet'!$A$140,$CQ$205^A144,IF(A144='Données projet'!$A$140,'Données projet'!$B$140,CT143+CS144-DB143)))</f>
        <v>237.59999999999985</v>
      </c>
      <c r="CU144" s="18">
        <f>CT144*VLOOKUP('Données projet'!$B$13,Paramètres!$A$1:$I$89,3,0)*VLOOKUP('Données projet'!$B$13,Paramètres!$A$1:$I$89,5,0)</f>
        <v>240.92639999999986</v>
      </c>
      <c r="CV144" s="14">
        <f t="shared" si="149"/>
        <v>58.638805241742773</v>
      </c>
      <c r="CW144" s="22">
        <f t="shared" si="121"/>
        <v>521.74273246270184</v>
      </c>
      <c r="CX144" s="62">
        <f t="shared" si="122"/>
        <v>815.07606579603521</v>
      </c>
      <c r="CY144" s="62">
        <f ca="1">AVERAGE(OFFSET($CX$3,0,0,'Données projet'!$E$13+1,1))-AVERAGE(OFFSET($H$3,0,0,'Données projet'!$E$13+1,1))</f>
        <v>247.92503505485405</v>
      </c>
      <c r="CZ144" s="62">
        <f t="shared" si="150"/>
        <v>148.26437652597514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58.447672619292128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58.447672619292128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3.1428571428571428</v>
      </c>
      <c r="DO144" s="13">
        <f>IF('Données projet'!$A$166&gt;35,DO143+DN144-DW143,IF(A144&lt;'Données projet'!$A$166,$DL$205^A144,IF(A144='Données projet'!$A$166,'Données projet'!$B$166,DO143+DN144-DW143)))</f>
        <v>167.00000000000028</v>
      </c>
      <c r="DP144" s="18">
        <f>DO144*VLOOKUP('Données projet'!$B$14,Paramètres!$A$1:$I$89,3,0)*VLOOKUP('Données projet'!$B$14,Paramètres!$A$1:$I$89,5,0)</f>
        <v>161.52240000000029</v>
      </c>
      <c r="DQ144" s="14">
        <f t="shared" si="151"/>
        <v>41.185707490721967</v>
      </c>
      <c r="DR144" s="22">
        <f t="shared" si="124"/>
        <v>353.04995387967455</v>
      </c>
      <c r="DS144" s="62">
        <f t="shared" si="125"/>
        <v>646.38328721300786</v>
      </c>
      <c r="DT144" s="62">
        <f ca="1">AVERAGE(OFFSET($DS$3,0,0,'Données projet'!$E$14+1,1))-AVERAGE(OFFSET($H$3,0,0,'Données projet'!$E$14+1,1))</f>
        <v>154.0837760161366</v>
      </c>
      <c r="DU144" s="62">
        <f t="shared" si="152"/>
        <v>96.484500841546037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28.919094794658836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28.919094794658836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-5.6843418860808015E-14</v>
      </c>
      <c r="EK144" s="18">
        <f>EJ144*VLOOKUP('Données projet'!$B$15,Paramètres!$A$1:$I$89,3,0)*VLOOKUP('Données projet'!$B$15,Paramètres!$A$1:$I$89,5,0)</f>
        <v>-3.813056537183002E-14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205.35893113421139</v>
      </c>
      <c r="EP144" s="62">
        <f t="shared" si="154"/>
        <v>220.4399811285175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23.667480914560777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23.667480914560777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-5.6843418860808015E-14</v>
      </c>
      <c r="FF144" s="18">
        <f>FE144*VLOOKUP('Données projet'!$B$16,Paramètres!$A$1:$I$89,3,0)*VLOOKUP('Données projet'!$B$16,Paramètres!$A$1:$I$89,5,0)</f>
        <v>-4.4337866711430253E-14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242.81177364426878</v>
      </c>
      <c r="FK144" s="62">
        <f t="shared" si="156"/>
        <v>260.72115764896671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22.327812183547909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22.327812183547909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-5.6843418860808015E-14</v>
      </c>
      <c r="GA144" s="18">
        <f>FZ144*VLOOKUP('Données projet'!$B$17,Paramètres!$A$1:$I$89,3,0)*VLOOKUP('Données projet'!$B$17,Paramètres!$A$1:$I$89,5,0)</f>
        <v>-4.5224624045658861E-14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248.15263300983543</v>
      </c>
      <c r="GF144" s="62">
        <f t="shared" si="158"/>
        <v>266.46511459244618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28.070733177734862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28.070733177734862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382.55387448074327</v>
      </c>
      <c r="T145" s="62">
        <f t="shared" si="142"/>
        <v>476.29465646955543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51.011294159919046</v>
      </c>
      <c r="AA145" s="23">
        <f>EXP(-LN(2)/25)*AA144+(1-EXP(-LN(2)/25))/(LN(2)/25)*Calculateur!V145*Calculateur!X145*VLOOKUP('Données projet'!$B$9,Paramètres!$A$1:$I$89,3,0)*0.475*44/12</f>
        <v>6.6324182186509768</v>
      </c>
      <c r="AB145" s="23">
        <f>EXP(-LN(2)/2)*AB144+(1-EXP(-LN(2)/2))/(LN(2)/2)*V145*Y145*VLOOKUP('Données projet'!$B$9,Paramètres!$A$1:$I$89,3,0)*0.475*44/12</f>
        <v>2.5611757516939766E-11</v>
      </c>
      <c r="AC145" s="24">
        <f t="shared" si="111"/>
        <v>57.643712378595637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-1.7053025658242404E-13</v>
      </c>
      <c r="AJ145" s="14">
        <f>AI145*VLOOKUP('Données projet'!$B$10,Paramètres!$A$1:$I$89,3,0)*VLOOKUP('Données projet'!$B$10,Paramètres!$A$1:$I$89,5,0)</f>
        <v>-1.064108801074326E-13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482.28841373508675</v>
      </c>
      <c r="AO145" s="62">
        <f t="shared" si="144"/>
        <v>746.97309214631684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95.376765954419128</v>
      </c>
      <c r="AV145" s="23">
        <f>EXP(-LN(2)/25)*AV144+(1-EXP(-LN(2)/25))/(LN(2)/25)*Calculateur!AQ145*Calculateur!AS145*VLOOKUP('Données projet'!$B$10,Paramètres!$A$1:$I$89,3,0)*0.475*44/12</f>
        <v>12.436064635359894</v>
      </c>
      <c r="AW145" s="23">
        <f>EXP(-LN(2)/2)*AW144+(1-EXP(-LN(2)/2))/(LN(2)/2)*AQ145*AT145*VLOOKUP('Données projet'!$B$10,Paramètres!$A$1:$I$89,3,0)*0.475*44/12</f>
        <v>9.5666344744552812E-9</v>
      </c>
      <c r="AX145" s="23">
        <f t="shared" si="114"/>
        <v>107.81283059934566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-1.7053025658242404E-13</v>
      </c>
      <c r="BE145" s="14">
        <f>BD145*VLOOKUP('Données projet'!$B$11,Paramètres!$A$1:$I$89,3,0)*VLOOKUP('Données projet'!$B$11,Paramètres!$A$1:$I$89,5,0)</f>
        <v>-9.3109520094003535E-14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417.99456559608217</v>
      </c>
      <c r="BJ145" s="62">
        <f t="shared" si="146"/>
        <v>651.41353014863932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83.454670210116788</v>
      </c>
      <c r="BQ145" s="23">
        <f>EXP(-LN(2)/25)*BQ144+(1-EXP(-LN(2)/25))/(LN(2)/25)*Calculateur!BL145*Calculateur!BN145*VLOOKUP('Données projet'!$B$11,Paramètres!$A$1:$I$89,3,0)*0.475*44/12</f>
        <v>11.011098895891569</v>
      </c>
      <c r="BR145" s="23">
        <f>EXP(-LN(2)/2)*BR144+(1-EXP(-LN(2)/2))/(LN(2)/2)*BL145*BO145*VLOOKUP('Données projet'!$B$11,Paramètres!$A$1:$I$89,3,0)*0.475*44/12</f>
        <v>8.2439747838582382E-9</v>
      </c>
      <c r="BS145" s="24">
        <f t="shared" si="117"/>
        <v>94.465769114252325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4.8666666666666663</v>
      </c>
      <c r="BY145" s="13">
        <f>IF('Données projet'!$A$114&gt;35,BY144+BX145-CG144,IF(A145&lt;'Données projet'!$A$114,$BV$205^A145,IF(A145='Données projet'!$A$114,'Données projet'!$B$114,BY144+BX145-CG144)))</f>
        <v>242.46666666666653</v>
      </c>
      <c r="BZ145" s="14">
        <f>BY145*VLOOKUP('Données projet'!$B$12,Paramètres!$A$1:$I$89,3,0)*VLOOKUP('Données projet'!$B$12,Paramètres!$A$1:$I$89,5,0)</f>
        <v>219.38383999999985</v>
      </c>
      <c r="CA145" s="14">
        <f t="shared" si="147"/>
        <v>53.980944536975066</v>
      </c>
      <c r="CB145" s="22">
        <f t="shared" si="118"/>
        <v>476.11033306856461</v>
      </c>
      <c r="CC145" s="62">
        <f t="shared" si="119"/>
        <v>769.44366640189787</v>
      </c>
      <c r="CD145" s="62">
        <f ca="1">AVERAGE(OFFSET($CC$3,0,0,'Données projet'!$E$12+1,1))-AVERAGE(OFFSET($H$3,0,0,'Données projet'!$E$12+1,1))</f>
        <v>213.07277043804817</v>
      </c>
      <c r="CE145" s="62">
        <f t="shared" si="148"/>
        <v>129.14539883354166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51.130613318610834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51.130613318610834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4.8666666666666663</v>
      </c>
      <c r="CT145" s="13">
        <f>IF('Données projet'!$A$140&gt;35,CT144+CS145-DB144,IF(A145&lt;'Données projet'!$A$140,$CQ$205^A145,IF(A145='Données projet'!$A$140,'Données projet'!$B$140,CT144+CS145-DB144)))</f>
        <v>242.46666666666653</v>
      </c>
      <c r="CU145" s="18">
        <f>CT145*VLOOKUP('Données projet'!$B$13,Paramètres!$A$1:$I$89,3,0)*VLOOKUP('Données projet'!$B$13,Paramètres!$A$1:$I$89,5,0)</f>
        <v>245.86119999999985</v>
      </c>
      <c r="CV145" s="14">
        <f t="shared" si="149"/>
        <v>59.69881989223358</v>
      </c>
      <c r="CW145" s="22">
        <f t="shared" si="121"/>
        <v>532.18370131230654</v>
      </c>
      <c r="CX145" s="62">
        <f t="shared" si="122"/>
        <v>825.5170346456398</v>
      </c>
      <c r="CY145" s="62">
        <f ca="1">AVERAGE(OFFSET($CX$3,0,0,'Données projet'!$E$13+1,1))-AVERAGE(OFFSET($H$3,0,0,'Données projet'!$E$13+1,1))</f>
        <v>247.92503505485405</v>
      </c>
      <c r="CZ145" s="62">
        <f t="shared" si="150"/>
        <v>148.26437652597514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57.301549408788006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57.301549408788006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3.1428571428571428</v>
      </c>
      <c r="DO145" s="13">
        <f>IF('Données projet'!$A$166&gt;35,DO144+DN145-DW144,IF(A145&lt;'Données projet'!$A$166,$DL$205^A145,IF(A145='Données projet'!$A$166,'Données projet'!$B$166,DO144+DN145-DW144)))</f>
        <v>170.14285714285742</v>
      </c>
      <c r="DP145" s="18">
        <f>DO145*VLOOKUP('Données projet'!$B$14,Paramètres!$A$1:$I$89,3,0)*VLOOKUP('Données projet'!$B$14,Paramètres!$A$1:$I$89,5,0)</f>
        <v>164.5621714285717</v>
      </c>
      <c r="DQ145" s="14">
        <f t="shared" si="151"/>
        <v>41.869836125302427</v>
      </c>
      <c r="DR145" s="22">
        <f t="shared" si="124"/>
        <v>359.53574648966406</v>
      </c>
      <c r="DS145" s="62">
        <f t="shared" si="125"/>
        <v>652.86907982299738</v>
      </c>
      <c r="DT145" s="62">
        <f ca="1">AVERAGE(OFFSET($DS$3,0,0,'Données projet'!$E$14+1,1))-AVERAGE(OFFSET($H$3,0,0,'Données projet'!$E$14+1,1))</f>
        <v>154.0837760161366</v>
      </c>
      <c r="DU145" s="62">
        <f t="shared" si="152"/>
        <v>96.484500841546037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28.352008984641703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28.352008984641703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-5.6843418860808015E-14</v>
      </c>
      <c r="EK145" s="18">
        <f>EJ145*VLOOKUP('Données projet'!$B$15,Paramètres!$A$1:$I$89,3,0)*VLOOKUP('Données projet'!$B$15,Paramètres!$A$1:$I$89,5,0)</f>
        <v>-3.813056537183002E-14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205.35893113421139</v>
      </c>
      <c r="EP145" s="62">
        <f t="shared" si="154"/>
        <v>220.4399811285175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23.203376049564188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23.203376049564188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-5.6843418860808015E-14</v>
      </c>
      <c r="FF145" s="18">
        <f>FE145*VLOOKUP('Données projet'!$B$16,Paramètres!$A$1:$I$89,3,0)*VLOOKUP('Données projet'!$B$16,Paramètres!$A$1:$I$89,5,0)</f>
        <v>-4.4337866711430253E-14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242.81177364426878</v>
      </c>
      <c r="FK145" s="62">
        <f t="shared" si="156"/>
        <v>260.72115764896671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21.88997740524924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21.88997740524924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-5.6843418860808015E-14</v>
      </c>
      <c r="GA145" s="18">
        <f>FZ145*VLOOKUP('Données projet'!$B$17,Paramètres!$A$1:$I$89,3,0)*VLOOKUP('Données projet'!$B$17,Paramètres!$A$1:$I$89,5,0)</f>
        <v>-4.5224624045658861E-14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248.15263300983543</v>
      </c>
      <c r="GF145" s="62">
        <f t="shared" si="158"/>
        <v>266.46511459244618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27.520283221576115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27.520283221576115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382.55387448074327</v>
      </c>
      <c r="T146" s="62">
        <f t="shared" si="142"/>
        <v>476.29465646955543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50.010993795260234</v>
      </c>
      <c r="AA146" s="23">
        <f>EXP(-LN(2)/25)*AA145+(1-EXP(-LN(2)/25))/(LN(2)/25)*Calculateur!V146*Calculateur!X146*VLOOKUP('Données projet'!$B$9,Paramètres!$A$1:$I$89,3,0)*0.475*44/12</f>
        <v>6.4510543936782501</v>
      </c>
      <c r="AB146" s="23">
        <f>EXP(-LN(2)/2)*AB145+(1-EXP(-LN(2)/2))/(LN(2)/2)*V146*Y146*VLOOKUP('Données projet'!$B$9,Paramètres!$A$1:$I$89,3,0)*0.475*44/12</f>
        <v>1.8110247418333641E-11</v>
      </c>
      <c r="AC146" s="24">
        <f t="shared" si="111"/>
        <v>56.462048188956594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-1.7053025658242404E-13</v>
      </c>
      <c r="AJ146" s="14">
        <f>AI146*VLOOKUP('Données projet'!$B$10,Paramètres!$A$1:$I$89,3,0)*VLOOKUP('Données projet'!$B$10,Paramètres!$A$1:$I$89,5,0)</f>
        <v>-1.064108801074326E-13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482.28841373508675</v>
      </c>
      <c r="AO146" s="62">
        <f t="shared" si="144"/>
        <v>746.97309214631684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93.506485748135987</v>
      </c>
      <c r="AV146" s="23">
        <f>EXP(-LN(2)/25)*AV145+(1-EXP(-LN(2)/25))/(LN(2)/25)*Calculateur!AQ146*Calculateur!AS146*VLOOKUP('Données projet'!$B$10,Paramètres!$A$1:$I$89,3,0)*0.475*44/12</f>
        <v>12.095999793921761</v>
      </c>
      <c r="AW146" s="23">
        <f>EXP(-LN(2)/2)*AW145+(1-EXP(-LN(2)/2))/(LN(2)/2)*AQ146*AT146*VLOOKUP('Données projet'!$B$10,Paramètres!$A$1:$I$89,3,0)*0.475*44/12</f>
        <v>6.7646321100203326E-9</v>
      </c>
      <c r="AX146" s="23">
        <f t="shared" si="114"/>
        <v>105.60248554882239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-1.7053025658242404E-13</v>
      </c>
      <c r="BE146" s="14">
        <f>BD146*VLOOKUP('Données projet'!$B$11,Paramètres!$A$1:$I$89,3,0)*VLOOKUP('Données projet'!$B$11,Paramètres!$A$1:$I$89,5,0)</f>
        <v>-9.3109520094003535E-14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417.99456559608217</v>
      </c>
      <c r="BJ146" s="62">
        <f t="shared" si="146"/>
        <v>651.41353014863932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81.818175029619042</v>
      </c>
      <c r="BQ146" s="23">
        <f>EXP(-LN(2)/25)*BQ145+(1-EXP(-LN(2)/25))/(LN(2)/25)*Calculateur!BL146*Calculateur!BN146*VLOOKUP('Données projet'!$B$11,Paramètres!$A$1:$I$89,3,0)*0.475*44/12</f>
        <v>10.709999817534889</v>
      </c>
      <c r="BR146" s="23">
        <f>EXP(-LN(2)/2)*BR145+(1-EXP(-LN(2)/2))/(LN(2)/2)*BL146*BO146*VLOOKUP('Données projet'!$B$11,Paramètres!$A$1:$I$89,3,0)*0.475*44/12</f>
        <v>5.8293704735970626E-9</v>
      </c>
      <c r="BS146" s="24">
        <f t="shared" si="117"/>
        <v>92.528174852983298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4.8666666666666663</v>
      </c>
      <c r="BY146" s="13">
        <f>IF('Données projet'!$A$114&gt;35,BY145+BX146-CG145,IF(A146&lt;'Données projet'!$A$114,$BV$205^A146,IF(A146='Données projet'!$A$114,'Données projet'!$B$114,BY145+BX146-CG145)))</f>
        <v>247.3333333333332</v>
      </c>
      <c r="BZ146" s="14">
        <f>BY146*VLOOKUP('Données projet'!$B$12,Paramètres!$A$1:$I$89,3,0)*VLOOKUP('Données projet'!$B$12,Paramètres!$A$1:$I$89,5,0)</f>
        <v>223.78719999999984</v>
      </c>
      <c r="CA146" s="14">
        <f t="shared" si="147"/>
        <v>54.937195482089805</v>
      </c>
      <c r="CB146" s="22">
        <f t="shared" si="118"/>
        <v>485.44498879797288</v>
      </c>
      <c r="CC146" s="62">
        <f t="shared" si="119"/>
        <v>778.77832213130614</v>
      </c>
      <c r="CD146" s="62">
        <f ca="1">AVERAGE(OFFSET($CC$3,0,0,'Données projet'!$E$12+1,1))-AVERAGE(OFFSET($H$3,0,0,'Données projet'!$E$12+1,1))</f>
        <v>213.07277043804817</v>
      </c>
      <c r="CE146" s="62">
        <f t="shared" si="148"/>
        <v>129.14539883354166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50.127973178027581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50.127973178027581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4.8666666666666663</v>
      </c>
      <c r="CT146" s="13">
        <f>IF('Données projet'!$A$140&gt;35,CT145+CS146-DB145,IF(A146&lt;'Données projet'!$A$140,$CQ$205^A146,IF(A146='Données projet'!$A$140,'Données projet'!$B$140,CT145+CS146-DB145)))</f>
        <v>247.3333333333332</v>
      </c>
      <c r="CU146" s="18">
        <f>CT146*VLOOKUP('Données projet'!$B$13,Paramètres!$A$1:$I$89,3,0)*VLOOKUP('Données projet'!$B$13,Paramètres!$A$1:$I$89,5,0)</f>
        <v>250.79599999999991</v>
      </c>
      <c r="CV146" s="14">
        <f t="shared" si="149"/>
        <v>60.756360723240782</v>
      </c>
      <c r="CW146" s="22">
        <f t="shared" si="121"/>
        <v>542.62036159297747</v>
      </c>
      <c r="CX146" s="62">
        <f t="shared" si="122"/>
        <v>835.95369492631085</v>
      </c>
      <c r="CY146" s="62">
        <f ca="1">AVERAGE(OFFSET($CX$3,0,0,'Données projet'!$E$13+1,1))-AVERAGE(OFFSET($H$3,0,0,'Données projet'!$E$13+1,1))</f>
        <v>247.92503505485405</v>
      </c>
      <c r="CZ146" s="62">
        <f t="shared" si="150"/>
        <v>148.26437652597514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56.177900975375735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56.177900975375735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3.1428571428571428</v>
      </c>
      <c r="DO146" s="13">
        <f>IF('Données projet'!$A$166&gt;35,DO145+DN146-DW145,IF(A146&lt;'Données projet'!$A$166,$DL$205^A146,IF(A146='Données projet'!$A$166,'Données projet'!$B$166,DO145+DN146-DW145)))</f>
        <v>173.28571428571456</v>
      </c>
      <c r="DP146" s="18">
        <f>DO146*VLOOKUP('Données projet'!$B$14,Paramètres!$A$1:$I$89,3,0)*VLOOKUP('Données projet'!$B$14,Paramètres!$A$1:$I$89,5,0)</f>
        <v>167.60194285714314</v>
      </c>
      <c r="DQ146" s="14">
        <f t="shared" si="151"/>
        <v>42.552495289058847</v>
      </c>
      <c r="DR146" s="22">
        <f t="shared" si="124"/>
        <v>366.01897977130176</v>
      </c>
      <c r="DS146" s="62">
        <f t="shared" si="125"/>
        <v>659.35231310463507</v>
      </c>
      <c r="DT146" s="62">
        <f ca="1">AVERAGE(OFFSET($DS$3,0,0,'Données projet'!$E$14+1,1))-AVERAGE(OFFSET($H$3,0,0,'Données projet'!$E$14+1,1))</f>
        <v>154.0837760161366</v>
      </c>
      <c r="DU146" s="62">
        <f t="shared" si="152"/>
        <v>96.484500841546037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27.796043381470817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27.796043381470817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-5.6843418860808015E-14</v>
      </c>
      <c r="EK146" s="18">
        <f>EJ146*VLOOKUP('Données projet'!$B$15,Paramètres!$A$1:$I$89,3,0)*VLOOKUP('Données projet'!$B$15,Paramètres!$A$1:$I$89,5,0)</f>
        <v>-3.813056537183002E-14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205.35893113421139</v>
      </c>
      <c r="EP146" s="62">
        <f t="shared" si="154"/>
        <v>220.4399811285175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22.748371997894164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22.748371997894164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-5.6843418860808015E-14</v>
      </c>
      <c r="FF146" s="18">
        <f>FE146*VLOOKUP('Données projet'!$B$16,Paramètres!$A$1:$I$89,3,0)*VLOOKUP('Données projet'!$B$16,Paramètres!$A$1:$I$89,5,0)</f>
        <v>-4.4337866711430253E-14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242.81177364426878</v>
      </c>
      <c r="FK146" s="62">
        <f t="shared" si="156"/>
        <v>260.72115764896671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21.460728299900161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21.460728299900161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-5.6843418860808015E-14</v>
      </c>
      <c r="GA146" s="18">
        <f>FZ146*VLOOKUP('Données projet'!$B$17,Paramètres!$A$1:$I$89,3,0)*VLOOKUP('Données projet'!$B$17,Paramètres!$A$1:$I$89,5,0)</f>
        <v>-4.5224624045658861E-14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248.15263300983543</v>
      </c>
      <c r="GF146" s="62">
        <f t="shared" si="158"/>
        <v>266.46511459244618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26.980627253316321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26.980627253316321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382.55387448074327</v>
      </c>
      <c r="T147" s="62">
        <f t="shared" si="142"/>
        <v>476.29465646955543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49.030308710629406</v>
      </c>
      <c r="AA147" s="23">
        <f>EXP(-LN(2)/25)*AA146+(1-EXP(-LN(2)/25))/(LN(2)/25)*Calculateur!V147*Calculateur!X147*VLOOKUP('Données projet'!$B$9,Paramètres!$A$1:$I$89,3,0)*0.475*44/12</f>
        <v>6.2746499720369115</v>
      </c>
      <c r="AB147" s="23">
        <f>EXP(-LN(2)/2)*AB146+(1-EXP(-LN(2)/2))/(LN(2)/2)*V147*Y147*VLOOKUP('Données projet'!$B$9,Paramètres!$A$1:$I$89,3,0)*0.475*44/12</f>
        <v>1.2805878758469883E-11</v>
      </c>
      <c r="AC147" s="24">
        <f t="shared" si="111"/>
        <v>55.304958682679121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-1.7053025658242404E-13</v>
      </c>
      <c r="AJ147" s="14">
        <f>AI147*VLOOKUP('Données projet'!$B$10,Paramètres!$A$1:$I$89,3,0)*VLOOKUP('Données projet'!$B$10,Paramètres!$A$1:$I$89,5,0)</f>
        <v>-1.064108801074326E-13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482.28841373508675</v>
      </c>
      <c r="AO147" s="62">
        <f t="shared" si="144"/>
        <v>746.97309214631684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91.672880595939773</v>
      </c>
      <c r="AV147" s="23">
        <f>EXP(-LN(2)/25)*AV146+(1-EXP(-LN(2)/25))/(LN(2)/25)*Calculateur!AQ147*Calculateur!AS147*VLOOKUP('Données projet'!$B$10,Paramètres!$A$1:$I$89,3,0)*0.475*44/12</f>
        <v>11.765234043455987</v>
      </c>
      <c r="AW147" s="23">
        <f>EXP(-LN(2)/2)*AW146+(1-EXP(-LN(2)/2))/(LN(2)/2)*AQ147*AT147*VLOOKUP('Données projet'!$B$10,Paramètres!$A$1:$I$89,3,0)*0.475*44/12</f>
        <v>4.7833172372276406E-9</v>
      </c>
      <c r="AX147" s="23">
        <f t="shared" si="114"/>
        <v>103.43811464417908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-1.7053025658242404E-13</v>
      </c>
      <c r="BE147" s="14">
        <f>BD147*VLOOKUP('Données projet'!$B$11,Paramètres!$A$1:$I$89,3,0)*VLOOKUP('Données projet'!$B$11,Paramètres!$A$1:$I$89,5,0)</f>
        <v>-9.3109520094003535E-14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417.99456559608217</v>
      </c>
      <c r="BJ147" s="62">
        <f t="shared" si="146"/>
        <v>651.41353014863932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80.213770521447358</v>
      </c>
      <c r="BQ147" s="23">
        <f>EXP(-LN(2)/25)*BQ146+(1-EXP(-LN(2)/25))/(LN(2)/25)*Calculateur!BL147*Calculateur!BN147*VLOOKUP('Données projet'!$B$11,Paramètres!$A$1:$I$89,3,0)*0.475*44/12</f>
        <v>10.417134309309985</v>
      </c>
      <c r="BR147" s="23">
        <f>EXP(-LN(2)/2)*BR146+(1-EXP(-LN(2)/2))/(LN(2)/2)*BL147*BO147*VLOOKUP('Données projet'!$B$11,Paramètres!$A$1:$I$89,3,0)*0.475*44/12</f>
        <v>4.1219873919291191E-9</v>
      </c>
      <c r="BS147" s="24">
        <f t="shared" si="117"/>
        <v>90.630904834879331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4.8666666666666663</v>
      </c>
      <c r="BY147" s="13">
        <f>IF('Données projet'!$A$114&gt;35,BY146+BX147-CG146,IF(A147&lt;'Données projet'!$A$114,$BV$205^A147,IF(A147='Données projet'!$A$114,'Données projet'!$B$114,BY146+BX147-CG146)))</f>
        <v>252.19999999999987</v>
      </c>
      <c r="BZ147" s="14">
        <f>BY147*VLOOKUP('Données projet'!$B$12,Paramètres!$A$1:$I$89,3,0)*VLOOKUP('Données projet'!$B$12,Paramètres!$A$1:$I$89,5,0)</f>
        <v>228.19055999999989</v>
      </c>
      <c r="CA147" s="14">
        <f t="shared" si="147"/>
        <v>55.89125863442456</v>
      </c>
      <c r="CB147" s="22">
        <f t="shared" si="118"/>
        <v>494.77583412162261</v>
      </c>
      <c r="CC147" s="62">
        <f t="shared" si="119"/>
        <v>788.10916745495592</v>
      </c>
      <c r="CD147" s="62">
        <f ca="1">AVERAGE(OFFSET($CC$3,0,0,'Données projet'!$E$12+1,1))-AVERAGE(OFFSET($H$3,0,0,'Données projet'!$E$12+1,1))</f>
        <v>213.07277043804817</v>
      </c>
      <c r="CE147" s="62">
        <f t="shared" si="148"/>
        <v>129.14539883354166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49.144994199051062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49.144994199051062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4.8666666666666663</v>
      </c>
      <c r="CT147" s="13">
        <f>IF('Données projet'!$A$140&gt;35,CT146+CS147-DB146,IF(A147&lt;'Données projet'!$A$140,$CQ$205^A147,IF(A147='Données projet'!$A$140,'Données projet'!$B$140,CT146+CS147-DB146)))</f>
        <v>252.19999999999987</v>
      </c>
      <c r="CU147" s="18">
        <f>CT147*VLOOKUP('Données projet'!$B$13,Paramètres!$A$1:$I$89,3,0)*VLOOKUP('Données projet'!$B$13,Paramètres!$A$1:$I$89,5,0)</f>
        <v>255.73079999999987</v>
      </c>
      <c r="CV147" s="14">
        <f t="shared" si="149"/>
        <v>61.811482021795229</v>
      </c>
      <c r="CW147" s="22">
        <f t="shared" si="121"/>
        <v>553.05280785462651</v>
      </c>
      <c r="CX147" s="62">
        <f t="shared" si="122"/>
        <v>846.38614118795977</v>
      </c>
      <c r="CY147" s="62">
        <f ca="1">AVERAGE(OFFSET($CX$3,0,0,'Données projet'!$E$13+1,1))-AVERAGE(OFFSET($H$3,0,0,'Données projet'!$E$13+1,1))</f>
        <v>247.92503505485405</v>
      </c>
      <c r="CZ147" s="62">
        <f t="shared" si="150"/>
        <v>148.26437652597514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55.076286602384812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55.076286602384812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3.1428571428571428</v>
      </c>
      <c r="DO147" s="13">
        <f>IF('Données projet'!$A$166&gt;35,DO146+DN147-DW146,IF(A147&lt;'Données projet'!$A$166,$DL$205^A147,IF(A147='Données projet'!$A$166,'Données projet'!$B$166,DO146+DN147-DW146)))</f>
        <v>176.4285714285717</v>
      </c>
      <c r="DP147" s="18">
        <f>DO147*VLOOKUP('Données projet'!$B$14,Paramètres!$A$1:$I$89,3,0)*VLOOKUP('Données projet'!$B$14,Paramètres!$A$1:$I$89,5,0)</f>
        <v>170.64171428571456</v>
      </c>
      <c r="DQ147" s="14">
        <f t="shared" si="151"/>
        <v>43.23371470770855</v>
      </c>
      <c r="DR147" s="22">
        <f t="shared" si="124"/>
        <v>372.49970549687851</v>
      </c>
      <c r="DS147" s="62">
        <f t="shared" si="125"/>
        <v>665.83303883021176</v>
      </c>
      <c r="DT147" s="62">
        <f ca="1">AVERAGE(OFFSET($DS$3,0,0,'Données projet'!$E$14+1,1))-AVERAGE(OFFSET($H$3,0,0,'Données projet'!$E$14+1,1))</f>
        <v>154.0837760161366</v>
      </c>
      <c r="DU147" s="62">
        <f t="shared" si="152"/>
        <v>96.484500841546037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27.250979924672578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27.250979924672578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-5.6843418860808015E-14</v>
      </c>
      <c r="EK147" s="18">
        <f>EJ147*VLOOKUP('Données projet'!$B$15,Paramètres!$A$1:$I$89,3,0)*VLOOKUP('Données projet'!$B$15,Paramètres!$A$1:$I$89,5,0)</f>
        <v>-3.813056537183002E-14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205.35893113421139</v>
      </c>
      <c r="EP147" s="62">
        <f t="shared" si="154"/>
        <v>220.4399811285175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22.302290298152322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22.302290298152322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-5.6843418860808015E-14</v>
      </c>
      <c r="FF147" s="18">
        <f>FE147*VLOOKUP('Données projet'!$B$16,Paramètres!$A$1:$I$89,3,0)*VLOOKUP('Données projet'!$B$16,Paramètres!$A$1:$I$89,5,0)</f>
        <v>-4.4337866711430253E-14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242.81177364426878</v>
      </c>
      <c r="FK147" s="62">
        <f t="shared" si="156"/>
        <v>260.72115764896671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21.039896507690877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21.039896507690877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-5.6843418860808015E-14</v>
      </c>
      <c r="GA147" s="18">
        <f>FZ147*VLOOKUP('Données projet'!$B$17,Paramètres!$A$1:$I$89,3,0)*VLOOKUP('Données projet'!$B$17,Paramètres!$A$1:$I$89,5,0)</f>
        <v>-4.5224624045658861E-14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248.15263300983543</v>
      </c>
      <c r="GF147" s="62">
        <f t="shared" si="158"/>
        <v>266.46511459244618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26.451553609436463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26.451553609436463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382.55387448074327</v>
      </c>
      <c r="T148" s="62">
        <f t="shared" si="142"/>
        <v>476.29465646955543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48.068854262349348</v>
      </c>
      <c r="AA148" s="23">
        <f>EXP(-LN(2)/25)*AA147+(1-EXP(-LN(2)/25))/(LN(2)/25)*Calculateur!V148*Calculateur!X148*VLOOKUP('Données projet'!$B$9,Paramètres!$A$1:$I$89,3,0)*0.475*44/12</f>
        <v>6.1030693385820607</v>
      </c>
      <c r="AB148" s="23">
        <f>EXP(-LN(2)/2)*AB147+(1-EXP(-LN(2)/2))/(LN(2)/2)*V148*Y148*VLOOKUP('Données projet'!$B$9,Paramètres!$A$1:$I$89,3,0)*0.475*44/12</f>
        <v>9.0551237091668204E-12</v>
      </c>
      <c r="AC148" s="24">
        <f t="shared" si="111"/>
        <v>54.17192360094046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-1.7053025658242404E-13</v>
      </c>
      <c r="AJ148" s="14">
        <f>AI148*VLOOKUP('Données projet'!$B$10,Paramètres!$A$1:$I$89,3,0)*VLOOKUP('Données projet'!$B$10,Paramètres!$A$1:$I$89,5,0)</f>
        <v>-1.064108801074326E-13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482.28841373508675</v>
      </c>
      <c r="AO148" s="62">
        <f t="shared" si="144"/>
        <v>746.97309214631684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89.875231322389411</v>
      </c>
      <c r="AV148" s="23">
        <f>EXP(-LN(2)/25)*AV147+(1-EXP(-LN(2)/25))/(LN(2)/25)*Calculateur!AQ148*Calculateur!AS148*VLOOKUP('Données projet'!$B$10,Paramètres!$A$1:$I$89,3,0)*0.475*44/12</f>
        <v>11.443513099830914</v>
      </c>
      <c r="AW148" s="23">
        <f>EXP(-LN(2)/2)*AW147+(1-EXP(-LN(2)/2))/(LN(2)/2)*AQ148*AT148*VLOOKUP('Données projet'!$B$10,Paramètres!$A$1:$I$89,3,0)*0.475*44/12</f>
        <v>3.3823160550101663E-9</v>
      </c>
      <c r="AX148" s="23">
        <f t="shared" si="114"/>
        <v>101.31874442560263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-1.7053025658242404E-13</v>
      </c>
      <c r="BE148" s="14">
        <f>BD148*VLOOKUP('Données projet'!$B$11,Paramètres!$A$1:$I$89,3,0)*VLOOKUP('Données projet'!$B$11,Paramètres!$A$1:$I$89,5,0)</f>
        <v>-9.3109520094003535E-14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417.99456559608217</v>
      </c>
      <c r="BJ148" s="62">
        <f t="shared" si="146"/>
        <v>651.41353014863932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78.640827407090796</v>
      </c>
      <c r="BQ148" s="23">
        <f>EXP(-LN(2)/25)*BQ147+(1-EXP(-LN(2)/25))/(LN(2)/25)*Calculateur!BL148*Calculateur!BN148*VLOOKUP('Données projet'!$B$11,Paramètres!$A$1:$I$89,3,0)*0.475*44/12</f>
        <v>10.132277223808618</v>
      </c>
      <c r="BR148" s="23">
        <f>EXP(-LN(2)/2)*BR147+(1-EXP(-LN(2)/2))/(LN(2)/2)*BL148*BO148*VLOOKUP('Données projet'!$B$11,Paramètres!$A$1:$I$89,3,0)*0.475*44/12</f>
        <v>2.9146852367985313E-9</v>
      </c>
      <c r="BS148" s="24">
        <f t="shared" si="117"/>
        <v>88.7731046338141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4.8666666666666663</v>
      </c>
      <c r="BY148" s="13">
        <f>IF('Données projet'!$A$114&gt;35,BY147+BX148-CG147,IF(A148&lt;'Données projet'!$A$114,$BV$205^A148,IF(A148='Données projet'!$A$114,'Données projet'!$B$114,BY147+BX148-CG147)))</f>
        <v>257.06666666666655</v>
      </c>
      <c r="BZ148" s="14">
        <f>BY148*VLOOKUP('Données projet'!$B$12,Paramètres!$A$1:$I$89,3,0)*VLOOKUP('Données projet'!$B$12,Paramètres!$A$1:$I$89,5,0)</f>
        <v>232.59391999999988</v>
      </c>
      <c r="CA148" s="14">
        <f t="shared" si="147"/>
        <v>56.843181078619992</v>
      </c>
      <c r="CB148" s="22">
        <f t="shared" si="118"/>
        <v>504.10295104526296</v>
      </c>
      <c r="CC148" s="62">
        <f t="shared" si="119"/>
        <v>797.43628437859627</v>
      </c>
      <c r="CD148" s="62">
        <f ca="1">AVERAGE(OFFSET($CC$3,0,0,'Données projet'!$E$12+1,1))-AVERAGE(OFFSET($H$3,0,0,'Données projet'!$E$12+1,1))</f>
        <v>213.07277043804817</v>
      </c>
      <c r="CE148" s="62">
        <f t="shared" si="148"/>
        <v>129.14539883354166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48.181290838294302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48.181290838294302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4.8666666666666663</v>
      </c>
      <c r="CT148" s="13">
        <f>IF('Données projet'!$A$140&gt;35,CT147+CS148-DB147,IF(A148&lt;'Données projet'!$A$140,$CQ$205^A148,IF(A148='Données projet'!$A$140,'Données projet'!$B$140,CT147+CS148-DB147)))</f>
        <v>257.06666666666655</v>
      </c>
      <c r="CU148" s="18">
        <f>CT148*VLOOKUP('Données projet'!$B$13,Paramètres!$A$1:$I$89,3,0)*VLOOKUP('Données projet'!$B$13,Paramètres!$A$1:$I$89,5,0)</f>
        <v>260.66559999999993</v>
      </c>
      <c r="CV148" s="14">
        <f t="shared" si="149"/>
        <v>62.864235859929153</v>
      </c>
      <c r="CW148" s="22">
        <f t="shared" si="121"/>
        <v>563.48113078937661</v>
      </c>
      <c r="CX148" s="62">
        <f t="shared" si="122"/>
        <v>856.81446412270998</v>
      </c>
      <c r="CY148" s="62">
        <f ca="1">AVERAGE(OFFSET($CX$3,0,0,'Données projet'!$E$13+1,1))-AVERAGE(OFFSET($H$3,0,0,'Données projet'!$E$13+1,1))</f>
        <v>247.92503505485405</v>
      </c>
      <c r="CZ148" s="62">
        <f t="shared" si="150"/>
        <v>148.26437652597514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53.996274215329819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53.996274215329819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3.1428571428571428</v>
      </c>
      <c r="DO148" s="13">
        <f>IF('Données projet'!$A$166&gt;35,DO147+DN148-DW147,IF(A148&lt;'Données projet'!$A$166,$DL$205^A148,IF(A148='Données projet'!$A$166,'Données projet'!$B$166,DO147+DN148-DW147)))</f>
        <v>179.57142857142884</v>
      </c>
      <c r="DP148" s="18">
        <f>DO148*VLOOKUP('Données projet'!$B$14,Paramètres!$A$1:$I$89,3,0)*VLOOKUP('Données projet'!$B$14,Paramètres!$A$1:$I$89,5,0)</f>
        <v>173.681485714286</v>
      </c>
      <c r="DQ148" s="14">
        <f t="shared" si="151"/>
        <v>43.913522987262155</v>
      </c>
      <c r="DR148" s="22">
        <f t="shared" si="124"/>
        <v>378.97797348852964</v>
      </c>
      <c r="DS148" s="62">
        <f t="shared" si="125"/>
        <v>672.3113068218629</v>
      </c>
      <c r="DT148" s="62">
        <f ca="1">AVERAGE(OFFSET($DS$3,0,0,'Données projet'!$E$14+1,1))-AVERAGE(OFFSET($H$3,0,0,'Données projet'!$E$14+1,1))</f>
        <v>154.0837760161366</v>
      </c>
      <c r="DU148" s="62">
        <f t="shared" si="152"/>
        <v>96.484500841546037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26.716604829806268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26.716604829806268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-5.6843418860808015E-14</v>
      </c>
      <c r="EK148" s="18">
        <f>EJ148*VLOOKUP('Données projet'!$B$15,Paramètres!$A$1:$I$89,3,0)*VLOOKUP('Données projet'!$B$15,Paramètres!$A$1:$I$89,5,0)</f>
        <v>-3.813056537183002E-14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205.35893113421139</v>
      </c>
      <c r="EP148" s="62">
        <f t="shared" si="154"/>
        <v>220.4399811285175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21.864955988459446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21.864955988459446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-5.6843418860808015E-14</v>
      </c>
      <c r="FF148" s="18">
        <f>FE148*VLOOKUP('Données projet'!$B$16,Paramètres!$A$1:$I$89,3,0)*VLOOKUP('Données projet'!$B$16,Paramètres!$A$1:$I$89,5,0)</f>
        <v>-4.4337866711430253E-14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242.81177364426878</v>
      </c>
      <c r="FK148" s="62">
        <f t="shared" si="156"/>
        <v>260.72115764896671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20.627316970244767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20.627316970244767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-5.6843418860808015E-14</v>
      </c>
      <c r="GA148" s="18">
        <f>FZ148*VLOOKUP('Données projet'!$B$17,Paramètres!$A$1:$I$89,3,0)*VLOOKUP('Données projet'!$B$17,Paramètres!$A$1:$I$89,5,0)</f>
        <v>-4.5224624045658861E-14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248.15263300983543</v>
      </c>
      <c r="GF148" s="62">
        <f t="shared" si="158"/>
        <v>266.46511459244618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25.932854777010029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25.932854777010029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382.55387448074327</v>
      </c>
      <c r="T149" s="62">
        <f t="shared" si="142"/>
        <v>476.29465646955543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47.126253349370756</v>
      </c>
      <c r="AA149" s="23">
        <f>EXP(-LN(2)/25)*AA148+(1-EXP(-LN(2)/25))/(LN(2)/25)*Calculateur!V149*Calculateur!X149*VLOOKUP('Données projet'!$B$9,Paramètres!$A$1:$I$89,3,0)*0.475*44/12</f>
        <v>5.9361805865720667</v>
      </c>
      <c r="AB149" s="23">
        <f>EXP(-LN(2)/2)*AB148+(1-EXP(-LN(2)/2))/(LN(2)/2)*V149*Y149*VLOOKUP('Données projet'!$B$9,Paramètres!$A$1:$I$89,3,0)*0.475*44/12</f>
        <v>6.4029393792349416E-12</v>
      </c>
      <c r="AC149" s="24">
        <f t="shared" si="111"/>
        <v>53.062433935949223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-1.7053025658242404E-13</v>
      </c>
      <c r="AJ149" s="14">
        <f>AI149*VLOOKUP('Données projet'!$B$10,Paramètres!$A$1:$I$89,3,0)*VLOOKUP('Données projet'!$B$10,Paramètres!$A$1:$I$89,5,0)</f>
        <v>-1.064108801074326E-13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482.28841373508675</v>
      </c>
      <c r="AO149" s="62">
        <f t="shared" si="144"/>
        <v>746.97309214631684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88.112832854635585</v>
      </c>
      <c r="AV149" s="23">
        <f>EXP(-LN(2)/25)*AV148+(1-EXP(-LN(2)/25))/(LN(2)/25)*Calculateur!AQ149*Calculateur!AS149*VLOOKUP('Données projet'!$B$10,Paramètres!$A$1:$I$89,3,0)*0.475*44/12</f>
        <v>11.130589632327839</v>
      </c>
      <c r="AW149" s="23">
        <f>EXP(-LN(2)/2)*AW148+(1-EXP(-LN(2)/2))/(LN(2)/2)*AQ149*AT149*VLOOKUP('Données projet'!$B$10,Paramètres!$A$1:$I$89,3,0)*0.475*44/12</f>
        <v>2.3916586186138203E-9</v>
      </c>
      <c r="AX149" s="23">
        <f t="shared" si="114"/>
        <v>99.243422489355083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-1.7053025658242404E-13</v>
      </c>
      <c r="BE149" s="14">
        <f>BD149*VLOOKUP('Données projet'!$B$11,Paramètres!$A$1:$I$89,3,0)*VLOOKUP('Données projet'!$B$11,Paramètres!$A$1:$I$89,5,0)</f>
        <v>-9.3109520094003535E-14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417.99456559608217</v>
      </c>
      <c r="BJ149" s="62">
        <f t="shared" si="146"/>
        <v>651.41353014863932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77.098728747806192</v>
      </c>
      <c r="BQ149" s="23">
        <f>EXP(-LN(2)/25)*BQ148+(1-EXP(-LN(2)/25))/(LN(2)/25)*Calculateur!BL149*Calculateur!BN149*VLOOKUP('Données projet'!$B$11,Paramètres!$A$1:$I$89,3,0)*0.475*44/12</f>
        <v>9.8552095702902704</v>
      </c>
      <c r="BR149" s="23">
        <f>EXP(-LN(2)/2)*BR148+(1-EXP(-LN(2)/2))/(LN(2)/2)*BL149*BO149*VLOOKUP('Données projet'!$B$11,Paramètres!$A$1:$I$89,3,0)*0.475*44/12</f>
        <v>2.0609936959645595E-9</v>
      </c>
      <c r="BS149" s="24">
        <f t="shared" si="117"/>
        <v>86.953938320157462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4.8666666666666663</v>
      </c>
      <c r="BY149" s="13">
        <f>IF('Données projet'!$A$114&gt;35,BY148+BX149-CG148,IF(A149&lt;'Données projet'!$A$114,$BV$205^A149,IF(A149='Données projet'!$A$114,'Données projet'!$B$114,BY148+BX149-CG148)))</f>
        <v>261.93333333333322</v>
      </c>
      <c r="BZ149" s="14">
        <f>BY149*VLOOKUP('Données projet'!$B$12,Paramètres!$A$1:$I$89,3,0)*VLOOKUP('Données projet'!$B$12,Paramètres!$A$1:$I$89,5,0)</f>
        <v>236.99727999999988</v>
      </c>
      <c r="CA149" s="14">
        <f t="shared" si="147"/>
        <v>57.793008014530116</v>
      </c>
      <c r="CB149" s="22">
        <f t="shared" si="118"/>
        <v>513.42641829197305</v>
      </c>
      <c r="CC149" s="62">
        <f t="shared" si="119"/>
        <v>806.75975162530631</v>
      </c>
      <c r="CD149" s="62">
        <f ca="1">AVERAGE(OFFSET($CC$3,0,0,'Données projet'!$E$12+1,1))-AVERAGE(OFFSET($H$3,0,0,'Données projet'!$E$12+1,1))</f>
        <v>213.07277043804817</v>
      </c>
      <c r="CE149" s="62">
        <f t="shared" si="148"/>
        <v>129.14539883354166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47.23648511264097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47.23648511264097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4.8666666666666663</v>
      </c>
      <c r="CT149" s="13">
        <f>IF('Données projet'!$A$140&gt;35,CT148+CS149-DB148,IF(A149&lt;'Données projet'!$A$140,$CQ$205^A149,IF(A149='Données projet'!$A$140,'Données projet'!$B$140,CT148+CS149-DB148)))</f>
        <v>261.93333333333322</v>
      </c>
      <c r="CU149" s="18">
        <f>CT149*VLOOKUP('Données projet'!$B$13,Paramètres!$A$1:$I$89,3,0)*VLOOKUP('Données projet'!$B$13,Paramètres!$A$1:$I$89,5,0)</f>
        <v>265.60039999999992</v>
      </c>
      <c r="CV149" s="14">
        <f t="shared" si="149"/>
        <v>63.914672225244153</v>
      </c>
      <c r="CW149" s="22">
        <f t="shared" si="121"/>
        <v>573.90541745896667</v>
      </c>
      <c r="CX149" s="62">
        <f t="shared" si="122"/>
        <v>867.23875079229992</v>
      </c>
      <c r="CY149" s="62">
        <f ca="1">AVERAGE(OFFSET($CX$3,0,0,'Données projet'!$E$13+1,1))-AVERAGE(OFFSET($H$3,0,0,'Données projet'!$E$13+1,1))</f>
        <v>247.92503505485405</v>
      </c>
      <c r="CZ149" s="62">
        <f t="shared" si="150"/>
        <v>148.26437652597514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52.937440212442461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52.937440212442461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3.1428571428571428</v>
      </c>
      <c r="DO149" s="13">
        <f>IF('Données projet'!$A$166&gt;35,DO148+DN149-DW148,IF(A149&lt;'Données projet'!$A$166,$DL$205^A149,IF(A149='Données projet'!$A$166,'Données projet'!$B$166,DO148+DN149-DW148)))</f>
        <v>182.71428571428598</v>
      </c>
      <c r="DP149" s="18">
        <f>DO149*VLOOKUP('Données projet'!$B$14,Paramètres!$A$1:$I$89,3,0)*VLOOKUP('Données projet'!$B$14,Paramètres!$A$1:$I$89,5,0)</f>
        <v>176.72125714285741</v>
      </c>
      <c r="DQ149" s="14">
        <f t="shared" si="151"/>
        <v>44.591947675045603</v>
      </c>
      <c r="DR149" s="22">
        <f t="shared" si="124"/>
        <v>385.45383172451437</v>
      </c>
      <c r="DS149" s="62">
        <f t="shared" si="125"/>
        <v>678.78716505784769</v>
      </c>
      <c r="DT149" s="62">
        <f ca="1">AVERAGE(OFFSET($DS$3,0,0,'Données projet'!$E$14+1,1))-AVERAGE(OFFSET($H$3,0,0,'Données projet'!$E$14+1,1))</f>
        <v>154.0837760161366</v>
      </c>
      <c r="DU149" s="62">
        <f t="shared" si="152"/>
        <v>96.484500841546037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26.192708504613666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26.192708504613666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-5.6843418860808015E-14</v>
      </c>
      <c r="EK149" s="18">
        <f>EJ149*VLOOKUP('Données projet'!$B$15,Paramètres!$A$1:$I$89,3,0)*VLOOKUP('Données projet'!$B$15,Paramètres!$A$1:$I$89,5,0)</f>
        <v>-3.813056537183002E-14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205.35893113421139</v>
      </c>
      <c r="EP149" s="62">
        <f t="shared" si="154"/>
        <v>220.4399811285175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21.436197537832058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21.436197537832058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-5.6843418860808015E-14</v>
      </c>
      <c r="FF149" s="18">
        <f>FE149*VLOOKUP('Données projet'!$B$16,Paramètres!$A$1:$I$89,3,0)*VLOOKUP('Données projet'!$B$16,Paramètres!$A$1:$I$89,5,0)</f>
        <v>-4.4337866711430253E-14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242.81177364426878</v>
      </c>
      <c r="FK149" s="62">
        <f t="shared" si="156"/>
        <v>260.72115764896671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20.222827865879307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20.222827865879307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-5.6843418860808015E-14</v>
      </c>
      <c r="GA149" s="18">
        <f>FZ149*VLOOKUP('Données projet'!$B$17,Paramètres!$A$1:$I$89,3,0)*VLOOKUP('Données projet'!$B$17,Paramètres!$A$1:$I$89,5,0)</f>
        <v>-4.5224624045658861E-14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248.15263300983543</v>
      </c>
      <c r="GF149" s="62">
        <f t="shared" si="158"/>
        <v>266.46511459244618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25.424327312312428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25.424327312312428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382.55387448074327</v>
      </c>
      <c r="T150" s="62">
        <f t="shared" si="142"/>
        <v>476.29465646955543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46.202136265365887</v>
      </c>
      <c r="AA150" s="23">
        <f>EXP(-LN(2)/25)*AA149+(1-EXP(-LN(2)/25))/(LN(2)/25)*Calculateur!V150*Calculateur!X150*VLOOKUP('Données projet'!$B$9,Paramètres!$A$1:$I$89,3,0)*0.475*44/12</f>
        <v>5.7738554162620837</v>
      </c>
      <c r="AB150" s="23">
        <f>EXP(-LN(2)/2)*AB149+(1-EXP(-LN(2)/2))/(LN(2)/2)*V150*Y150*VLOOKUP('Données projet'!$B$9,Paramètres!$A$1:$I$89,3,0)*0.475*44/12</f>
        <v>4.5275618545834102E-12</v>
      </c>
      <c r="AC150" s="24">
        <f t="shared" si="111"/>
        <v>51.9759916816325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-1.7053025658242404E-13</v>
      </c>
      <c r="AJ150" s="14">
        <f>AI150*VLOOKUP('Données projet'!$B$10,Paramètres!$A$1:$I$89,3,0)*VLOOKUP('Données projet'!$B$10,Paramètres!$A$1:$I$89,5,0)</f>
        <v>-1.064108801074326E-13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482.28841373508675</v>
      </c>
      <c r="AO150" s="62">
        <f t="shared" si="144"/>
        <v>746.97309214631684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86.384993945877497</v>
      </c>
      <c r="AV150" s="23">
        <f>EXP(-LN(2)/25)*AV149+(1-EXP(-LN(2)/25))/(LN(2)/25)*Calculateur!AQ150*Calculateur!AS150*VLOOKUP('Données projet'!$B$10,Paramètres!$A$1:$I$89,3,0)*0.475*44/12</f>
        <v>10.826223073499564</v>
      </c>
      <c r="AW150" s="23">
        <f>EXP(-LN(2)/2)*AW149+(1-EXP(-LN(2)/2))/(LN(2)/2)*AQ150*AT150*VLOOKUP('Données projet'!$B$10,Paramètres!$A$1:$I$89,3,0)*0.475*44/12</f>
        <v>1.6911580275050832E-9</v>
      </c>
      <c r="AX150" s="23">
        <f t="shared" si="114"/>
        <v>97.211217021068222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-1.7053025658242404E-13</v>
      </c>
      <c r="BE150" s="14">
        <f>BD150*VLOOKUP('Données projet'!$B$11,Paramètres!$A$1:$I$89,3,0)*VLOOKUP('Données projet'!$B$11,Paramètres!$A$1:$I$89,5,0)</f>
        <v>-9.3109520094003535E-14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417.99456559608217</v>
      </c>
      <c r="BJ150" s="62">
        <f t="shared" si="146"/>
        <v>651.41353014863932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75.586869702642858</v>
      </c>
      <c r="BQ150" s="23">
        <f>EXP(-LN(2)/25)*BQ149+(1-EXP(-LN(2)/25))/(LN(2)/25)*Calculateur!BL150*Calculateur!BN150*VLOOKUP('Données projet'!$B$11,Paramètres!$A$1:$I$89,3,0)*0.475*44/12</f>
        <v>9.5857183463277362</v>
      </c>
      <c r="BR150" s="23">
        <f>EXP(-LN(2)/2)*BR149+(1-EXP(-LN(2)/2))/(LN(2)/2)*BL150*BO150*VLOOKUP('Données projet'!$B$11,Paramètres!$A$1:$I$89,3,0)*0.475*44/12</f>
        <v>1.4573426183992657E-9</v>
      </c>
      <c r="BS150" s="24">
        <f t="shared" si="117"/>
        <v>85.172588050427933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4.8666666666666663</v>
      </c>
      <c r="BY150" s="13">
        <f>IF('Données projet'!$A$114&gt;35,BY149+BX150-CG149,IF(A150&lt;'Données projet'!$A$114,$BV$205^A150,IF(A150='Données projet'!$A$114,'Données projet'!$B$114,BY149+BX150-CG149)))</f>
        <v>266.7999999999999</v>
      </c>
      <c r="BZ150" s="14">
        <f>BY150*VLOOKUP('Données projet'!$B$12,Paramètres!$A$1:$I$89,3,0)*VLOOKUP('Données projet'!$B$12,Paramètres!$A$1:$I$89,5,0)</f>
        <v>241.40063999999992</v>
      </c>
      <c r="CA150" s="14">
        <f t="shared" si="147"/>
        <v>58.740782866262698</v>
      </c>
      <c r="CB150" s="22">
        <f t="shared" si="118"/>
        <v>522.74631149207403</v>
      </c>
      <c r="CC150" s="62">
        <f t="shared" si="119"/>
        <v>816.07964482540729</v>
      </c>
      <c r="CD150" s="62">
        <f ca="1">AVERAGE(OFFSET($CC$3,0,0,'Données projet'!$E$12+1,1))-AVERAGE(OFFSET($H$3,0,0,'Données projet'!$E$12+1,1))</f>
        <v>213.07277043804817</v>
      </c>
      <c r="CE150" s="62">
        <f t="shared" si="148"/>
        <v>129.14539883354166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46.310206450993107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46.310206450993107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4.8666666666666663</v>
      </c>
      <c r="CT150" s="13">
        <f>IF('Données projet'!$A$140&gt;35,CT149+CS150-DB149,IF(A150&lt;'Données projet'!$A$140,$CQ$205^A150,IF(A150='Données projet'!$A$140,'Données projet'!$B$140,CT149+CS150-DB149)))</f>
        <v>266.7999999999999</v>
      </c>
      <c r="CU150" s="18">
        <f>CT150*VLOOKUP('Données projet'!$B$13,Paramètres!$A$1:$I$89,3,0)*VLOOKUP('Données projet'!$B$13,Paramètres!$A$1:$I$89,5,0)</f>
        <v>270.53519999999992</v>
      </c>
      <c r="CV150" s="14">
        <f t="shared" si="149"/>
        <v>64.962839141501405</v>
      </c>
      <c r="CW150" s="22">
        <f t="shared" si="121"/>
        <v>584.32575150478135</v>
      </c>
      <c r="CX150" s="62">
        <f t="shared" si="122"/>
        <v>877.65908483811472</v>
      </c>
      <c r="CY150" s="62">
        <f ca="1">AVERAGE(OFFSET($CX$3,0,0,'Données projet'!$E$13+1,1))-AVERAGE(OFFSET($H$3,0,0,'Données projet'!$E$13+1,1))</f>
        <v>247.92503505485405</v>
      </c>
      <c r="CZ150" s="62">
        <f t="shared" si="150"/>
        <v>148.26437652597514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51.899369298526757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51.899369298526757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3.1428571428571428</v>
      </c>
      <c r="DO150" s="13">
        <f>IF('Données projet'!$A$166&gt;35,DO149+DN150-DW149,IF(A150&lt;'Données projet'!$A$166,$DL$205^A150,IF(A150='Données projet'!$A$166,'Données projet'!$B$166,DO149+DN150-DW149)))</f>
        <v>185.85714285714312</v>
      </c>
      <c r="DP150" s="18">
        <f>DO150*VLOOKUP('Données projet'!$B$14,Paramètres!$A$1:$I$89,3,0)*VLOOKUP('Données projet'!$B$14,Paramètres!$A$1:$I$89,5,0)</f>
        <v>179.76102857142882</v>
      </c>
      <c r="DQ150" s="14">
        <f t="shared" si="151"/>
        <v>45.269015316405941</v>
      </c>
      <c r="DR150" s="22">
        <f t="shared" si="124"/>
        <v>391.92732643797893</v>
      </c>
      <c r="DS150" s="62">
        <f t="shared" si="125"/>
        <v>685.26065977131225</v>
      </c>
      <c r="DT150" s="62">
        <f ca="1">AVERAGE(OFFSET($DS$3,0,0,'Données projet'!$E$14+1,1))-AVERAGE(OFFSET($H$3,0,0,'Données projet'!$E$14+1,1))</f>
        <v>154.0837760161366</v>
      </c>
      <c r="DU150" s="62">
        <f t="shared" si="152"/>
        <v>96.484500841546037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25.679085466812882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25.679085466812882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-5.6843418860808015E-14</v>
      </c>
      <c r="EK150" s="18">
        <f>EJ150*VLOOKUP('Données projet'!$B$15,Paramètres!$A$1:$I$89,3,0)*VLOOKUP('Données projet'!$B$15,Paramètres!$A$1:$I$89,5,0)</f>
        <v>-3.813056537183002E-14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205.35893113421139</v>
      </c>
      <c r="EP150" s="62">
        <f t="shared" si="154"/>
        <v>220.4399811285175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21.015846778904642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21.015846778904642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-5.6843418860808015E-14</v>
      </c>
      <c r="FF150" s="18">
        <f>FE150*VLOOKUP('Données projet'!$B$16,Paramètres!$A$1:$I$89,3,0)*VLOOKUP('Données projet'!$B$16,Paramètres!$A$1:$I$89,5,0)</f>
        <v>-4.4337866711430253E-14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242.81177364426878</v>
      </c>
      <c r="FK150" s="62">
        <f t="shared" si="156"/>
        <v>260.72115764896671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19.82627054613646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19.82627054613646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-5.6843418860808015E-14</v>
      </c>
      <c r="GA150" s="18">
        <f>FZ150*VLOOKUP('Données projet'!$B$17,Paramètres!$A$1:$I$89,3,0)*VLOOKUP('Données projet'!$B$17,Paramètres!$A$1:$I$89,5,0)</f>
        <v>-4.5224624045658861E-14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248.15263300983543</v>
      </c>
      <c r="GF150" s="62">
        <f t="shared" si="158"/>
        <v>266.46511459244618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24.925771761026422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24.925771761026422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382.55387448074327</v>
      </c>
      <c r="T151" s="62">
        <f t="shared" si="142"/>
        <v>476.29465646955543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45.296140553722587</v>
      </c>
      <c r="AA151" s="23">
        <f>EXP(-LN(2)/25)*AA150+(1-EXP(-LN(2)/25))/(LN(2)/25)*Calculateur!V151*Calculateur!X151*VLOOKUP('Données projet'!$B$9,Paramètres!$A$1:$I$89,3,0)*0.475*44/12</f>
        <v>5.6159690362705366</v>
      </c>
      <c r="AB151" s="23">
        <f>EXP(-LN(2)/2)*AB150+(1-EXP(-LN(2)/2))/(LN(2)/2)*V151*Y151*VLOOKUP('Données projet'!$B$9,Paramètres!$A$1:$I$89,3,0)*0.475*44/12</f>
        <v>3.2014696896174708E-12</v>
      </c>
      <c r="AC151" s="24">
        <f t="shared" si="111"/>
        <v>50.912109589996327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-1.7053025658242404E-13</v>
      </c>
      <c r="AJ151" s="14">
        <f>AI151*VLOOKUP('Données projet'!$B$10,Paramètres!$A$1:$I$89,3,0)*VLOOKUP('Données projet'!$B$10,Paramètres!$A$1:$I$89,5,0)</f>
        <v>-1.064108801074326E-13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482.28841373508675</v>
      </c>
      <c r="AO151" s="62">
        <f t="shared" si="144"/>
        <v>746.97309214631684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84.69103690424248</v>
      </c>
      <c r="AV151" s="23">
        <f>EXP(-LN(2)/25)*AV150+(1-EXP(-LN(2)/25))/(LN(2)/25)*Calculateur!AQ151*Calculateur!AS151*VLOOKUP('Données projet'!$B$10,Paramètres!$A$1:$I$89,3,0)*0.475*44/12</f>
        <v>10.530179434228391</v>
      </c>
      <c r="AW151" s="23">
        <f>EXP(-LN(2)/2)*AW150+(1-EXP(-LN(2)/2))/(LN(2)/2)*AQ151*AT151*VLOOKUP('Données projet'!$B$10,Paramètres!$A$1:$I$89,3,0)*0.475*44/12</f>
        <v>1.1958293093069101E-9</v>
      </c>
      <c r="AX151" s="23">
        <f t="shared" si="114"/>
        <v>95.221216339666697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-1.7053025658242404E-13</v>
      </c>
      <c r="BE151" s="14">
        <f>BD151*VLOOKUP('Données projet'!$B$11,Paramètres!$A$1:$I$89,3,0)*VLOOKUP('Données projet'!$B$11,Paramètres!$A$1:$I$89,5,0)</f>
        <v>-9.3109520094003535E-14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417.99456559608217</v>
      </c>
      <c r="BJ151" s="62">
        <f t="shared" si="146"/>
        <v>651.41353014863932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74.10465729121222</v>
      </c>
      <c r="BQ151" s="23">
        <f>EXP(-LN(2)/25)*BQ150+(1-EXP(-LN(2)/25))/(LN(2)/25)*Calculateur!BL151*Calculateur!BN151*VLOOKUP('Données projet'!$B$11,Paramètres!$A$1:$I$89,3,0)*0.475*44/12</f>
        <v>9.3235963740563843</v>
      </c>
      <c r="BR151" s="23">
        <f>EXP(-LN(2)/2)*BR150+(1-EXP(-LN(2)/2))/(LN(2)/2)*BL151*BO151*VLOOKUP('Données projet'!$B$11,Paramètres!$A$1:$I$89,3,0)*0.475*44/12</f>
        <v>1.0304968479822798E-9</v>
      </c>
      <c r="BS151" s="24">
        <f t="shared" si="117"/>
        <v>83.428253666299099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4.8666666666666663</v>
      </c>
      <c r="BY151" s="13">
        <f>IF('Données projet'!$A$114&gt;35,BY150+BX151-CG150,IF(A151&lt;'Données projet'!$A$114,$BV$205^A151,IF(A151='Données projet'!$A$114,'Données projet'!$B$114,BY150+BX151-CG150)))</f>
        <v>271.66666666666657</v>
      </c>
      <c r="BZ151" s="14">
        <f>BY151*VLOOKUP('Données projet'!$B$12,Paramètres!$A$1:$I$89,3,0)*VLOOKUP('Données projet'!$B$12,Paramètres!$A$1:$I$89,5,0)</f>
        <v>245.80399999999992</v>
      </c>
      <c r="CA151" s="14">
        <f t="shared" si="147"/>
        <v>59.686547383038381</v>
      </c>
      <c r="CB151" s="22">
        <f t="shared" si="118"/>
        <v>532.06270335879162</v>
      </c>
      <c r="CC151" s="62">
        <f t="shared" si="119"/>
        <v>825.39603669212488</v>
      </c>
      <c r="CD151" s="62">
        <f ca="1">AVERAGE(OFFSET($CC$3,0,0,'Données projet'!$E$12+1,1))-AVERAGE(OFFSET($H$3,0,0,'Données projet'!$E$12+1,1))</f>
        <v>213.07277043804817</v>
      </c>
      <c r="CE151" s="62">
        <f t="shared" si="148"/>
        <v>129.14539883354166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45.402091548925966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45.402091548925966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4.8666666666666663</v>
      </c>
      <c r="CT151" s="13">
        <f>IF('Données projet'!$A$140&gt;35,CT150+CS151-DB150,IF(A151&lt;'Données projet'!$A$140,$CQ$205^A151,IF(A151='Données projet'!$A$140,'Données projet'!$B$140,CT150+CS151-DB150)))</f>
        <v>271.66666666666657</v>
      </c>
      <c r="CU151" s="18">
        <f>CT151*VLOOKUP('Données projet'!$B$13,Paramètres!$A$1:$I$89,3,0)*VLOOKUP('Données projet'!$B$13,Paramètres!$A$1:$I$89,5,0)</f>
        <v>275.46999999999991</v>
      </c>
      <c r="CV151" s="14">
        <f t="shared" si="149"/>
        <v>66.008782780164168</v>
      </c>
      <c r="CW151" s="22">
        <f t="shared" si="121"/>
        <v>594.74221334211904</v>
      </c>
      <c r="CX151" s="62">
        <f t="shared" si="122"/>
        <v>888.07554667545242</v>
      </c>
      <c r="CY151" s="62">
        <f ca="1">AVERAGE(OFFSET($CX$3,0,0,'Données projet'!$E$13+1,1))-AVERAGE(OFFSET($H$3,0,0,'Données projet'!$E$13+1,1))</f>
        <v>247.92503505485405</v>
      </c>
      <c r="CZ151" s="62">
        <f t="shared" si="150"/>
        <v>148.26437652597514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50.881654322072201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50.881654322072201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>
        <f>VLOOKUP(A151,'Données projet'!$A$165:$I$185,2,0)</f>
        <v>189</v>
      </c>
      <c r="DM151" s="13">
        <f>VLOOKUP(A151,'Données projet'!$A$165:$I$185,9,0)</f>
        <v>3.1428571428571428</v>
      </c>
      <c r="DN151" s="13">
        <f t="array" ref="DN151">INDEX(DM:DM,MIN(IF(ISNUMBER(DM151:DM347),ROW(DM151:DM347),"")))</f>
        <v>3.1428571428571428</v>
      </c>
      <c r="DO151" s="13">
        <f>IF('Données projet'!$A$166&gt;35,DO150+DN151-DW150,IF(A151&lt;'Données projet'!$A$166,$DL$205^A151,IF(A151='Données projet'!$A$166,'Données projet'!$B$166,DO150+DN151-DW150)))</f>
        <v>189.00000000000026</v>
      </c>
      <c r="DP151" s="18">
        <f>DO151*VLOOKUP('Données projet'!$B$14,Paramètres!$A$1:$I$89,3,0)*VLOOKUP('Données projet'!$B$14,Paramètres!$A$1:$I$89,5,0)</f>
        <v>182.80080000000027</v>
      </c>
      <c r="DQ151" s="14">
        <f t="shared" si="151"/>
        <v>45.944751507471736</v>
      </c>
      <c r="DR151" s="22">
        <f t="shared" si="124"/>
        <v>398.39850220884705</v>
      </c>
      <c r="DS151" s="62">
        <f t="shared" si="125"/>
        <v>691.73183554218031</v>
      </c>
      <c r="DT151" s="62">
        <f ca="1">AVERAGE(OFFSET($DS$3,0,0,'Données projet'!$E$14+1,1))-AVERAGE(OFFSET($H$3,0,0,'Données projet'!$E$14+1,1))</f>
        <v>154.0837760161366</v>
      </c>
      <c r="DU151" s="62">
        <f t="shared" si="152"/>
        <v>96.484500841546037</v>
      </c>
      <c r="DV151" s="16">
        <f>IF(ISNA(VLOOKUP(A151,'Données projet'!$A$165:$I$185,3,0)),0,VLOOKUP(A151,'Données projet'!$A$165:$I$185,3,0))</f>
        <v>10</v>
      </c>
      <c r="DW151" s="16">
        <f>IF(ISNA(VLOOKUP(A151,'Données projet'!$A$165:$I$185,4,0)),0,VLOOKUP(A151,'Données projet'!$A$165:$I$185,4,0))</f>
        <v>30</v>
      </c>
      <c r="DX151" s="17">
        <f>IF(ISNA(VLOOKUP(A151,'Données projet'!$A$165:$I$185,5,0)),0%,VLOOKUP(A151,'Données projet'!$A$165:$I$185,5,0)*VLOOKUP('Données projet'!$B$14,Paramètres!$A$1:$I$89,7,0))</f>
        <v>0.38700000000000001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37.589073405592622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37.589073405592622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-5.6843418860808015E-14</v>
      </c>
      <c r="EK151" s="18">
        <f>EJ151*VLOOKUP('Données projet'!$B$15,Paramètres!$A$1:$I$89,3,0)*VLOOKUP('Données projet'!$B$15,Paramètres!$A$1:$I$89,5,0)</f>
        <v>-3.813056537183002E-14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205.35893113421139</v>
      </c>
      <c r="EP151" s="62">
        <f t="shared" si="154"/>
        <v>220.4399811285175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20.603738841971143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20.603738841971143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-5.6843418860808015E-14</v>
      </c>
      <c r="FF151" s="18">
        <f>FE151*VLOOKUP('Données projet'!$B$16,Paramètres!$A$1:$I$89,3,0)*VLOOKUP('Données projet'!$B$16,Paramètres!$A$1:$I$89,5,0)</f>
        <v>-4.4337866711430253E-14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242.81177364426878</v>
      </c>
      <c r="FK151" s="62">
        <f t="shared" si="156"/>
        <v>260.72115764896671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19.43748947355769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19.43748947355769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-5.6843418860808015E-14</v>
      </c>
      <c r="GA151" s="18">
        <f>FZ151*VLOOKUP('Données projet'!$B$17,Paramètres!$A$1:$I$89,3,0)*VLOOKUP('Données projet'!$B$17,Paramètres!$A$1:$I$89,5,0)</f>
        <v>-4.5224624045658861E-14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248.15263300983543</v>
      </c>
      <c r="GF151" s="62">
        <f t="shared" si="158"/>
        <v>266.46511459244618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24.436992580012273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24.436992580012273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382.55387448074327</v>
      </c>
      <c r="T152" s="62">
        <f t="shared" si="142"/>
        <v>476.29465646955543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44.407910865381794</v>
      </c>
      <c r="AA152" s="23">
        <f>EXP(-LN(2)/25)*AA151+(1-EXP(-LN(2)/25))/(LN(2)/25)*Calculateur!V152*Calculateur!X152*VLOOKUP('Données projet'!$B$9,Paramètres!$A$1:$I$89,3,0)*0.475*44/12</f>
        <v>5.4624000676427427</v>
      </c>
      <c r="AB152" s="23">
        <f>EXP(-LN(2)/2)*AB151+(1-EXP(-LN(2)/2))/(LN(2)/2)*V152*Y152*VLOOKUP('Données projet'!$B$9,Paramètres!$A$1:$I$89,3,0)*0.475*44/12</f>
        <v>2.2637809272917051E-12</v>
      </c>
      <c r="AC152" s="24">
        <f t="shared" si="111"/>
        <v>49.870310933026801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-1.7053025658242404E-13</v>
      </c>
      <c r="AJ152" s="14">
        <f>AI152*VLOOKUP('Données projet'!$B$10,Paramètres!$A$1:$I$89,3,0)*VLOOKUP('Données projet'!$B$10,Paramètres!$A$1:$I$89,5,0)</f>
        <v>-1.064108801074326E-13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482.28841373508675</v>
      </c>
      <c r="AO152" s="62">
        <f t="shared" si="144"/>
        <v>746.97309214631684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83.030297326982151</v>
      </c>
      <c r="AV152" s="23">
        <f>EXP(-LN(2)/25)*AV151+(1-EXP(-LN(2)/25))/(LN(2)/25)*Calculateur!AQ152*Calculateur!AS152*VLOOKUP('Données projet'!$B$10,Paramètres!$A$1:$I$89,3,0)*0.475*44/12</f>
        <v>10.242231123841346</v>
      </c>
      <c r="AW152" s="23">
        <f>EXP(-LN(2)/2)*AW151+(1-EXP(-LN(2)/2))/(LN(2)/2)*AQ152*AT152*VLOOKUP('Données projet'!$B$10,Paramètres!$A$1:$I$89,3,0)*0.475*44/12</f>
        <v>8.4557901375254158E-10</v>
      </c>
      <c r="AX152" s="23">
        <f t="shared" si="114"/>
        <v>93.272528451669075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-1.7053025658242404E-13</v>
      </c>
      <c r="BE152" s="14">
        <f>BD152*VLOOKUP('Données projet'!$B$11,Paramètres!$A$1:$I$89,3,0)*VLOOKUP('Données projet'!$B$11,Paramètres!$A$1:$I$89,5,0)</f>
        <v>-9.3109520094003535E-14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417.99456559608217</v>
      </c>
      <c r="BJ152" s="62">
        <f t="shared" si="146"/>
        <v>651.41353014863932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72.651510161109428</v>
      </c>
      <c r="BQ152" s="23">
        <f>EXP(-LN(2)/25)*BQ151+(1-EXP(-LN(2)/25))/(LN(2)/25)*Calculateur!BL152*Calculateur!BN152*VLOOKUP('Données projet'!$B$11,Paramètres!$A$1:$I$89,3,0)*0.475*44/12</f>
        <v>9.0686421409011881</v>
      </c>
      <c r="BR152" s="23">
        <f>EXP(-LN(2)/2)*BR151+(1-EXP(-LN(2)/2))/(LN(2)/2)*BL152*BO152*VLOOKUP('Données projet'!$B$11,Paramètres!$A$1:$I$89,3,0)*0.475*44/12</f>
        <v>7.2867130919963283E-10</v>
      </c>
      <c r="BS152" s="24">
        <f t="shared" si="117"/>
        <v>81.720152302739294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4.8666666666666663</v>
      </c>
      <c r="BY152" s="13">
        <f>IF('Données projet'!$A$114&gt;35,BY151+BX152-CG151,IF(A152&lt;'Données projet'!$A$114,$BV$205^A152,IF(A152='Données projet'!$A$114,'Données projet'!$B$114,BY151+BX152-CG151)))</f>
        <v>276.53333333333325</v>
      </c>
      <c r="BZ152" s="14">
        <f>BY152*VLOOKUP('Données projet'!$B$12,Paramètres!$A$1:$I$89,3,0)*VLOOKUP('Données projet'!$B$12,Paramètres!$A$1:$I$89,5,0)</f>
        <v>250.20735999999991</v>
      </c>
      <c r="CA152" s="14">
        <f t="shared" si="147"/>
        <v>60.630341732617744</v>
      </c>
      <c r="CB152" s="22">
        <f t="shared" si="118"/>
        <v>541.37566385097568</v>
      </c>
      <c r="CC152" s="62">
        <f t="shared" si="119"/>
        <v>834.70899718430906</v>
      </c>
      <c r="CD152" s="62">
        <f ca="1">AVERAGE(OFFSET($CC$3,0,0,'Données projet'!$E$12+1,1))-AVERAGE(OFFSET($H$3,0,0,'Données projet'!$E$12+1,1))</f>
        <v>213.07277043804817</v>
      </c>
      <c r="CE152" s="62">
        <f t="shared" si="148"/>
        <v>129.14539883354166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44.511784226192965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44.511784226192965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4.8666666666666663</v>
      </c>
      <c r="CT152" s="13">
        <f>IF('Données projet'!$A$140&gt;35,CT151+CS152-DB151,IF(A152&lt;'Données projet'!$A$140,$CQ$205^A152,IF(A152='Données projet'!$A$140,'Données projet'!$B$140,CT151+CS152-DB151)))</f>
        <v>276.53333333333325</v>
      </c>
      <c r="CU152" s="18">
        <f>CT152*VLOOKUP('Données projet'!$B$13,Paramètres!$A$1:$I$89,3,0)*VLOOKUP('Données projet'!$B$13,Paramètres!$A$1:$I$89,5,0)</f>
        <v>280.40479999999991</v>
      </c>
      <c r="CV152" s="14">
        <f t="shared" si="149"/>
        <v>67.052547563721262</v>
      </c>
      <c r="CW152" s="22">
        <f t="shared" si="121"/>
        <v>605.15488034014766</v>
      </c>
      <c r="CX152" s="62">
        <f t="shared" si="122"/>
        <v>898.48821367348091</v>
      </c>
      <c r="CY152" s="62">
        <f ca="1">AVERAGE(OFFSET($CX$3,0,0,'Données projet'!$E$13+1,1))-AVERAGE(OFFSET($H$3,0,0,'Données projet'!$E$13+1,1))</f>
        <v>247.92503505485405</v>
      </c>
      <c r="CZ152" s="62">
        <f t="shared" si="150"/>
        <v>148.26437652597514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49.883896115561072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49.883896115561072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3.7857142857142856</v>
      </c>
      <c r="DO152" s="13">
        <f>IF('Données projet'!$A$166&gt;35,DO151+DN152-DW151,IF(A152&lt;'Données projet'!$A$166,$DL$205^A152,IF(A152='Données projet'!$A$166,'Données projet'!$B$166,DO151+DN152-DW151)))</f>
        <v>162.78571428571453</v>
      </c>
      <c r="DP152" s="18">
        <f>DO152*VLOOKUP('Données projet'!$B$14,Paramètres!$A$1:$I$89,3,0)*VLOOKUP('Données projet'!$B$14,Paramètres!$A$1:$I$89,5,0)</f>
        <v>157.44634285714309</v>
      </c>
      <c r="DQ152" s="14">
        <f t="shared" si="151"/>
        <v>40.265992677333323</v>
      </c>
      <c r="DR152" s="22">
        <f t="shared" si="124"/>
        <v>344.34898438921306</v>
      </c>
      <c r="DS152" s="62">
        <f t="shared" si="125"/>
        <v>637.68231772254637</v>
      </c>
      <c r="DT152" s="62">
        <f ca="1">AVERAGE(OFFSET($DS$3,0,0,'Données projet'!$E$14+1,1))-AVERAGE(OFFSET($H$3,0,0,'Données projet'!$E$14+1,1))</f>
        <v>154.0837760161366</v>
      </c>
      <c r="DU152" s="62">
        <f t="shared" si="152"/>
        <v>96.484500841546037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36.851974603179869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36.851974603179869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-5.6843418860808015E-14</v>
      </c>
      <c r="EK152" s="18">
        <f>EJ152*VLOOKUP('Données projet'!$B$15,Paramètres!$A$1:$I$89,3,0)*VLOOKUP('Données projet'!$B$15,Paramètres!$A$1:$I$89,5,0)</f>
        <v>-3.813056537183002E-14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205.35893113421139</v>
      </c>
      <c r="EP152" s="62">
        <f t="shared" si="154"/>
        <v>220.4399811285175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20.199712090319892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20.199712090319892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-5.6843418860808015E-14</v>
      </c>
      <c r="FF152" s="18">
        <f>FE152*VLOOKUP('Données projet'!$B$16,Paramètres!$A$1:$I$89,3,0)*VLOOKUP('Données projet'!$B$16,Paramètres!$A$1:$I$89,5,0)</f>
        <v>-4.4337866711430253E-14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242.81177364426878</v>
      </c>
      <c r="FK152" s="62">
        <f t="shared" si="156"/>
        <v>260.72115764896671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19.056332160679151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19.056332160679151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-5.6843418860808015E-14</v>
      </c>
      <c r="GA152" s="18">
        <f>FZ152*VLOOKUP('Données projet'!$B$17,Paramètres!$A$1:$I$89,3,0)*VLOOKUP('Données projet'!$B$17,Paramètres!$A$1:$I$89,5,0)</f>
        <v>-4.5224624045658861E-14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248.15263300983543</v>
      </c>
      <c r="GF152" s="62">
        <f t="shared" si="158"/>
        <v>266.46511459244618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23.95779806061195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23.95779806061195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382.55387448074327</v>
      </c>
      <c r="T153" s="62">
        <f t="shared" si="142"/>
        <v>476.29465646955543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43.537098819462749</v>
      </c>
      <c r="AA153" s="23">
        <f>EXP(-LN(2)/25)*AA152+(1-EXP(-LN(2)/25))/(LN(2)/25)*Calculateur!V153*Calculateur!X153*VLOOKUP('Données projet'!$B$9,Paramètres!$A$1:$I$89,3,0)*0.475*44/12</f>
        <v>5.3130304505379167</v>
      </c>
      <c r="AB153" s="23">
        <f>EXP(-LN(2)/2)*AB152+(1-EXP(-LN(2)/2))/(LN(2)/2)*V153*Y153*VLOOKUP('Données projet'!$B$9,Paramètres!$A$1:$I$89,3,0)*0.475*44/12</f>
        <v>1.6007348448087354E-12</v>
      </c>
      <c r="AC153" s="24">
        <f t="shared" si="111"/>
        <v>48.850129270002263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-1.7053025658242404E-13</v>
      </c>
      <c r="AJ153" s="14">
        <f>AI153*VLOOKUP('Données projet'!$B$10,Paramètres!$A$1:$I$89,3,0)*VLOOKUP('Données projet'!$B$10,Paramètres!$A$1:$I$89,5,0)</f>
        <v>-1.064108801074326E-13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482.28841373508675</v>
      </c>
      <c r="AO153" s="62">
        <f t="shared" si="144"/>
        <v>746.97309214631684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81.402123839880772</v>
      </c>
      <c r="AV153" s="23">
        <f>EXP(-LN(2)/25)*AV152+(1-EXP(-LN(2)/25))/(LN(2)/25)*Calculateur!AQ153*Calculateur!AS153*VLOOKUP('Données projet'!$B$10,Paramètres!$A$1:$I$89,3,0)*0.475*44/12</f>
        <v>9.9621567751443791</v>
      </c>
      <c r="AW153" s="23">
        <f>EXP(-LN(2)/2)*AW152+(1-EXP(-LN(2)/2))/(LN(2)/2)*AQ153*AT153*VLOOKUP('Données projet'!$B$10,Paramètres!$A$1:$I$89,3,0)*0.475*44/12</f>
        <v>5.9791465465345507E-10</v>
      </c>
      <c r="AX153" s="23">
        <f t="shared" si="114"/>
        <v>91.364280615623073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-1.7053025658242404E-13</v>
      </c>
      <c r="BE153" s="14">
        <f>BD153*VLOOKUP('Données projet'!$B$11,Paramètres!$A$1:$I$89,3,0)*VLOOKUP('Données projet'!$B$11,Paramètres!$A$1:$I$89,5,0)</f>
        <v>-9.3109520094003535E-14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417.99456559608217</v>
      </c>
      <c r="BJ153" s="62">
        <f t="shared" si="146"/>
        <v>651.41353014863932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71.226858359895715</v>
      </c>
      <c r="BQ153" s="23">
        <f>EXP(-LN(2)/25)*BQ152+(1-EXP(-LN(2)/25))/(LN(2)/25)*Calculateur!BL153*Calculateur!BN153*VLOOKUP('Données projet'!$B$11,Paramètres!$A$1:$I$89,3,0)*0.475*44/12</f>
        <v>8.8206596446590808</v>
      </c>
      <c r="BR153" s="23">
        <f>EXP(-LN(2)/2)*BR152+(1-EXP(-LN(2)/2))/(LN(2)/2)*BL153*BO153*VLOOKUP('Données projet'!$B$11,Paramètres!$A$1:$I$89,3,0)*0.475*44/12</f>
        <v>5.1524842399113989E-10</v>
      </c>
      <c r="BS153" s="24">
        <f t="shared" si="117"/>
        <v>80.047518005070046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4.8666666666666663</v>
      </c>
      <c r="BY153" s="13">
        <f>IF('Données projet'!$A$114&gt;35,BY152+BX153-CG152,IF(A153&lt;'Données projet'!$A$114,$BV$205^A153,IF(A153='Données projet'!$A$114,'Données projet'!$B$114,BY152+BX153-CG152)))</f>
        <v>281.39999999999992</v>
      </c>
      <c r="BZ153" s="14">
        <f>BY153*VLOOKUP('Données projet'!$B$12,Paramètres!$A$1:$I$89,3,0)*VLOOKUP('Données projet'!$B$12,Paramètres!$A$1:$I$89,5,0)</f>
        <v>254.6107199999999</v>
      </c>
      <c r="CA153" s="14">
        <f t="shared" si="147"/>
        <v>61.572204587965679</v>
      </c>
      <c r="CB153" s="22">
        <f t="shared" si="118"/>
        <v>550.68526032404009</v>
      </c>
      <c r="CC153" s="62">
        <f t="shared" si="119"/>
        <v>844.01859365737346</v>
      </c>
      <c r="CD153" s="62">
        <f ca="1">AVERAGE(OFFSET($CC$3,0,0,'Données projet'!$E$12+1,1))-AVERAGE(OFFSET($H$3,0,0,'Données projet'!$E$12+1,1))</f>
        <v>213.07277043804817</v>
      </c>
      <c r="CE153" s="62">
        <f t="shared" si="148"/>
        <v>129.14539883354166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43.638935287024907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43.638935287024907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4.8666666666666663</v>
      </c>
      <c r="CT153" s="13">
        <f>IF('Données projet'!$A$140&gt;35,CT152+CS153-DB152,IF(A153&lt;'Données projet'!$A$140,$CQ$205^A153,IF(A153='Données projet'!$A$140,'Données projet'!$B$140,CT152+CS153-DB152)))</f>
        <v>281.39999999999992</v>
      </c>
      <c r="CU153" s="18">
        <f>CT153*VLOOKUP('Données projet'!$B$13,Paramètres!$A$1:$I$89,3,0)*VLOOKUP('Données projet'!$B$13,Paramètres!$A$1:$I$89,5,0)</f>
        <v>285.33959999999996</v>
      </c>
      <c r="CV153" s="14">
        <f t="shared" si="149"/>
        <v>68.094176261531288</v>
      </c>
      <c r="CW153" s="22">
        <f t="shared" si="121"/>
        <v>615.56382698883351</v>
      </c>
      <c r="CX153" s="62">
        <f t="shared" si="122"/>
        <v>908.89716032216688</v>
      </c>
      <c r="CY153" s="62">
        <f ca="1">AVERAGE(OFFSET($CX$3,0,0,'Données projet'!$E$13+1,1))-AVERAGE(OFFSET($H$3,0,0,'Données projet'!$E$13+1,1))</f>
        <v>247.92503505485405</v>
      </c>
      <c r="CZ153" s="62">
        <f t="shared" si="150"/>
        <v>148.26437652597514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48.905703338907216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48.905703338907216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3.7857142857142856</v>
      </c>
      <c r="DO153" s="13">
        <f>IF('Données projet'!$A$166&gt;35,DO152+DN153-DW152,IF(A153&lt;'Données projet'!$A$166,$DL$205^A153,IF(A153='Données projet'!$A$166,'Données projet'!$B$166,DO152+DN153-DW152)))</f>
        <v>166.57142857142881</v>
      </c>
      <c r="DP153" s="18">
        <f>DO153*VLOOKUP('Données projet'!$B$14,Paramètres!$A$1:$I$89,3,0)*VLOOKUP('Données projet'!$B$14,Paramètres!$A$1:$I$89,5,0)</f>
        <v>161.10788571428597</v>
      </c>
      <c r="DQ153" s="14">
        <f t="shared" si="151"/>
        <v>41.092301677867205</v>
      </c>
      <c r="DR153" s="22">
        <f t="shared" si="124"/>
        <v>352.16532637466679</v>
      </c>
      <c r="DS153" s="62">
        <f t="shared" si="125"/>
        <v>645.4986597080001</v>
      </c>
      <c r="DT153" s="62">
        <f ca="1">AVERAGE(OFFSET($DS$3,0,0,'Données projet'!$E$14+1,1))-AVERAGE(OFFSET($H$3,0,0,'Données projet'!$E$14+1,1))</f>
        <v>154.0837760161366</v>
      </c>
      <c r="DU153" s="62">
        <f t="shared" si="152"/>
        <v>96.484500841546037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36.129329858696551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36.129329858696551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-5.6843418860808015E-14</v>
      </c>
      <c r="EK153" s="18">
        <f>EJ153*VLOOKUP('Données projet'!$B$15,Paramètres!$A$1:$I$89,3,0)*VLOOKUP('Données projet'!$B$15,Paramètres!$A$1:$I$89,5,0)</f>
        <v>-3.813056537183002E-14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205.35893113421139</v>
      </c>
      <c r="EP153" s="62">
        <f t="shared" si="154"/>
        <v>220.4399811285175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19.803608056836534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19.803608056836534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-5.6843418860808015E-14</v>
      </c>
      <c r="FF153" s="18">
        <f>FE153*VLOOKUP('Données projet'!$B$16,Paramètres!$A$1:$I$89,3,0)*VLOOKUP('Données projet'!$B$16,Paramètres!$A$1:$I$89,5,0)</f>
        <v>-4.4337866711430253E-14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242.81177364426878</v>
      </c>
      <c r="FK153" s="62">
        <f t="shared" si="156"/>
        <v>260.72115764896671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18.682649110223153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18.682649110223153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-5.6843418860808015E-14</v>
      </c>
      <c r="GA153" s="18">
        <f>FZ153*VLOOKUP('Données projet'!$B$17,Paramètres!$A$1:$I$89,3,0)*VLOOKUP('Données projet'!$B$17,Paramètres!$A$1:$I$89,5,0)</f>
        <v>-4.5224624045658861E-14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248.15263300983543</v>
      </c>
      <c r="GF153" s="62">
        <f t="shared" si="158"/>
        <v>266.46511459244618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23.488000253457272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23.488000253457272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382.55387448074327</v>
      </c>
      <c r="T154" s="62">
        <f t="shared" si="142"/>
        <v>476.29465646955543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42.683362866621273</v>
      </c>
      <c r="AA154" s="23">
        <f>EXP(-LN(2)/25)*AA153+(1-EXP(-LN(2)/25))/(LN(2)/25)*Calculateur!V154*Calculateur!X154*VLOOKUP('Données projet'!$B$9,Paramètres!$A$1:$I$89,3,0)*0.475*44/12</f>
        <v>5.1677453534678293</v>
      </c>
      <c r="AB154" s="23">
        <f>EXP(-LN(2)/2)*AB153+(1-EXP(-LN(2)/2))/(LN(2)/2)*V154*Y154*VLOOKUP('Données projet'!$B$9,Paramètres!$A$1:$I$89,3,0)*0.475*44/12</f>
        <v>1.1318904636458526E-12</v>
      </c>
      <c r="AC154" s="24">
        <f t="shared" ref="AC154:AC203" si="163">SUM(Z154:AB154)</f>
        <v>47.851108220090232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-1.7053025658242404E-13</v>
      </c>
      <c r="AJ154" s="14">
        <f>AI154*VLOOKUP('Données projet'!$B$10,Paramètres!$A$1:$I$89,3,0)*VLOOKUP('Données projet'!$B$10,Paramètres!$A$1:$I$89,5,0)</f>
        <v>-1.064108801074326E-13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482.28841373508675</v>
      </c>
      <c r="AO154" s="62">
        <f t="shared" si="144"/>
        <v>746.97309214631684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79.805877841773679</v>
      </c>
      <c r="AV154" s="23">
        <f>EXP(-LN(2)/25)*AV153+(1-EXP(-LN(2)/25))/(LN(2)/25)*Calculateur!AQ154*Calculateur!AS154*VLOOKUP('Données projet'!$B$10,Paramètres!$A$1:$I$89,3,0)*0.475*44/12</f>
        <v>9.6897410742410006</v>
      </c>
      <c r="AW154" s="23">
        <f>EXP(-LN(2)/2)*AW153+(1-EXP(-LN(2)/2))/(LN(2)/2)*AQ154*AT154*VLOOKUP('Données projet'!$B$10,Paramètres!$A$1:$I$89,3,0)*0.475*44/12</f>
        <v>4.2278950687627079E-10</v>
      </c>
      <c r="AX154" s="23">
        <f t="shared" ref="AX154:AX203" si="166">SUM(AU154:AW154)</f>
        <v>89.495618916437465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-1.7053025658242404E-13</v>
      </c>
      <c r="BE154" s="14">
        <f>BD154*VLOOKUP('Données projet'!$B$11,Paramètres!$A$1:$I$89,3,0)*VLOOKUP('Données projet'!$B$11,Paramètres!$A$1:$I$89,5,0)</f>
        <v>-9.3109520094003535E-14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417.99456559608217</v>
      </c>
      <c r="BJ154" s="62">
        <f t="shared" si="146"/>
        <v>651.41353014863932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69.830143111552005</v>
      </c>
      <c r="BQ154" s="23">
        <f>EXP(-LN(2)/25)*BQ153+(1-EXP(-LN(2)/25))/(LN(2)/25)*Calculateur!BL154*Calculateur!BN154*VLOOKUP('Données projet'!$B$11,Paramètres!$A$1:$I$89,3,0)*0.475*44/12</f>
        <v>8.5794582428175481</v>
      </c>
      <c r="BR154" s="23">
        <f>EXP(-LN(2)/2)*BR153+(1-EXP(-LN(2)/2))/(LN(2)/2)*BL154*BO154*VLOOKUP('Données projet'!$B$11,Paramètres!$A$1:$I$89,3,0)*0.475*44/12</f>
        <v>3.6433565459981642E-10</v>
      </c>
      <c r="BS154" s="24">
        <f t="shared" ref="BS154:BS203" si="169">SUM(BP154:BR154)</f>
        <v>78.409601354733894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4.8666666666666663</v>
      </c>
      <c r="BY154" s="13">
        <f>IF('Données projet'!$A$114&gt;35,BY153+BX154-CG153,IF(A154&lt;'Données projet'!$A$114,$BV$205^A154,IF(A154='Données projet'!$A$114,'Données projet'!$B$114,BY153+BX154-CG153)))</f>
        <v>286.26666666666659</v>
      </c>
      <c r="BZ154" s="14">
        <f>BY154*VLOOKUP('Données projet'!$B$12,Paramètres!$A$1:$I$89,3,0)*VLOOKUP('Données projet'!$B$12,Paramètres!$A$1:$I$89,5,0)</f>
        <v>259.01407999999992</v>
      </c>
      <c r="CA154" s="14">
        <f t="shared" ref="CA154:CA203" si="170">EXP(-1.0587+0.8836*LN(BZ154)+0.284)</f>
        <v>62.512173207750834</v>
      </c>
      <c r="CB154" s="22">
        <f t="shared" ref="CB154:CB203" si="171">(BZ154+CA154)*0.475*44/12</f>
        <v>559.99155767016589</v>
      </c>
      <c r="CC154" s="62">
        <f t="shared" si="119"/>
        <v>853.32489100349926</v>
      </c>
      <c r="CD154" s="62">
        <f ca="1">AVERAGE(OFFSET($CC$3,0,0,'Données projet'!$E$12+1,1))-AVERAGE(OFFSET($H$3,0,0,'Données projet'!$E$12+1,1))</f>
        <v>213.07277043804817</v>
      </c>
      <c r="CE154" s="62">
        <f t="shared" si="148"/>
        <v>129.14539883354166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42.78320238316865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42.78320238316865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4.8666666666666663</v>
      </c>
      <c r="CT154" s="13">
        <f>IF('Données projet'!$A$140&gt;35,CT153+CS154-DB153,IF(A154&lt;'Données projet'!$A$140,$CQ$205^A154,IF(A154='Données projet'!$A$140,'Données projet'!$B$140,CT153+CS154-DB153)))</f>
        <v>286.26666666666659</v>
      </c>
      <c r="CU154" s="18">
        <f>CT154*VLOOKUP('Données projet'!$B$13,Paramètres!$A$1:$I$89,3,0)*VLOOKUP('Données projet'!$B$13,Paramètres!$A$1:$I$89,5,0)</f>
        <v>290.27439999999996</v>
      </c>
      <c r="CV154" s="14">
        <f t="shared" ref="CV154:CV203" si="173">EXP(-1.0587+0.8836*LN(CU154)+0.284)</f>
        <v>69.133710078848338</v>
      </c>
      <c r="CW154" s="22">
        <f t="shared" ref="CW154:CW203" si="174">(CU154+CV154)*0.475*44/12</f>
        <v>625.96912505399405</v>
      </c>
      <c r="CX154" s="62">
        <f t="shared" si="122"/>
        <v>919.30245838732731</v>
      </c>
      <c r="CY154" s="62">
        <f ca="1">AVERAGE(OFFSET($CX$3,0,0,'Données projet'!$E$13+1,1))-AVERAGE(OFFSET($H$3,0,0,'Données projet'!$E$13+1,1))</f>
        <v>247.92503505485405</v>
      </c>
      <c r="CZ154" s="62">
        <f t="shared" si="150"/>
        <v>148.26437652597514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47.946692325964861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47.946692325964861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3.7857142857142856</v>
      </c>
      <c r="DO154" s="13">
        <f>IF('Données projet'!$A$166&gt;35,DO153+DN154-DW153,IF(A154&lt;'Données projet'!$A$166,$DL$205^A154,IF(A154='Données projet'!$A$166,'Données projet'!$B$166,DO153+DN154-DW153)))</f>
        <v>170.35714285714309</v>
      </c>
      <c r="DP154" s="18">
        <f>DO154*VLOOKUP('Données projet'!$B$14,Paramètres!$A$1:$I$89,3,0)*VLOOKUP('Données projet'!$B$14,Paramètres!$A$1:$I$89,5,0)</f>
        <v>164.76942857142879</v>
      </c>
      <c r="DQ154" s="14">
        <f t="shared" ref="DQ154:DQ203" si="176">EXP(-1.0587+0.8836*LN(DP154)+0.284)</f>
        <v>41.916427405729678</v>
      </c>
      <c r="DR154" s="22">
        <f t="shared" ref="DR154:DR203" si="177">(DP154+DQ154)*0.475*44/12</f>
        <v>359.97786582688428</v>
      </c>
      <c r="DS154" s="62">
        <f t="shared" si="125"/>
        <v>653.3111991602176</v>
      </c>
      <c r="DT154" s="62">
        <f ca="1">AVERAGE(OFFSET($DS$3,0,0,'Données projet'!$E$14+1,1))-AVERAGE(OFFSET($H$3,0,0,'Données projet'!$E$14+1,1))</f>
        <v>154.0837760161366</v>
      </c>
      <c r="DU154" s="62">
        <f t="shared" si="152"/>
        <v>96.484500841546037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35.420855736882778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35.420855736882778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-5.6843418860808015E-14</v>
      </c>
      <c r="EK154" s="18">
        <f>EJ154*VLOOKUP('Données projet'!$B$15,Paramètres!$A$1:$I$89,3,0)*VLOOKUP('Données projet'!$B$15,Paramètres!$A$1:$I$89,5,0)</f>
        <v>-3.813056537183002E-14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205.35893113421139</v>
      </c>
      <c r="EP154" s="62">
        <f t="shared" si="154"/>
        <v>220.4399811285175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19.415271381850182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19.415271381850182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-5.6843418860808015E-14</v>
      </c>
      <c r="FF154" s="18">
        <f>FE154*VLOOKUP('Données projet'!$B$16,Paramètres!$A$1:$I$89,3,0)*VLOOKUP('Données projet'!$B$16,Paramètres!$A$1:$I$89,5,0)</f>
        <v>-4.4337866711430253E-14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242.81177364426878</v>
      </c>
      <c r="FK154" s="62">
        <f t="shared" si="156"/>
        <v>260.72115764896671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18.316293756462443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18.316293756462443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-5.6843418860808015E-14</v>
      </c>
      <c r="GA154" s="18">
        <f>FZ154*VLOOKUP('Données projet'!$B$17,Paramètres!$A$1:$I$89,3,0)*VLOOKUP('Données projet'!$B$17,Paramètres!$A$1:$I$89,5,0)</f>
        <v>-4.5224624045658861E-14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248.15263300983543</v>
      </c>
      <c r="GF154" s="62">
        <f t="shared" si="158"/>
        <v>266.46511459244618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23.027414894752528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23.027414894752528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382.55387448074327</v>
      </c>
      <c r="T155" s="62">
        <f t="shared" si="142"/>
        <v>476.29465646955543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41.846368155087504</v>
      </c>
      <c r="AA155" s="23">
        <f>EXP(-LN(2)/25)*AA154+(1-EXP(-LN(2)/25))/(LN(2)/25)*Calculateur!V155*Calculateur!X155*VLOOKUP('Données projet'!$B$9,Paramètres!$A$1:$I$89,3,0)*0.475*44/12</f>
        <v>5.0264330850173344</v>
      </c>
      <c r="AB155" s="23">
        <f>EXP(-LN(2)/2)*AB154+(1-EXP(-LN(2)/2))/(LN(2)/2)*V155*Y155*VLOOKUP('Données projet'!$B$9,Paramètres!$A$1:$I$89,3,0)*0.475*44/12</f>
        <v>8.003674224043677E-13</v>
      </c>
      <c r="AC155" s="24">
        <f t="shared" si="163"/>
        <v>46.872801240105638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-1.7053025658242404E-13</v>
      </c>
      <c r="AJ155" s="14">
        <f>AI155*VLOOKUP('Données projet'!$B$10,Paramètres!$A$1:$I$89,3,0)*VLOOKUP('Données projet'!$B$10,Paramètres!$A$1:$I$89,5,0)</f>
        <v>-1.064108801074326E-13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482.28841373508675</v>
      </c>
      <c r="AO155" s="62">
        <f t="shared" si="144"/>
        <v>746.97309214631684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78.240933254075543</v>
      </c>
      <c r="AV155" s="23">
        <f>EXP(-LN(2)/25)*AV154+(1-EXP(-LN(2)/25))/(LN(2)/25)*Calculateur!AQ155*Calculateur!AS155*VLOOKUP('Données projet'!$B$10,Paramètres!$A$1:$I$89,3,0)*0.475*44/12</f>
        <v>9.4247745950045427</v>
      </c>
      <c r="AW155" s="23">
        <f>EXP(-LN(2)/2)*AW154+(1-EXP(-LN(2)/2))/(LN(2)/2)*AQ155*AT155*VLOOKUP('Données projet'!$B$10,Paramètres!$A$1:$I$89,3,0)*0.475*44/12</f>
        <v>2.9895732732672754E-10</v>
      </c>
      <c r="AX155" s="23">
        <f t="shared" si="166"/>
        <v>87.665707849379046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-1.7053025658242404E-13</v>
      </c>
      <c r="BE155" s="14">
        <f>BD155*VLOOKUP('Données projet'!$B$11,Paramètres!$A$1:$I$89,3,0)*VLOOKUP('Données projet'!$B$11,Paramètres!$A$1:$I$89,5,0)</f>
        <v>-9.3109520094003535E-14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417.99456559608217</v>
      </c>
      <c r="BJ155" s="62">
        <f t="shared" si="146"/>
        <v>651.41353014863932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68.460816597316139</v>
      </c>
      <c r="BQ155" s="23">
        <f>EXP(-LN(2)/25)*BQ154+(1-EXP(-LN(2)/25))/(LN(2)/25)*Calculateur!BL155*Calculateur!BN155*VLOOKUP('Données projet'!$B$11,Paramètres!$A$1:$I$89,3,0)*0.475*44/12</f>
        <v>8.3448525059936021</v>
      </c>
      <c r="BR155" s="23">
        <f>EXP(-LN(2)/2)*BR154+(1-EXP(-LN(2)/2))/(LN(2)/2)*BL155*BO155*VLOOKUP('Données projet'!$B$11,Paramètres!$A$1:$I$89,3,0)*0.475*44/12</f>
        <v>2.5762421199556994E-10</v>
      </c>
      <c r="BS155" s="24">
        <f t="shared" si="169"/>
        <v>76.805669103567368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4.8666666666666663</v>
      </c>
      <c r="BY155" s="13">
        <f>IF('Données projet'!$A$114&gt;35,BY154+BX155-CG154,IF(A155&lt;'Données projet'!$A$114,$BV$205^A155,IF(A155='Données projet'!$A$114,'Données projet'!$B$114,BY154+BX155-CG154)))</f>
        <v>291.13333333333327</v>
      </c>
      <c r="BZ155" s="14">
        <f>BY155*VLOOKUP('Données projet'!$B$12,Paramètres!$A$1:$I$89,3,0)*VLOOKUP('Données projet'!$B$12,Paramètres!$A$1:$I$89,5,0)</f>
        <v>263.41743999999994</v>
      </c>
      <c r="CA155" s="14">
        <f t="shared" si="170"/>
        <v>63.450283511215474</v>
      </c>
      <c r="CB155" s="22">
        <f t="shared" si="171"/>
        <v>569.29461844870013</v>
      </c>
      <c r="CC155" s="62">
        <f t="shared" si="119"/>
        <v>862.62795178203351</v>
      </c>
      <c r="CD155" s="62">
        <f ca="1">AVERAGE(OFFSET($CC$3,0,0,'Données projet'!$E$12+1,1))-AVERAGE(OFFSET($H$3,0,0,'Données projet'!$E$12+1,1))</f>
        <v>213.07277043804817</v>
      </c>
      <c r="CE155" s="62">
        <f t="shared" si="148"/>
        <v>129.14539883354166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41.944249879611483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41.944249879611483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4.8666666666666663</v>
      </c>
      <c r="CT155" s="13">
        <f>IF('Données projet'!$A$140&gt;35,CT154+CS155-DB154,IF(A155&lt;'Données projet'!$A$140,$CQ$205^A155,IF(A155='Données projet'!$A$140,'Données projet'!$B$140,CT154+CS155-DB154)))</f>
        <v>291.13333333333327</v>
      </c>
      <c r="CU155" s="18">
        <f>CT155*VLOOKUP('Données projet'!$B$13,Paramètres!$A$1:$I$89,3,0)*VLOOKUP('Données projet'!$B$13,Paramètres!$A$1:$I$89,5,0)</f>
        <v>295.20919999999995</v>
      </c>
      <c r="CV155" s="14">
        <f t="shared" si="173"/>
        <v>70.171188739623233</v>
      </c>
      <c r="CW155" s="22">
        <f t="shared" si="174"/>
        <v>636.37084372151037</v>
      </c>
      <c r="CX155" s="62">
        <f t="shared" si="122"/>
        <v>929.70417705484374</v>
      </c>
      <c r="CY155" s="62">
        <f ca="1">AVERAGE(OFFSET($CX$3,0,0,'Données projet'!$E$13+1,1))-AVERAGE(OFFSET($H$3,0,0,'Données projet'!$E$13+1,1))</f>
        <v>247.92503505485405</v>
      </c>
      <c r="CZ155" s="62">
        <f t="shared" si="150"/>
        <v>148.26437652597514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47.006486934047345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47.006486934047345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3.7857142857142856</v>
      </c>
      <c r="DO155" s="13">
        <f>IF('Données projet'!$A$166&gt;35,DO154+DN155-DW154,IF(A155&lt;'Données projet'!$A$166,$DL$205^A155,IF(A155='Données projet'!$A$166,'Données projet'!$B$166,DO154+DN155-DW154)))</f>
        <v>174.14285714285737</v>
      </c>
      <c r="DP155" s="18">
        <f>DO155*VLOOKUP('Données projet'!$B$14,Paramètres!$A$1:$I$89,3,0)*VLOOKUP('Données projet'!$B$14,Paramètres!$A$1:$I$89,5,0)</f>
        <v>168.43097142857164</v>
      </c>
      <c r="DQ155" s="14">
        <f t="shared" si="176"/>
        <v>42.73842396449394</v>
      </c>
      <c r="DR155" s="22">
        <f t="shared" si="177"/>
        <v>367.78669697625583</v>
      </c>
      <c r="DS155" s="62">
        <f t="shared" si="125"/>
        <v>661.12003030958908</v>
      </c>
      <c r="DT155" s="62">
        <f ca="1">AVERAGE(OFFSET($DS$3,0,0,'Données projet'!$E$14+1,1))-AVERAGE(OFFSET($H$3,0,0,'Données projet'!$E$14+1,1))</f>
        <v>154.0837760161366</v>
      </c>
      <c r="DU155" s="62">
        <f t="shared" si="152"/>
        <v>96.484500841546037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34.72627436047123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34.72627436047123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-5.6843418860808015E-14</v>
      </c>
      <c r="EK155" s="18">
        <f>EJ155*VLOOKUP('Données projet'!$B$15,Paramètres!$A$1:$I$89,3,0)*VLOOKUP('Données projet'!$B$15,Paramètres!$A$1:$I$89,5,0)</f>
        <v>-3.813056537183002E-14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205.35893113421139</v>
      </c>
      <c r="EP155" s="62">
        <f t="shared" si="154"/>
        <v>220.4399811285175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19.034549752198327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19.034549752198327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-5.6843418860808015E-14</v>
      </c>
      <c r="FF155" s="18">
        <f>FE155*VLOOKUP('Données projet'!$B$16,Paramètres!$A$1:$I$89,3,0)*VLOOKUP('Données projet'!$B$16,Paramètres!$A$1:$I$89,5,0)</f>
        <v>-4.4337866711430253E-14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242.81177364426878</v>
      </c>
      <c r="FK155" s="62">
        <f t="shared" si="156"/>
        <v>260.72115764896671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17.957122407734278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17.957122407734278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-5.6843418860808015E-14</v>
      </c>
      <c r="GA155" s="18">
        <f>FZ155*VLOOKUP('Données projet'!$B$17,Paramètres!$A$1:$I$89,3,0)*VLOOKUP('Données projet'!$B$17,Paramètres!$A$1:$I$89,5,0)</f>
        <v>-4.5224624045658861E-14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248.15263300983543</v>
      </c>
      <c r="GF155" s="62">
        <f t="shared" si="158"/>
        <v>266.46511459244618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22.575861334002656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22.575861334002656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382.55387448074327</v>
      </c>
      <c r="T156" s="62">
        <f t="shared" si="142"/>
        <v>476.29465646955543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41.025786399330549</v>
      </c>
      <c r="AA156" s="23">
        <f>EXP(-LN(2)/25)*AA155+(1-EXP(-LN(2)/25))/(LN(2)/25)*Calculateur!V156*Calculateur!X156*VLOOKUP('Données projet'!$B$9,Paramètres!$A$1:$I$89,3,0)*0.475*44/12</f>
        <v>4.8889850079789072</v>
      </c>
      <c r="AB156" s="23">
        <f>EXP(-LN(2)/2)*AB155+(1-EXP(-LN(2)/2))/(LN(2)/2)*V156*Y156*VLOOKUP('Données projet'!$B$9,Paramètres!$A$1:$I$89,3,0)*0.475*44/12</f>
        <v>5.6594523182292628E-13</v>
      </c>
      <c r="AC156" s="24">
        <f t="shared" si="163"/>
        <v>45.914771407310027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-1.7053025658242404E-13</v>
      </c>
      <c r="AJ156" s="14">
        <f>AI156*VLOOKUP('Données projet'!$B$10,Paramètres!$A$1:$I$89,3,0)*VLOOKUP('Données projet'!$B$10,Paramètres!$A$1:$I$89,5,0)</f>
        <v>-1.064108801074326E-13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482.28841373508675</v>
      </c>
      <c r="AO156" s="62">
        <f t="shared" si="144"/>
        <v>746.97309214631684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76.706676275220218</v>
      </c>
      <c r="AV156" s="23">
        <f>EXP(-LN(2)/25)*AV155+(1-EXP(-LN(2)/25))/(LN(2)/25)*Calculateur!AQ156*Calculateur!AS156*VLOOKUP('Données projet'!$B$10,Paramètres!$A$1:$I$89,3,0)*0.475*44/12</f>
        <v>9.1670536380767889</v>
      </c>
      <c r="AW156" s="23">
        <f>EXP(-LN(2)/2)*AW155+(1-EXP(-LN(2)/2))/(LN(2)/2)*AQ156*AT156*VLOOKUP('Données projet'!$B$10,Paramètres!$A$1:$I$89,3,0)*0.475*44/12</f>
        <v>2.113947534381354E-10</v>
      </c>
      <c r="AX156" s="23">
        <f t="shared" si="166"/>
        <v>85.873729913508413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-1.7053025658242404E-13</v>
      </c>
      <c r="BE156" s="14">
        <f>BD156*VLOOKUP('Données projet'!$B$11,Paramètres!$A$1:$I$89,3,0)*VLOOKUP('Données projet'!$B$11,Paramètres!$A$1:$I$89,5,0)</f>
        <v>-9.3109520094003535E-14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417.99456559608217</v>
      </c>
      <c r="BJ156" s="62">
        <f t="shared" si="146"/>
        <v>651.41353014863932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67.118341740817741</v>
      </c>
      <c r="BQ156" s="23">
        <f>EXP(-LN(2)/25)*BQ155+(1-EXP(-LN(2)/25))/(LN(2)/25)*Calculateur!BL156*Calculateur!BN156*VLOOKUP('Données projet'!$B$11,Paramètres!$A$1:$I$89,3,0)*0.475*44/12</f>
        <v>8.1166620753804857</v>
      </c>
      <c r="BR156" s="23">
        <f>EXP(-LN(2)/2)*BR155+(1-EXP(-LN(2)/2))/(LN(2)/2)*BL156*BO156*VLOOKUP('Données projet'!$B$11,Paramètres!$A$1:$I$89,3,0)*0.475*44/12</f>
        <v>1.8216782729990821E-10</v>
      </c>
      <c r="BS156" s="24">
        <f t="shared" si="169"/>
        <v>75.235003816380399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>
        <f>VLOOKUP(A156,'Données projet'!$A$113:$I$133,2,0)</f>
        <v>296</v>
      </c>
      <c r="BW156" s="13">
        <f>VLOOKUP(A156,'Données projet'!$A$113:$I$133,9,0)</f>
        <v>4.8666666666666663</v>
      </c>
      <c r="BX156" s="13">
        <f t="array" ref="BX156">INDEX(BW:BW,MIN(IF(ISNUMBER(BW156:BW352),ROW(BW156:BW352),"")))</f>
        <v>4.8666666666666663</v>
      </c>
      <c r="BY156" s="13">
        <f>IF('Données projet'!$A$114&gt;35,BY155+BX156-CG155,IF(A156&lt;'Données projet'!$A$114,$BV$205^A156,IF(A156='Données projet'!$A$114,'Données projet'!$B$114,BY155+BX156-CG155)))</f>
        <v>295.99999999999994</v>
      </c>
      <c r="BZ156" s="14">
        <f>BY156*VLOOKUP('Données projet'!$B$12,Paramètres!$A$1:$I$89,3,0)*VLOOKUP('Données projet'!$B$12,Paramètres!$A$1:$I$89,5,0)</f>
        <v>267.82079999999991</v>
      </c>
      <c r="CA156" s="14">
        <f t="shared" si="170"/>
        <v>64.386570147897302</v>
      </c>
      <c r="CB156" s="22">
        <f t="shared" si="171"/>
        <v>578.5945030075876</v>
      </c>
      <c r="CC156" s="62">
        <f t="shared" si="119"/>
        <v>871.92783634092098</v>
      </c>
      <c r="CD156" s="62">
        <f ca="1">AVERAGE(OFFSET($CC$3,0,0,'Données projet'!$E$12+1,1))-AVERAGE(OFFSET($H$3,0,0,'Données projet'!$E$12+1,1))</f>
        <v>213.07277043804817</v>
      </c>
      <c r="CE156" s="62">
        <f t="shared" si="148"/>
        <v>129.14539883354166</v>
      </c>
      <c r="CF156" s="16" t="str">
        <f>IF(ISNA(VLOOKUP(A156,'Données projet'!$A$113:$I$133,3,0)),0,VLOOKUP(A156,'Données projet'!$A$113:$I$133,3,0))</f>
        <v>CR</v>
      </c>
      <c r="CG156" s="16">
        <f>IF(ISNA(VLOOKUP(A156,'Données projet'!$A$113:$I$133,4,0)),0,VLOOKUP(A156,'Données projet'!$A$113:$I$133,4,0))</f>
        <v>296</v>
      </c>
      <c r="CH156" s="17">
        <f>IF(ISNA(VLOOKUP(A156,'Données projet'!$A$113:$I$133,5,0)),0%,VLOOKUP(A156,'Données projet'!$A$113:$I$133,5,0)*VLOOKUP('Données projet'!$B$12,Paramètres!$A$1:$I$89,7,0))</f>
        <v>0.38700000000000001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155.70004979356926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155.70004979356926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>
        <f>VLOOKUP(A156,'Données projet'!$A$139:$I$159,2,0)</f>
        <v>296</v>
      </c>
      <c r="CR156" s="13">
        <f>VLOOKUP(A156,'Données projet'!$A$139:$I$159,9,0)</f>
        <v>4.8666666666666663</v>
      </c>
      <c r="CS156" s="13">
        <f t="array" ref="CS156">INDEX(CR:CR,MIN(IF(ISNUMBER(CR156:CR352),ROW(CR156:CR352),"")))</f>
        <v>4.8666666666666663</v>
      </c>
      <c r="CT156" s="13">
        <f>IF('Données projet'!$A$140&gt;35,CT155+CS156-DB155,IF(A156&lt;'Données projet'!$A$140,$CQ$205^A156,IF(A156='Données projet'!$A$140,'Données projet'!$B$140,CT155+CS156-DB155)))</f>
        <v>295.99999999999994</v>
      </c>
      <c r="CU156" s="18">
        <f>CT156*VLOOKUP('Données projet'!$B$13,Paramètres!$A$1:$I$89,3,0)*VLOOKUP('Données projet'!$B$13,Paramètres!$A$1:$I$89,5,0)</f>
        <v>300.14399999999995</v>
      </c>
      <c r="CV156" s="14">
        <f t="shared" si="173"/>
        <v>71.206650563609855</v>
      </c>
      <c r="CW156" s="22">
        <f t="shared" si="174"/>
        <v>646.76904973162038</v>
      </c>
      <c r="CX156" s="62">
        <f t="shared" si="122"/>
        <v>940.10238306495376</v>
      </c>
      <c r="CY156" s="62">
        <f ca="1">AVERAGE(OFFSET($CX$3,0,0,'Données projet'!$E$13+1,1))-AVERAGE(OFFSET($H$3,0,0,'Données projet'!$E$13+1,1))</f>
        <v>247.92503505485405</v>
      </c>
      <c r="CZ156" s="62">
        <f t="shared" si="150"/>
        <v>148.26437652597514</v>
      </c>
      <c r="DA156" s="16" t="str">
        <f>IF(ISNA(VLOOKUP(A156,'Données projet'!$A$139:$I$159,3,0)),0,VLOOKUP(A156,'Données projet'!$A$139:$I$159,3,0))</f>
        <v>CR</v>
      </c>
      <c r="DB156" s="16">
        <f>IF(ISNA(VLOOKUP(A156,'Données projet'!$A$139:$I$159,4,0)),0,VLOOKUP(A156,'Données projet'!$A$139:$I$159,4,0))</f>
        <v>296</v>
      </c>
      <c r="DC156" s="17">
        <f>IF(ISNA(VLOOKUP(A156,'Données projet'!$A$139:$I$159,5,0)),0%,VLOOKUP(A156,'Données projet'!$A$139:$I$159,5,0)*VLOOKUP('Données projet'!$B$13,Paramètres!$A$1:$I$89,7,0))</f>
        <v>0.38700000000000001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174.49143511348279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174.49143511348279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3.7857142857142856</v>
      </c>
      <c r="DO156" s="13">
        <f>IF('Données projet'!$A$166&gt;35,DO155+DN156-DW155,IF(A156&lt;'Données projet'!$A$166,$DL$205^A156,IF(A156='Données projet'!$A$166,'Données projet'!$B$166,DO155+DN156-DW155)))</f>
        <v>177.92857142857164</v>
      </c>
      <c r="DP156" s="18">
        <f>DO156*VLOOKUP('Données projet'!$B$14,Paramètres!$A$1:$I$89,3,0)*VLOOKUP('Données projet'!$B$14,Paramètres!$A$1:$I$89,5,0)</f>
        <v>172.09251428571451</v>
      </c>
      <c r="DQ156" s="14">
        <f t="shared" si="176"/>
        <v>43.558342971056639</v>
      </c>
      <c r="DR156" s="22">
        <f t="shared" si="177"/>
        <v>375.59190972220972</v>
      </c>
      <c r="DS156" s="62">
        <f t="shared" si="125"/>
        <v>668.92524305554298</v>
      </c>
      <c r="DT156" s="62">
        <f ca="1">AVERAGE(OFFSET($DS$3,0,0,'Données projet'!$E$14+1,1))-AVERAGE(OFFSET($H$3,0,0,'Données projet'!$E$14+1,1))</f>
        <v>154.0837760161366</v>
      </c>
      <c r="DU156" s="62">
        <f t="shared" si="152"/>
        <v>96.484500841546037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34.045313301198306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34.045313301198306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-5.6843418860808015E-14</v>
      </c>
      <c r="EK156" s="18">
        <f>EJ156*VLOOKUP('Données projet'!$B$15,Paramètres!$A$1:$I$89,3,0)*VLOOKUP('Données projet'!$B$15,Paramètres!$A$1:$I$89,5,0)</f>
        <v>-3.813056537183002E-14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205.35893113421139</v>
      </c>
      <c r="EP156" s="62">
        <f t="shared" si="154"/>
        <v>220.4399811285175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18.661293841486682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18.661293841486682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-5.6843418860808015E-14</v>
      </c>
      <c r="FF156" s="18">
        <f>FE156*VLOOKUP('Données projet'!$B$16,Paramètres!$A$1:$I$89,3,0)*VLOOKUP('Données projet'!$B$16,Paramètres!$A$1:$I$89,5,0)</f>
        <v>-4.4337866711430253E-14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242.81177364426878</v>
      </c>
      <c r="FK156" s="62">
        <f t="shared" si="156"/>
        <v>260.72115764896671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17.604994190081783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17.604994190081783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-5.6843418860808015E-14</v>
      </c>
      <c r="GA156" s="18">
        <f>FZ156*VLOOKUP('Données projet'!$B$17,Paramètres!$A$1:$I$89,3,0)*VLOOKUP('Données projet'!$B$17,Paramètres!$A$1:$I$89,5,0)</f>
        <v>-4.5224624045658861E-14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248.15263300983543</v>
      </c>
      <c r="GF156" s="62">
        <f t="shared" si="158"/>
        <v>266.46511459244618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22.133162463158612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22.133162463158612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382.55387448074327</v>
      </c>
      <c r="T157" s="62">
        <f t="shared" si="142"/>
        <v>476.29465646955543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40.221295751298541</v>
      </c>
      <c r="AA157" s="23">
        <f>EXP(-LN(2)/25)*AA156+(1-EXP(-LN(2)/25))/(LN(2)/25)*Calculateur!V157*Calculateur!X157*VLOOKUP('Données projet'!$B$9,Paramètres!$A$1:$I$89,3,0)*0.475*44/12</f>
        <v>4.7552954558351761</v>
      </c>
      <c r="AB157" s="23">
        <f>EXP(-LN(2)/2)*AB156+(1-EXP(-LN(2)/2))/(LN(2)/2)*V157*Y157*VLOOKUP('Données projet'!$B$9,Paramètres!$A$1:$I$89,3,0)*0.475*44/12</f>
        <v>4.0018371120218385E-13</v>
      </c>
      <c r="AC157" s="24">
        <f t="shared" si="163"/>
        <v>44.976591207134113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-1.7053025658242404E-13</v>
      </c>
      <c r="AJ157" s="14">
        <f>AI157*VLOOKUP('Données projet'!$B$10,Paramètres!$A$1:$I$89,3,0)*VLOOKUP('Données projet'!$B$10,Paramètres!$A$1:$I$89,5,0)</f>
        <v>-1.064108801074326E-13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482.28841373508675</v>
      </c>
      <c r="AO157" s="62">
        <f t="shared" si="144"/>
        <v>746.97309214631684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75.2025051399159</v>
      </c>
      <c r="AV157" s="23">
        <f>EXP(-LN(2)/25)*AV156+(1-EXP(-LN(2)/25))/(LN(2)/25)*Calculateur!AQ157*Calculateur!AS157*VLOOKUP('Données projet'!$B$10,Paramètres!$A$1:$I$89,3,0)*0.475*44/12</f>
        <v>8.9163800742691794</v>
      </c>
      <c r="AW157" s="23">
        <f>EXP(-LN(2)/2)*AW156+(1-EXP(-LN(2)/2))/(LN(2)/2)*AQ157*AT157*VLOOKUP('Données projet'!$B$10,Paramètres!$A$1:$I$89,3,0)*0.475*44/12</f>
        <v>1.4947866366336377E-10</v>
      </c>
      <c r="AX157" s="23">
        <f t="shared" si="166"/>
        <v>84.118885214334568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-1.7053025658242404E-13</v>
      </c>
      <c r="BE157" s="14">
        <f>BD157*VLOOKUP('Données projet'!$B$11,Paramètres!$A$1:$I$89,3,0)*VLOOKUP('Données projet'!$B$11,Paramètres!$A$1:$I$89,5,0)</f>
        <v>-9.3109520094003535E-14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417.99456559608217</v>
      </c>
      <c r="BJ157" s="62">
        <f t="shared" si="146"/>
        <v>651.41353014863932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65.802191997426462</v>
      </c>
      <c r="BQ157" s="23">
        <f>EXP(-LN(2)/25)*BQ156+(1-EXP(-LN(2)/25))/(LN(2)/25)*Calculateur!BL157*Calculateur!BN157*VLOOKUP('Données projet'!$B$11,Paramètres!$A$1:$I$89,3,0)*0.475*44/12</f>
        <v>7.8947115240924983</v>
      </c>
      <c r="BR157" s="23">
        <f>EXP(-LN(2)/2)*BR156+(1-EXP(-LN(2)/2))/(LN(2)/2)*BL157*BO157*VLOOKUP('Données projet'!$B$11,Paramètres!$A$1:$I$89,3,0)*0.475*44/12</f>
        <v>1.2881210599778497E-10</v>
      </c>
      <c r="BS157" s="24">
        <f t="shared" si="169"/>
        <v>73.696903521647769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-5.1431925385259088E-14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213.07277043804817</v>
      </c>
      <c r="CE157" s="62">
        <f t="shared" si="148"/>
        <v>129.14539883354166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152.64686678477048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152.64686678477048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-5.7639226724859328E-14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247.92503505485405</v>
      </c>
      <c r="CZ157" s="62">
        <f t="shared" si="150"/>
        <v>148.26437652597514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171.06976450017379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171.06976450017379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3.7857142857142856</v>
      </c>
      <c r="DO157" s="13">
        <f>IF('Données projet'!$A$166&gt;35,DO156+DN157-DW156,IF(A157&lt;'Données projet'!$A$166,$DL$205^A157,IF(A157='Données projet'!$A$166,'Données projet'!$B$166,DO156+DN157-DW156)))</f>
        <v>181.71428571428592</v>
      </c>
      <c r="DP157" s="18">
        <f>DO157*VLOOKUP('Données projet'!$B$14,Paramètres!$A$1:$I$89,3,0)*VLOOKUP('Données projet'!$B$14,Paramètres!$A$1:$I$89,5,0)</f>
        <v>175.75405714285736</v>
      </c>
      <c r="DQ157" s="14">
        <f t="shared" si="176"/>
        <v>44.37623372036618</v>
      </c>
      <c r="DR157" s="22">
        <f t="shared" si="177"/>
        <v>383.39358992011427</v>
      </c>
      <c r="DS157" s="62">
        <f t="shared" si="125"/>
        <v>676.72692325344758</v>
      </c>
      <c r="DT157" s="62">
        <f ca="1">AVERAGE(OFFSET($DS$3,0,0,'Données projet'!$E$14+1,1))-AVERAGE(OFFSET($H$3,0,0,'Données projet'!$E$14+1,1))</f>
        <v>154.0837760161366</v>
      </c>
      <c r="DU157" s="62">
        <f t="shared" si="152"/>
        <v>96.484500841546037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33.377705472952492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33.377705472952492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-5.6843418860808015E-14</v>
      </c>
      <c r="EK157" s="18">
        <f>EJ157*VLOOKUP('Données projet'!$B$15,Paramètres!$A$1:$I$89,3,0)*VLOOKUP('Données projet'!$B$15,Paramètres!$A$1:$I$89,5,0)</f>
        <v>-3.813056537183002E-14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205.35893113421139</v>
      </c>
      <c r="EP157" s="62">
        <f t="shared" si="154"/>
        <v>220.4399811285175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18.295357251520468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18.295357251520468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-5.6843418860808015E-14</v>
      </c>
      <c r="FF157" s="18">
        <f>FE157*VLOOKUP('Données projet'!$B$16,Paramètres!$A$1:$I$89,3,0)*VLOOKUP('Données projet'!$B$16,Paramètres!$A$1:$I$89,5,0)</f>
        <v>-4.4337866711430253E-14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242.81177364426878</v>
      </c>
      <c r="FK157" s="62">
        <f t="shared" si="156"/>
        <v>260.72115764896671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17.259770992000448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17.259770992000448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-5.6843418860808015E-14</v>
      </c>
      <c r="GA157" s="18">
        <f>FZ157*VLOOKUP('Données projet'!$B$17,Paramètres!$A$1:$I$89,3,0)*VLOOKUP('Données projet'!$B$17,Paramètres!$A$1:$I$89,5,0)</f>
        <v>-4.5224624045658861E-14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248.15263300983543</v>
      </c>
      <c r="GF157" s="62">
        <f t="shared" si="158"/>
        <v>266.46511459244618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21.699144647152171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21.699144647152171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382.55387448074327</v>
      </c>
      <c r="T158" s="62">
        <f t="shared" si="142"/>
        <v>476.29465646955543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39.432580674183598</v>
      </c>
      <c r="AA158" s="23">
        <f>EXP(-LN(2)/25)*AA157+(1-EXP(-LN(2)/25))/(LN(2)/25)*Calculateur!V158*Calculateur!X158*VLOOKUP('Données projet'!$B$9,Paramètres!$A$1:$I$89,3,0)*0.475*44/12</f>
        <v>4.6252616515252436</v>
      </c>
      <c r="AB158" s="23">
        <f>EXP(-LN(2)/2)*AB157+(1-EXP(-LN(2)/2))/(LN(2)/2)*V158*Y158*VLOOKUP('Données projet'!$B$9,Paramètres!$A$1:$I$89,3,0)*0.475*44/12</f>
        <v>2.8297261591146314E-13</v>
      </c>
      <c r="AC158" s="24">
        <f t="shared" si="163"/>
        <v>44.057842325709125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-1.7053025658242404E-13</v>
      </c>
      <c r="AJ158" s="14">
        <f>AI158*VLOOKUP('Données projet'!$B$10,Paramètres!$A$1:$I$89,3,0)*VLOOKUP('Données projet'!$B$10,Paramètres!$A$1:$I$89,5,0)</f>
        <v>-1.064108801074326E-13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482.28841373508675</v>
      </c>
      <c r="AO158" s="62">
        <f t="shared" si="144"/>
        <v>746.97309214631684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73.727829883121103</v>
      </c>
      <c r="AV158" s="23">
        <f>EXP(-LN(2)/25)*AV157+(1-EXP(-LN(2)/25))/(LN(2)/25)*Calculateur!AQ158*Calculateur!AS158*VLOOKUP('Données projet'!$B$10,Paramètres!$A$1:$I$89,3,0)*0.475*44/12</f>
        <v>8.6725611922462384</v>
      </c>
      <c r="AW158" s="23">
        <f>EXP(-LN(2)/2)*AW157+(1-EXP(-LN(2)/2))/(LN(2)/2)*AQ158*AT158*VLOOKUP('Données projet'!$B$10,Paramètres!$A$1:$I$89,3,0)*0.475*44/12</f>
        <v>1.056973767190677E-10</v>
      </c>
      <c r="AX158" s="23">
        <f t="shared" si="166"/>
        <v>82.400391075473038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-1.7053025658242404E-13</v>
      </c>
      <c r="BE158" s="14">
        <f>BD158*VLOOKUP('Données projet'!$B$11,Paramètres!$A$1:$I$89,3,0)*VLOOKUP('Données projet'!$B$11,Paramètres!$A$1:$I$89,5,0)</f>
        <v>-9.3109520094003535E-14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417.99456559608217</v>
      </c>
      <c r="BJ158" s="62">
        <f t="shared" si="146"/>
        <v>651.41353014863932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64.511851147731008</v>
      </c>
      <c r="BQ158" s="23">
        <f>EXP(-LN(2)/25)*BQ157+(1-EXP(-LN(2)/25))/(LN(2)/25)*Calculateur!BL158*Calculateur!BN158*VLOOKUP('Données projet'!$B$11,Paramètres!$A$1:$I$89,3,0)*0.475*44/12</f>
        <v>7.6788302223013538</v>
      </c>
      <c r="BR158" s="23">
        <f>EXP(-LN(2)/2)*BR157+(1-EXP(-LN(2)/2))/(LN(2)/2)*BL158*BO158*VLOOKUP('Données projet'!$B$11,Paramètres!$A$1:$I$89,3,0)*0.475*44/12</f>
        <v>9.1083913649954104E-11</v>
      </c>
      <c r="BS158" s="24">
        <f t="shared" si="169"/>
        <v>72.190681370123443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-5.1431925385259088E-14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213.07277043804817</v>
      </c>
      <c r="CE158" s="62">
        <f t="shared" si="148"/>
        <v>129.14539883354166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149.65355483251648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149.65355483251648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-5.7639226724859328E-14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247.92503505485405</v>
      </c>
      <c r="CZ158" s="62">
        <f t="shared" si="150"/>
        <v>148.26437652597514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167.71519076057879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167.71519076057879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3.7857142857142856</v>
      </c>
      <c r="DO158" s="13">
        <f>IF('Données projet'!$A$166&gt;35,DO157+DN158-DW157,IF(A158&lt;'Données projet'!$A$166,$DL$205^A158,IF(A158='Données projet'!$A$166,'Données projet'!$B$166,DO157+DN158-DW157)))</f>
        <v>185.5000000000002</v>
      </c>
      <c r="DP158" s="18">
        <f>DO158*VLOOKUP('Données projet'!$B$14,Paramètres!$A$1:$I$89,3,0)*VLOOKUP('Données projet'!$B$14,Paramètres!$A$1:$I$89,5,0)</f>
        <v>179.41560000000018</v>
      </c>
      <c r="DQ158" s="14">
        <f t="shared" si="176"/>
        <v>45.19214333603631</v>
      </c>
      <c r="DR158" s="22">
        <f t="shared" si="177"/>
        <v>391.19181964359683</v>
      </c>
      <c r="DS158" s="62">
        <f t="shared" si="125"/>
        <v>684.52515297693014</v>
      </c>
      <c r="DT158" s="62">
        <f ca="1">AVERAGE(OFFSET($DS$3,0,0,'Données projet'!$E$14+1,1))-AVERAGE(OFFSET($H$3,0,0,'Données projet'!$E$14+1,1))</f>
        <v>154.0837760161366</v>
      </c>
      <c r="DU158" s="62">
        <f t="shared" si="152"/>
        <v>96.484500841546037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32.723189027018009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32.723189027018009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-5.6843418860808015E-14</v>
      </c>
      <c r="EK158" s="18">
        <f>EJ158*VLOOKUP('Données projet'!$B$15,Paramètres!$A$1:$I$89,3,0)*VLOOKUP('Données projet'!$B$15,Paramètres!$A$1:$I$89,5,0)</f>
        <v>-3.813056537183002E-14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205.35893113421139</v>
      </c>
      <c r="EP158" s="62">
        <f t="shared" si="154"/>
        <v>220.4399811285175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17.93659645488421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17.93659645488421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-5.6843418860808015E-14</v>
      </c>
      <c r="FF158" s="18">
        <f>FE158*VLOOKUP('Données projet'!$B$16,Paramètres!$A$1:$I$89,3,0)*VLOOKUP('Données projet'!$B$16,Paramètres!$A$1:$I$89,5,0)</f>
        <v>-4.4337866711430253E-14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242.81177364426878</v>
      </c>
      <c r="FK158" s="62">
        <f t="shared" si="156"/>
        <v>260.72115764896671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16.921317410268127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16.921317410268127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-5.6843418860808015E-14</v>
      </c>
      <c r="GA158" s="18">
        <f>FZ158*VLOOKUP('Données projet'!$B$17,Paramètres!$A$1:$I$89,3,0)*VLOOKUP('Données projet'!$B$17,Paramètres!$A$1:$I$89,5,0)</f>
        <v>-4.5224624045658861E-14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248.15263300983543</v>
      </c>
      <c r="GF158" s="62">
        <f t="shared" si="158"/>
        <v>266.46511459244618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21.273637655792886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21.273637655792886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382.55387448074327</v>
      </c>
      <c r="T159" s="62">
        <f t="shared" si="142"/>
        <v>476.29465646955543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38.659331818662181</v>
      </c>
      <c r="AA159" s="23">
        <f>EXP(-LN(2)/25)*AA158+(1-EXP(-LN(2)/25))/(LN(2)/25)*Calculateur!V159*Calculateur!X159*VLOOKUP('Données projet'!$B$9,Paramètres!$A$1:$I$89,3,0)*0.475*44/12</f>
        <v>4.4987836284323466</v>
      </c>
      <c r="AB159" s="23">
        <f>EXP(-LN(2)/2)*AB158+(1-EXP(-LN(2)/2))/(LN(2)/2)*V159*Y159*VLOOKUP('Données projet'!$B$9,Paramètres!$A$1:$I$89,3,0)*0.475*44/12</f>
        <v>2.0009185560109193E-13</v>
      </c>
      <c r="AC159" s="24">
        <f t="shared" si="163"/>
        <v>43.15811544709473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-1.7053025658242404E-13</v>
      </c>
      <c r="AJ159" s="14">
        <f>AI159*VLOOKUP('Données projet'!$B$10,Paramètres!$A$1:$I$89,3,0)*VLOOKUP('Données projet'!$B$10,Paramètres!$A$1:$I$89,5,0)</f>
        <v>-1.064108801074326E-13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482.28841373508675</v>
      </c>
      <c r="AO159" s="62">
        <f t="shared" si="144"/>
        <v>746.97309214631684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72.282072108648961</v>
      </c>
      <c r="AV159" s="23">
        <f>EXP(-LN(2)/25)*AV158+(1-EXP(-LN(2)/25))/(LN(2)/25)*Calculateur!AQ159*Calculateur!AS159*VLOOKUP('Données projet'!$B$10,Paramètres!$A$1:$I$89,3,0)*0.475*44/12</f>
        <v>8.4354095503740929</v>
      </c>
      <c r="AW159" s="23">
        <f>EXP(-LN(2)/2)*AW158+(1-EXP(-LN(2)/2))/(LN(2)/2)*AQ159*AT159*VLOOKUP('Données projet'!$B$10,Paramètres!$A$1:$I$89,3,0)*0.475*44/12</f>
        <v>7.4739331831681884E-11</v>
      </c>
      <c r="AX159" s="23">
        <f t="shared" si="166"/>
        <v>80.717481659097785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-1.7053025658242404E-13</v>
      </c>
      <c r="BE159" s="14">
        <f>BD159*VLOOKUP('Données projet'!$B$11,Paramètres!$A$1:$I$89,3,0)*VLOOKUP('Données projet'!$B$11,Paramètres!$A$1:$I$89,5,0)</f>
        <v>-9.3109520094003535E-14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417.99456559608217</v>
      </c>
      <c r="BJ159" s="62">
        <f t="shared" si="146"/>
        <v>651.41353014863932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63.246813095067878</v>
      </c>
      <c r="BQ159" s="23">
        <f>EXP(-LN(2)/25)*BQ158+(1-EXP(-LN(2)/25))/(LN(2)/25)*Calculateur!BL159*Calculateur!BN159*VLOOKUP('Données projet'!$B$11,Paramètres!$A$1:$I$89,3,0)*0.475*44/12</f>
        <v>7.4688522060603919</v>
      </c>
      <c r="BR159" s="23">
        <f>EXP(-LN(2)/2)*BR158+(1-EXP(-LN(2)/2))/(LN(2)/2)*BL159*BO159*VLOOKUP('Données projet'!$B$11,Paramètres!$A$1:$I$89,3,0)*0.475*44/12</f>
        <v>6.4406052998892486E-11</v>
      </c>
      <c r="BS159" s="24">
        <f t="shared" si="169"/>
        <v>70.715665301192672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-5.1431925385259088E-14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213.07277043804817</v>
      </c>
      <c r="CE159" s="62">
        <f t="shared" si="148"/>
        <v>129.14539883354166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146.71893990190617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146.71893990190617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-5.7639226724859328E-14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247.92503505485405</v>
      </c>
      <c r="CZ159" s="62">
        <f t="shared" si="150"/>
        <v>148.26437652597514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164.4263981659293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164.4263981659293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3.7857142857142856</v>
      </c>
      <c r="DO159" s="13">
        <f>IF('Données projet'!$A$166&gt;35,DO158+DN159-DW158,IF(A159&lt;'Données projet'!$A$166,$DL$205^A159,IF(A159='Données projet'!$A$166,'Données projet'!$B$166,DO158+DN159-DW158)))</f>
        <v>189.28571428571448</v>
      </c>
      <c r="DP159" s="18">
        <f>DO159*VLOOKUP('Données projet'!$B$14,Paramètres!$A$1:$I$89,3,0)*VLOOKUP('Données projet'!$B$14,Paramètres!$A$1:$I$89,5,0)</f>
        <v>183.07714285714306</v>
      </c>
      <c r="DQ159" s="14">
        <f t="shared" si="176"/>
        <v>46.006116908317274</v>
      </c>
      <c r="DR159" s="22">
        <f t="shared" si="177"/>
        <v>398.98667742484344</v>
      </c>
      <c r="DS159" s="62">
        <f t="shared" si="125"/>
        <v>692.32001075817675</v>
      </c>
      <c r="DT159" s="62">
        <f ca="1">AVERAGE(OFFSET($DS$3,0,0,'Données projet'!$E$14+1,1))-AVERAGE(OFFSET($H$3,0,0,'Données projet'!$E$14+1,1))</f>
        <v>154.0837760161366</v>
      </c>
      <c r="DU159" s="62">
        <f t="shared" si="152"/>
        <v>96.484500841546037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32.081507249372684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32.081507249372684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-5.6843418860808015E-14</v>
      </c>
      <c r="EK159" s="18">
        <f>EJ159*VLOOKUP('Données projet'!$B$15,Paramètres!$A$1:$I$89,3,0)*VLOOKUP('Données projet'!$B$15,Paramètres!$A$1:$I$89,5,0)</f>
        <v>-3.813056537183002E-14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205.35893113421139</v>
      </c>
      <c r="EP159" s="62">
        <f t="shared" si="154"/>
        <v>220.4399811285175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17.58487073864751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17.58487073864751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-5.6843418860808015E-14</v>
      </c>
      <c r="FF159" s="18">
        <f>FE159*VLOOKUP('Données projet'!$B$16,Paramètres!$A$1:$I$89,3,0)*VLOOKUP('Données projet'!$B$16,Paramètres!$A$1:$I$89,5,0)</f>
        <v>-4.4337866711430253E-14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242.81177364426878</v>
      </c>
      <c r="FK159" s="62">
        <f t="shared" si="156"/>
        <v>260.72115764896671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16.589500696837277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16.589500696837277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-5.6843418860808015E-14</v>
      </c>
      <c r="GA159" s="18">
        <f>FZ159*VLOOKUP('Données projet'!$B$17,Paramètres!$A$1:$I$89,3,0)*VLOOKUP('Données projet'!$B$17,Paramètres!$A$1:$I$89,5,0)</f>
        <v>-4.5224624045658861E-14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248.15263300983543</v>
      </c>
      <c r="GF159" s="62">
        <f t="shared" si="158"/>
        <v>266.46511459244618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20.856474597000521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20.856474597000521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382.55387448074327</v>
      </c>
      <c r="T160" s="62">
        <f t="shared" si="142"/>
        <v>476.29465646955543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37.901245901562305</v>
      </c>
      <c r="AA160" s="23">
        <f>EXP(-LN(2)/25)*AA159+(1-EXP(-LN(2)/25))/(LN(2)/25)*Calculateur!V160*Calculateur!X160*VLOOKUP('Données projet'!$B$9,Paramètres!$A$1:$I$89,3,0)*0.475*44/12</f>
        <v>4.3757641535321152</v>
      </c>
      <c r="AB160" s="23">
        <f>EXP(-LN(2)/2)*AB159+(1-EXP(-LN(2)/2))/(LN(2)/2)*V160*Y160*VLOOKUP('Données projet'!$B$9,Paramètres!$A$1:$I$89,3,0)*0.475*44/12</f>
        <v>1.4148630795573157E-13</v>
      </c>
      <c r="AC160" s="24">
        <f t="shared" si="163"/>
        <v>42.277010055094564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-1.7053025658242404E-13</v>
      </c>
      <c r="AJ160" s="14">
        <f>AI160*VLOOKUP('Données projet'!$B$10,Paramètres!$A$1:$I$89,3,0)*VLOOKUP('Données projet'!$B$10,Paramètres!$A$1:$I$89,5,0)</f>
        <v>-1.064108801074326E-13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482.28841373508675</v>
      </c>
      <c r="AO160" s="62">
        <f t="shared" si="144"/>
        <v>746.97309214631684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70.864664762309047</v>
      </c>
      <c r="AV160" s="23">
        <f>EXP(-LN(2)/25)*AV159+(1-EXP(-LN(2)/25))/(LN(2)/25)*Calculateur!AQ160*Calculateur!AS160*VLOOKUP('Données projet'!$B$10,Paramètres!$A$1:$I$89,3,0)*0.475*44/12</f>
        <v>8.2047428326202052</v>
      </c>
      <c r="AW160" s="23">
        <f>EXP(-LN(2)/2)*AW159+(1-EXP(-LN(2)/2))/(LN(2)/2)*AQ160*AT160*VLOOKUP('Données projet'!$B$10,Paramètres!$A$1:$I$89,3,0)*0.475*44/12</f>
        <v>5.2848688359533849E-11</v>
      </c>
      <c r="AX160" s="23">
        <f t="shared" si="166"/>
        <v>79.06940759498211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-1.7053025658242404E-13</v>
      </c>
      <c r="BE160" s="14">
        <f>BD160*VLOOKUP('Données projet'!$B$11,Paramètres!$A$1:$I$89,3,0)*VLOOKUP('Données projet'!$B$11,Paramètres!$A$1:$I$89,5,0)</f>
        <v>-9.3109520094003535E-14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417.99456559608217</v>
      </c>
      <c r="BJ160" s="62">
        <f t="shared" si="146"/>
        <v>651.41353014863932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62.006581667020448</v>
      </c>
      <c r="BQ160" s="23">
        <f>EXP(-LN(2)/25)*BQ159+(1-EXP(-LN(2)/25))/(LN(2)/25)*Calculateur!BL160*Calculateur!BN160*VLOOKUP('Données projet'!$B$11,Paramètres!$A$1:$I$89,3,0)*0.475*44/12</f>
        <v>7.2646160497158032</v>
      </c>
      <c r="BR160" s="23">
        <f>EXP(-LN(2)/2)*BR159+(1-EXP(-LN(2)/2))/(LN(2)/2)*BL160*BO160*VLOOKUP('Données projet'!$B$11,Paramètres!$A$1:$I$89,3,0)*0.475*44/12</f>
        <v>4.5541956824977052E-11</v>
      </c>
      <c r="BS160" s="24">
        <f t="shared" si="169"/>
        <v>69.271197716781799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-5.1431925385259088E-14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213.07277043804817</v>
      </c>
      <c r="CE160" s="62">
        <f t="shared" si="148"/>
        <v>129.14539883354166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143.84187098014675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143.84187098014675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-5.7639226724859328E-14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247.92503505485405</v>
      </c>
      <c r="CZ160" s="62">
        <f t="shared" si="150"/>
        <v>148.26437652597514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161.20209678809547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161.20209678809547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3.7857142857142856</v>
      </c>
      <c r="DO160" s="13">
        <f>IF('Données projet'!$A$166&gt;35,DO159+DN160-DW159,IF(A160&lt;'Données projet'!$A$166,$DL$205^A160,IF(A160='Données projet'!$A$166,'Données projet'!$B$166,DO159+DN160-DW159)))</f>
        <v>193.07142857142875</v>
      </c>
      <c r="DP160" s="18">
        <f>DO160*VLOOKUP('Données projet'!$B$14,Paramètres!$A$1:$I$89,3,0)*VLOOKUP('Données projet'!$B$14,Paramètres!$A$1:$I$89,5,0)</f>
        <v>186.73868571428591</v>
      </c>
      <c r="DQ160" s="14">
        <f t="shared" si="176"/>
        <v>46.818197620717932</v>
      </c>
      <c r="DR160" s="22">
        <f t="shared" si="177"/>
        <v>406.77823847513173</v>
      </c>
      <c r="DS160" s="62">
        <f t="shared" si="125"/>
        <v>700.11157180846499</v>
      </c>
      <c r="DT160" s="62">
        <f ca="1">AVERAGE(OFFSET($DS$3,0,0,'Données projet'!$E$14+1,1))-AVERAGE(OFFSET($H$3,0,0,'Données projet'!$E$14+1,1))</f>
        <v>154.0837760161366</v>
      </c>
      <c r="DU160" s="62">
        <f t="shared" si="152"/>
        <v>96.484500841546037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31.452408459999749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31.452408459999749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-5.6843418860808015E-14</v>
      </c>
      <c r="EK160" s="18">
        <f>EJ160*VLOOKUP('Données projet'!$B$15,Paramètres!$A$1:$I$89,3,0)*VLOOKUP('Données projet'!$B$15,Paramètres!$A$1:$I$89,5,0)</f>
        <v>-3.813056537183002E-14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205.35893113421139</v>
      </c>
      <c r="EP160" s="62">
        <f t="shared" si="154"/>
        <v>220.4399811285175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17.240042149174705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17.240042149174705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-5.6843418860808015E-14</v>
      </c>
      <c r="FF160" s="18">
        <f>FE160*VLOOKUP('Données projet'!$B$16,Paramètres!$A$1:$I$89,3,0)*VLOOKUP('Données projet'!$B$16,Paramètres!$A$1:$I$89,5,0)</f>
        <v>-4.4337866711430253E-14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242.81177364426878</v>
      </c>
      <c r="FK160" s="62">
        <f t="shared" si="156"/>
        <v>260.72115764896671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16.264190706768595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16.264190706768595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-5.6843418860808015E-14</v>
      </c>
      <c r="GA160" s="18">
        <f>FZ160*VLOOKUP('Données projet'!$B$17,Paramètres!$A$1:$I$89,3,0)*VLOOKUP('Données projet'!$B$17,Paramètres!$A$1:$I$89,5,0)</f>
        <v>-4.5224624045658861E-14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248.15263300983543</v>
      </c>
      <c r="GF160" s="62">
        <f t="shared" si="158"/>
        <v>266.46511459244618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20.447491851346729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20.447491851346729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382.55387448074327</v>
      </c>
      <c r="T161" s="62">
        <f t="shared" si="142"/>
        <v>476.29465646955543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37.158025586910007</v>
      </c>
      <c r="AA161" s="23">
        <f>EXP(-LN(2)/25)*AA160+(1-EXP(-LN(2)/25))/(LN(2)/25)*Calculateur!V161*Calculateur!X161*VLOOKUP('Données projet'!$B$9,Paramètres!$A$1:$I$89,3,0)*0.475*44/12</f>
        <v>4.2561086526423439</v>
      </c>
      <c r="AB161" s="23">
        <f>EXP(-LN(2)/2)*AB160+(1-EXP(-LN(2)/2))/(LN(2)/2)*V161*Y161*VLOOKUP('Données projet'!$B$9,Paramètres!$A$1:$I$89,3,0)*0.475*44/12</f>
        <v>1.0004592780054596E-13</v>
      </c>
      <c r="AC161" s="24">
        <f t="shared" si="163"/>
        <v>41.414134239552453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-1.7053025658242404E-13</v>
      </c>
      <c r="AJ161" s="14">
        <f>AI161*VLOOKUP('Données projet'!$B$10,Paramètres!$A$1:$I$89,3,0)*VLOOKUP('Données projet'!$B$10,Paramètres!$A$1:$I$89,5,0)</f>
        <v>-1.064108801074326E-13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482.28841373508675</v>
      </c>
      <c r="AO161" s="62">
        <f t="shared" si="144"/>
        <v>746.97309214631684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69.475051909497736</v>
      </c>
      <c r="AV161" s="23">
        <f>EXP(-LN(2)/25)*AV160+(1-EXP(-LN(2)/25))/(LN(2)/25)*Calculateur!AQ161*Calculateur!AS161*VLOOKUP('Données projet'!$B$10,Paramètres!$A$1:$I$89,3,0)*0.475*44/12</f>
        <v>7.9803837083935321</v>
      </c>
      <c r="AW161" s="23">
        <f>EXP(-LN(2)/2)*AW160+(1-EXP(-LN(2)/2))/(LN(2)/2)*AQ161*AT161*VLOOKUP('Données projet'!$B$10,Paramètres!$A$1:$I$89,3,0)*0.475*44/12</f>
        <v>3.7369665915840942E-11</v>
      </c>
      <c r="AX161" s="23">
        <f t="shared" si="166"/>
        <v>77.455435617928643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-1.7053025658242404E-13</v>
      </c>
      <c r="BE161" s="14">
        <f>BD161*VLOOKUP('Données projet'!$B$11,Paramètres!$A$1:$I$89,3,0)*VLOOKUP('Données projet'!$B$11,Paramètres!$A$1:$I$89,5,0)</f>
        <v>-9.3109520094003535E-14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417.99456559608217</v>
      </c>
      <c r="BJ161" s="62">
        <f t="shared" si="146"/>
        <v>651.41353014863932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60.79067042081055</v>
      </c>
      <c r="BQ161" s="23">
        <f>EXP(-LN(2)/25)*BQ160+(1-EXP(-LN(2)/25))/(LN(2)/25)*Calculateur!BL161*Calculateur!BN161*VLOOKUP('Données projet'!$B$11,Paramètres!$A$1:$I$89,3,0)*0.475*44/12</f>
        <v>7.0659647418067699</v>
      </c>
      <c r="BR161" s="23">
        <f>EXP(-LN(2)/2)*BR160+(1-EXP(-LN(2)/2))/(LN(2)/2)*BL161*BO161*VLOOKUP('Données projet'!$B$11,Paramètres!$A$1:$I$89,3,0)*0.475*44/12</f>
        <v>3.2203026499446243E-11</v>
      </c>
      <c r="BS161" s="24">
        <f t="shared" si="169"/>
        <v>67.856635162649525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-5.1431925385259088E-14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213.07277043804817</v>
      </c>
      <c r="CE161" s="62">
        <f t="shared" si="148"/>
        <v>129.14539883354166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141.02121962510427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141.02121962510427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-5.7639226724859328E-14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247.92503505485405</v>
      </c>
      <c r="CZ161" s="62">
        <f t="shared" si="150"/>
        <v>148.26437652597514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158.04102199365133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158.04102199365133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3.7857142857142856</v>
      </c>
      <c r="DO161" s="13">
        <f>IF('Données projet'!$A$166&gt;35,DO160+DN161-DW160,IF(A161&lt;'Données projet'!$A$166,$DL$205^A161,IF(A161='Données projet'!$A$166,'Données projet'!$B$166,DO160+DN161-DW160)))</f>
        <v>196.85714285714303</v>
      </c>
      <c r="DP161" s="18">
        <f>DO161*VLOOKUP('Données projet'!$B$14,Paramètres!$A$1:$I$89,3,0)*VLOOKUP('Données projet'!$B$14,Paramètres!$A$1:$I$89,5,0)</f>
        <v>190.40022857142873</v>
      </c>
      <c r="DQ161" s="14">
        <f t="shared" si="176"/>
        <v>47.628426866415623</v>
      </c>
      <c r="DR161" s="22">
        <f t="shared" si="177"/>
        <v>414.56657488757895</v>
      </c>
      <c r="DS161" s="62">
        <f t="shared" si="125"/>
        <v>707.89990822091227</v>
      </c>
      <c r="DT161" s="62">
        <f ca="1">AVERAGE(OFFSET($DS$3,0,0,'Données projet'!$E$14+1,1))-AVERAGE(OFFSET($H$3,0,0,'Données projet'!$E$14+1,1))</f>
        <v>154.0837760161366</v>
      </c>
      <c r="DU161" s="62">
        <f t="shared" si="152"/>
        <v>96.484500841546037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30.835645914174044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30.835645914174044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-5.6843418860808015E-14</v>
      </c>
      <c r="EK161" s="18">
        <f>EJ161*VLOOKUP('Données projet'!$B$15,Paramètres!$A$1:$I$89,3,0)*VLOOKUP('Données projet'!$B$15,Paramètres!$A$1:$I$89,5,0)</f>
        <v>-3.813056537183002E-14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205.35893113421139</v>
      </c>
      <c r="EP161" s="62">
        <f t="shared" si="154"/>
        <v>220.4399811285175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16.901975438016791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16.901975438016791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-5.6843418860808015E-14</v>
      </c>
      <c r="FF161" s="18">
        <f>FE161*VLOOKUP('Données projet'!$B$16,Paramètres!$A$1:$I$89,3,0)*VLOOKUP('Données projet'!$B$16,Paramètres!$A$1:$I$89,5,0)</f>
        <v>-4.4337866711430253E-14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242.81177364426878</v>
      </c>
      <c r="FK161" s="62">
        <f t="shared" si="156"/>
        <v>260.72115764896671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15.945259847185659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15.945259847185659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-5.6843418860808015E-14</v>
      </c>
      <c r="GA161" s="18">
        <f>FZ161*VLOOKUP('Données projet'!$B$17,Paramètres!$A$1:$I$89,3,0)*VLOOKUP('Données projet'!$B$17,Paramètres!$A$1:$I$89,5,0)</f>
        <v>-4.5224624045658861E-14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248.15263300983543</v>
      </c>
      <c r="GF161" s="62">
        <f t="shared" si="158"/>
        <v>266.46511459244618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20.046529007880366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20.046529007880366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382.55387448074327</v>
      </c>
      <c r="T162" s="62">
        <f t="shared" si="142"/>
        <v>476.29465646955543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36.429379369308407</v>
      </c>
      <c r="AA162" s="23">
        <f>EXP(-LN(2)/25)*AA161+(1-EXP(-LN(2)/25))/(LN(2)/25)*Calculateur!V162*Calculateur!X162*VLOOKUP('Données projet'!$B$9,Paramètres!$A$1:$I$89,3,0)*0.475*44/12</f>
        <v>4.1397251377168125</v>
      </c>
      <c r="AB162" s="23">
        <f>EXP(-LN(2)/2)*AB161+(1-EXP(-LN(2)/2))/(LN(2)/2)*V162*Y162*VLOOKUP('Données projet'!$B$9,Paramètres!$A$1:$I$89,3,0)*0.475*44/12</f>
        <v>7.0743153977865784E-14</v>
      </c>
      <c r="AC162" s="24">
        <f t="shared" si="163"/>
        <v>40.569104507025287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-1.7053025658242404E-13</v>
      </c>
      <c r="AJ162" s="14">
        <f>AI162*VLOOKUP('Données projet'!$B$10,Paramètres!$A$1:$I$89,3,0)*VLOOKUP('Données projet'!$B$10,Paramètres!$A$1:$I$89,5,0)</f>
        <v>-1.064108801074326E-13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482.28841373508675</v>
      </c>
      <c r="AO162" s="62">
        <f t="shared" si="144"/>
        <v>746.97309214631684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68.112688517149905</v>
      </c>
      <c r="AV162" s="23">
        <f>EXP(-LN(2)/25)*AV161+(1-EXP(-LN(2)/25))/(LN(2)/25)*Calculateur!AQ162*Calculateur!AS162*VLOOKUP('Données projet'!$B$10,Paramètres!$A$1:$I$89,3,0)*0.475*44/12</f>
        <v>7.7621596962173713</v>
      </c>
      <c r="AW162" s="23">
        <f>EXP(-LN(2)/2)*AW161+(1-EXP(-LN(2)/2))/(LN(2)/2)*AQ162*AT162*VLOOKUP('Données projet'!$B$10,Paramètres!$A$1:$I$89,3,0)*0.475*44/12</f>
        <v>2.6424344179766924E-11</v>
      </c>
      <c r="AX162" s="23">
        <f t="shared" si="166"/>
        <v>75.87484821339369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-1.7053025658242404E-13</v>
      </c>
      <c r="BE162" s="14">
        <f>BD162*VLOOKUP('Données projet'!$B$11,Paramètres!$A$1:$I$89,3,0)*VLOOKUP('Données projet'!$B$11,Paramètres!$A$1:$I$89,5,0)</f>
        <v>-9.3109520094003535E-14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417.99456559608217</v>
      </c>
      <c r="BJ162" s="62">
        <f t="shared" si="146"/>
        <v>651.41353014863932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59.598602452506199</v>
      </c>
      <c r="BQ162" s="23">
        <f>EXP(-LN(2)/25)*BQ161+(1-EXP(-LN(2)/25))/(LN(2)/25)*Calculateur!BL162*Calculateur!BN162*VLOOKUP('Données projet'!$B$11,Paramètres!$A$1:$I$89,3,0)*0.475*44/12</f>
        <v>6.8727455643591275</v>
      </c>
      <c r="BR162" s="23">
        <f>EXP(-LN(2)/2)*BR161+(1-EXP(-LN(2)/2))/(LN(2)/2)*BL162*BO162*VLOOKUP('Données projet'!$B$11,Paramètres!$A$1:$I$89,3,0)*0.475*44/12</f>
        <v>2.2770978412488526E-11</v>
      </c>
      <c r="BS162" s="24">
        <f t="shared" si="169"/>
        <v>66.471348016888086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-5.1431925385259088E-14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213.07277043804817</v>
      </c>
      <c r="CE162" s="62">
        <f t="shared" si="148"/>
        <v>129.14539883354166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138.25587952270672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138.25587952270672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-5.7639226724859328E-14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247.92503505485405</v>
      </c>
      <c r="CZ162" s="62">
        <f t="shared" si="150"/>
        <v>148.26437652597514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154.94193394786097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154.94193394786097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3.7857142857142856</v>
      </c>
      <c r="DO162" s="13">
        <f>IF('Données projet'!$A$166&gt;35,DO161+DN162-DW161,IF(A162&lt;'Données projet'!$A$166,$DL$205^A162,IF(A162='Données projet'!$A$166,'Données projet'!$B$166,DO161+DN162-DW161)))</f>
        <v>200.64285714285731</v>
      </c>
      <c r="DP162" s="18">
        <f>DO162*VLOOKUP('Données projet'!$B$14,Paramètres!$A$1:$I$89,3,0)*VLOOKUP('Données projet'!$B$14,Paramètres!$A$1:$I$89,5,0)</f>
        <v>194.0617714285716</v>
      </c>
      <c r="DQ162" s="14">
        <f t="shared" si="176"/>
        <v>48.436844355458511</v>
      </c>
      <c r="DR162" s="22">
        <f t="shared" si="177"/>
        <v>422.35175582385244</v>
      </c>
      <c r="DS162" s="62">
        <f t="shared" si="125"/>
        <v>715.68508915718576</v>
      </c>
      <c r="DT162" s="62">
        <f ca="1">AVERAGE(OFFSET($DS$3,0,0,'Données projet'!$E$14+1,1))-AVERAGE(OFFSET($H$3,0,0,'Données projet'!$E$14+1,1))</f>
        <v>154.0837760161366</v>
      </c>
      <c r="DU162" s="62">
        <f t="shared" si="152"/>
        <v>96.484500841546037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30.230977705683973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30.230977705683973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-5.6843418860808015E-14</v>
      </c>
      <c r="EK162" s="18">
        <f>EJ162*VLOOKUP('Données projet'!$B$15,Paramètres!$A$1:$I$89,3,0)*VLOOKUP('Données projet'!$B$15,Paramètres!$A$1:$I$89,5,0)</f>
        <v>-3.813056537183002E-14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205.35893113421139</v>
      </c>
      <c r="EP162" s="62">
        <f t="shared" si="154"/>
        <v>220.4399811285175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16.57053800886435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16.57053800886435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-5.6843418860808015E-14</v>
      </c>
      <c r="FF162" s="18">
        <f>FE162*VLOOKUP('Données projet'!$B$16,Paramètres!$A$1:$I$89,3,0)*VLOOKUP('Données projet'!$B$16,Paramètres!$A$1:$I$89,5,0)</f>
        <v>-4.4337866711430253E-14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242.81177364426878</v>
      </c>
      <c r="FK162" s="62">
        <f t="shared" si="156"/>
        <v>260.72115764896671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15.632583027230526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15.632583027230526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-5.6843418860808015E-14</v>
      </c>
      <c r="GA162" s="18">
        <f>FZ162*VLOOKUP('Données projet'!$B$17,Paramètres!$A$1:$I$89,3,0)*VLOOKUP('Données projet'!$B$17,Paramètres!$A$1:$I$89,5,0)</f>
        <v>-4.5224624045658861E-14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248.15263300983543</v>
      </c>
      <c r="GF162" s="62">
        <f t="shared" si="158"/>
        <v>266.46511459244618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19.653428801211195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19.653428801211195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382.55387448074327</v>
      </c>
      <c r="T163" s="62">
        <f t="shared" si="142"/>
        <v>476.29465646955543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35.715021459603669</v>
      </c>
      <c r="AA163" s="23">
        <f>EXP(-LN(2)/25)*AA162+(1-EXP(-LN(2)/25))/(LN(2)/25)*Calculateur!V163*Calculateur!X163*VLOOKUP('Données projet'!$B$9,Paramètres!$A$1:$I$89,3,0)*0.475*44/12</f>
        <v>4.0265241361272626</v>
      </c>
      <c r="AB163" s="23">
        <f>EXP(-LN(2)/2)*AB162+(1-EXP(-LN(2)/2))/(LN(2)/2)*V163*Y163*VLOOKUP('Données projet'!$B$9,Paramètres!$A$1:$I$89,3,0)*0.475*44/12</f>
        <v>5.0022963900272981E-14</v>
      </c>
      <c r="AC163" s="24">
        <f t="shared" si="163"/>
        <v>39.741545595730983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-1.7053025658242404E-13</v>
      </c>
      <c r="AJ163" s="14">
        <f>AI163*VLOOKUP('Données projet'!$B$10,Paramètres!$A$1:$I$89,3,0)*VLOOKUP('Données projet'!$B$10,Paramètres!$A$1:$I$89,5,0)</f>
        <v>-1.064108801074326E-13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482.28841373508675</v>
      </c>
      <c r="AO163" s="62">
        <f t="shared" si="144"/>
        <v>746.97309214631684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66.777040239966396</v>
      </c>
      <c r="AV163" s="23">
        <f>EXP(-LN(2)/25)*AV162+(1-EXP(-LN(2)/25))/(LN(2)/25)*Calculateur!AQ163*Calculateur!AS163*VLOOKUP('Données projet'!$B$10,Paramètres!$A$1:$I$89,3,0)*0.475*44/12</f>
        <v>7.5499030311300697</v>
      </c>
      <c r="AW163" s="23">
        <f>EXP(-LN(2)/2)*AW162+(1-EXP(-LN(2)/2))/(LN(2)/2)*AQ163*AT163*VLOOKUP('Données projet'!$B$10,Paramètres!$A$1:$I$89,3,0)*0.475*44/12</f>
        <v>1.8684832957920471E-11</v>
      </c>
      <c r="AX163" s="23">
        <f t="shared" si="166"/>
        <v>74.326943271115155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-1.7053025658242404E-13</v>
      </c>
      <c r="BE163" s="14">
        <f>BD163*VLOOKUP('Données projet'!$B$11,Paramètres!$A$1:$I$89,3,0)*VLOOKUP('Données projet'!$B$11,Paramètres!$A$1:$I$89,5,0)</f>
        <v>-9.3109520094003535E-14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417.99456559608217</v>
      </c>
      <c r="BJ163" s="62">
        <f t="shared" si="146"/>
        <v>651.41353014863932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58.429910209970629</v>
      </c>
      <c r="BQ163" s="23">
        <f>EXP(-LN(2)/25)*BQ162+(1-EXP(-LN(2)/25))/(LN(2)/25)*Calculateur!BL163*Calculateur!BN163*VLOOKUP('Données projet'!$B$11,Paramètres!$A$1:$I$89,3,0)*0.475*44/12</f>
        <v>6.6848099754797454</v>
      </c>
      <c r="BR163" s="23">
        <f>EXP(-LN(2)/2)*BR162+(1-EXP(-LN(2)/2))/(LN(2)/2)*BL163*BO163*VLOOKUP('Données projet'!$B$11,Paramètres!$A$1:$I$89,3,0)*0.475*44/12</f>
        <v>1.6101513249723121E-11</v>
      </c>
      <c r="BS163" s="24">
        <f t="shared" si="169"/>
        <v>65.114720185466481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-5.1431925385259088E-14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213.07277043804817</v>
      </c>
      <c r="CE163" s="62">
        <f t="shared" si="148"/>
        <v>129.14539883354166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135.54476605302628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135.54476605302628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-5.7639226724859328E-14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247.92503505485405</v>
      </c>
      <c r="CZ163" s="62">
        <f t="shared" si="150"/>
        <v>148.26437652597514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151.90361712839152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151.90361712839152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3.7857142857142856</v>
      </c>
      <c r="DO163" s="13">
        <f>IF('Données projet'!$A$166&gt;35,DO162+DN163-DW162,IF(A163&lt;'Données projet'!$A$166,$DL$205^A163,IF(A163='Données projet'!$A$166,'Données projet'!$B$166,DO162+DN163-DW162)))</f>
        <v>204.42857142857159</v>
      </c>
      <c r="DP163" s="18">
        <f>DO163*VLOOKUP('Données projet'!$B$14,Paramètres!$A$1:$I$89,3,0)*VLOOKUP('Données projet'!$B$14,Paramètres!$A$1:$I$89,5,0)</f>
        <v>197.72331428571445</v>
      </c>
      <c r="DQ163" s="14">
        <f t="shared" si="176"/>
        <v>49.243488213648689</v>
      </c>
      <c r="DR163" s="22">
        <f t="shared" si="177"/>
        <v>430.13384768639088</v>
      </c>
      <c r="DS163" s="62">
        <f t="shared" si="125"/>
        <v>723.46718101972419</v>
      </c>
      <c r="DT163" s="62">
        <f ca="1">AVERAGE(OFFSET($DS$3,0,0,'Données projet'!$E$14+1,1))-AVERAGE(OFFSET($H$3,0,0,'Données projet'!$E$14+1,1))</f>
        <v>154.0837760161366</v>
      </c>
      <c r="DU163" s="62">
        <f t="shared" si="152"/>
        <v>96.484500841546037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29.638166671951204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29.638166671951204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-5.6843418860808015E-14</v>
      </c>
      <c r="EK163" s="18">
        <f>EJ163*VLOOKUP('Données projet'!$B$15,Paramètres!$A$1:$I$89,3,0)*VLOOKUP('Données projet'!$B$15,Paramètres!$A$1:$I$89,5,0)</f>
        <v>-3.813056537183002E-14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205.35893113421139</v>
      </c>
      <c r="EP163" s="62">
        <f t="shared" si="154"/>
        <v>220.4399811285175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16.245599865540719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16.245599865540719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-5.6843418860808015E-14</v>
      </c>
      <c r="FF163" s="18">
        <f>FE163*VLOOKUP('Données projet'!$B$16,Paramètres!$A$1:$I$89,3,0)*VLOOKUP('Données projet'!$B$16,Paramètres!$A$1:$I$89,5,0)</f>
        <v>-4.4337866711430253E-14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242.81177364426878</v>
      </c>
      <c r="FK163" s="62">
        <f t="shared" si="156"/>
        <v>260.72115764896671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15.326037609000686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15.326037609000686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-5.6843418860808015E-14</v>
      </c>
      <c r="GA163" s="18">
        <f>FZ163*VLOOKUP('Données projet'!$B$17,Paramètres!$A$1:$I$89,3,0)*VLOOKUP('Données projet'!$B$17,Paramètres!$A$1:$I$89,5,0)</f>
        <v>-4.5224624045658861E-14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248.15263300983543</v>
      </c>
      <c r="GF163" s="62">
        <f t="shared" si="158"/>
        <v>266.46511459244618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19.268037049827353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19.268037049827353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382.55387448074327</v>
      </c>
      <c r="T164" s="62">
        <f t="shared" si="142"/>
        <v>476.29465646955543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35.014671672792936</v>
      </c>
      <c r="AA164" s="23">
        <f>EXP(-LN(2)/25)*AA163+(1-EXP(-LN(2)/25))/(LN(2)/25)*Calculateur!V164*Calculateur!X164*VLOOKUP('Données projet'!$B$9,Paramètres!$A$1:$I$89,3,0)*0.475*44/12</f>
        <v>3.9164186218791608</v>
      </c>
      <c r="AB164" s="23">
        <f>EXP(-LN(2)/2)*AB163+(1-EXP(-LN(2)/2))/(LN(2)/2)*V164*Y164*VLOOKUP('Données projet'!$B$9,Paramètres!$A$1:$I$89,3,0)*0.475*44/12</f>
        <v>3.5371576988932892E-14</v>
      </c>
      <c r="AC164" s="24">
        <f t="shared" si="163"/>
        <v>38.931090294672131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-1.7053025658242404E-13</v>
      </c>
      <c r="AJ164" s="14">
        <f>AI164*VLOOKUP('Données projet'!$B$10,Paramètres!$A$1:$I$89,3,0)*VLOOKUP('Données projet'!$B$10,Paramètres!$A$1:$I$89,5,0)</f>
        <v>-1.064108801074326E-13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482.28841373508675</v>
      </c>
      <c r="AO164" s="62">
        <f t="shared" si="144"/>
        <v>746.97309214631684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65.467583210833453</v>
      </c>
      <c r="AV164" s="23">
        <f>EXP(-LN(2)/25)*AV163+(1-EXP(-LN(2)/25))/(LN(2)/25)*Calculateur!AQ164*Calculateur!AS164*VLOOKUP('Données projet'!$B$10,Paramètres!$A$1:$I$89,3,0)*0.475*44/12</f>
        <v>7.3434505357116731</v>
      </c>
      <c r="AW164" s="23">
        <f>EXP(-LN(2)/2)*AW163+(1-EXP(-LN(2)/2))/(LN(2)/2)*AQ164*AT164*VLOOKUP('Données projet'!$B$10,Paramètres!$A$1:$I$89,3,0)*0.475*44/12</f>
        <v>1.3212172089883462E-11</v>
      </c>
      <c r="AX164" s="23">
        <f t="shared" si="166"/>
        <v>72.811033746558337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-1.7053025658242404E-13</v>
      </c>
      <c r="BE164" s="14">
        <f>BD164*VLOOKUP('Données projet'!$B$11,Paramètres!$A$1:$I$89,3,0)*VLOOKUP('Données projet'!$B$11,Paramètres!$A$1:$I$89,5,0)</f>
        <v>-9.3109520094003535E-14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417.99456559608217</v>
      </c>
      <c r="BJ164" s="62">
        <f t="shared" si="146"/>
        <v>651.41353014863932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57.284135309479304</v>
      </c>
      <c r="BQ164" s="23">
        <f>EXP(-LN(2)/25)*BQ163+(1-EXP(-LN(2)/25))/(LN(2)/25)*Calculateur!BL164*Calculateur!BN164*VLOOKUP('Données projet'!$B$11,Paramètres!$A$1:$I$89,3,0)*0.475*44/12</f>
        <v>6.5020134951613739</v>
      </c>
      <c r="BR164" s="23">
        <f>EXP(-LN(2)/2)*BR163+(1-EXP(-LN(2)/2))/(LN(2)/2)*BL164*BO164*VLOOKUP('Données projet'!$B$11,Paramètres!$A$1:$I$89,3,0)*0.475*44/12</f>
        <v>1.1385489206244263E-11</v>
      </c>
      <c r="BS164" s="24">
        <f t="shared" si="169"/>
        <v>63.786148804652058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-5.1431925385259088E-14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213.07277043804817</v>
      </c>
      <c r="CE164" s="62">
        <f t="shared" si="148"/>
        <v>129.14539883354166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132.88681586487033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132.88681586487033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-5.7639226724859328E-14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247.92503505485405</v>
      </c>
      <c r="CZ164" s="62">
        <f t="shared" si="150"/>
        <v>148.26437652597514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148.92487984856157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148.92487984856157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3.7857142857142856</v>
      </c>
      <c r="DO164" s="13">
        <f>IF('Données projet'!$A$166&gt;35,DO163+DN164-DW163,IF(A164&lt;'Données projet'!$A$166,$DL$205^A164,IF(A164='Données projet'!$A$166,'Données projet'!$B$166,DO163+DN164-DW163)))</f>
        <v>208.21428571428586</v>
      </c>
      <c r="DP164" s="18">
        <f>DO164*VLOOKUP('Données projet'!$B$14,Paramètres!$A$1:$I$89,3,0)*VLOOKUP('Données projet'!$B$14,Paramètres!$A$1:$I$89,5,0)</f>
        <v>201.3848571428573</v>
      </c>
      <c r="DQ164" s="14">
        <f t="shared" si="176"/>
        <v>50.04839507389287</v>
      </c>
      <c r="DR164" s="22">
        <f t="shared" si="177"/>
        <v>437.91291427750656</v>
      </c>
      <c r="DS164" s="62">
        <f t="shared" si="125"/>
        <v>731.24624761083987</v>
      </c>
      <c r="DT164" s="62">
        <f ca="1">AVERAGE(OFFSET($DS$3,0,0,'Données projet'!$E$14+1,1))-AVERAGE(OFFSET($H$3,0,0,'Données projet'!$E$14+1,1))</f>
        <v>154.0837760161366</v>
      </c>
      <c r="DU164" s="62">
        <f t="shared" si="152"/>
        <v>96.484500841546037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29.056980301010906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29.056980301010906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-5.6843418860808015E-14</v>
      </c>
      <c r="EK164" s="18">
        <f>EJ164*VLOOKUP('Données projet'!$B$15,Paramètres!$A$1:$I$89,3,0)*VLOOKUP('Données projet'!$B$15,Paramètres!$A$1:$I$89,5,0)</f>
        <v>-3.813056537183002E-14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205.35893113421139</v>
      </c>
      <c r="EP164" s="62">
        <f t="shared" si="154"/>
        <v>220.4399811285175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15.927033561014966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15.927033561014966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-5.6843418860808015E-14</v>
      </c>
      <c r="FF164" s="18">
        <f>FE164*VLOOKUP('Données projet'!$B$16,Paramètres!$A$1:$I$89,3,0)*VLOOKUP('Données projet'!$B$16,Paramètres!$A$1:$I$89,5,0)</f>
        <v>-4.4337866711430253E-14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242.81177364426878</v>
      </c>
      <c r="FK164" s="62">
        <f t="shared" si="156"/>
        <v>260.72115764896671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15.02550335944809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15.02550335944809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-5.6843418860808015E-14</v>
      </c>
      <c r="GA164" s="18">
        <f>FZ164*VLOOKUP('Données projet'!$B$17,Paramètres!$A$1:$I$89,3,0)*VLOOKUP('Données projet'!$B$17,Paramètres!$A$1:$I$89,5,0)</f>
        <v>-4.5224624045658861E-14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248.15263300983543</v>
      </c>
      <c r="GF164" s="62">
        <f t="shared" si="158"/>
        <v>266.46511459244618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18.890202595622391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18.890202595622391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382.55387448074327</v>
      </c>
      <c r="T165" s="62">
        <f t="shared" si="142"/>
        <v>476.29465646955543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34.328055318130374</v>
      </c>
      <c r="AA165" s="23">
        <f>EXP(-LN(2)/25)*AA164+(1-EXP(-LN(2)/25))/(LN(2)/25)*Calculateur!V165*Calculateur!X165*VLOOKUP('Données projet'!$B$9,Paramètres!$A$1:$I$89,3,0)*0.475*44/12</f>
        <v>3.809323948708371</v>
      </c>
      <c r="AB165" s="23">
        <f>EXP(-LN(2)/2)*AB164+(1-EXP(-LN(2)/2))/(LN(2)/2)*V165*Y165*VLOOKUP('Données projet'!$B$9,Paramètres!$A$1:$I$89,3,0)*0.475*44/12</f>
        <v>2.5011481950136491E-14</v>
      </c>
      <c r="AC165" s="24">
        <f t="shared" si="163"/>
        <v>38.137379266838771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-1.7053025658242404E-13</v>
      </c>
      <c r="AJ165" s="14">
        <f>AI165*VLOOKUP('Données projet'!$B$10,Paramètres!$A$1:$I$89,3,0)*VLOOKUP('Données projet'!$B$10,Paramètres!$A$1:$I$89,5,0)</f>
        <v>-1.064108801074326E-13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482.28841373508675</v>
      </c>
      <c r="AO165" s="62">
        <f t="shared" si="144"/>
        <v>746.97309214631684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64.183803835351881</v>
      </c>
      <c r="AV165" s="23">
        <f>EXP(-LN(2)/25)*AV164+(1-EXP(-LN(2)/25))/(LN(2)/25)*Calculateur!AQ165*Calculateur!AS165*VLOOKUP('Données projet'!$B$10,Paramètres!$A$1:$I$89,3,0)*0.475*44/12</f>
        <v>7.1426434946373574</v>
      </c>
      <c r="AW165" s="23">
        <f>EXP(-LN(2)/2)*AW164+(1-EXP(-LN(2)/2))/(LN(2)/2)*AQ165*AT165*VLOOKUP('Données projet'!$B$10,Paramètres!$A$1:$I$89,3,0)*0.475*44/12</f>
        <v>9.3424164789602355E-12</v>
      </c>
      <c r="AX165" s="23">
        <f t="shared" si="166"/>
        <v>71.326447329998572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-1.7053025658242404E-13</v>
      </c>
      <c r="BE165" s="14">
        <f>BD165*VLOOKUP('Données projet'!$B$11,Paramètres!$A$1:$I$89,3,0)*VLOOKUP('Données projet'!$B$11,Paramètres!$A$1:$I$89,5,0)</f>
        <v>-9.3109520094003535E-14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417.99456559608217</v>
      </c>
      <c r="BJ165" s="62">
        <f t="shared" si="146"/>
        <v>651.41353014863932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56.160828355932928</v>
      </c>
      <c r="BQ165" s="23">
        <f>EXP(-LN(2)/25)*BQ164+(1-EXP(-LN(2)/25))/(LN(2)/25)*Calculateur!BL165*Calculateur!BN165*VLOOKUP('Données projet'!$B$11,Paramètres!$A$1:$I$89,3,0)*0.475*44/12</f>
        <v>6.3242155942101572</v>
      </c>
      <c r="BR165" s="23">
        <f>EXP(-LN(2)/2)*BR164+(1-EXP(-LN(2)/2))/(LN(2)/2)*BL165*BO165*VLOOKUP('Données projet'!$B$11,Paramètres!$A$1:$I$89,3,0)*0.475*44/12</f>
        <v>8.0507566248615607E-12</v>
      </c>
      <c r="BS165" s="24">
        <f t="shared" si="169"/>
        <v>62.485043950151137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-5.1431925385259088E-14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213.07277043804817</v>
      </c>
      <c r="CE165" s="62">
        <f t="shared" si="148"/>
        <v>129.14539883354166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130.28098645871458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130.28098645871458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-5.7639226724859328E-14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247.92503505485405</v>
      </c>
      <c r="CZ165" s="62">
        <f t="shared" si="150"/>
        <v>148.26437652597514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146.00455378993877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146.00455378993877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>
        <f>VLOOKUP(A165,'Données projet'!$A$165:$I$185,2,0)</f>
        <v>212</v>
      </c>
      <c r="DM165" s="13">
        <f>VLOOKUP(A165,'Données projet'!$A$165:$I$185,9,0)</f>
        <v>3.7857142857142856</v>
      </c>
      <c r="DN165" s="13">
        <f t="array" ref="DN165">INDEX(DM:DM,MIN(IF(ISNUMBER(DM165:DM361),ROW(DM165:DM361),"")))</f>
        <v>3.7857142857142856</v>
      </c>
      <c r="DO165" s="13">
        <f>IF('Données projet'!$A$166&gt;35,DO164+DN165-DW164,IF(A165&lt;'Données projet'!$A$166,$DL$205^A165,IF(A165='Données projet'!$A$166,'Données projet'!$B$166,DO164+DN165-DW164)))</f>
        <v>212.00000000000014</v>
      </c>
      <c r="DP165" s="18">
        <f>DO165*VLOOKUP('Données projet'!$B$14,Paramètres!$A$1:$I$89,3,0)*VLOOKUP('Données projet'!$B$14,Paramètres!$A$1:$I$89,5,0)</f>
        <v>205.04640000000015</v>
      </c>
      <c r="DQ165" s="14">
        <f t="shared" si="176"/>
        <v>50.851600160721802</v>
      </c>
      <c r="DR165" s="22">
        <f t="shared" si="177"/>
        <v>445.6890169465907</v>
      </c>
      <c r="DS165" s="62">
        <f t="shared" si="125"/>
        <v>739.02235027992401</v>
      </c>
      <c r="DT165" s="62">
        <f ca="1">AVERAGE(OFFSET($DS$3,0,0,'Données projet'!$E$14+1,1))-AVERAGE(OFFSET($H$3,0,0,'Données projet'!$E$14+1,1))</f>
        <v>154.0837760161366</v>
      </c>
      <c r="DU165" s="62">
        <f t="shared" si="152"/>
        <v>96.484500841546037</v>
      </c>
      <c r="DV165" s="16">
        <f>IF(ISNA(VLOOKUP(A165,'Données projet'!$A$165:$I$185,3,0)),0,VLOOKUP(A165,'Données projet'!$A$165:$I$185,3,0))</f>
        <v>11</v>
      </c>
      <c r="DW165" s="16">
        <f>IF(ISNA(VLOOKUP(A165,'Données projet'!$A$165:$I$185,4,0)),0,VLOOKUP(A165,'Données projet'!$A$165:$I$185,4,0))</f>
        <v>37</v>
      </c>
      <c r="DX165" s="17">
        <f>IF(ISNA(VLOOKUP(A165,'Données projet'!$A$165:$I$185,5,0)),0%,VLOOKUP(A165,'Données projet'!$A$165:$I$185,5,0)*VLOOKUP('Données projet'!$B$14,Paramètres!$A$1:$I$89,7,0))</f>
        <v>0.38700000000000001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43.797222248891721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43.797222248891721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-5.6843418860808015E-14</v>
      </c>
      <c r="EK165" s="18">
        <f>EJ165*VLOOKUP('Données projet'!$B$15,Paramètres!$A$1:$I$89,3,0)*VLOOKUP('Données projet'!$B$15,Paramètres!$A$1:$I$89,5,0)</f>
        <v>-3.813056537183002E-14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205.35893113421139</v>
      </c>
      <c r="EP165" s="62">
        <f t="shared" si="154"/>
        <v>220.4399811285175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15.614714147414704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15.614714147414704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-5.6843418860808015E-14</v>
      </c>
      <c r="FF165" s="18">
        <f>FE165*VLOOKUP('Données projet'!$B$16,Paramètres!$A$1:$I$89,3,0)*VLOOKUP('Données projet'!$B$16,Paramètres!$A$1:$I$89,5,0)</f>
        <v>-4.4337866711430253E-14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242.81177364426878</v>
      </c>
      <c r="FK165" s="62">
        <f t="shared" si="156"/>
        <v>260.72115764896671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14.730862403221428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14.730862403221428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-5.6843418860808015E-14</v>
      </c>
      <c r="GA165" s="18">
        <f>FZ165*VLOOKUP('Données projet'!$B$17,Paramètres!$A$1:$I$89,3,0)*VLOOKUP('Données projet'!$B$17,Paramètres!$A$1:$I$89,5,0)</f>
        <v>-4.5224624045658861E-14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248.15263300983543</v>
      </c>
      <c r="GF165" s="62">
        <f t="shared" si="158"/>
        <v>266.46511459244618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18.519777244608129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18.519777244608129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382.55387448074327</v>
      </c>
      <c r="T166" s="62">
        <f t="shared" si="142"/>
        <v>476.29465646955543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33.654903091388121</v>
      </c>
      <c r="AA166" s="23">
        <f>EXP(-LN(2)/25)*AA165+(1-EXP(-LN(2)/25))/(LN(2)/25)*Calculateur!V166*Calculateur!X166*VLOOKUP('Données projet'!$B$9,Paramètres!$A$1:$I$89,3,0)*0.475*44/12</f>
        <v>3.7051577850073003</v>
      </c>
      <c r="AB166" s="23">
        <f>EXP(-LN(2)/2)*AB165+(1-EXP(-LN(2)/2))/(LN(2)/2)*V166*Y166*VLOOKUP('Données projet'!$B$9,Paramètres!$A$1:$I$89,3,0)*0.475*44/12</f>
        <v>1.7685788494466446E-14</v>
      </c>
      <c r="AC166" s="24">
        <f t="shared" si="163"/>
        <v>37.360060876395437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-1.7053025658242404E-13</v>
      </c>
      <c r="AJ166" s="14">
        <f>AI166*VLOOKUP('Données projet'!$B$10,Paramètres!$A$1:$I$89,3,0)*VLOOKUP('Données projet'!$B$10,Paramètres!$A$1:$I$89,5,0)</f>
        <v>-1.064108801074326E-13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482.28841373508675</v>
      </c>
      <c r="AO166" s="62">
        <f t="shared" si="144"/>
        <v>746.97309214631684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62.925198590395404</v>
      </c>
      <c r="AV166" s="23">
        <f>EXP(-LN(2)/25)*AV165+(1-EXP(-LN(2)/25))/(LN(2)/25)*Calculateur!AQ166*Calculateur!AS166*VLOOKUP('Données projet'!$B$10,Paramètres!$A$1:$I$89,3,0)*0.475*44/12</f>
        <v>6.9473275326612018</v>
      </c>
      <c r="AW166" s="23">
        <f>EXP(-LN(2)/2)*AW165+(1-EXP(-LN(2)/2))/(LN(2)/2)*AQ166*AT166*VLOOKUP('Données projet'!$B$10,Paramètres!$A$1:$I$89,3,0)*0.475*44/12</f>
        <v>6.6060860449417311E-12</v>
      </c>
      <c r="AX166" s="23">
        <f t="shared" si="166"/>
        <v>69.87252612306321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-1.7053025658242404E-13</v>
      </c>
      <c r="BE166" s="14">
        <f>BD166*VLOOKUP('Données projet'!$B$11,Paramètres!$A$1:$I$89,3,0)*VLOOKUP('Données projet'!$B$11,Paramètres!$A$1:$I$89,5,0)</f>
        <v>-9.3109520094003535E-14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417.99456559608217</v>
      </c>
      <c r="BJ166" s="62">
        <f t="shared" si="146"/>
        <v>651.41353014863932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55.059548766596009</v>
      </c>
      <c r="BQ166" s="23">
        <f>EXP(-LN(2)/25)*BQ165+(1-EXP(-LN(2)/25))/(LN(2)/25)*Calculateur!BL166*Calculateur!BN166*VLOOKUP('Données projet'!$B$11,Paramètres!$A$1:$I$89,3,0)*0.475*44/12</f>
        <v>6.1512795862104364</v>
      </c>
      <c r="BR166" s="23">
        <f>EXP(-LN(2)/2)*BR165+(1-EXP(-LN(2)/2))/(LN(2)/2)*BL166*BO166*VLOOKUP('Données projet'!$B$11,Paramètres!$A$1:$I$89,3,0)*0.475*44/12</f>
        <v>5.6927446031221315E-12</v>
      </c>
      <c r="BS166" s="24">
        <f t="shared" si="169"/>
        <v>61.210828352812136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-5.1431925385259088E-14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213.07277043804817</v>
      </c>
      <c r="CE166" s="62">
        <f t="shared" si="148"/>
        <v>129.14539883354166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127.72625577781456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127.72625577781456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-5.7639226724859328E-14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247.92503505485405</v>
      </c>
      <c r="CZ166" s="62">
        <f t="shared" si="150"/>
        <v>148.26437652597514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143.14149354410253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143.14149354410253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3.6666666666666665</v>
      </c>
      <c r="DO166" s="13">
        <f>IF('Données projet'!$A$166&gt;35,DO165+DN166-DW165,IF(A166&lt;'Données projet'!$A$166,$DL$205^A166,IF(A166='Données projet'!$A$166,'Données projet'!$B$166,DO165+DN166-DW165)))</f>
        <v>178.6666666666668</v>
      </c>
      <c r="DP166" s="18">
        <f>DO166*VLOOKUP('Données projet'!$B$14,Paramètres!$A$1:$I$89,3,0)*VLOOKUP('Données projet'!$B$14,Paramètres!$A$1:$I$89,5,0)</f>
        <v>172.80640000000014</v>
      </c>
      <c r="DQ166" s="14">
        <f t="shared" si="176"/>
        <v>43.717963617921221</v>
      </c>
      <c r="DR166" s="22">
        <f t="shared" si="177"/>
        <v>377.11326663454633</v>
      </c>
      <c r="DS166" s="62">
        <f t="shared" si="125"/>
        <v>670.44659996787959</v>
      </c>
      <c r="DT166" s="62">
        <f ca="1">AVERAGE(OFFSET($DS$3,0,0,'Données projet'!$E$14+1,1))-AVERAGE(OFFSET($H$3,0,0,'Données projet'!$E$14+1,1))</f>
        <v>154.0837760161366</v>
      </c>
      <c r="DU166" s="62">
        <f t="shared" si="152"/>
        <v>96.484500841546037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42.93838543425877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42.93838543425877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-5.6843418860808015E-14</v>
      </c>
      <c r="EK166" s="18">
        <f>EJ166*VLOOKUP('Données projet'!$B$15,Paramètres!$A$1:$I$89,3,0)*VLOOKUP('Données projet'!$B$15,Paramètres!$A$1:$I$89,5,0)</f>
        <v>-3.813056537183002E-14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205.35893113421139</v>
      </c>
      <c r="EP166" s="62">
        <f t="shared" si="154"/>
        <v>220.4399811285175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15.30851912701911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15.30851912701911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-5.6843418860808015E-14</v>
      </c>
      <c r="FF166" s="18">
        <f>FE166*VLOOKUP('Données projet'!$B$16,Paramètres!$A$1:$I$89,3,0)*VLOOKUP('Données projet'!$B$16,Paramètres!$A$1:$I$89,5,0)</f>
        <v>-4.4337866711430253E-14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242.81177364426878</v>
      </c>
      <c r="FK166" s="62">
        <f t="shared" si="156"/>
        <v>260.72115764896671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14.441999176433132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14.441999176433132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-5.6843418860808015E-14</v>
      </c>
      <c r="GA166" s="18">
        <f>FZ166*VLOOKUP('Données projet'!$B$17,Paramètres!$A$1:$I$89,3,0)*VLOOKUP('Données projet'!$B$17,Paramètres!$A$1:$I$89,5,0)</f>
        <v>-4.5224624045658861E-14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248.15263300983543</v>
      </c>
      <c r="GF166" s="62">
        <f t="shared" si="158"/>
        <v>266.46511459244618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18.156615708790099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18.156615708790099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382.55387448074327</v>
      </c>
      <c r="T167" s="62">
        <f t="shared" si="142"/>
        <v>476.29465646955543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32.994950969229969</v>
      </c>
      <c r="AA167" s="23">
        <f>EXP(-LN(2)/25)*AA166+(1-EXP(-LN(2)/25))/(LN(2)/25)*Calculateur!V167*Calculateur!X167*VLOOKUP('Données projet'!$B$9,Paramètres!$A$1:$I$89,3,0)*0.475*44/12</f>
        <v>3.6038400505304962</v>
      </c>
      <c r="AB167" s="23">
        <f>EXP(-LN(2)/2)*AB166+(1-EXP(-LN(2)/2))/(LN(2)/2)*V167*Y167*VLOOKUP('Données projet'!$B$9,Paramètres!$A$1:$I$89,3,0)*0.475*44/12</f>
        <v>1.2505740975068245E-14</v>
      </c>
      <c r="AC167" s="24">
        <f t="shared" si="163"/>
        <v>36.598791019760476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-1.7053025658242404E-13</v>
      </c>
      <c r="AJ167" s="14">
        <f>AI167*VLOOKUP('Données projet'!$B$10,Paramètres!$A$1:$I$89,3,0)*VLOOKUP('Données projet'!$B$10,Paramètres!$A$1:$I$89,5,0)</f>
        <v>-1.064108801074326E-13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482.28841373508675</v>
      </c>
      <c r="AO167" s="62">
        <f t="shared" si="144"/>
        <v>746.97309214631684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61.691273826619124</v>
      </c>
      <c r="AV167" s="23">
        <f>EXP(-LN(2)/25)*AV166+(1-EXP(-LN(2)/25))/(LN(2)/25)*Calculateur!AQ167*Calculateur!AS167*VLOOKUP('Données projet'!$B$10,Paramètres!$A$1:$I$89,3,0)*0.475*44/12</f>
        <v>6.7573524959365043</v>
      </c>
      <c r="AW167" s="23">
        <f>EXP(-LN(2)/2)*AW166+(1-EXP(-LN(2)/2))/(LN(2)/2)*AQ167*AT167*VLOOKUP('Données projet'!$B$10,Paramètres!$A$1:$I$89,3,0)*0.475*44/12</f>
        <v>4.6712082394801178E-12</v>
      </c>
      <c r="AX167" s="23">
        <f t="shared" si="166"/>
        <v>68.448626322560301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-1.7053025658242404E-13</v>
      </c>
      <c r="BE167" s="14">
        <f>BD167*VLOOKUP('Données projet'!$B$11,Paramètres!$A$1:$I$89,3,0)*VLOOKUP('Données projet'!$B$11,Paramètres!$A$1:$I$89,5,0)</f>
        <v>-9.3109520094003535E-14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417.99456559608217</v>
      </c>
      <c r="BJ167" s="62">
        <f t="shared" si="146"/>
        <v>651.41353014863932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53.979864598291762</v>
      </c>
      <c r="BQ167" s="23">
        <f>EXP(-LN(2)/25)*BQ166+(1-EXP(-LN(2)/25))/(LN(2)/25)*Calculateur!BL167*Calculateur!BN167*VLOOKUP('Données projet'!$B$11,Paramètres!$A$1:$I$89,3,0)*0.475*44/12</f>
        <v>5.9830725224437771</v>
      </c>
      <c r="BR167" s="23">
        <f>EXP(-LN(2)/2)*BR166+(1-EXP(-LN(2)/2))/(LN(2)/2)*BL167*BO167*VLOOKUP('Données projet'!$B$11,Paramètres!$A$1:$I$89,3,0)*0.475*44/12</f>
        <v>4.0253783124307804E-12</v>
      </c>
      <c r="BS167" s="24">
        <f t="shared" si="169"/>
        <v>59.962937120739568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-5.1431925385259088E-14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213.07277043804817</v>
      </c>
      <c r="CE167" s="62">
        <f t="shared" si="148"/>
        <v>129.14539883354166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125.22162180733513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125.22162180733513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-5.7639226724859328E-14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247.92503505485405</v>
      </c>
      <c r="CZ167" s="62">
        <f t="shared" si="150"/>
        <v>148.26437652597514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140.33457616339282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140.33457616339282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3.6666666666666665</v>
      </c>
      <c r="DO167" s="13">
        <f>IF('Données projet'!$A$166&gt;35,DO166+DN167-DW166,IF(A167&lt;'Données projet'!$A$166,$DL$205^A167,IF(A167='Données projet'!$A$166,'Données projet'!$B$166,DO166+DN167-DW166)))</f>
        <v>182.33333333333346</v>
      </c>
      <c r="DP167" s="18">
        <f>DO167*VLOOKUP('Données projet'!$B$14,Paramètres!$A$1:$I$89,3,0)*VLOOKUP('Données projet'!$B$14,Paramètres!$A$1:$I$89,5,0)</f>
        <v>176.35280000000012</v>
      </c>
      <c r="DQ167" s="14">
        <f t="shared" si="176"/>
        <v>44.509787174988531</v>
      </c>
      <c r="DR167" s="22">
        <f t="shared" si="177"/>
        <v>384.66900599643856</v>
      </c>
      <c r="DS167" s="62">
        <f t="shared" si="125"/>
        <v>678.00233932977187</v>
      </c>
      <c r="DT167" s="62">
        <f ca="1">AVERAGE(OFFSET($DS$3,0,0,'Données projet'!$E$14+1,1))-AVERAGE(OFFSET($H$3,0,0,'Données projet'!$E$14+1,1))</f>
        <v>154.0837760161366</v>
      </c>
      <c r="DU167" s="62">
        <f t="shared" si="152"/>
        <v>96.484500841546037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42.09638988572204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42.09638988572204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-5.6843418860808015E-14</v>
      </c>
      <c r="EK167" s="18">
        <f>EJ167*VLOOKUP('Données projet'!$B$15,Paramètres!$A$1:$I$89,3,0)*VLOOKUP('Données projet'!$B$15,Paramètres!$A$1:$I$89,5,0)</f>
        <v>-3.813056537183002E-14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205.35893113421139</v>
      </c>
      <c r="EP167" s="62">
        <f t="shared" si="154"/>
        <v>220.4399811285175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15.008328404212953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15.008328404212953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-5.6843418860808015E-14</v>
      </c>
      <c r="FF167" s="18">
        <f>FE167*VLOOKUP('Données projet'!$B$16,Paramètres!$A$1:$I$89,3,0)*VLOOKUP('Données projet'!$B$16,Paramètres!$A$1:$I$89,5,0)</f>
        <v>-4.4337866711430253E-14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242.81177364426878</v>
      </c>
      <c r="FK167" s="62">
        <f t="shared" si="156"/>
        <v>260.72115764896671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14.158800381332984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14.158800381332984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-5.6843418860808015E-14</v>
      </c>
      <c r="GA167" s="18">
        <f>FZ167*VLOOKUP('Données projet'!$B$17,Paramètres!$A$1:$I$89,3,0)*VLOOKUP('Données projet'!$B$17,Paramètres!$A$1:$I$89,5,0)</f>
        <v>-4.5224624045658861E-14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248.15263300983543</v>
      </c>
      <c r="GF167" s="62">
        <f t="shared" si="158"/>
        <v>266.46511459244618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17.800575549182795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17.800575549182795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382.55387448074327</v>
      </c>
      <c r="T168" s="62">
        <f t="shared" si="142"/>
        <v>476.29465646955543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32.347940105656285</v>
      </c>
      <c r="AA168" s="23">
        <f>EXP(-LN(2)/25)*AA167+(1-EXP(-LN(2)/25))/(LN(2)/25)*Calculateur!V168*Calculateur!X168*VLOOKUP('Données projet'!$B$9,Paramètres!$A$1:$I$89,3,0)*0.475*44/12</f>
        <v>3.505292854831028</v>
      </c>
      <c r="AB168" s="23">
        <f>EXP(-LN(2)/2)*AB167+(1-EXP(-LN(2)/2))/(LN(2)/2)*V168*Y168*VLOOKUP('Données projet'!$B$9,Paramètres!$A$1:$I$89,3,0)*0.475*44/12</f>
        <v>8.842894247233223E-15</v>
      </c>
      <c r="AC168" s="24">
        <f t="shared" si="163"/>
        <v>35.853232960487318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-1.7053025658242404E-13</v>
      </c>
      <c r="AJ168" s="14">
        <f>AI168*VLOOKUP('Données projet'!$B$10,Paramètres!$A$1:$I$89,3,0)*VLOOKUP('Données projet'!$B$10,Paramètres!$A$1:$I$89,5,0)</f>
        <v>-1.064108801074326E-13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482.28841373508675</v>
      </c>
      <c r="AO168" s="62">
        <f t="shared" si="144"/>
        <v>746.97309214631684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60.481545574840702</v>
      </c>
      <c r="AV168" s="23">
        <f>EXP(-LN(2)/25)*AV167+(1-EXP(-LN(2)/25))/(LN(2)/25)*Calculateur!AQ168*Calculateur!AS168*VLOOKUP('Données projet'!$B$10,Paramètres!$A$1:$I$89,3,0)*0.475*44/12</f>
        <v>6.5725723365813966</v>
      </c>
      <c r="AW168" s="23">
        <f>EXP(-LN(2)/2)*AW167+(1-EXP(-LN(2)/2))/(LN(2)/2)*AQ168*AT168*VLOOKUP('Données projet'!$B$10,Paramètres!$A$1:$I$89,3,0)*0.475*44/12</f>
        <v>3.3030430224708655E-12</v>
      </c>
      <c r="AX168" s="23">
        <f t="shared" si="166"/>
        <v>67.054117911425394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-1.7053025658242404E-13</v>
      </c>
      <c r="BE168" s="14">
        <f>BD168*VLOOKUP('Données projet'!$B$11,Paramètres!$A$1:$I$89,3,0)*VLOOKUP('Données projet'!$B$11,Paramètres!$A$1:$I$89,5,0)</f>
        <v>-9.3109520094003535E-14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417.99456559608217</v>
      </c>
      <c r="BJ168" s="62">
        <f t="shared" si="146"/>
        <v>651.41353014863932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52.921352377985642</v>
      </c>
      <c r="BQ168" s="23">
        <f>EXP(-LN(2)/25)*BQ167+(1-EXP(-LN(2)/25))/(LN(2)/25)*Calculateur!BL168*Calculateur!BN168*VLOOKUP('Données projet'!$B$11,Paramètres!$A$1:$I$89,3,0)*0.475*44/12</f>
        <v>5.8194650896814428</v>
      </c>
      <c r="BR168" s="23">
        <f>EXP(-LN(2)/2)*BR167+(1-EXP(-LN(2)/2))/(LN(2)/2)*BL168*BO168*VLOOKUP('Données projet'!$B$11,Paramètres!$A$1:$I$89,3,0)*0.475*44/12</f>
        <v>2.8463723015610657E-12</v>
      </c>
      <c r="BS168" s="24">
        <f t="shared" si="169"/>
        <v>58.740817467669935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-5.1431925385259088E-14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213.07277043804817</v>
      </c>
      <c r="CE168" s="62">
        <f t="shared" si="148"/>
        <v>129.14539883354166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122.76610218134093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122.76610218134093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-5.7639226724859328E-14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247.92503505485405</v>
      </c>
      <c r="CZ168" s="62">
        <f t="shared" si="150"/>
        <v>148.26437652597514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137.5827007204683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137.5827007204683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3.6666666666666665</v>
      </c>
      <c r="DO168" s="13">
        <f>IF('Données projet'!$A$166&gt;35,DO167+DN168-DW167,IF(A168&lt;'Données projet'!$A$166,$DL$205^A168,IF(A168='Données projet'!$A$166,'Données projet'!$B$166,DO167+DN168-DW167)))</f>
        <v>186.00000000000011</v>
      </c>
      <c r="DP168" s="18">
        <f>DO168*VLOOKUP('Données projet'!$B$14,Paramètres!$A$1:$I$89,3,0)*VLOOKUP('Données projet'!$B$14,Paramètres!$A$1:$I$89,5,0)</f>
        <v>179.89920000000009</v>
      </c>
      <c r="DQ168" s="14">
        <f t="shared" si="176"/>
        <v>45.299759292628629</v>
      </c>
      <c r="DR168" s="22">
        <f t="shared" si="177"/>
        <v>392.22152076799506</v>
      </c>
      <c r="DS168" s="62">
        <f t="shared" si="125"/>
        <v>685.55485410132837</v>
      </c>
      <c r="DT168" s="62">
        <f ca="1">AVERAGE(OFFSET($DS$3,0,0,'Données projet'!$E$14+1,1))-AVERAGE(OFFSET($H$3,0,0,'Données projet'!$E$14+1,1))</f>
        <v>154.0837760161366</v>
      </c>
      <c r="DU168" s="62">
        <f t="shared" si="152"/>
        <v>96.484500841546037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41.270905356325542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41.270905356325542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-5.6843418860808015E-14</v>
      </c>
      <c r="EK168" s="18">
        <f>EJ168*VLOOKUP('Données projet'!$B$15,Paramètres!$A$1:$I$89,3,0)*VLOOKUP('Données projet'!$B$15,Paramètres!$A$1:$I$89,5,0)</f>
        <v>-3.813056537183002E-14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205.35893113421139</v>
      </c>
      <c r="EP168" s="62">
        <f t="shared" si="154"/>
        <v>220.4399811285175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14.714024238382764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14.714024238382764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-5.6843418860808015E-14</v>
      </c>
      <c r="FF168" s="18">
        <f>FE168*VLOOKUP('Données projet'!$B$16,Paramètres!$A$1:$I$89,3,0)*VLOOKUP('Données projet'!$B$16,Paramètres!$A$1:$I$89,5,0)</f>
        <v>-4.4337866711430253E-14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242.81177364426878</v>
      </c>
      <c r="FK168" s="62">
        <f t="shared" si="156"/>
        <v>260.72115764896671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13.881154941870541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13.881154941870541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-5.6843418860808015E-14</v>
      </c>
      <c r="GA168" s="18">
        <f>FZ168*VLOOKUP('Données projet'!$B$17,Paramètres!$A$1:$I$89,3,0)*VLOOKUP('Données projet'!$B$17,Paramètres!$A$1:$I$89,5,0)</f>
        <v>-4.5224624045658861E-14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248.15263300983543</v>
      </c>
      <c r="GF168" s="62">
        <f t="shared" si="158"/>
        <v>266.46511459244618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17.451517119942338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17.451517119942338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382.55387448074327</v>
      </c>
      <c r="T169" s="62">
        <f t="shared" si="142"/>
        <v>476.29465646955543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31.713616730479625</v>
      </c>
      <c r="AA169" s="23">
        <f>EXP(-LN(2)/25)*AA168+(1-EXP(-LN(2)/25))/(LN(2)/25)*Calculateur!V169*Calculateur!X169*VLOOKUP('Données projet'!$B$9,Paramètres!$A$1:$I$89,3,0)*0.475*44/12</f>
        <v>3.4094404373803338</v>
      </c>
      <c r="AB169" s="23">
        <f>EXP(-LN(2)/2)*AB168+(1-EXP(-LN(2)/2))/(LN(2)/2)*V169*Y169*VLOOKUP('Données projet'!$B$9,Paramètres!$A$1:$I$89,3,0)*0.475*44/12</f>
        <v>6.2528704875341227E-15</v>
      </c>
      <c r="AC169" s="24">
        <f t="shared" si="163"/>
        <v>35.123057167859969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-1.7053025658242404E-13</v>
      </c>
      <c r="AJ169" s="14">
        <f>AI169*VLOOKUP('Données projet'!$B$10,Paramètres!$A$1:$I$89,3,0)*VLOOKUP('Données projet'!$B$10,Paramètres!$A$1:$I$89,5,0)</f>
        <v>-1.064108801074326E-13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482.28841373508675</v>
      </c>
      <c r="AO169" s="62">
        <f t="shared" si="144"/>
        <v>746.97309214631684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59.295539356218285</v>
      </c>
      <c r="AV169" s="23">
        <f>EXP(-LN(2)/25)*AV168+(1-EXP(-LN(2)/25))/(LN(2)/25)*Calculateur!AQ169*Calculateur!AS169*VLOOKUP('Données projet'!$B$10,Paramètres!$A$1:$I$89,3,0)*0.475*44/12</f>
        <v>6.3928450004010209</v>
      </c>
      <c r="AW169" s="23">
        <f>EXP(-LN(2)/2)*AW168+(1-EXP(-LN(2)/2))/(LN(2)/2)*AQ169*AT169*VLOOKUP('Données projet'!$B$10,Paramètres!$A$1:$I$89,3,0)*0.475*44/12</f>
        <v>2.3356041197400589E-12</v>
      </c>
      <c r="AX169" s="23">
        <f t="shared" si="166"/>
        <v>65.68838435662164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-1.7053025658242404E-13</v>
      </c>
      <c r="BE169" s="14">
        <f>BD169*VLOOKUP('Données projet'!$B$11,Paramètres!$A$1:$I$89,3,0)*VLOOKUP('Données projet'!$B$11,Paramètres!$A$1:$I$89,5,0)</f>
        <v>-9.3109520094003535E-14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417.99456559608217</v>
      </c>
      <c r="BJ169" s="62">
        <f t="shared" si="146"/>
        <v>651.41353014863932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51.883596936691021</v>
      </c>
      <c r="BQ169" s="23">
        <f>EXP(-LN(2)/25)*BQ168+(1-EXP(-LN(2)/25))/(LN(2)/25)*Calculateur!BL169*Calculateur!BN169*VLOOKUP('Données projet'!$B$11,Paramètres!$A$1:$I$89,3,0)*0.475*44/12</f>
        <v>5.6603315107717354</v>
      </c>
      <c r="BR169" s="23">
        <f>EXP(-LN(2)/2)*BR168+(1-EXP(-LN(2)/2))/(LN(2)/2)*BL169*BO169*VLOOKUP('Données projet'!$B$11,Paramètres!$A$1:$I$89,3,0)*0.475*44/12</f>
        <v>2.0126891562153902E-12</v>
      </c>
      <c r="BS169" s="24">
        <f t="shared" si="169"/>
        <v>57.543928447464765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-5.1431925385259088E-14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213.07277043804817</v>
      </c>
      <c r="CE169" s="62">
        <f t="shared" si="148"/>
        <v>129.14539883354166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120.35873379749339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120.35873379749339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-5.7639226724859328E-14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247.92503505485405</v>
      </c>
      <c r="CZ169" s="62">
        <f t="shared" si="150"/>
        <v>148.26437652597514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134.88478787650121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134.88478787650121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3.6666666666666665</v>
      </c>
      <c r="DO169" s="13">
        <f>IF('Données projet'!$A$166&gt;35,DO168+DN169-DW168,IF(A169&lt;'Données projet'!$A$166,$DL$205^A169,IF(A169='Données projet'!$A$166,'Données projet'!$B$166,DO168+DN169-DW168)))</f>
        <v>189.66666666666677</v>
      </c>
      <c r="DP169" s="18">
        <f>DO169*VLOOKUP('Données projet'!$B$14,Paramètres!$A$1:$I$89,3,0)*VLOOKUP('Données projet'!$B$14,Paramètres!$A$1:$I$89,5,0)</f>
        <v>183.4456000000001</v>
      </c>
      <c r="DQ169" s="14">
        <f t="shared" si="176"/>
        <v>46.087920675715431</v>
      </c>
      <c r="DR169" s="22">
        <f t="shared" si="177"/>
        <v>399.77088184353784</v>
      </c>
      <c r="DS169" s="62">
        <f t="shared" si="125"/>
        <v>693.10421517687109</v>
      </c>
      <c r="DT169" s="62">
        <f ca="1">AVERAGE(OFFSET($DS$3,0,0,'Données projet'!$E$14+1,1))-AVERAGE(OFFSET($H$3,0,0,'Données projet'!$E$14+1,1))</f>
        <v>154.0837760161366</v>
      </c>
      <c r="DU169" s="62">
        <f t="shared" si="152"/>
        <v>96.484500841546037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40.461608075054663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40.461608075054663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-5.6843418860808015E-14</v>
      </c>
      <c r="EK169" s="18">
        <f>EJ169*VLOOKUP('Données projet'!$B$15,Paramètres!$A$1:$I$89,3,0)*VLOOKUP('Données projet'!$B$15,Paramètres!$A$1:$I$89,5,0)</f>
        <v>-3.813056537183002E-14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205.35893113421139</v>
      </c>
      <c r="EP169" s="62">
        <f t="shared" si="154"/>
        <v>220.4399811285175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14.425491197736688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14.425491197736688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-5.6843418860808015E-14</v>
      </c>
      <c r="FF169" s="18">
        <f>FE169*VLOOKUP('Données projet'!$B$16,Paramètres!$A$1:$I$89,3,0)*VLOOKUP('Données projet'!$B$16,Paramètres!$A$1:$I$89,5,0)</f>
        <v>-4.4337866711430253E-14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242.81177364426878</v>
      </c>
      <c r="FK169" s="62">
        <f t="shared" si="156"/>
        <v>260.72115764896671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13.608953960128961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13.608953960128961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-5.6843418860808015E-14</v>
      </c>
      <c r="GA169" s="18">
        <f>FZ169*VLOOKUP('Données projet'!$B$17,Paramètres!$A$1:$I$89,3,0)*VLOOKUP('Données projet'!$B$17,Paramètres!$A$1:$I$89,5,0)</f>
        <v>-4.5224624045658861E-14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248.15263300983543</v>
      </c>
      <c r="GF169" s="62">
        <f t="shared" si="158"/>
        <v>266.46511459244618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17.109303513594668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17.109303513594668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382.55387448074327</v>
      </c>
      <c r="T170" s="62">
        <f t="shared" si="142"/>
        <v>476.29465646955543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31.091732049791123</v>
      </c>
      <c r="AA170" s="23">
        <f>EXP(-LN(2)/25)*AA169+(1-EXP(-LN(2)/25))/(LN(2)/25)*Calculateur!V170*Calculateur!X170*VLOOKUP('Données projet'!$B$9,Paramètres!$A$1:$I$89,3,0)*0.475*44/12</f>
        <v>3.3162091093254884</v>
      </c>
      <c r="AB170" s="23">
        <f>EXP(-LN(2)/2)*AB169+(1-EXP(-LN(2)/2))/(LN(2)/2)*V170*Y170*VLOOKUP('Données projet'!$B$9,Paramètres!$A$1:$I$89,3,0)*0.475*44/12</f>
        <v>4.4214471236166115E-15</v>
      </c>
      <c r="AC170" s="24">
        <f t="shared" si="163"/>
        <v>34.407941159116618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-1.7053025658242404E-13</v>
      </c>
      <c r="AJ170" s="14">
        <f>AI170*VLOOKUP('Données projet'!$B$10,Paramètres!$A$1:$I$89,3,0)*VLOOKUP('Données projet'!$B$10,Paramètres!$A$1:$I$89,5,0)</f>
        <v>-1.064108801074326E-13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482.28841373508675</v>
      </c>
      <c r="AO170" s="62">
        <f t="shared" si="144"/>
        <v>746.97309214631684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58.132789996150684</v>
      </c>
      <c r="AV170" s="23">
        <f>EXP(-LN(2)/25)*AV169+(1-EXP(-LN(2)/25))/(LN(2)/25)*Calculateur!AQ170*Calculateur!AS170*VLOOKUP('Données projet'!$B$10,Paramètres!$A$1:$I$89,3,0)*0.475*44/12</f>
        <v>6.2180323176799472</v>
      </c>
      <c r="AW170" s="23">
        <f>EXP(-LN(2)/2)*AW169+(1-EXP(-LN(2)/2))/(LN(2)/2)*AQ170*AT170*VLOOKUP('Données projet'!$B$10,Paramètres!$A$1:$I$89,3,0)*0.475*44/12</f>
        <v>1.6515215112354328E-12</v>
      </c>
      <c r="AX170" s="23">
        <f t="shared" si="166"/>
        <v>64.350822313832282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-1.7053025658242404E-13</v>
      </c>
      <c r="BE170" s="14">
        <f>BD170*VLOOKUP('Données projet'!$B$11,Paramètres!$A$1:$I$89,3,0)*VLOOKUP('Données projet'!$B$11,Paramètres!$A$1:$I$89,5,0)</f>
        <v>-9.3109520094003535E-14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417.99456559608217</v>
      </c>
      <c r="BJ170" s="62">
        <f t="shared" si="146"/>
        <v>651.41353014863932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50.866191246631871</v>
      </c>
      <c r="BQ170" s="23">
        <f>EXP(-LN(2)/25)*BQ169+(1-EXP(-LN(2)/25))/(LN(2)/25)*Calculateur!BL170*Calculateur!BN170*VLOOKUP('Données projet'!$B$11,Paramètres!$A$1:$I$89,3,0)*0.475*44/12</f>
        <v>5.5055494479457847</v>
      </c>
      <c r="BR170" s="23">
        <f>EXP(-LN(2)/2)*BR169+(1-EXP(-LN(2)/2))/(LN(2)/2)*BL170*BO170*VLOOKUP('Données projet'!$B$11,Paramètres!$A$1:$I$89,3,0)*0.475*44/12</f>
        <v>1.4231861507805329E-12</v>
      </c>
      <c r="BS170" s="24">
        <f t="shared" si="169"/>
        <v>56.371740694579074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-5.1431925385259088E-14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213.07277043804817</v>
      </c>
      <c r="CE170" s="62">
        <f t="shared" si="148"/>
        <v>129.14539883354166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117.99857243930336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117.99857243930336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-5.7639226724859328E-14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247.92503505485405</v>
      </c>
      <c r="CZ170" s="62">
        <f t="shared" si="150"/>
        <v>148.26437652597514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132.23977945783997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132.23977945783997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3.6666666666666665</v>
      </c>
      <c r="DO170" s="13">
        <f>IF('Données projet'!$A$166&gt;35,DO169+DN170-DW169,IF(A170&lt;'Données projet'!$A$166,$DL$205^A170,IF(A170='Données projet'!$A$166,'Données projet'!$B$166,DO169+DN170-DW169)))</f>
        <v>193.33333333333343</v>
      </c>
      <c r="DP170" s="18">
        <f>DO170*VLOOKUP('Données projet'!$B$14,Paramètres!$A$1:$I$89,3,0)*VLOOKUP('Données projet'!$B$14,Paramètres!$A$1:$I$89,5,0)</f>
        <v>186.9920000000001</v>
      </c>
      <c r="DQ170" s="14">
        <f t="shared" si="176"/>
        <v>46.874310365261422</v>
      </c>
      <c r="DR170" s="22">
        <f t="shared" si="177"/>
        <v>407.31715721949718</v>
      </c>
      <c r="DS170" s="62">
        <f t="shared" si="125"/>
        <v>700.65049055283043</v>
      </c>
      <c r="DT170" s="62">
        <f ca="1">AVERAGE(OFFSET($DS$3,0,0,'Données projet'!$E$14+1,1))-AVERAGE(OFFSET($H$3,0,0,'Données projet'!$E$14+1,1))</f>
        <v>154.0837760161366</v>
      </c>
      <c r="DU170" s="62">
        <f t="shared" si="152"/>
        <v>96.484500841546037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39.6681806198469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39.6681806198469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-5.6843418860808015E-14</v>
      </c>
      <c r="EK170" s="18">
        <f>EJ170*VLOOKUP('Données projet'!$B$15,Paramètres!$A$1:$I$89,3,0)*VLOOKUP('Données projet'!$B$15,Paramètres!$A$1:$I$89,5,0)</f>
        <v>-3.813056537183002E-14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205.35893113421139</v>
      </c>
      <c r="EP170" s="62">
        <f t="shared" si="154"/>
        <v>220.4399811285175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14.142616114029906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14.142616114029906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-5.6843418860808015E-14</v>
      </c>
      <c r="FF170" s="18">
        <f>FE170*VLOOKUP('Données projet'!$B$16,Paramètres!$A$1:$I$89,3,0)*VLOOKUP('Données projet'!$B$16,Paramètres!$A$1:$I$89,5,0)</f>
        <v>-4.4337866711430253E-14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242.81177364426878</v>
      </c>
      <c r="FK170" s="62">
        <f t="shared" si="156"/>
        <v>260.72115764896671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13.342090673613127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13.342090673613127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-5.6843418860808015E-14</v>
      </c>
      <c r="GA170" s="18">
        <f>FZ170*VLOOKUP('Données projet'!$B$17,Paramètres!$A$1:$I$89,3,0)*VLOOKUP('Données projet'!$B$17,Paramètres!$A$1:$I$89,5,0)</f>
        <v>-4.5224624045658861E-14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248.15263300983543</v>
      </c>
      <c r="GF170" s="62">
        <f t="shared" si="158"/>
        <v>266.46511459244618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16.773800507337786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16.773800507337786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382.55387448074327</v>
      </c>
      <c r="T171" s="62">
        <f t="shared" si="142"/>
        <v>476.29465646955543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30.482042148378721</v>
      </c>
      <c r="AA171" s="23">
        <f>EXP(-LN(2)/25)*AA170+(1-EXP(-LN(2)/25))/(LN(2)/25)*Calculateur!V171*Calculateur!X171*VLOOKUP('Données projet'!$B$9,Paramètres!$A$1:$I$89,3,0)*0.475*44/12</f>
        <v>3.225527196839125</v>
      </c>
      <c r="AB171" s="23">
        <f>EXP(-LN(2)/2)*AB170+(1-EXP(-LN(2)/2))/(LN(2)/2)*V171*Y171*VLOOKUP('Données projet'!$B$9,Paramètres!$A$1:$I$89,3,0)*0.475*44/12</f>
        <v>3.1264352437670613E-15</v>
      </c>
      <c r="AC171" s="24">
        <f t="shared" si="163"/>
        <v>33.707569345217848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-1.7053025658242404E-13</v>
      </c>
      <c r="AJ171" s="14">
        <f>AI171*VLOOKUP('Données projet'!$B$10,Paramètres!$A$1:$I$89,3,0)*VLOOKUP('Données projet'!$B$10,Paramètres!$A$1:$I$89,5,0)</f>
        <v>-1.064108801074326E-13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482.28841373508675</v>
      </c>
      <c r="AO171" s="62">
        <f t="shared" si="144"/>
        <v>746.97309214631684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56.992841441826933</v>
      </c>
      <c r="AV171" s="23">
        <f>EXP(-LN(2)/25)*AV170+(1-EXP(-LN(2)/25))/(LN(2)/25)*Calculateur!AQ171*Calculateur!AS171*VLOOKUP('Données projet'!$B$10,Paramètres!$A$1:$I$89,3,0)*0.475*44/12</f>
        <v>6.0479998969608806</v>
      </c>
      <c r="AW171" s="23">
        <f>EXP(-LN(2)/2)*AW170+(1-EXP(-LN(2)/2))/(LN(2)/2)*AQ171*AT171*VLOOKUP('Données projet'!$B$10,Paramètres!$A$1:$I$89,3,0)*0.475*44/12</f>
        <v>1.1678020598700294E-12</v>
      </c>
      <c r="AX171" s="23">
        <f t="shared" si="166"/>
        <v>63.040841338788979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-1.7053025658242404E-13</v>
      </c>
      <c r="BE171" s="14">
        <f>BD171*VLOOKUP('Données projet'!$B$11,Paramètres!$A$1:$I$89,3,0)*VLOOKUP('Données projet'!$B$11,Paramètres!$A$1:$I$89,5,0)</f>
        <v>-9.3109520094003535E-14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417.99456559608217</v>
      </c>
      <c r="BJ171" s="62">
        <f t="shared" si="146"/>
        <v>651.41353014863932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49.868736261598585</v>
      </c>
      <c r="BQ171" s="23">
        <f>EXP(-LN(2)/25)*BQ170+(1-EXP(-LN(2)/25))/(LN(2)/25)*Calculateur!BL171*Calculateur!BN171*VLOOKUP('Données projet'!$B$11,Paramètres!$A$1:$I$89,3,0)*0.475*44/12</f>
        <v>5.3549999087674447</v>
      </c>
      <c r="BR171" s="23">
        <f>EXP(-LN(2)/2)*BR170+(1-EXP(-LN(2)/2))/(LN(2)/2)*BL171*BO171*VLOOKUP('Données projet'!$B$11,Paramètres!$A$1:$I$89,3,0)*0.475*44/12</f>
        <v>1.0063445781076951E-12</v>
      </c>
      <c r="BS171" s="24">
        <f t="shared" si="169"/>
        <v>55.22373617036704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-5.1431925385259088E-14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213.07277043804817</v>
      </c>
      <c r="CE171" s="62">
        <f t="shared" si="148"/>
        <v>129.14539883354166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115.68469240579117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115.68469240579117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-5.7639226724859328E-14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247.92503505485405</v>
      </c>
      <c r="CZ171" s="62">
        <f t="shared" si="150"/>
        <v>148.26437652597514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129.64663804097285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129.64663804097285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3.6666666666666665</v>
      </c>
      <c r="DO171" s="13">
        <f>IF('Données projet'!$A$166&gt;35,DO170+DN171-DW170,IF(A171&lt;'Données projet'!$A$166,$DL$205^A171,IF(A171='Données projet'!$A$166,'Données projet'!$B$166,DO170+DN171-DW170)))</f>
        <v>197.00000000000009</v>
      </c>
      <c r="DP171" s="18">
        <f>DO171*VLOOKUP('Données projet'!$B$14,Paramètres!$A$1:$I$89,3,0)*VLOOKUP('Données projet'!$B$14,Paramètres!$A$1:$I$89,5,0)</f>
        <v>190.53840000000011</v>
      </c>
      <c r="DQ171" s="14">
        <f t="shared" si="176"/>
        <v>47.658965836673829</v>
      </c>
      <c r="DR171" s="22">
        <f t="shared" si="177"/>
        <v>414.86041216554048</v>
      </c>
      <c r="DS171" s="62">
        <f t="shared" si="125"/>
        <v>708.1937454988738</v>
      </c>
      <c r="DT171" s="62">
        <f ca="1">AVERAGE(OFFSET($DS$3,0,0,'Données projet'!$E$14+1,1))-AVERAGE(OFFSET($H$3,0,0,'Données projet'!$E$14+1,1))</f>
        <v>154.0837760161366</v>
      </c>
      <c r="DU171" s="62">
        <f t="shared" si="152"/>
        <v>96.484500841546037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38.890311793092806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38.890311793092806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-5.6843418860808015E-14</v>
      </c>
      <c r="EK171" s="18">
        <f>EJ171*VLOOKUP('Données projet'!$B$15,Paramètres!$A$1:$I$89,3,0)*VLOOKUP('Données projet'!$B$15,Paramètres!$A$1:$I$89,5,0)</f>
        <v>-3.813056537183002E-14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205.35893113421139</v>
      </c>
      <c r="EP171" s="62">
        <f t="shared" si="154"/>
        <v>220.4399811285175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13.865288038177848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13.865288038177848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-5.6843418860808015E-14</v>
      </c>
      <c r="FF171" s="18">
        <f>FE171*VLOOKUP('Données projet'!$B$16,Paramètres!$A$1:$I$89,3,0)*VLOOKUP('Données projet'!$B$16,Paramètres!$A$1:$I$89,5,0)</f>
        <v>-4.4337866711430253E-14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242.81177364426878</v>
      </c>
      <c r="FK171" s="62">
        <f t="shared" si="156"/>
        <v>260.72115764896671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13.080460413375336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13.080460413375336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-5.6843418860808015E-14</v>
      </c>
      <c r="GA171" s="18">
        <f>FZ171*VLOOKUP('Données projet'!$B$17,Paramètres!$A$1:$I$89,3,0)*VLOOKUP('Données projet'!$B$17,Paramètres!$A$1:$I$89,5,0)</f>
        <v>-4.5224624045658861E-14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248.15263300983543</v>
      </c>
      <c r="GF171" s="62">
        <f t="shared" si="158"/>
        <v>266.46511459244618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16.444876510396973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16.444876510396973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382.55387448074327</v>
      </c>
      <c r="T172" s="62">
        <f t="shared" si="142"/>
        <v>476.29465646955543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29.884307894058896</v>
      </c>
      <c r="AA172" s="23">
        <f>EXP(-LN(2)/25)*AA171+(1-EXP(-LN(2)/25))/(LN(2)/25)*Calculateur!V172*Calculateur!X172*VLOOKUP('Données projet'!$B$9,Paramètres!$A$1:$I$89,3,0)*0.475*44/12</f>
        <v>3.1373249860184558</v>
      </c>
      <c r="AB172" s="23">
        <f>EXP(-LN(2)/2)*AB171+(1-EXP(-LN(2)/2))/(LN(2)/2)*V172*Y172*VLOOKUP('Données projet'!$B$9,Paramètres!$A$1:$I$89,3,0)*0.475*44/12</f>
        <v>2.2107235618083058E-15</v>
      </c>
      <c r="AC172" s="24">
        <f t="shared" si="163"/>
        <v>33.021632880077348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-1.7053025658242404E-13</v>
      </c>
      <c r="AJ172" s="14">
        <f>AI172*VLOOKUP('Données projet'!$B$10,Paramètres!$A$1:$I$89,3,0)*VLOOKUP('Données projet'!$B$10,Paramètres!$A$1:$I$89,5,0)</f>
        <v>-1.064108801074326E-13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482.28841373508675</v>
      </c>
      <c r="AO172" s="62">
        <f t="shared" si="144"/>
        <v>746.97309214631684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55.875246583353501</v>
      </c>
      <c r="AV172" s="23">
        <f>EXP(-LN(2)/25)*AV171+(1-EXP(-LN(2)/25))/(LN(2)/25)*Calculateur!AQ172*Calculateur!AS172*VLOOKUP('Données projet'!$B$10,Paramètres!$A$1:$I$89,3,0)*0.475*44/12</f>
        <v>5.8826170217279934</v>
      </c>
      <c r="AW172" s="23">
        <f>EXP(-LN(2)/2)*AW171+(1-EXP(-LN(2)/2))/(LN(2)/2)*AQ172*AT172*VLOOKUP('Données projet'!$B$10,Paramètres!$A$1:$I$89,3,0)*0.475*44/12</f>
        <v>8.2576075561771639E-13</v>
      </c>
      <c r="AX172" s="23">
        <f t="shared" si="166"/>
        <v>61.757863605082321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-1.7053025658242404E-13</v>
      </c>
      <c r="BE172" s="14">
        <f>BD172*VLOOKUP('Données projet'!$B$11,Paramètres!$A$1:$I$89,3,0)*VLOOKUP('Données projet'!$B$11,Paramètres!$A$1:$I$89,5,0)</f>
        <v>-9.3109520094003535E-14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417.99456559608217</v>
      </c>
      <c r="BJ172" s="62">
        <f t="shared" si="146"/>
        <v>651.41353014863932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48.890840760434337</v>
      </c>
      <c r="BQ172" s="23">
        <f>EXP(-LN(2)/25)*BQ171+(1-EXP(-LN(2)/25))/(LN(2)/25)*Calculateur!BL172*Calculateur!BN172*VLOOKUP('Données projet'!$B$11,Paramètres!$A$1:$I$89,3,0)*0.475*44/12</f>
        <v>5.2085671546549923</v>
      </c>
      <c r="BR172" s="23">
        <f>EXP(-LN(2)/2)*BR171+(1-EXP(-LN(2)/2))/(LN(2)/2)*BL172*BO172*VLOOKUP('Données projet'!$B$11,Paramètres!$A$1:$I$89,3,0)*0.475*44/12</f>
        <v>7.1159307539026644E-13</v>
      </c>
      <c r="BS172" s="24">
        <f t="shared" si="169"/>
        <v>54.09940791509004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-5.1431925385259088E-14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213.07277043804817</v>
      </c>
      <c r="CE172" s="62">
        <f t="shared" si="148"/>
        <v>129.14539883354166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113.41618614840868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113.41618614840868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-5.7639226724859328E-14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247.92503505485405</v>
      </c>
      <c r="CZ172" s="62">
        <f t="shared" si="150"/>
        <v>148.26437652597514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127.10434654563041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127.10434654563041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3.6666666666666665</v>
      </c>
      <c r="DO172" s="13">
        <f>IF('Données projet'!$A$166&gt;35,DO171+DN172-DW171,IF(A172&lt;'Données projet'!$A$166,$DL$205^A172,IF(A172='Données projet'!$A$166,'Données projet'!$B$166,DO171+DN172-DW171)))</f>
        <v>200.66666666666674</v>
      </c>
      <c r="DP172" s="18">
        <f>DO172*VLOOKUP('Données projet'!$B$14,Paramètres!$A$1:$I$89,3,0)*VLOOKUP('Données projet'!$B$14,Paramètres!$A$1:$I$89,5,0)</f>
        <v>194.08480000000009</v>
      </c>
      <c r="DQ172" s="14">
        <f t="shared" si="176"/>
        <v>48.441923090488899</v>
      </c>
      <c r="DR172" s="22">
        <f t="shared" si="177"/>
        <v>422.40070938260163</v>
      </c>
      <c r="DS172" s="62">
        <f t="shared" si="125"/>
        <v>715.73404271593495</v>
      </c>
      <c r="DT172" s="62">
        <f ca="1">AVERAGE(OFFSET($DS$3,0,0,'Données projet'!$E$14+1,1))-AVERAGE(OFFSET($H$3,0,0,'Données projet'!$E$14+1,1))</f>
        <v>154.0837760161366</v>
      </c>
      <c r="DU172" s="62">
        <f t="shared" si="152"/>
        <v>96.484500841546037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38.127696499578221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38.127696499578221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-5.6843418860808015E-14</v>
      </c>
      <c r="EK172" s="18">
        <f>EJ172*VLOOKUP('Données projet'!$B$15,Paramètres!$A$1:$I$89,3,0)*VLOOKUP('Données projet'!$B$15,Paramètres!$A$1:$I$89,5,0)</f>
        <v>-3.813056537183002E-14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205.35893113421139</v>
      </c>
      <c r="EP172" s="62">
        <f t="shared" si="154"/>
        <v>220.4399811285175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13.593398196739825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13.593398196739825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-5.6843418860808015E-14</v>
      </c>
      <c r="FF172" s="18">
        <f>FE172*VLOOKUP('Données projet'!$B$16,Paramètres!$A$1:$I$89,3,0)*VLOOKUP('Données projet'!$B$16,Paramètres!$A$1:$I$89,5,0)</f>
        <v>-4.4337866711430253E-14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242.81177364426878</v>
      </c>
      <c r="FK172" s="62">
        <f t="shared" si="156"/>
        <v>260.72115764896671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12.823960562962107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12.823960562962107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-5.6843418860808015E-14</v>
      </c>
      <c r="GA172" s="18">
        <f>FZ172*VLOOKUP('Données projet'!$B$17,Paramètres!$A$1:$I$89,3,0)*VLOOKUP('Données projet'!$B$17,Paramètres!$A$1:$I$89,5,0)</f>
        <v>-4.5224624045658861E-14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248.15263300983543</v>
      </c>
      <c r="GF172" s="62">
        <f t="shared" si="158"/>
        <v>266.46511459244618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16.122402512412343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16.122402512412343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382.55387448074327</v>
      </c>
      <c r="T173" s="62">
        <f t="shared" si="142"/>
        <v>476.29465646955543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29.298294843884388</v>
      </c>
      <c r="AA173" s="23">
        <f>EXP(-LN(2)/25)*AA172+(1-EXP(-LN(2)/25))/(LN(2)/25)*Calculateur!V173*Calculateur!X173*VLOOKUP('Données projet'!$B$9,Paramètres!$A$1:$I$89,3,0)*0.475*44/12</f>
        <v>3.0515346692910303</v>
      </c>
      <c r="AB173" s="23">
        <f>EXP(-LN(2)/2)*AB172+(1-EXP(-LN(2)/2))/(LN(2)/2)*V173*Y173*VLOOKUP('Données projet'!$B$9,Paramètres!$A$1:$I$89,3,0)*0.475*44/12</f>
        <v>1.5632176218835307E-15</v>
      </c>
      <c r="AC173" s="24">
        <f t="shared" si="163"/>
        <v>32.349829513175422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-1.7053025658242404E-13</v>
      </c>
      <c r="AJ173" s="14">
        <f>AI173*VLOOKUP('Données projet'!$B$10,Paramètres!$A$1:$I$89,3,0)*VLOOKUP('Données projet'!$B$10,Paramètres!$A$1:$I$89,5,0)</f>
        <v>-1.064108801074326E-13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482.28841373508675</v>
      </c>
      <c r="AO173" s="62">
        <f t="shared" si="144"/>
        <v>746.97309214631684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54.779567078389185</v>
      </c>
      <c r="AV173" s="23">
        <f>EXP(-LN(2)/25)*AV172+(1-EXP(-LN(2)/25))/(LN(2)/25)*Calculateur!AQ173*Calculateur!AS173*VLOOKUP('Données projet'!$B$10,Paramètres!$A$1:$I$89,3,0)*0.475*44/12</f>
        <v>5.7217565499154572</v>
      </c>
      <c r="AW173" s="23">
        <f>EXP(-LN(2)/2)*AW172+(1-EXP(-LN(2)/2))/(LN(2)/2)*AQ173*AT173*VLOOKUP('Données projet'!$B$10,Paramètres!$A$1:$I$89,3,0)*0.475*44/12</f>
        <v>5.8390102993501472E-13</v>
      </c>
      <c r="AX173" s="23">
        <f t="shared" si="166"/>
        <v>60.501323628305222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-1.7053025658242404E-13</v>
      </c>
      <c r="BE173" s="14">
        <f>BD173*VLOOKUP('Données projet'!$B$11,Paramètres!$A$1:$I$89,3,0)*VLOOKUP('Données projet'!$B$11,Paramètres!$A$1:$I$89,5,0)</f>
        <v>-9.3109520094003535E-14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417.99456559608217</v>
      </c>
      <c r="BJ173" s="62">
        <f t="shared" si="146"/>
        <v>651.41353014863932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47.932121193590554</v>
      </c>
      <c r="BQ173" s="23">
        <f>EXP(-LN(2)/25)*BQ172+(1-EXP(-LN(2)/25))/(LN(2)/25)*Calculateur!BL173*Calculateur!BN173*VLOOKUP('Données projet'!$B$11,Paramètres!$A$1:$I$89,3,0)*0.475*44/12</f>
        <v>5.066138611904309</v>
      </c>
      <c r="BR173" s="23">
        <f>EXP(-LN(2)/2)*BR172+(1-EXP(-LN(2)/2))/(LN(2)/2)*BL173*BO173*VLOOKUP('Données projet'!$B$11,Paramètres!$A$1:$I$89,3,0)*0.475*44/12</f>
        <v>5.0317228905384755E-13</v>
      </c>
      <c r="BS173" s="24">
        <f t="shared" si="169"/>
        <v>52.998259805495366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-5.1431925385259088E-14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213.07277043804817</v>
      </c>
      <c r="CE173" s="62">
        <f t="shared" si="148"/>
        <v>129.14539883354166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111.19216391508128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111.19216391508128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-5.7639226724859328E-14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247.92503505485405</v>
      </c>
      <c r="CZ173" s="62">
        <f t="shared" si="150"/>
        <v>148.26437652597514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124.61190783586693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124.61190783586693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3.6666666666666665</v>
      </c>
      <c r="DO173" s="13">
        <f>IF('Données projet'!$A$166&gt;35,DO172+DN173-DW172,IF(A173&lt;'Données projet'!$A$166,$DL$205^A173,IF(A173='Données projet'!$A$166,'Données projet'!$B$166,DO172+DN173-DW172)))</f>
        <v>204.3333333333334</v>
      </c>
      <c r="DP173" s="18">
        <f>DO173*VLOOKUP('Données projet'!$B$14,Paramètres!$A$1:$I$89,3,0)*VLOOKUP('Données projet'!$B$14,Paramètres!$A$1:$I$89,5,0)</f>
        <v>197.63120000000006</v>
      </c>
      <c r="DQ173" s="14">
        <f t="shared" si="176"/>
        <v>49.223216736286389</v>
      </c>
      <c r="DR173" s="22">
        <f t="shared" si="177"/>
        <v>429.93810914903224</v>
      </c>
      <c r="DS173" s="62">
        <f t="shared" si="125"/>
        <v>723.2714424823655</v>
      </c>
      <c r="DT173" s="62">
        <f ca="1">AVERAGE(OFFSET($DS$3,0,0,'Données projet'!$E$14+1,1))-AVERAGE(OFFSET($H$3,0,0,'Données projet'!$E$14+1,1))</f>
        <v>154.0837760161366</v>
      </c>
      <c r="DU173" s="62">
        <f t="shared" si="152"/>
        <v>96.484500841546037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37.38003562682006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37.38003562682006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-5.6843418860808015E-14</v>
      </c>
      <c r="EK173" s="18">
        <f>EJ173*VLOOKUP('Données projet'!$B$15,Paramètres!$A$1:$I$89,3,0)*VLOOKUP('Données projet'!$B$15,Paramètres!$A$1:$I$89,5,0)</f>
        <v>-3.813056537183002E-14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205.35893113421139</v>
      </c>
      <c r="EP173" s="62">
        <f t="shared" si="154"/>
        <v>220.4399811285175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13.326839949255973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13.326839949255973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-5.6843418860808015E-14</v>
      </c>
      <c r="FF173" s="18">
        <f>FE173*VLOOKUP('Données projet'!$B$16,Paramètres!$A$1:$I$89,3,0)*VLOOKUP('Données projet'!$B$16,Paramètres!$A$1:$I$89,5,0)</f>
        <v>-4.4337866711430253E-14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242.81177364426878</v>
      </c>
      <c r="FK173" s="62">
        <f t="shared" si="156"/>
        <v>260.72115764896671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12.57249051816602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12.57249051816602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-5.6843418860808015E-14</v>
      </c>
      <c r="GA173" s="18">
        <f>FZ173*VLOOKUP('Données projet'!$B$17,Paramètres!$A$1:$I$89,3,0)*VLOOKUP('Données projet'!$B$17,Paramètres!$A$1:$I$89,5,0)</f>
        <v>-4.5224624045658861E-14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248.15263300983543</v>
      </c>
      <c r="GF173" s="62">
        <f t="shared" si="158"/>
        <v>266.46511459244618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15.806252032838472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15.806252032838472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382.55387448074327</v>
      </c>
      <c r="T174" s="62">
        <f t="shared" si="142"/>
        <v>476.29465646955543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28.723773152191136</v>
      </c>
      <c r="AA174" s="23">
        <f>EXP(-LN(2)/25)*AA173+(1-EXP(-LN(2)/25))/(LN(2)/25)*Calculateur!V174*Calculateur!X174*VLOOKUP('Données projet'!$B$9,Paramètres!$A$1:$I$89,3,0)*0.475*44/12</f>
        <v>2.9680902932860334</v>
      </c>
      <c r="AB174" s="23">
        <f>EXP(-LN(2)/2)*AB173+(1-EXP(-LN(2)/2))/(LN(2)/2)*V174*Y174*VLOOKUP('Données projet'!$B$9,Paramètres!$A$1:$I$89,3,0)*0.475*44/12</f>
        <v>1.1053617809041529E-15</v>
      </c>
      <c r="AC174" s="24">
        <f t="shared" si="163"/>
        <v>31.691863445477168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-1.7053025658242404E-13</v>
      </c>
      <c r="AJ174" s="14">
        <f>AI174*VLOOKUP('Données projet'!$B$10,Paramètres!$A$1:$I$89,3,0)*VLOOKUP('Données projet'!$B$10,Paramètres!$A$1:$I$89,5,0)</f>
        <v>-1.064108801074326E-13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482.28841373508675</v>
      </c>
      <c r="AO174" s="62">
        <f t="shared" si="144"/>
        <v>746.97309214631684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53.705373180218707</v>
      </c>
      <c r="AV174" s="23">
        <f>EXP(-LN(2)/25)*AV173+(1-EXP(-LN(2)/25))/(LN(2)/25)*Calculateur!AQ174*Calculateur!AS174*VLOOKUP('Données projet'!$B$10,Paramètres!$A$1:$I$89,3,0)*0.475*44/12</f>
        <v>5.5652948161639193</v>
      </c>
      <c r="AW174" s="23">
        <f>EXP(-LN(2)/2)*AW173+(1-EXP(-LN(2)/2))/(LN(2)/2)*AQ174*AT174*VLOOKUP('Données projet'!$B$10,Paramètres!$A$1:$I$89,3,0)*0.475*44/12</f>
        <v>4.1288037780885819E-13</v>
      </c>
      <c r="AX174" s="23">
        <f t="shared" si="166"/>
        <v>59.27066799638304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-1.7053025658242404E-13</v>
      </c>
      <c r="BE174" s="14">
        <f>BD174*VLOOKUP('Données projet'!$B$11,Paramètres!$A$1:$I$89,3,0)*VLOOKUP('Données projet'!$B$11,Paramètres!$A$1:$I$89,5,0)</f>
        <v>-9.3109520094003535E-14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417.99456559608217</v>
      </c>
      <c r="BJ174" s="62">
        <f t="shared" si="146"/>
        <v>651.41353014863932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46.992201532691382</v>
      </c>
      <c r="BQ174" s="23">
        <f>EXP(-LN(2)/25)*BQ173+(1-EXP(-LN(2)/25))/(LN(2)/25)*Calculateur!BL174*Calculateur!BN174*VLOOKUP('Données projet'!$B$11,Paramètres!$A$1:$I$89,3,0)*0.475*44/12</f>
        <v>4.9276047851451352</v>
      </c>
      <c r="BR174" s="23">
        <f>EXP(-LN(2)/2)*BR173+(1-EXP(-LN(2)/2))/(LN(2)/2)*BL174*BO174*VLOOKUP('Données projet'!$B$11,Paramètres!$A$1:$I$89,3,0)*0.475*44/12</f>
        <v>3.5579653769513322E-13</v>
      </c>
      <c r="BS174" s="24">
        <f t="shared" si="169"/>
        <v>51.919806317836873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-5.1431925385259088E-14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213.07277043804817</v>
      </c>
      <c r="CE174" s="62">
        <f t="shared" si="148"/>
        <v>129.14539883354166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109.01175340122981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109.01175340122981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-5.7639226724859328E-14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247.92503505485405</v>
      </c>
      <c r="CZ174" s="62">
        <f t="shared" si="150"/>
        <v>148.26437652597514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122.16834432896441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122.16834432896441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3.6666666666666665</v>
      </c>
      <c r="DO174" s="13">
        <f>IF('Données projet'!$A$166&gt;35,DO173+DN174-DW173,IF(A174&lt;'Données projet'!$A$166,$DL$205^A174,IF(A174='Données projet'!$A$166,'Données projet'!$B$166,DO173+DN174-DW173)))</f>
        <v>208.00000000000006</v>
      </c>
      <c r="DP174" s="18">
        <f>DO174*VLOOKUP('Données projet'!$B$14,Paramètres!$A$1:$I$89,3,0)*VLOOKUP('Données projet'!$B$14,Paramètres!$A$1:$I$89,5,0)</f>
        <v>201.17760000000007</v>
      </c>
      <c r="DQ174" s="14">
        <f t="shared" si="176"/>
        <v>50.002880070410733</v>
      </c>
      <c r="DR174" s="22">
        <f t="shared" si="177"/>
        <v>437.47266945596539</v>
      </c>
      <c r="DS174" s="62">
        <f t="shared" si="125"/>
        <v>730.80600278929865</v>
      </c>
      <c r="DT174" s="62">
        <f ca="1">AVERAGE(OFFSET($DS$3,0,0,'Données projet'!$E$14+1,1))-AVERAGE(OFFSET($H$3,0,0,'Données projet'!$E$14+1,1))</f>
        <v>154.0837760161366</v>
      </c>
      <c r="DU174" s="62">
        <f t="shared" si="152"/>
        <v>96.484500841546037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36.647035927748583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36.647035927748583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-5.6843418860808015E-14</v>
      </c>
      <c r="EK174" s="18">
        <f>EJ174*VLOOKUP('Données projet'!$B$15,Paramètres!$A$1:$I$89,3,0)*VLOOKUP('Données projet'!$B$15,Paramètres!$A$1:$I$89,5,0)</f>
        <v>-3.813056537183002E-14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205.35893113421139</v>
      </c>
      <c r="EP174" s="62">
        <f t="shared" si="154"/>
        <v>220.4399811285175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13.065508746420804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13.065508746420804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-5.6843418860808015E-14</v>
      </c>
      <c r="FF174" s="18">
        <f>FE174*VLOOKUP('Données projet'!$B$16,Paramètres!$A$1:$I$89,3,0)*VLOOKUP('Données projet'!$B$16,Paramètres!$A$1:$I$89,5,0)</f>
        <v>-4.4337866711430253E-14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242.81177364426878</v>
      </c>
      <c r="FK174" s="62">
        <f t="shared" si="156"/>
        <v>260.72115764896671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12.325951647566804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12.325951647566804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-5.6843418860808015E-14</v>
      </c>
      <c r="GA174" s="18">
        <f>FZ174*VLOOKUP('Données projet'!$B$17,Paramètres!$A$1:$I$89,3,0)*VLOOKUP('Données projet'!$B$17,Paramètres!$A$1:$I$89,5,0)</f>
        <v>-4.5224624045658861E-14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248.15263300983543</v>
      </c>
      <c r="GF174" s="62">
        <f t="shared" si="158"/>
        <v>266.46511459244618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15.496301071336294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15.496301071336294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382.55387448074327</v>
      </c>
      <c r="T175" s="62">
        <f t="shared" si="142"/>
        <v>476.29465646955543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28.160517480448355</v>
      </c>
      <c r="AA175" s="23">
        <f>EXP(-LN(2)/25)*AA174+(1-EXP(-LN(2)/25))/(LN(2)/25)*Calculateur!V175*Calculateur!X175*VLOOKUP('Données projet'!$B$9,Paramètres!$A$1:$I$89,3,0)*0.475*44/12</f>
        <v>2.8869277081310418</v>
      </c>
      <c r="AB175" s="23">
        <f>EXP(-LN(2)/2)*AB174+(1-EXP(-LN(2)/2))/(LN(2)/2)*V175*Y175*VLOOKUP('Données projet'!$B$9,Paramètres!$A$1:$I$89,3,0)*0.475*44/12</f>
        <v>7.8160881094176533E-16</v>
      </c>
      <c r="AC175" s="24">
        <f t="shared" si="163"/>
        <v>31.047445188579395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-1.7053025658242404E-13</v>
      </c>
      <c r="AJ175" s="14">
        <f>AI175*VLOOKUP('Données projet'!$B$10,Paramètres!$A$1:$I$89,3,0)*VLOOKUP('Données projet'!$B$10,Paramètres!$A$1:$I$89,5,0)</f>
        <v>-1.064108801074326E-13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482.28841373508675</v>
      </c>
      <c r="AO175" s="62">
        <f t="shared" si="144"/>
        <v>746.97309214631684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52.652243569197772</v>
      </c>
      <c r="AV175" s="23">
        <f>EXP(-LN(2)/25)*AV174+(1-EXP(-LN(2)/25))/(LN(2)/25)*Calculateur!AQ175*Calculateur!AS175*VLOOKUP('Données projet'!$B$10,Paramètres!$A$1:$I$89,3,0)*0.475*44/12</f>
        <v>5.4131115367497822</v>
      </c>
      <c r="AW175" s="23">
        <f>EXP(-LN(2)/2)*AW174+(1-EXP(-LN(2)/2))/(LN(2)/2)*AQ175*AT175*VLOOKUP('Données projet'!$B$10,Paramètres!$A$1:$I$89,3,0)*0.475*44/12</f>
        <v>2.9195051496750736E-13</v>
      </c>
      <c r="AX175" s="23">
        <f t="shared" si="166"/>
        <v>58.065355105947845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-1.7053025658242404E-13</v>
      </c>
      <c r="BE175" s="14">
        <f>BD175*VLOOKUP('Données projet'!$B$11,Paramètres!$A$1:$I$89,3,0)*VLOOKUP('Données projet'!$B$11,Paramètres!$A$1:$I$89,5,0)</f>
        <v>-9.3109520094003535E-14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417.99456559608217</v>
      </c>
      <c r="BJ175" s="62">
        <f t="shared" si="146"/>
        <v>651.41353014863932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46.070713123048058</v>
      </c>
      <c r="BQ175" s="23">
        <f>EXP(-LN(2)/25)*BQ174+(1-EXP(-LN(2)/25))/(LN(2)/25)*Calculateur!BL175*Calculateur!BN175*VLOOKUP('Données projet'!$B$11,Paramètres!$A$1:$I$89,3,0)*0.475*44/12</f>
        <v>4.7928591731638681</v>
      </c>
      <c r="BR175" s="23">
        <f>EXP(-LN(2)/2)*BR174+(1-EXP(-LN(2)/2))/(LN(2)/2)*BL175*BO175*VLOOKUP('Données projet'!$B$11,Paramètres!$A$1:$I$89,3,0)*0.475*44/12</f>
        <v>2.5158614452692377E-13</v>
      </c>
      <c r="BS175" s="24">
        <f t="shared" si="169"/>
        <v>50.863572296212176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-5.1431925385259088E-14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213.07277043804817</v>
      </c>
      <c r="CE175" s="62">
        <f t="shared" si="148"/>
        <v>129.14539883354166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106.87409940763587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106.87409940763587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-5.7639226724859328E-14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247.92503505485405</v>
      </c>
      <c r="CZ175" s="62">
        <f t="shared" si="150"/>
        <v>148.26437652597514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119.77269761200569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119.77269761200569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3.6666666666666665</v>
      </c>
      <c r="DO175" s="13">
        <f>IF('Données projet'!$A$166&gt;35,DO174+DN175-DW174,IF(A175&lt;'Données projet'!$A$166,$DL$205^A175,IF(A175='Données projet'!$A$166,'Données projet'!$B$166,DO174+DN175-DW174)))</f>
        <v>211.66666666666671</v>
      </c>
      <c r="DP175" s="18">
        <f>DO175*VLOOKUP('Données projet'!$B$14,Paramètres!$A$1:$I$89,3,0)*VLOOKUP('Données projet'!$B$14,Paramètres!$A$1:$I$89,5,0)</f>
        <v>204.72400000000002</v>
      </c>
      <c r="DQ175" s="14">
        <f t="shared" si="176"/>
        <v>50.780945148056489</v>
      </c>
      <c r="DR175" s="22">
        <f t="shared" si="177"/>
        <v>445.00444613286504</v>
      </c>
      <c r="DS175" s="62">
        <f t="shared" si="125"/>
        <v>738.3377794661983</v>
      </c>
      <c r="DT175" s="62">
        <f ca="1">AVERAGE(OFFSET($DS$3,0,0,'Données projet'!$E$14+1,1))-AVERAGE(OFFSET($H$3,0,0,'Données projet'!$E$14+1,1))</f>
        <v>154.0837760161366</v>
      </c>
      <c r="DU175" s="62">
        <f t="shared" si="152"/>
        <v>96.484500841546037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35.928409905690224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35.928409905690224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-5.6843418860808015E-14</v>
      </c>
      <c r="EK175" s="18">
        <f>EJ175*VLOOKUP('Données projet'!$B$15,Paramètres!$A$1:$I$89,3,0)*VLOOKUP('Données projet'!$B$15,Paramètres!$A$1:$I$89,5,0)</f>
        <v>-3.813056537183002E-14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205.35893113421139</v>
      </c>
      <c r="EP175" s="62">
        <f t="shared" si="154"/>
        <v>220.4399811285175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12.809302089076937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12.809302089076937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-5.6843418860808015E-14</v>
      </c>
      <c r="FF175" s="18">
        <f>FE175*VLOOKUP('Données projet'!$B$16,Paramètres!$A$1:$I$89,3,0)*VLOOKUP('Données projet'!$B$16,Paramètres!$A$1:$I$89,5,0)</f>
        <v>-4.4337866711430253E-14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242.81177364426878</v>
      </c>
      <c r="FK175" s="62">
        <f t="shared" si="156"/>
        <v>260.72115764896671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12.084247253846174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12.084247253846174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-5.6843418860808015E-14</v>
      </c>
      <c r="GA175" s="18">
        <f>FZ175*VLOOKUP('Données projet'!$B$17,Paramètres!$A$1:$I$89,3,0)*VLOOKUP('Données projet'!$B$17,Paramètres!$A$1:$I$89,5,0)</f>
        <v>-4.5224624045658861E-14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248.15263300983543</v>
      </c>
      <c r="GF175" s="62">
        <f t="shared" si="158"/>
        <v>266.46511459244618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15.192428059137754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15.192428059137754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382.55387448074327</v>
      </c>
      <c r="T176" s="62">
        <f t="shared" si="142"/>
        <v>476.29465646955543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27.608306908876415</v>
      </c>
      <c r="AA176" s="23">
        <f>EXP(-LN(2)/25)*AA175+(1-EXP(-LN(2)/25))/(LN(2)/25)*Calculateur!V176*Calculateur!X176*VLOOKUP('Données projet'!$B$9,Paramètres!$A$1:$I$89,3,0)*0.475*44/12</f>
        <v>2.8079845181352683</v>
      </c>
      <c r="AB176" s="23">
        <f>EXP(-LN(2)/2)*AB175+(1-EXP(-LN(2)/2))/(LN(2)/2)*V176*Y176*VLOOKUP('Données projet'!$B$9,Paramètres!$A$1:$I$89,3,0)*0.475*44/12</f>
        <v>5.5268089045207644E-16</v>
      </c>
      <c r="AC176" s="24">
        <f t="shared" si="163"/>
        <v>30.416291427011682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-1.7053025658242404E-13</v>
      </c>
      <c r="AJ176" s="14">
        <f>AI176*VLOOKUP('Données projet'!$B$10,Paramètres!$A$1:$I$89,3,0)*VLOOKUP('Données projet'!$B$10,Paramètres!$A$1:$I$89,5,0)</f>
        <v>-1.064108801074326E-13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482.28841373508675</v>
      </c>
      <c r="AO176" s="62">
        <f t="shared" si="144"/>
        <v>746.97309214631684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51.619765187503319</v>
      </c>
      <c r="AV176" s="23">
        <f>EXP(-LN(2)/25)*AV175+(1-EXP(-LN(2)/25))/(LN(2)/25)*Calculateur!AQ176*Calculateur!AS176*VLOOKUP('Données projet'!$B$10,Paramètres!$A$1:$I$89,3,0)*0.475*44/12</f>
        <v>5.2650897171141953</v>
      </c>
      <c r="AW176" s="23">
        <f>EXP(-LN(2)/2)*AW175+(1-EXP(-LN(2)/2))/(LN(2)/2)*AQ176*AT176*VLOOKUP('Données projet'!$B$10,Paramètres!$A$1:$I$89,3,0)*0.475*44/12</f>
        <v>2.064401889044291E-13</v>
      </c>
      <c r="AX176" s="23">
        <f t="shared" si="166"/>
        <v>56.884854904617718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-1.7053025658242404E-13</v>
      </c>
      <c r="BE176" s="14">
        <f>BD176*VLOOKUP('Données projet'!$B$11,Paramètres!$A$1:$I$89,3,0)*VLOOKUP('Données projet'!$B$11,Paramètres!$A$1:$I$89,5,0)</f>
        <v>-9.3109520094003535E-14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417.99456559608217</v>
      </c>
      <c r="BJ176" s="62">
        <f t="shared" si="146"/>
        <v>651.41353014863932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45.167294539065409</v>
      </c>
      <c r="BQ176" s="23">
        <f>EXP(-LN(2)/25)*BQ175+(1-EXP(-LN(2)/25))/(LN(2)/25)*Calculateur!BL176*Calculateur!BN176*VLOOKUP('Données projet'!$B$11,Paramètres!$A$1:$I$89,3,0)*0.475*44/12</f>
        <v>4.6617981870281922</v>
      </c>
      <c r="BR176" s="23">
        <f>EXP(-LN(2)/2)*BR175+(1-EXP(-LN(2)/2))/(LN(2)/2)*BL176*BO176*VLOOKUP('Données projet'!$B$11,Paramètres!$A$1:$I$89,3,0)*0.475*44/12</f>
        <v>1.7789826884756661E-13</v>
      </c>
      <c r="BS176" s="24">
        <f t="shared" si="169"/>
        <v>49.829092726093776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-5.1431925385259088E-14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213.07277043804817</v>
      </c>
      <c r="CE176" s="62">
        <f t="shared" si="148"/>
        <v>129.14539883354166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104.7783635050161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104.7783635050161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-5.7639226724859328E-14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247.92503505485405</v>
      </c>
      <c r="CZ176" s="62">
        <f t="shared" si="150"/>
        <v>148.26437652597514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117.4240280659663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117.4240280659663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3.6666666666666665</v>
      </c>
      <c r="DO176" s="13">
        <f>IF('Données projet'!$A$166&gt;35,DO175+DN176-DW175,IF(A176&lt;'Données projet'!$A$166,$DL$205^A176,IF(A176='Données projet'!$A$166,'Données projet'!$B$166,DO175+DN176-DW175)))</f>
        <v>215.33333333333337</v>
      </c>
      <c r="DP176" s="18">
        <f>DO176*VLOOKUP('Données projet'!$B$14,Paramètres!$A$1:$I$89,3,0)*VLOOKUP('Données projet'!$B$14,Paramètres!$A$1:$I$89,5,0)</f>
        <v>208.27040000000005</v>
      </c>
      <c r="DQ176" s="14">
        <f t="shared" si="176"/>
        <v>51.55744285021747</v>
      </c>
      <c r="DR176" s="22">
        <f t="shared" si="177"/>
        <v>452.53349296412881</v>
      </c>
      <c r="DS176" s="62">
        <f t="shared" si="125"/>
        <v>745.86682629746213</v>
      </c>
      <c r="DT176" s="62">
        <f ca="1">AVERAGE(OFFSET($DS$3,0,0,'Données projet'!$E$14+1,1))-AVERAGE(OFFSET($H$3,0,0,'Données projet'!$E$14+1,1))</f>
        <v>154.0837760161366</v>
      </c>
      <c r="DU176" s="62">
        <f t="shared" si="152"/>
        <v>96.484500841546037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35.223875701605834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35.223875701605834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-5.6843418860808015E-14</v>
      </c>
      <c r="EK176" s="18">
        <f>EJ176*VLOOKUP('Données projet'!$B$15,Paramètres!$A$1:$I$89,3,0)*VLOOKUP('Données projet'!$B$15,Paramètres!$A$1:$I$89,5,0)</f>
        <v>-3.813056537183002E-14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205.35893113421139</v>
      </c>
      <c r="EP176" s="62">
        <f t="shared" si="154"/>
        <v>220.4399811285175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12.558119488012952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12.558119488012952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-5.6843418860808015E-14</v>
      </c>
      <c r="FF176" s="18">
        <f>FE176*VLOOKUP('Données projet'!$B$16,Paramètres!$A$1:$I$89,3,0)*VLOOKUP('Données projet'!$B$16,Paramètres!$A$1:$I$89,5,0)</f>
        <v>-4.4337866711430253E-14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242.81177364426878</v>
      </c>
      <c r="FK176" s="62">
        <f t="shared" si="156"/>
        <v>260.72115764896671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11.847282535861282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11.847282535861282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-5.6843418860808015E-14</v>
      </c>
      <c r="GA176" s="18">
        <f>FZ176*VLOOKUP('Données projet'!$B$17,Paramètres!$A$1:$I$89,3,0)*VLOOKUP('Données projet'!$B$17,Paramètres!$A$1:$I$89,5,0)</f>
        <v>-4.5224624045658861E-14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248.15263300983543</v>
      </c>
      <c r="GF176" s="62">
        <f t="shared" si="158"/>
        <v>266.46511459244618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14.894513811364192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14.894513811364192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382.55387448074327</v>
      </c>
      <c r="T177" s="62">
        <f t="shared" si="142"/>
        <v>476.29465646955543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27.066924849797811</v>
      </c>
      <c r="AA177" s="23">
        <f>EXP(-LN(2)/25)*AA176+(1-EXP(-LN(2)/25))/(LN(2)/25)*Calculateur!V177*Calculateur!X177*VLOOKUP('Données projet'!$B$9,Paramètres!$A$1:$I$89,3,0)*0.475*44/12</f>
        <v>2.7312000338213713</v>
      </c>
      <c r="AB177" s="23">
        <f>EXP(-LN(2)/2)*AB176+(1-EXP(-LN(2)/2))/(LN(2)/2)*V177*Y177*VLOOKUP('Données projet'!$B$9,Paramètres!$A$1:$I$89,3,0)*0.475*44/12</f>
        <v>3.9080440547088267E-16</v>
      </c>
      <c r="AC177" s="24">
        <f t="shared" si="163"/>
        <v>29.798124883619181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-1.7053025658242404E-13</v>
      </c>
      <c r="AJ177" s="14">
        <f>AI177*VLOOKUP('Données projet'!$B$10,Paramètres!$A$1:$I$89,3,0)*VLOOKUP('Données projet'!$B$10,Paramètres!$A$1:$I$89,5,0)</f>
        <v>-1.064108801074326E-13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482.28841373508675</v>
      </c>
      <c r="AO177" s="62">
        <f t="shared" si="144"/>
        <v>746.97309214631684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50.607533077124266</v>
      </c>
      <c r="AV177" s="23">
        <f>EXP(-LN(2)/25)*AV176+(1-EXP(-LN(2)/25))/(LN(2)/25)*Calculateur!AQ177*Calculateur!AS177*VLOOKUP('Données projet'!$B$10,Paramètres!$A$1:$I$89,3,0)*0.475*44/12</f>
        <v>5.1211155619206732</v>
      </c>
      <c r="AW177" s="23">
        <f>EXP(-LN(2)/2)*AW176+(1-EXP(-LN(2)/2))/(LN(2)/2)*AQ177*AT177*VLOOKUP('Données projet'!$B$10,Paramètres!$A$1:$I$89,3,0)*0.475*44/12</f>
        <v>1.4597525748375368E-13</v>
      </c>
      <c r="AX177" s="23">
        <f t="shared" si="166"/>
        <v>55.72864863904509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-1.7053025658242404E-13</v>
      </c>
      <c r="BE177" s="14">
        <f>BD177*VLOOKUP('Données projet'!$B$11,Paramètres!$A$1:$I$89,3,0)*VLOOKUP('Données projet'!$B$11,Paramètres!$A$1:$I$89,5,0)</f>
        <v>-9.3109520094003535E-14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417.99456559608217</v>
      </c>
      <c r="BJ177" s="62">
        <f t="shared" si="146"/>
        <v>651.41353014863932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44.281591442483737</v>
      </c>
      <c r="BQ177" s="23">
        <f>EXP(-LN(2)/25)*BQ176+(1-EXP(-LN(2)/25))/(LN(2)/25)*Calculateur!BL177*Calculateur!BN177*VLOOKUP('Données projet'!$B$11,Paramètres!$A$1:$I$89,3,0)*0.475*44/12</f>
        <v>4.5343210704505941</v>
      </c>
      <c r="BR177" s="23">
        <f>EXP(-LN(2)/2)*BR176+(1-EXP(-LN(2)/2))/(LN(2)/2)*BL177*BO177*VLOOKUP('Données projet'!$B$11,Paramètres!$A$1:$I$89,3,0)*0.475*44/12</f>
        <v>1.2579307226346189E-13</v>
      </c>
      <c r="BS177" s="24">
        <f t="shared" si="169"/>
        <v>48.81591251293446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-5.1431925385259088E-14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213.07277043804817</v>
      </c>
      <c r="CE177" s="62">
        <f t="shared" si="148"/>
        <v>129.14539883354166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102.72372370517404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102.72372370517404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-5.7639226724859328E-14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247.92503505485405</v>
      </c>
      <c r="CZ177" s="62">
        <f t="shared" si="150"/>
        <v>148.26437652597514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115.12141449717777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115.12141449717777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3.6666666666666665</v>
      </c>
      <c r="DO177" s="13">
        <f>IF('Données projet'!$A$166&gt;35,DO176+DN177-DW176,IF(A177&lt;'Données projet'!$A$166,$DL$205^A177,IF(A177='Données projet'!$A$166,'Données projet'!$B$166,DO176+DN177-DW176)))</f>
        <v>219.00000000000003</v>
      </c>
      <c r="DP177" s="18">
        <f>DO177*VLOOKUP('Données projet'!$B$14,Paramètres!$A$1:$I$89,3,0)*VLOOKUP('Données projet'!$B$14,Paramètres!$A$1:$I$89,5,0)</f>
        <v>211.81680000000006</v>
      </c>
      <c r="DQ177" s="14">
        <f t="shared" si="176"/>
        <v>52.332402945946832</v>
      </c>
      <c r="DR177" s="22">
        <f t="shared" si="177"/>
        <v>460.05986179752421</v>
      </c>
      <c r="DS177" s="62">
        <f t="shared" si="125"/>
        <v>753.39319513085752</v>
      </c>
      <c r="DT177" s="62">
        <f ca="1">AVERAGE(OFFSET($DS$3,0,0,'Données projet'!$E$14+1,1))-AVERAGE(OFFSET($H$3,0,0,'Données projet'!$E$14+1,1))</f>
        <v>154.0837760161366</v>
      </c>
      <c r="DU177" s="62">
        <f t="shared" si="152"/>
        <v>96.484500841546037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34.53315698354011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34.53315698354011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-5.6843418860808015E-14</v>
      </c>
      <c r="EK177" s="18">
        <f>EJ177*VLOOKUP('Données projet'!$B$15,Paramètres!$A$1:$I$89,3,0)*VLOOKUP('Données projet'!$B$15,Paramètres!$A$1:$I$89,5,0)</f>
        <v>-3.813056537183002E-14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205.35893113421139</v>
      </c>
      <c r="EP177" s="62">
        <f t="shared" si="154"/>
        <v>220.4399811285175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12.311862424549574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12.311862424549574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-5.6843418860808015E-14</v>
      </c>
      <c r="FF177" s="18">
        <f>FE177*VLOOKUP('Données projet'!$B$16,Paramètres!$A$1:$I$89,3,0)*VLOOKUP('Données projet'!$B$16,Paramètres!$A$1:$I$89,5,0)</f>
        <v>-4.4337866711430253E-14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242.81177364426878</v>
      </c>
      <c r="FK177" s="62">
        <f t="shared" si="156"/>
        <v>260.72115764896671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11.614964551461869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11.614964551461869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-5.6843418860808015E-14</v>
      </c>
      <c r="GA177" s="18">
        <f>FZ177*VLOOKUP('Données projet'!$B$17,Paramètres!$A$1:$I$89,3,0)*VLOOKUP('Données projet'!$B$17,Paramètres!$A$1:$I$89,5,0)</f>
        <v>-4.5224624045658861E-14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248.15263300983543</v>
      </c>
      <c r="GF177" s="62">
        <f t="shared" si="158"/>
        <v>266.46511459244618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14.602441480279719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14.602441480279719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382.55387448074327</v>
      </c>
      <c r="T178" s="62">
        <f t="shared" si="142"/>
        <v>476.29465646955543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26.536158962687288</v>
      </c>
      <c r="AA178" s="23">
        <f>EXP(-LN(2)/25)*AA177+(1-EXP(-LN(2)/25))/(LN(2)/25)*Calculateur!V178*Calculateur!X178*VLOOKUP('Données projet'!$B$9,Paramètres!$A$1:$I$89,3,0)*0.475*44/12</f>
        <v>2.6565152252689583</v>
      </c>
      <c r="AB178" s="23">
        <f>EXP(-LN(2)/2)*AB177+(1-EXP(-LN(2)/2))/(LN(2)/2)*V178*Y178*VLOOKUP('Données projet'!$B$9,Paramètres!$A$1:$I$89,3,0)*0.475*44/12</f>
        <v>2.7634044522603822E-16</v>
      </c>
      <c r="AC178" s="24">
        <f t="shared" si="163"/>
        <v>29.192674187956246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-1.7053025658242404E-13</v>
      </c>
      <c r="AJ178" s="14">
        <f>AI178*VLOOKUP('Données projet'!$B$10,Paramètres!$A$1:$I$89,3,0)*VLOOKUP('Données projet'!$B$10,Paramètres!$A$1:$I$89,5,0)</f>
        <v>-1.064108801074326E-13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482.28841373508675</v>
      </c>
      <c r="AO178" s="62">
        <f t="shared" si="144"/>
        <v>746.97309214631684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49.615150221029118</v>
      </c>
      <c r="AV178" s="23">
        <f>EXP(-LN(2)/25)*AV177+(1-EXP(-LN(2)/25))/(LN(2)/25)*Calculateur!AQ178*Calculateur!AS178*VLOOKUP('Données projet'!$B$10,Paramètres!$A$1:$I$89,3,0)*0.475*44/12</f>
        <v>4.9810783875721896</v>
      </c>
      <c r="AW178" s="23">
        <f>EXP(-LN(2)/2)*AW177+(1-EXP(-LN(2)/2))/(LN(2)/2)*AQ178*AT178*VLOOKUP('Données projet'!$B$10,Paramètres!$A$1:$I$89,3,0)*0.475*44/12</f>
        <v>1.0322009445221455E-13</v>
      </c>
      <c r="AX178" s="23">
        <f t="shared" si="166"/>
        <v>54.596228608601415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-1.7053025658242404E-13</v>
      </c>
      <c r="BE178" s="14">
        <f>BD178*VLOOKUP('Données projet'!$B$11,Paramètres!$A$1:$I$89,3,0)*VLOOKUP('Données projet'!$B$11,Paramètres!$A$1:$I$89,5,0)</f>
        <v>-9.3109520094003535E-14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417.99456559608217</v>
      </c>
      <c r="BJ178" s="62">
        <f t="shared" si="146"/>
        <v>651.41353014863932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43.413256443400485</v>
      </c>
      <c r="BQ178" s="23">
        <f>EXP(-LN(2)/25)*BQ177+(1-EXP(-LN(2)/25))/(LN(2)/25)*Calculateur!BL178*Calculateur!BN178*VLOOKUP('Données projet'!$B$11,Paramètres!$A$1:$I$89,3,0)*0.475*44/12</f>
        <v>4.4103298223295404</v>
      </c>
      <c r="BR178" s="23">
        <f>EXP(-LN(2)/2)*BR177+(1-EXP(-LN(2)/2))/(LN(2)/2)*BL178*BO178*VLOOKUP('Données projet'!$B$11,Paramètres!$A$1:$I$89,3,0)*0.475*44/12</f>
        <v>8.8949134423783305E-14</v>
      </c>
      <c r="BS178" s="24">
        <f t="shared" si="169"/>
        <v>47.823586265730121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-5.1431925385259088E-14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213.07277043804817</v>
      </c>
      <c r="CE178" s="62">
        <f t="shared" si="148"/>
        <v>129.14539883354166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100.70937413860034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100.70937413860034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-5.7639226724859328E-14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247.92503505485405</v>
      </c>
      <c r="CZ178" s="62">
        <f t="shared" si="150"/>
        <v>148.26437652597514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112.8639537760176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112.8639537760176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3.6666666666666665</v>
      </c>
      <c r="DO178" s="13">
        <f>IF('Données projet'!$A$166&gt;35,DO177+DN178-DW177,IF(A178&lt;'Données projet'!$A$166,$DL$205^A178,IF(A178='Données projet'!$A$166,'Données projet'!$B$166,DO177+DN178-DW177)))</f>
        <v>222.66666666666669</v>
      </c>
      <c r="DP178" s="18">
        <f>DO178*VLOOKUP('Données projet'!$B$14,Paramètres!$A$1:$I$89,3,0)*VLOOKUP('Données projet'!$B$14,Paramètres!$A$1:$I$89,5,0)</f>
        <v>215.36320000000001</v>
      </c>
      <c r="DQ178" s="14">
        <f t="shared" si="176"/>
        <v>53.105854150329165</v>
      </c>
      <c r="DR178" s="22">
        <f t="shared" si="177"/>
        <v>467.58360264515659</v>
      </c>
      <c r="DS178" s="62">
        <f t="shared" si="125"/>
        <v>760.91693597848985</v>
      </c>
      <c r="DT178" s="62">
        <f ca="1">AVERAGE(OFFSET($DS$3,0,0,'Données projet'!$E$14+1,1))-AVERAGE(OFFSET($H$3,0,0,'Données projet'!$E$14+1,1))</f>
        <v>154.0837760161366</v>
      </c>
      <c r="DU178" s="62">
        <f t="shared" si="152"/>
        <v>96.484500841546037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33.855982838238837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33.855982838238837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-5.6843418860808015E-14</v>
      </c>
      <c r="EK178" s="18">
        <f>EJ178*VLOOKUP('Données projet'!$B$15,Paramètres!$A$1:$I$89,3,0)*VLOOKUP('Données projet'!$B$15,Paramètres!$A$1:$I$89,5,0)</f>
        <v>-3.813056537183002E-14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205.35893113421139</v>
      </c>
      <c r="EP178" s="62">
        <f t="shared" si="154"/>
        <v>220.4399811285175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12.070434311898735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12.070434311898735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-5.6843418860808015E-14</v>
      </c>
      <c r="FF178" s="18">
        <f>FE178*VLOOKUP('Données projet'!$B$16,Paramètres!$A$1:$I$89,3,0)*VLOOKUP('Données projet'!$B$16,Paramètres!$A$1:$I$89,5,0)</f>
        <v>-4.4337866711430253E-14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242.81177364426878</v>
      </c>
      <c r="FK178" s="62">
        <f t="shared" si="156"/>
        <v>260.72115764896671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11.387202181036548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11.387202181036548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-5.6843418860808015E-14</v>
      </c>
      <c r="GA178" s="18">
        <f>FZ178*VLOOKUP('Données projet'!$B$17,Paramètres!$A$1:$I$89,3,0)*VLOOKUP('Données projet'!$B$17,Paramètres!$A$1:$I$89,5,0)</f>
        <v>-4.5224624045658861E-14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248.15263300983543</v>
      </c>
      <c r="GF178" s="62">
        <f t="shared" si="158"/>
        <v>266.46511459244618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14.316096509461282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14.316096509461282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382.55387448074327</v>
      </c>
      <c r="T179" s="62">
        <f t="shared" si="142"/>
        <v>476.29465646955543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26.015801070887775</v>
      </c>
      <c r="AA179" s="23">
        <f>EXP(-LN(2)/25)*AA178+(1-EXP(-LN(2)/25))/(LN(2)/25)*Calculateur!V179*Calculateur!X179*VLOOKUP('Données projet'!$B$9,Paramètres!$A$1:$I$89,3,0)*0.475*44/12</f>
        <v>2.5838726767339146</v>
      </c>
      <c r="AB179" s="23">
        <f>EXP(-LN(2)/2)*AB178+(1-EXP(-LN(2)/2))/(LN(2)/2)*V179*Y179*VLOOKUP('Données projet'!$B$9,Paramètres!$A$1:$I$89,3,0)*0.475*44/12</f>
        <v>1.9540220273544133E-16</v>
      </c>
      <c r="AC179" s="24">
        <f t="shared" si="163"/>
        <v>28.59967374762169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-1.7053025658242404E-13</v>
      </c>
      <c r="AJ179" s="14">
        <f>AI179*VLOOKUP('Données projet'!$B$10,Paramètres!$A$1:$I$89,3,0)*VLOOKUP('Données projet'!$B$10,Paramètres!$A$1:$I$89,5,0)</f>
        <v>-1.064108801074326E-13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482.28841373508675</v>
      </c>
      <c r="AO179" s="62">
        <f t="shared" si="144"/>
        <v>746.97309214631684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48.642227387448223</v>
      </c>
      <c r="AV179" s="23">
        <f>EXP(-LN(2)/25)*AV178+(1-EXP(-LN(2)/25))/(LN(2)/25)*Calculateur!AQ179*Calculateur!AS179*VLOOKUP('Données projet'!$B$10,Paramètres!$A$1:$I$89,3,0)*0.475*44/12</f>
        <v>4.8448705371205003</v>
      </c>
      <c r="AW179" s="23">
        <f>EXP(-LN(2)/2)*AW178+(1-EXP(-LN(2)/2))/(LN(2)/2)*AQ179*AT179*VLOOKUP('Données projet'!$B$10,Paramètres!$A$1:$I$89,3,0)*0.475*44/12</f>
        <v>7.298762874187684E-14</v>
      </c>
      <c r="AX179" s="23">
        <f t="shared" si="166"/>
        <v>53.487097924568793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-1.7053025658242404E-13</v>
      </c>
      <c r="BE179" s="14">
        <f>BD179*VLOOKUP('Données projet'!$B$11,Paramètres!$A$1:$I$89,3,0)*VLOOKUP('Données projet'!$B$11,Paramètres!$A$1:$I$89,5,0)</f>
        <v>-9.3109520094003535E-14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417.99456559608217</v>
      </c>
      <c r="BJ179" s="62">
        <f t="shared" si="146"/>
        <v>651.41353014863932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42.561948964017198</v>
      </c>
      <c r="BQ179" s="23">
        <f>EXP(-LN(2)/25)*BQ178+(1-EXP(-LN(2)/25))/(LN(2)/25)*Calculateur!BL179*Calculateur!BN179*VLOOKUP('Données projet'!$B$11,Paramètres!$A$1:$I$89,3,0)*0.475*44/12</f>
        <v>4.289729121408774</v>
      </c>
      <c r="BR179" s="23">
        <f>EXP(-LN(2)/2)*BR178+(1-EXP(-LN(2)/2))/(LN(2)/2)*BL179*BO179*VLOOKUP('Données projet'!$B$11,Paramètres!$A$1:$I$89,3,0)*0.475*44/12</f>
        <v>6.2896536131730943E-14</v>
      </c>
      <c r="BS179" s="24">
        <f t="shared" si="169"/>
        <v>46.851678085426038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-5.1431925385259088E-14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213.07277043804817</v>
      </c>
      <c r="CE179" s="62">
        <f t="shared" si="148"/>
        <v>129.14539883354166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98.734524738395237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98.734524738395237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-5.7639226724859328E-14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247.92503505485405</v>
      </c>
      <c r="CZ179" s="62">
        <f t="shared" si="150"/>
        <v>148.26437652597514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110.65076048268429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110.65076048268429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3.6666666666666665</v>
      </c>
      <c r="DO179" s="13">
        <f>IF('Données projet'!$A$166&gt;35,DO178+DN179-DW178,IF(A179&lt;'Données projet'!$A$166,$DL$205^A179,IF(A179='Données projet'!$A$166,'Données projet'!$B$166,DO178+DN179-DW178)))</f>
        <v>226.33333333333334</v>
      </c>
      <c r="DP179" s="18">
        <f>DO179*VLOOKUP('Données projet'!$B$14,Paramètres!$A$1:$I$89,3,0)*VLOOKUP('Données projet'!$B$14,Paramètres!$A$1:$I$89,5,0)</f>
        <v>218.90960000000004</v>
      </c>
      <c r="DQ179" s="14">
        <f t="shared" si="176"/>
        <v>53.877824178526026</v>
      </c>
      <c r="DR179" s="22">
        <f t="shared" si="177"/>
        <v>475.10476377759954</v>
      </c>
      <c r="DS179" s="62">
        <f t="shared" si="125"/>
        <v>768.43809711093286</v>
      </c>
      <c r="DT179" s="62">
        <f ca="1">AVERAGE(OFFSET($DS$3,0,0,'Données projet'!$E$14+1,1))-AVERAGE(OFFSET($H$3,0,0,'Données projet'!$E$14+1,1))</f>
        <v>154.0837760161366</v>
      </c>
      <c r="DU179" s="62">
        <f t="shared" si="152"/>
        <v>96.484500841546037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33.192087664891474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33.192087664891474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-5.6843418860808015E-14</v>
      </c>
      <c r="EK179" s="18">
        <f>EJ179*VLOOKUP('Données projet'!$B$15,Paramètres!$A$1:$I$89,3,0)*VLOOKUP('Données projet'!$B$15,Paramètres!$A$1:$I$89,5,0)</f>
        <v>-3.813056537183002E-14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205.35893113421139</v>
      </c>
      <c r="EP179" s="62">
        <f t="shared" si="154"/>
        <v>220.4399811285175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11.833740457280371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11.833740457280371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-5.6843418860808015E-14</v>
      </c>
      <c r="FF179" s="18">
        <f>FE179*VLOOKUP('Données projet'!$B$16,Paramètres!$A$1:$I$89,3,0)*VLOOKUP('Données projet'!$B$16,Paramètres!$A$1:$I$89,5,0)</f>
        <v>-4.4337866711430253E-14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242.81177364426878</v>
      </c>
      <c r="FK179" s="62">
        <f t="shared" si="156"/>
        <v>260.72115764896671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11.16390609177394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11.16390609177394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-5.6843418860808015E-14</v>
      </c>
      <c r="GA179" s="18">
        <f>FZ179*VLOOKUP('Données projet'!$B$17,Paramètres!$A$1:$I$89,3,0)*VLOOKUP('Données projet'!$B$17,Paramètres!$A$1:$I$89,5,0)</f>
        <v>-4.5224624045658861E-14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248.15263300983543</v>
      </c>
      <c r="GF179" s="62">
        <f t="shared" si="158"/>
        <v>266.46511459244618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14.035366588867408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14.035366588867408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382.55387448074327</v>
      </c>
      <c r="T180" s="62">
        <f t="shared" si="142"/>
        <v>476.29465646955543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25.505647079959477</v>
      </c>
      <c r="AA180" s="23">
        <f>EXP(-LN(2)/25)*AA179+(1-EXP(-LN(2)/25))/(LN(2)/25)*Calculateur!V180*Calculateur!X180*VLOOKUP('Données projet'!$B$9,Paramètres!$A$1:$I$89,3,0)*0.475*44/12</f>
        <v>2.5132165425086672</v>
      </c>
      <c r="AB180" s="23">
        <f>EXP(-LN(2)/2)*AB179+(1-EXP(-LN(2)/2))/(LN(2)/2)*V180*Y180*VLOOKUP('Données projet'!$B$9,Paramètres!$A$1:$I$89,3,0)*0.475*44/12</f>
        <v>1.3817022261301911E-16</v>
      </c>
      <c r="AC180" s="24">
        <f t="shared" si="163"/>
        <v>28.018863622468146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-1.7053025658242404E-13</v>
      </c>
      <c r="AJ180" s="14">
        <f>AI180*VLOOKUP('Données projet'!$B$10,Paramètres!$A$1:$I$89,3,0)*VLOOKUP('Données projet'!$B$10,Paramètres!$A$1:$I$89,5,0)</f>
        <v>-1.064108801074326E-13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482.28841373508675</v>
      </c>
      <c r="AO180" s="62">
        <f t="shared" si="144"/>
        <v>746.97309214631684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47.688382977209514</v>
      </c>
      <c r="AV180" s="23">
        <f>EXP(-LN(2)/25)*AV179+(1-EXP(-LN(2)/25))/(LN(2)/25)*Calculateur!AQ180*Calculateur!AS180*VLOOKUP('Données projet'!$B$10,Paramètres!$A$1:$I$89,3,0)*0.475*44/12</f>
        <v>4.7123872975022714</v>
      </c>
      <c r="AW180" s="23">
        <f>EXP(-LN(2)/2)*AW179+(1-EXP(-LN(2)/2))/(LN(2)/2)*AQ180*AT180*VLOOKUP('Données projet'!$B$10,Paramètres!$A$1:$I$89,3,0)*0.475*44/12</f>
        <v>5.1610047226107274E-14</v>
      </c>
      <c r="AX180" s="23">
        <f t="shared" si="166"/>
        <v>52.400770274711839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-1.7053025658242404E-13</v>
      </c>
      <c r="BE180" s="14">
        <f>BD180*VLOOKUP('Données projet'!$B$11,Paramètres!$A$1:$I$89,3,0)*VLOOKUP('Données projet'!$B$11,Paramètres!$A$1:$I$89,5,0)</f>
        <v>-9.3109520094003535E-14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417.99456559608217</v>
      </c>
      <c r="BJ180" s="62">
        <f t="shared" si="146"/>
        <v>651.41353014863932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41.72733510505833</v>
      </c>
      <c r="BQ180" s="23">
        <f>EXP(-LN(2)/25)*BQ179+(1-EXP(-LN(2)/25))/(LN(2)/25)*Calculateur!BL180*Calculateur!BN180*VLOOKUP('Données projet'!$B$11,Paramètres!$A$1:$I$89,3,0)*0.475*44/12</f>
        <v>4.172426252996801</v>
      </c>
      <c r="BR180" s="23">
        <f>EXP(-LN(2)/2)*BR179+(1-EXP(-LN(2)/2))/(LN(2)/2)*BL180*BO180*VLOOKUP('Données projet'!$B$11,Paramètres!$A$1:$I$89,3,0)*0.475*44/12</f>
        <v>4.4474567211891652E-14</v>
      </c>
      <c r="BS180" s="24">
        <f t="shared" si="169"/>
        <v>45.899761358055173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-5.1431925385259088E-14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213.07277043804817</v>
      </c>
      <c r="CE180" s="62">
        <f t="shared" si="148"/>
        <v>129.14539883354166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96.798400930388951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96.798400930388951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-5.7639226724859328E-14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247.92503505485405</v>
      </c>
      <c r="CZ180" s="62">
        <f t="shared" si="150"/>
        <v>148.26437652597514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108.48096655991863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108.48096655991863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>
        <f>VLOOKUP(A180,'Données projet'!$A$165:$I$185,2,0)</f>
        <v>230</v>
      </c>
      <c r="DM180" s="13">
        <f>VLOOKUP(A180,'Données projet'!$A$165:$I$185,9,0)</f>
        <v>3.6666666666666665</v>
      </c>
      <c r="DN180" s="13">
        <f t="array" ref="DN180">INDEX(DM:DM,MIN(IF(ISNUMBER(DM180:DM376),ROW(DM180:DM376),"")))</f>
        <v>3.6666666666666665</v>
      </c>
      <c r="DO180" s="13">
        <f>IF('Données projet'!$A$166&gt;35,DO179+DN180-DW179,IF(A180&lt;'Données projet'!$A$166,$DL$205^A180,IF(A180='Données projet'!$A$166,'Données projet'!$B$166,DO179+DN180-DW179)))</f>
        <v>230</v>
      </c>
      <c r="DP180" s="18">
        <f>DO180*VLOOKUP('Données projet'!$B$14,Paramètres!$A$1:$I$89,3,0)*VLOOKUP('Données projet'!$B$14,Paramètres!$A$1:$I$89,5,0)</f>
        <v>222.45599999999999</v>
      </c>
      <c r="DQ180" s="14">
        <f t="shared" si="176"/>
        <v>54.648339796219865</v>
      </c>
      <c r="DR180" s="22">
        <f t="shared" si="177"/>
        <v>482.62339181174951</v>
      </c>
      <c r="DS180" s="62">
        <f t="shared" si="125"/>
        <v>775.95672514508283</v>
      </c>
      <c r="DT180" s="62">
        <f ca="1">AVERAGE(OFFSET($DS$3,0,0,'Données projet'!$E$14+1,1))-AVERAGE(OFFSET($H$3,0,0,'Données projet'!$E$14+1,1))</f>
        <v>154.0837760161366</v>
      </c>
      <c r="DU180" s="62">
        <f t="shared" si="152"/>
        <v>96.484500841546037</v>
      </c>
      <c r="DV180" s="16" t="str">
        <f>IF(ISNA(VLOOKUP(A180,'Données projet'!$A$165:$I$185,3,0)),0,VLOOKUP(A180,'Données projet'!$A$165:$I$185,3,0))</f>
        <v>CR</v>
      </c>
      <c r="DW180" s="16">
        <f>IF(ISNA(VLOOKUP(A180,'Données projet'!$A$165:$I$185,4,0)),0,VLOOKUP(A180,'Données projet'!$A$165:$I$185,4,0))</f>
        <v>230</v>
      </c>
      <c r="DX180" s="17">
        <f>IF(ISNA(VLOOKUP(A180,'Données projet'!$A$165:$I$185,5,0)),0%,VLOOKUP(A180,'Données projet'!$A$165:$I$185,5,0)*VLOOKUP('Données projet'!$B$14,Paramètres!$A$1:$I$89,7,0))</f>
        <v>0.38700000000000001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127.71167782696821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127.71167782696821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-5.6843418860808015E-14</v>
      </c>
      <c r="EK180" s="18">
        <f>EJ180*VLOOKUP('Données projet'!$B$15,Paramètres!$A$1:$I$89,3,0)*VLOOKUP('Données projet'!$B$15,Paramètres!$A$1:$I$89,5,0)</f>
        <v>-3.813056537183002E-14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205.35893113421139</v>
      </c>
      <c r="EP180" s="62">
        <f t="shared" si="154"/>
        <v>220.4399811285175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11.601688024782076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11.601688024782076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-5.6843418860808015E-14</v>
      </c>
      <c r="FF180" s="18">
        <f>FE180*VLOOKUP('Données projet'!$B$16,Paramètres!$A$1:$I$89,3,0)*VLOOKUP('Données projet'!$B$16,Paramètres!$A$1:$I$89,5,0)</f>
        <v>-4.4337866711430253E-14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242.81177364426878</v>
      </c>
      <c r="FK180" s="62">
        <f t="shared" si="156"/>
        <v>260.72115764896671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10.944988702624606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10.944988702624606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-5.6843418860808015E-14</v>
      </c>
      <c r="GA180" s="18">
        <f>FZ180*VLOOKUP('Données projet'!$B$17,Paramètres!$A$1:$I$89,3,0)*VLOOKUP('Données projet'!$B$17,Paramètres!$A$1:$I$89,5,0)</f>
        <v>-4.5224624045658861E-14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248.15263300983543</v>
      </c>
      <c r="GF180" s="62">
        <f t="shared" si="158"/>
        <v>266.46511459244618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13.760141610788036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13.760141610788036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382.55387448074327</v>
      </c>
      <c r="T181" s="62">
        <f t="shared" si="142"/>
        <v>476.29465646955543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25.005496897630074</v>
      </c>
      <c r="AA181" s="23">
        <f>EXP(-LN(2)/25)*AA180+(1-EXP(-LN(2)/25))/(LN(2)/25)*Calculateur!V181*Calculateur!X181*VLOOKUP('Données projet'!$B$9,Paramètres!$A$1:$I$89,3,0)*0.475*44/12</f>
        <v>2.4444925039894536</v>
      </c>
      <c r="AB181" s="23">
        <f>EXP(-LN(2)/2)*AB180+(1-EXP(-LN(2)/2))/(LN(2)/2)*V181*Y181*VLOOKUP('Données projet'!$B$9,Paramètres!$A$1:$I$89,3,0)*0.475*44/12</f>
        <v>9.7701101367720667E-17</v>
      </c>
      <c r="AC181" s="24">
        <f t="shared" si="163"/>
        <v>27.449989401619529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-1.7053025658242404E-13</v>
      </c>
      <c r="AJ181" s="14">
        <f>AI181*VLOOKUP('Données projet'!$B$10,Paramètres!$A$1:$I$89,3,0)*VLOOKUP('Données projet'!$B$10,Paramètres!$A$1:$I$89,5,0)</f>
        <v>-1.064108801074326E-13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482.28841373508675</v>
      </c>
      <c r="AO181" s="62">
        <f t="shared" si="144"/>
        <v>746.97309214631684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46.753242874067944</v>
      </c>
      <c r="AV181" s="23">
        <f>EXP(-LN(2)/25)*AV180+(1-EXP(-LN(2)/25))/(LN(2)/25)*Calculateur!AQ181*Calculateur!AS181*VLOOKUP('Données projet'!$B$10,Paramètres!$A$1:$I$89,3,0)*0.475*44/12</f>
        <v>4.5835268190383944</v>
      </c>
      <c r="AW181" s="23">
        <f>EXP(-LN(2)/2)*AW180+(1-EXP(-LN(2)/2))/(LN(2)/2)*AQ181*AT181*VLOOKUP('Données projet'!$B$10,Paramètres!$A$1:$I$89,3,0)*0.475*44/12</f>
        <v>3.649381437093842E-14</v>
      </c>
      <c r="AX181" s="23">
        <f t="shared" si="166"/>
        <v>51.336769693106376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-1.7053025658242404E-13</v>
      </c>
      <c r="BE181" s="14">
        <f>BD181*VLOOKUP('Données projet'!$B$11,Paramètres!$A$1:$I$89,3,0)*VLOOKUP('Données projet'!$B$11,Paramètres!$A$1:$I$89,5,0)</f>
        <v>-9.3109520094003535E-14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417.99456559608217</v>
      </c>
      <c r="BJ181" s="62">
        <f t="shared" si="146"/>
        <v>651.41353014863932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40.909087514809457</v>
      </c>
      <c r="BQ181" s="23">
        <f>EXP(-LN(2)/25)*BQ180+(1-EXP(-LN(2)/25))/(LN(2)/25)*Calculateur!BL181*Calculateur!BN181*VLOOKUP('Données projet'!$B$11,Paramètres!$A$1:$I$89,3,0)*0.475*44/12</f>
        <v>4.0583310376902428</v>
      </c>
      <c r="BR181" s="23">
        <f>EXP(-LN(2)/2)*BR180+(1-EXP(-LN(2)/2))/(LN(2)/2)*BL181*BO181*VLOOKUP('Données projet'!$B$11,Paramètres!$A$1:$I$89,3,0)*0.475*44/12</f>
        <v>3.1448268065865472E-14</v>
      </c>
      <c r="BS181" s="24">
        <f t="shared" si="169"/>
        <v>44.96741855249973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-5.1431925385259088E-14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213.07277043804817</v>
      </c>
      <c r="CE181" s="62">
        <f t="shared" si="148"/>
        <v>129.14539883354166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94.900243329338764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94.900243329338764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-5.7639226724859328E-14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247.92503505485405</v>
      </c>
      <c r="CZ181" s="62">
        <f t="shared" si="150"/>
        <v>148.26437652597514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106.35372097253479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106.35372097253479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154.0837760161366</v>
      </c>
      <c r="DU181" s="62">
        <f t="shared" si="152"/>
        <v>96.484500841546037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125.20732972121321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125.20732972121321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-5.6843418860808015E-14</v>
      </c>
      <c r="EK181" s="18">
        <f>EJ181*VLOOKUP('Données projet'!$B$15,Paramètres!$A$1:$I$89,3,0)*VLOOKUP('Données projet'!$B$15,Paramètres!$A$1:$I$89,5,0)</f>
        <v>-3.813056537183002E-14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205.35893113421139</v>
      </c>
      <c r="EP181" s="62">
        <f t="shared" si="154"/>
        <v>220.4399811285175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11.374185998947064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11.374185998947064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-5.6843418860808015E-14</v>
      </c>
      <c r="FF181" s="18">
        <f>FE181*VLOOKUP('Données projet'!$B$16,Paramètres!$A$1:$I$89,3,0)*VLOOKUP('Données projet'!$B$16,Paramètres!$A$1:$I$89,5,0)</f>
        <v>-4.4337866711430253E-14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242.81177364426878</v>
      </c>
      <c r="FK181" s="62">
        <f t="shared" si="156"/>
        <v>260.72115764896671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10.730364149950066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10.730364149950066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-5.6843418860808015E-14</v>
      </c>
      <c r="GA181" s="18">
        <f>FZ181*VLOOKUP('Données projet'!$B$17,Paramètres!$A$1:$I$89,3,0)*VLOOKUP('Données projet'!$B$17,Paramètres!$A$1:$I$89,5,0)</f>
        <v>-4.5224624045658861E-14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248.15263300983543</v>
      </c>
      <c r="GF181" s="62">
        <f t="shared" si="158"/>
        <v>266.46511459244618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13.490313626658139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13.490313626658139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382.55387448074327</v>
      </c>
      <c r="T182" s="62">
        <f t="shared" si="142"/>
        <v>476.29465646955543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24.51515435531466</v>
      </c>
      <c r="AA182" s="23">
        <f>EXP(-LN(2)/25)*AA181+(1-EXP(-LN(2)/25))/(LN(2)/25)*Calculateur!V182*Calculateur!X182*VLOOKUP('Données projet'!$B$9,Paramètres!$A$1:$I$89,3,0)*0.475*44/12</f>
        <v>2.377647727917588</v>
      </c>
      <c r="AB182" s="23">
        <f>EXP(-LN(2)/2)*AB181+(1-EXP(-LN(2)/2))/(LN(2)/2)*V182*Y182*VLOOKUP('Données projet'!$B$9,Paramètres!$A$1:$I$89,3,0)*0.475*44/12</f>
        <v>6.9085111306509555E-17</v>
      </c>
      <c r="AC182" s="24">
        <f t="shared" si="163"/>
        <v>26.892802083232247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-1.7053025658242404E-13</v>
      </c>
      <c r="AJ182" s="14">
        <f>AI182*VLOOKUP('Données projet'!$B$10,Paramètres!$A$1:$I$89,3,0)*VLOOKUP('Données projet'!$B$10,Paramètres!$A$1:$I$89,5,0)</f>
        <v>-1.064108801074326E-13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482.28841373508675</v>
      </c>
      <c r="AO182" s="62">
        <f t="shared" si="144"/>
        <v>746.97309214631684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45.836440297969837</v>
      </c>
      <c r="AV182" s="23">
        <f>EXP(-LN(2)/25)*AV181+(1-EXP(-LN(2)/25))/(LN(2)/25)*Calculateur!AQ182*Calculateur!AS182*VLOOKUP('Données projet'!$B$10,Paramètres!$A$1:$I$89,3,0)*0.475*44/12</f>
        <v>4.4581900371345897</v>
      </c>
      <c r="AW182" s="23">
        <f>EXP(-LN(2)/2)*AW181+(1-EXP(-LN(2)/2))/(LN(2)/2)*AQ182*AT182*VLOOKUP('Données projet'!$B$10,Paramètres!$A$1:$I$89,3,0)*0.475*44/12</f>
        <v>2.5805023613053637E-14</v>
      </c>
      <c r="AX182" s="23">
        <f t="shared" si="166"/>
        <v>50.294630335104458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-1.7053025658242404E-13</v>
      </c>
      <c r="BE182" s="14">
        <f>BD182*VLOOKUP('Données projet'!$B$11,Paramètres!$A$1:$I$89,3,0)*VLOOKUP('Données projet'!$B$11,Paramètres!$A$1:$I$89,5,0)</f>
        <v>-9.3109520094003535E-14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417.99456559608217</v>
      </c>
      <c r="BJ182" s="62">
        <f t="shared" si="146"/>
        <v>651.41353014863932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40.106885260723615</v>
      </c>
      <c r="BQ182" s="23">
        <f>EXP(-LN(2)/25)*BQ181+(1-EXP(-LN(2)/25))/(LN(2)/25)*Calculateur!BL182*Calculateur!BN182*VLOOKUP('Données projet'!$B$11,Paramètres!$A$1:$I$89,3,0)*0.475*44/12</f>
        <v>3.9473557620462492</v>
      </c>
      <c r="BR182" s="23">
        <f>EXP(-LN(2)/2)*BR181+(1-EXP(-LN(2)/2))/(LN(2)/2)*BL182*BO182*VLOOKUP('Données projet'!$B$11,Paramètres!$A$1:$I$89,3,0)*0.475*44/12</f>
        <v>2.2237283605945826E-14</v>
      </c>
      <c r="BS182" s="24">
        <f t="shared" si="169"/>
        <v>44.054241022769887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-5.1431925385259088E-14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213.07277043804817</v>
      </c>
      <c r="CE182" s="62">
        <f t="shared" si="148"/>
        <v>129.14539883354166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93.039307441083352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93.039307441083352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-5.7639226724859328E-14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247.92503505485405</v>
      </c>
      <c r="CZ182" s="62">
        <f t="shared" si="150"/>
        <v>148.26437652597514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104.26818937362786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104.26818937362786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154.0837760161366</v>
      </c>
      <c r="DU182" s="62">
        <f t="shared" si="152"/>
        <v>96.484500841546037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122.75209035431055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122.75209035431055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-5.6843418860808015E-14</v>
      </c>
      <c r="EK182" s="18">
        <f>EJ182*VLOOKUP('Données projet'!$B$15,Paramètres!$A$1:$I$89,3,0)*VLOOKUP('Données projet'!$B$15,Paramètres!$A$1:$I$89,5,0)</f>
        <v>-3.813056537183002E-14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205.35893113421139</v>
      </c>
      <c r="EP182" s="62">
        <f t="shared" si="154"/>
        <v>220.4399811285175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11.151145149076143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11.151145149076143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-5.6843418860808015E-14</v>
      </c>
      <c r="FF182" s="18">
        <f>FE182*VLOOKUP('Données projet'!$B$16,Paramètres!$A$1:$I$89,3,0)*VLOOKUP('Données projet'!$B$16,Paramètres!$A$1:$I$89,5,0)</f>
        <v>-4.4337866711430253E-14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242.81177364426878</v>
      </c>
      <c r="FK182" s="62">
        <f t="shared" si="156"/>
        <v>260.72115764896671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10.519948253845424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10.519948253845424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-5.6843418860808015E-14</v>
      </c>
      <c r="GA182" s="18">
        <f>FZ182*VLOOKUP('Données projet'!$B$17,Paramètres!$A$1:$I$89,3,0)*VLOOKUP('Données projet'!$B$17,Paramètres!$A$1:$I$89,5,0)</f>
        <v>-4.5224624045658861E-14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248.15263300983543</v>
      </c>
      <c r="GF182" s="62">
        <f t="shared" si="158"/>
        <v>266.46511459244618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13.22577680471821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13.22577680471821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382.55387448074327</v>
      </c>
      <c r="T183" s="62">
        <f t="shared" si="142"/>
        <v>476.29465646955543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24.034427131174635</v>
      </c>
      <c r="AA183" s="23">
        <f>EXP(-LN(2)/25)*AA182+(1-EXP(-LN(2)/25))/(LN(2)/25)*Calculateur!V183*Calculateur!X183*VLOOKUP('Données projet'!$B$9,Paramètres!$A$1:$I$89,3,0)*0.475*44/12</f>
        <v>2.3126308257626218</v>
      </c>
      <c r="AB183" s="23">
        <f>EXP(-LN(2)/2)*AB182+(1-EXP(-LN(2)/2))/(LN(2)/2)*V183*Y183*VLOOKUP('Données projet'!$B$9,Paramètres!$A$1:$I$89,3,0)*0.475*44/12</f>
        <v>4.8850550683860333E-17</v>
      </c>
      <c r="AC183" s="24">
        <f t="shared" si="163"/>
        <v>26.347057956937256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-1.7053025658242404E-13</v>
      </c>
      <c r="AJ183" s="14">
        <f>AI183*VLOOKUP('Données projet'!$B$10,Paramètres!$A$1:$I$89,3,0)*VLOOKUP('Données projet'!$B$10,Paramètres!$A$1:$I$89,5,0)</f>
        <v>-1.064108801074326E-13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482.28841373508675</v>
      </c>
      <c r="AO183" s="62">
        <f t="shared" si="144"/>
        <v>746.97309214631684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44.937615661194663</v>
      </c>
      <c r="AV183" s="23">
        <f>EXP(-LN(2)/25)*AV182+(1-EXP(-LN(2)/25))/(LN(2)/25)*Calculateur!AQ183*Calculateur!AS183*VLOOKUP('Données projet'!$B$10,Paramètres!$A$1:$I$89,3,0)*0.475*44/12</f>
        <v>4.3362805961231192</v>
      </c>
      <c r="AW183" s="23">
        <f>EXP(-LN(2)/2)*AW182+(1-EXP(-LN(2)/2))/(LN(2)/2)*AQ183*AT183*VLOOKUP('Données projet'!$B$10,Paramètres!$A$1:$I$89,3,0)*0.475*44/12</f>
        <v>1.824690718546921E-14</v>
      </c>
      <c r="AX183" s="23">
        <f t="shared" si="166"/>
        <v>49.273896257317801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-1.7053025658242404E-13</v>
      </c>
      <c r="BE183" s="14">
        <f>BD183*VLOOKUP('Données projet'!$B$11,Paramètres!$A$1:$I$89,3,0)*VLOOKUP('Données projet'!$B$11,Paramètres!$A$1:$I$89,5,0)</f>
        <v>-9.3109520094003535E-14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417.99456559608217</v>
      </c>
      <c r="BJ183" s="62">
        <f t="shared" si="146"/>
        <v>651.41353014863932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39.320413703545334</v>
      </c>
      <c r="BQ183" s="23">
        <f>EXP(-LN(2)/25)*BQ182+(1-EXP(-LN(2)/25))/(LN(2)/25)*Calculateur!BL183*Calculateur!BN183*VLOOKUP('Données projet'!$B$11,Paramètres!$A$1:$I$89,3,0)*0.475*44/12</f>
        <v>3.8394151111506769</v>
      </c>
      <c r="BR183" s="23">
        <f>EXP(-LN(2)/2)*BR182+(1-EXP(-LN(2)/2))/(LN(2)/2)*BL183*BO183*VLOOKUP('Données projet'!$B$11,Paramètres!$A$1:$I$89,3,0)*0.475*44/12</f>
        <v>1.5724134032932736E-14</v>
      </c>
      <c r="BS183" s="24">
        <f t="shared" si="169"/>
        <v>43.159828814696027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-5.1431925385259088E-14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213.07277043804817</v>
      </c>
      <c r="CE183" s="62">
        <f t="shared" si="148"/>
        <v>129.14539883354166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91.214863370537813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91.214863370537813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-5.7639226724859328E-14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247.92503505485405</v>
      </c>
      <c r="CZ183" s="62">
        <f t="shared" si="150"/>
        <v>148.26437652597514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102.22355377732683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102.22355377732683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154.0837760161366</v>
      </c>
      <c r="DU183" s="62">
        <f t="shared" si="152"/>
        <v>96.484500841546037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120.34499673384471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120.34499673384471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-5.6843418860808015E-14</v>
      </c>
      <c r="EK183" s="18">
        <f>EJ183*VLOOKUP('Données projet'!$B$15,Paramètres!$A$1:$I$89,3,0)*VLOOKUP('Données projet'!$B$15,Paramètres!$A$1:$I$89,5,0)</f>
        <v>-3.813056537183002E-14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205.35893113421139</v>
      </c>
      <c r="EP183" s="62">
        <f t="shared" si="154"/>
        <v>220.4399811285175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10.932477994229705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10.932477994229705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-5.6843418860808015E-14</v>
      </c>
      <c r="FF183" s="18">
        <f>FE183*VLOOKUP('Données projet'!$B$16,Paramètres!$A$1:$I$89,3,0)*VLOOKUP('Données projet'!$B$16,Paramètres!$A$1:$I$89,5,0)</f>
        <v>-4.4337866711430253E-14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242.81177364426878</v>
      </c>
      <c r="FK183" s="62">
        <f t="shared" si="156"/>
        <v>260.72115764896671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10.313658485122369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10.313658485122369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-5.6843418860808015E-14</v>
      </c>
      <c r="GA183" s="18">
        <f>FZ183*VLOOKUP('Données projet'!$B$17,Paramètres!$A$1:$I$89,3,0)*VLOOKUP('Données projet'!$B$17,Paramètres!$A$1:$I$89,5,0)</f>
        <v>-4.5224624045658861E-14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248.15263300983543</v>
      </c>
      <c r="GF183" s="62">
        <f t="shared" si="158"/>
        <v>266.46511459244618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12.966427388504995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12.966427388504995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382.55387448074327</v>
      </c>
      <c r="T184" s="62">
        <f t="shared" si="142"/>
        <v>476.29465646955543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23.563126674685339</v>
      </c>
      <c r="AA184" s="23">
        <f>EXP(-LN(2)/25)*AA183+(1-EXP(-LN(2)/25))/(LN(2)/25)*Calculateur!V184*Calculateur!X184*VLOOKUP('Données projet'!$B$9,Paramètres!$A$1:$I$89,3,0)*0.475*44/12</f>
        <v>2.2493918142161733</v>
      </c>
      <c r="AB184" s="23">
        <f>EXP(-LN(2)/2)*AB183+(1-EXP(-LN(2)/2))/(LN(2)/2)*V184*Y184*VLOOKUP('Données projet'!$B$9,Paramètres!$A$1:$I$89,3,0)*0.475*44/12</f>
        <v>3.4542555653254778E-17</v>
      </c>
      <c r="AC184" s="24">
        <f t="shared" si="163"/>
        <v>25.812518488901514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-1.7053025658242404E-13</v>
      </c>
      <c r="AJ184" s="14">
        <f>AI184*VLOOKUP('Données projet'!$B$10,Paramètres!$A$1:$I$89,3,0)*VLOOKUP('Données projet'!$B$10,Paramètres!$A$1:$I$89,5,0)</f>
        <v>-1.064108801074326E-13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482.28841373508675</v>
      </c>
      <c r="AO184" s="62">
        <f t="shared" si="144"/>
        <v>746.97309214631684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44.05641642731775</v>
      </c>
      <c r="AV184" s="23">
        <f>EXP(-LN(2)/25)*AV183+(1-EXP(-LN(2)/25))/(LN(2)/25)*Calculateur!AQ184*Calculateur!AS184*VLOOKUP('Données projet'!$B$10,Paramètres!$A$1:$I$89,3,0)*0.475*44/12</f>
        <v>4.2177047751870465</v>
      </c>
      <c r="AW184" s="23">
        <f>EXP(-LN(2)/2)*AW183+(1-EXP(-LN(2)/2))/(LN(2)/2)*AQ184*AT184*VLOOKUP('Données projet'!$B$10,Paramètres!$A$1:$I$89,3,0)*0.475*44/12</f>
        <v>1.2902511806526819E-14</v>
      </c>
      <c r="AX184" s="23">
        <f t="shared" si="166"/>
        <v>48.274121202504809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-1.7053025658242404E-13</v>
      </c>
      <c r="BE184" s="14">
        <f>BD184*VLOOKUP('Données projet'!$B$11,Paramètres!$A$1:$I$89,3,0)*VLOOKUP('Données projet'!$B$11,Paramètres!$A$1:$I$89,5,0)</f>
        <v>-9.3109520094003535E-14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417.99456559608217</v>
      </c>
      <c r="BJ184" s="62">
        <f t="shared" si="146"/>
        <v>651.41353014863932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38.549364373903039</v>
      </c>
      <c r="BQ184" s="23">
        <f>EXP(-LN(2)/25)*BQ183+(1-EXP(-LN(2)/25))/(LN(2)/25)*Calculateur!BL184*Calculateur!BN184*VLOOKUP('Données projet'!$B$11,Paramètres!$A$1:$I$89,3,0)*0.475*44/12</f>
        <v>3.734426103030196</v>
      </c>
      <c r="BR184" s="23">
        <f>EXP(-LN(2)/2)*BR183+(1-EXP(-LN(2)/2))/(LN(2)/2)*BL184*BO184*VLOOKUP('Données projet'!$B$11,Paramètres!$A$1:$I$89,3,0)*0.475*44/12</f>
        <v>1.1118641802972913E-14</v>
      </c>
      <c r="BS184" s="24">
        <f t="shared" si="169"/>
        <v>42.283790476933248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-5.1431925385259088E-14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213.07277043804817</v>
      </c>
      <c r="CE184" s="62">
        <f t="shared" si="148"/>
        <v>129.14539883354166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89.426195535414664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89.426195535414664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-5.7639226724859328E-14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247.92503505485405</v>
      </c>
      <c r="CZ184" s="62">
        <f t="shared" si="150"/>
        <v>148.26437652597514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100.21901223796468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100.21901223796468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154.0837760161366</v>
      </c>
      <c r="DU184" s="62">
        <f t="shared" si="152"/>
        <v>96.484500841546037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117.98510475109406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117.98510475109406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-5.6843418860808015E-14</v>
      </c>
      <c r="EK184" s="18">
        <f>EJ184*VLOOKUP('Données projet'!$B$15,Paramètres!$A$1:$I$89,3,0)*VLOOKUP('Données projet'!$B$15,Paramètres!$A$1:$I$89,5,0)</f>
        <v>-3.813056537183002E-14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205.35893113421139</v>
      </c>
      <c r="EP184" s="62">
        <f t="shared" si="154"/>
        <v>220.4399811285175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10.718098768916011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10.718098768916011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-5.6843418860808015E-14</v>
      </c>
      <c r="FF184" s="18">
        <f>FE184*VLOOKUP('Données projet'!$B$16,Paramètres!$A$1:$I$89,3,0)*VLOOKUP('Données projet'!$B$16,Paramètres!$A$1:$I$89,5,0)</f>
        <v>-4.4337866711430253E-14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242.81177364426878</v>
      </c>
      <c r="FK184" s="62">
        <f t="shared" si="156"/>
        <v>260.72115764896671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10.111413932939639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10.111413932939639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-5.6843418860808015E-14</v>
      </c>
      <c r="GA184" s="18">
        <f>FZ184*VLOOKUP('Données projet'!$B$17,Paramètres!$A$1:$I$89,3,0)*VLOOKUP('Données projet'!$B$17,Paramètres!$A$1:$I$89,5,0)</f>
        <v>-4.5224624045658861E-14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248.15263300983543</v>
      </c>
      <c r="GF184" s="62">
        <f t="shared" si="158"/>
        <v>266.46511459244618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12.712163656156196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12.712163656156196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382.55387448074327</v>
      </c>
      <c r="T185" s="62">
        <f t="shared" si="142"/>
        <v>476.29465646955543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23.101068132682904</v>
      </c>
      <c r="AA185" s="23">
        <f>EXP(-LN(2)/25)*AA184+(1-EXP(-LN(2)/25))/(LN(2)/25)*Calculateur!V185*Calculateur!X185*VLOOKUP('Données projet'!$B$9,Paramètres!$A$1:$I$89,3,0)*0.475*44/12</f>
        <v>2.1878820767660576</v>
      </c>
      <c r="AB185" s="23">
        <f>EXP(-LN(2)/2)*AB184+(1-EXP(-LN(2)/2))/(LN(2)/2)*V185*Y185*VLOOKUP('Données projet'!$B$9,Paramètres!$A$1:$I$89,3,0)*0.475*44/12</f>
        <v>2.4425275341930167E-17</v>
      </c>
      <c r="AC185" s="24">
        <f t="shared" si="163"/>
        <v>25.288950209448963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-1.7053025658242404E-13</v>
      </c>
      <c r="AJ185" s="14">
        <f>AI185*VLOOKUP('Données projet'!$B$10,Paramètres!$A$1:$I$89,3,0)*VLOOKUP('Données projet'!$B$10,Paramètres!$A$1:$I$89,5,0)</f>
        <v>-1.064108801074326E-13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482.28841373508675</v>
      </c>
      <c r="AO185" s="62">
        <f t="shared" si="144"/>
        <v>746.97309214631684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43.192496972938706</v>
      </c>
      <c r="AV185" s="23">
        <f>EXP(-LN(2)/25)*AV184+(1-EXP(-LN(2)/25))/(LN(2)/25)*Calculateur!AQ185*Calculateur!AS185*VLOOKUP('Données projet'!$B$10,Paramètres!$A$1:$I$89,3,0)*0.475*44/12</f>
        <v>4.1023714163101026</v>
      </c>
      <c r="AW185" s="23">
        <f>EXP(-LN(2)/2)*AW184+(1-EXP(-LN(2)/2))/(LN(2)/2)*AQ185*AT185*VLOOKUP('Données projet'!$B$10,Paramètres!$A$1:$I$89,3,0)*0.475*44/12</f>
        <v>9.123453592734605E-15</v>
      </c>
      <c r="AX185" s="23">
        <f t="shared" si="166"/>
        <v>47.294868389248812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-1.7053025658242404E-13</v>
      </c>
      <c r="BE185" s="14">
        <f>BD185*VLOOKUP('Données projet'!$B$11,Paramètres!$A$1:$I$89,3,0)*VLOOKUP('Données projet'!$B$11,Paramètres!$A$1:$I$89,5,0)</f>
        <v>-9.3109520094003535E-14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417.99456559608217</v>
      </c>
      <c r="BJ185" s="62">
        <f t="shared" si="146"/>
        <v>651.41353014863932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37.793434851321372</v>
      </c>
      <c r="BQ185" s="23">
        <f>EXP(-LN(2)/25)*BQ184+(1-EXP(-LN(2)/25))/(LN(2)/25)*Calculateur!BL185*Calculateur!BN185*VLOOKUP('Données projet'!$B$11,Paramètres!$A$1:$I$89,3,0)*0.475*44/12</f>
        <v>3.6323080248579016</v>
      </c>
      <c r="BR185" s="23">
        <f>EXP(-LN(2)/2)*BR184+(1-EXP(-LN(2)/2))/(LN(2)/2)*BL185*BO185*VLOOKUP('Données projet'!$B$11,Paramètres!$A$1:$I$89,3,0)*0.475*44/12</f>
        <v>7.8620670164663679E-15</v>
      </c>
      <c r="BS185" s="24">
        <f t="shared" si="169"/>
        <v>41.425742876179278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-5.1431925385259088E-14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213.07277043804817</v>
      </c>
      <c r="CE185" s="62">
        <f t="shared" si="148"/>
        <v>129.14539883354166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87.672602385558633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87.672602385558633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-5.7639226724859328E-14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247.92503505485405</v>
      </c>
      <c r="CZ185" s="62">
        <f t="shared" si="150"/>
        <v>148.26437652597514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98.253778535539809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98.253778535539809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154.0837760161366</v>
      </c>
      <c r="DU185" s="62">
        <f t="shared" si="152"/>
        <v>96.484500841546037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115.67148881073317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115.67148881073317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-5.6843418860808015E-14</v>
      </c>
      <c r="EK185" s="18">
        <f>EJ185*VLOOKUP('Données projet'!$B$15,Paramètres!$A$1:$I$89,3,0)*VLOOKUP('Données projet'!$B$15,Paramètres!$A$1:$I$89,5,0)</f>
        <v>-3.813056537183002E-14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205.35893113421139</v>
      </c>
      <c r="EP185" s="62">
        <f t="shared" si="154"/>
        <v>220.4399811285175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10.507923389452303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10.507923389452303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-5.6843418860808015E-14</v>
      </c>
      <c r="FF185" s="18">
        <f>FE185*VLOOKUP('Données projet'!$B$16,Paramètres!$A$1:$I$89,3,0)*VLOOKUP('Données projet'!$B$16,Paramètres!$A$1:$I$89,5,0)</f>
        <v>-4.4337866711430253E-14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242.81177364426878</v>
      </c>
      <c r="FK185" s="62">
        <f t="shared" si="156"/>
        <v>260.72115764896671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9.9131352730682156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9.9131352730682156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-5.6843418860808015E-14</v>
      </c>
      <c r="GA185" s="18">
        <f>FZ185*VLOOKUP('Données projet'!$B$17,Paramètres!$A$1:$I$89,3,0)*VLOOKUP('Données projet'!$B$17,Paramètres!$A$1:$I$89,5,0)</f>
        <v>-4.5224624045658861E-14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248.15263300983543</v>
      </c>
      <c r="GF185" s="62">
        <f t="shared" si="158"/>
        <v>266.46511459244618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12.462885880513193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12.462885880513193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382.55387448074327</v>
      </c>
      <c r="T186" s="62">
        <f t="shared" si="142"/>
        <v>476.29465646955543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22.648070276861255</v>
      </c>
      <c r="AA186" s="23">
        <f>EXP(-LN(2)/25)*AA185+(1-EXP(-LN(2)/25))/(LN(2)/25)*Calculateur!V186*Calculateur!X186*VLOOKUP('Données projet'!$B$9,Paramètres!$A$1:$I$89,3,0)*0.475*44/12</f>
        <v>2.128054326321172</v>
      </c>
      <c r="AB186" s="23">
        <f>EXP(-LN(2)/2)*AB185+(1-EXP(-LN(2)/2))/(LN(2)/2)*V186*Y186*VLOOKUP('Données projet'!$B$9,Paramètres!$A$1:$I$89,3,0)*0.475*44/12</f>
        <v>1.7271277826627389E-17</v>
      </c>
      <c r="AC186" s="24">
        <f t="shared" si="163"/>
        <v>24.776124603182428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-1.7053025658242404E-13</v>
      </c>
      <c r="AJ186" s="14">
        <f>AI186*VLOOKUP('Données projet'!$B$10,Paramètres!$A$1:$I$89,3,0)*VLOOKUP('Données projet'!$B$10,Paramètres!$A$1:$I$89,5,0)</f>
        <v>-1.064108801074326E-13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482.28841373508675</v>
      </c>
      <c r="AO186" s="62">
        <f t="shared" si="144"/>
        <v>746.97309214631684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42.345518452121198</v>
      </c>
      <c r="AV186" s="23">
        <f>EXP(-LN(2)/25)*AV185+(1-EXP(-LN(2)/25))/(LN(2)/25)*Calculateur!AQ186*Calculateur!AS186*VLOOKUP('Données projet'!$B$10,Paramètres!$A$1:$I$89,3,0)*0.475*44/12</f>
        <v>3.990191854196766</v>
      </c>
      <c r="AW186" s="23">
        <f>EXP(-LN(2)/2)*AW185+(1-EXP(-LN(2)/2))/(LN(2)/2)*AQ186*AT186*VLOOKUP('Données projet'!$B$10,Paramètres!$A$1:$I$89,3,0)*0.475*44/12</f>
        <v>6.4512559032634093E-15</v>
      </c>
      <c r="AX186" s="23">
        <f t="shared" si="166"/>
        <v>46.335710306317971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-1.7053025658242404E-13</v>
      </c>
      <c r="BE186" s="14">
        <f>BD186*VLOOKUP('Données projet'!$B$11,Paramètres!$A$1:$I$89,3,0)*VLOOKUP('Données projet'!$B$11,Paramètres!$A$1:$I$89,5,0)</f>
        <v>-9.3109520094003535E-14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417.99456559608217</v>
      </c>
      <c r="BJ186" s="62">
        <f t="shared" si="146"/>
        <v>651.41353014863932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37.052328645606053</v>
      </c>
      <c r="BQ186" s="23">
        <f>EXP(-LN(2)/25)*BQ185+(1-EXP(-LN(2)/25))/(LN(2)/25)*Calculateur!BL186*Calculateur!BN186*VLOOKUP('Données projet'!$B$11,Paramètres!$A$1:$I$89,3,0)*0.475*44/12</f>
        <v>3.532982370903385</v>
      </c>
      <c r="BR186" s="23">
        <f>EXP(-LN(2)/2)*BR185+(1-EXP(-LN(2)/2))/(LN(2)/2)*BL186*BO186*VLOOKUP('Données projet'!$B$11,Paramètres!$A$1:$I$89,3,0)*0.475*44/12</f>
        <v>5.5593209014864565E-15</v>
      </c>
      <c r="BS186" s="24">
        <f t="shared" si="169"/>
        <v>40.585311016509444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-5.1431925385259088E-14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213.07277043804817</v>
      </c>
      <c r="CE186" s="62">
        <f t="shared" si="148"/>
        <v>129.14539883354166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85.953396127785069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85.953396127785069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-5.7639226724859328E-14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247.92503505485405</v>
      </c>
      <c r="CZ186" s="62">
        <f t="shared" si="150"/>
        <v>148.26437652597514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96.327081867345299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96.327081867345299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154.0837760161366</v>
      </c>
      <c r="DU186" s="62">
        <f t="shared" si="152"/>
        <v>96.484500841546037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113.40324146779636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113.40324146779636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-5.6843418860808015E-14</v>
      </c>
      <c r="EK186" s="18">
        <f>EJ186*VLOOKUP('Données projet'!$B$15,Paramètres!$A$1:$I$89,3,0)*VLOOKUP('Données projet'!$B$15,Paramètres!$A$1:$I$89,5,0)</f>
        <v>-3.813056537183002E-14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205.35893113421139</v>
      </c>
      <c r="EP186" s="62">
        <f t="shared" si="154"/>
        <v>220.4399811285175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10.301869420985556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10.301869420985556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-5.6843418860808015E-14</v>
      </c>
      <c r="FF186" s="18">
        <f>FE186*VLOOKUP('Données projet'!$B$16,Paramètres!$A$1:$I$89,3,0)*VLOOKUP('Données projet'!$B$16,Paramètres!$A$1:$I$89,5,0)</f>
        <v>-4.4337866711430253E-14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242.81177364426878</v>
      </c>
      <c r="FK186" s="62">
        <f t="shared" si="156"/>
        <v>260.72115764896671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9.7187447367788309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9.7187447367788309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-5.6843418860808015E-14</v>
      </c>
      <c r="GA186" s="18">
        <f>FZ186*VLOOKUP('Données projet'!$B$17,Paramètres!$A$1:$I$89,3,0)*VLOOKUP('Données projet'!$B$17,Paramètres!$A$1:$I$89,5,0)</f>
        <v>-4.5224624045658861E-14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248.15263300983543</v>
      </c>
      <c r="GF186" s="62">
        <f t="shared" si="158"/>
        <v>266.46511459244618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12.21849629000612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12.21849629000612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382.55387448074327</v>
      </c>
      <c r="T187" s="62">
        <f t="shared" si="142"/>
        <v>476.29465646955543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22.203955432690858</v>
      </c>
      <c r="AA187" s="23">
        <f>EXP(-LN(2)/25)*AA186+(1-EXP(-LN(2)/25))/(LN(2)/25)*Calculateur!V187*Calculateur!X187*VLOOKUP('Données projet'!$B$9,Paramètres!$A$1:$I$89,3,0)*0.475*44/12</f>
        <v>2.0698625688584062</v>
      </c>
      <c r="AB187" s="23">
        <f>EXP(-LN(2)/2)*AB186+(1-EXP(-LN(2)/2))/(LN(2)/2)*V187*Y187*VLOOKUP('Données projet'!$B$9,Paramètres!$A$1:$I$89,3,0)*0.475*44/12</f>
        <v>1.2212637670965083E-17</v>
      </c>
      <c r="AC187" s="24">
        <f t="shared" si="163"/>
        <v>24.273818001549266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-1.7053025658242404E-13</v>
      </c>
      <c r="AJ187" s="14">
        <f>AI187*VLOOKUP('Données projet'!$B$10,Paramètres!$A$1:$I$89,3,0)*VLOOKUP('Données projet'!$B$10,Paramètres!$A$1:$I$89,5,0)</f>
        <v>-1.064108801074326E-13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482.28841373508675</v>
      </c>
      <c r="AO187" s="62">
        <f t="shared" si="144"/>
        <v>746.97309214631684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41.515148663491033</v>
      </c>
      <c r="AV187" s="23">
        <f>EXP(-LN(2)/25)*AV186+(1-EXP(-LN(2)/25))/(LN(2)/25)*Calculateur!AQ187*Calculateur!AS187*VLOOKUP('Données projet'!$B$10,Paramètres!$A$1:$I$89,3,0)*0.475*44/12</f>
        <v>3.8810798481086857</v>
      </c>
      <c r="AW187" s="23">
        <f>EXP(-LN(2)/2)*AW186+(1-EXP(-LN(2)/2))/(LN(2)/2)*AQ187*AT187*VLOOKUP('Données projet'!$B$10,Paramètres!$A$1:$I$89,3,0)*0.475*44/12</f>
        <v>4.5617267963673025E-15</v>
      </c>
      <c r="AX187" s="23">
        <f t="shared" si="166"/>
        <v>45.396228511599723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-1.7053025658242404E-13</v>
      </c>
      <c r="BE187" s="14">
        <f>BD187*VLOOKUP('Données projet'!$B$11,Paramètres!$A$1:$I$89,3,0)*VLOOKUP('Données projet'!$B$11,Paramètres!$A$1:$I$89,5,0)</f>
        <v>-9.3109520094003535E-14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417.99456559608217</v>
      </c>
      <c r="BJ187" s="62">
        <f t="shared" si="146"/>
        <v>651.41353014863932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36.325755080554657</v>
      </c>
      <c r="BQ187" s="23">
        <f>EXP(-LN(2)/25)*BQ186+(1-EXP(-LN(2)/25))/(LN(2)/25)*Calculateur!BL187*Calculateur!BN187*VLOOKUP('Données projet'!$B$11,Paramètres!$A$1:$I$89,3,0)*0.475*44/12</f>
        <v>3.4363727821795638</v>
      </c>
      <c r="BR187" s="23">
        <f>EXP(-LN(2)/2)*BR186+(1-EXP(-LN(2)/2))/(LN(2)/2)*BL187*BO187*VLOOKUP('Données projet'!$B$11,Paramètres!$A$1:$I$89,3,0)*0.475*44/12</f>
        <v>3.931033508233184E-15</v>
      </c>
      <c r="BS187" s="24">
        <f t="shared" si="169"/>
        <v>39.762127862734225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-5.1431925385259088E-14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213.07277043804817</v>
      </c>
      <c r="CE187" s="62">
        <f t="shared" si="148"/>
        <v>129.14539883354166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84.267902456114172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84.267902456114172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-5.7639226724859328E-14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247.92503505485405</v>
      </c>
      <c r="CZ187" s="62">
        <f t="shared" si="150"/>
        <v>148.26437652597514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94.438166545645146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94.438166545645146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154.0837760161366</v>
      </c>
      <c r="DU187" s="62">
        <f t="shared" si="152"/>
        <v>96.484500841546037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111.17947307176028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111.17947307176028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-5.6843418860808015E-14</v>
      </c>
      <c r="EK187" s="18">
        <f>EJ187*VLOOKUP('Données projet'!$B$15,Paramètres!$A$1:$I$89,3,0)*VLOOKUP('Données projet'!$B$15,Paramètres!$A$1:$I$89,5,0)</f>
        <v>-3.813056537183002E-14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205.35893113421139</v>
      </c>
      <c r="EP187" s="62">
        <f t="shared" si="154"/>
        <v>220.4399811285175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10.09985604515993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10.09985604515993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-5.6843418860808015E-14</v>
      </c>
      <c r="FF187" s="18">
        <f>FE187*VLOOKUP('Données projet'!$B$16,Paramètres!$A$1:$I$89,3,0)*VLOOKUP('Données projet'!$B$16,Paramètres!$A$1:$I$89,5,0)</f>
        <v>-4.4337866711430253E-14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242.81177364426878</v>
      </c>
      <c r="FK187" s="62">
        <f t="shared" si="156"/>
        <v>260.72115764896671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9.5281660803395614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9.5281660803395614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-5.6843418860808015E-14</v>
      </c>
      <c r="GA187" s="18">
        <f>FZ187*VLOOKUP('Données projet'!$B$17,Paramètres!$A$1:$I$89,3,0)*VLOOKUP('Données projet'!$B$17,Paramètres!$A$1:$I$89,5,0)</f>
        <v>-4.5224624045658861E-14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248.15263300983543</v>
      </c>
      <c r="GF187" s="62">
        <f t="shared" si="158"/>
        <v>266.46511459244618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11.978899030305959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11.978899030305959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382.55387448074327</v>
      </c>
      <c r="T188" s="62">
        <f t="shared" si="142"/>
        <v>476.29465646955543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21.768549409731335</v>
      </c>
      <c r="AA188" s="23">
        <f>EXP(-LN(2)/25)*AA187+(1-EXP(-LN(2)/25))/(LN(2)/25)*Calculateur!V188*Calculateur!X188*VLOOKUP('Données projet'!$B$9,Paramètres!$A$1:$I$89,3,0)*0.475*44/12</f>
        <v>2.0132620680636313</v>
      </c>
      <c r="AB188" s="23">
        <f>EXP(-LN(2)/2)*AB187+(1-EXP(-LN(2)/2))/(LN(2)/2)*V188*Y188*VLOOKUP('Données projet'!$B$9,Paramètres!$A$1:$I$89,3,0)*0.475*44/12</f>
        <v>8.6356389133136944E-18</v>
      </c>
      <c r="AC188" s="24">
        <f t="shared" si="163"/>
        <v>23.781811477794967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-1.7053025658242404E-13</v>
      </c>
      <c r="AJ188" s="14">
        <f>AI188*VLOOKUP('Données projet'!$B$10,Paramètres!$A$1:$I$89,3,0)*VLOOKUP('Données projet'!$B$10,Paramètres!$A$1:$I$89,5,0)</f>
        <v>-1.064108801074326E-13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482.28841373508675</v>
      </c>
      <c r="AO188" s="62">
        <f t="shared" si="144"/>
        <v>746.97309214631684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40.701061919940344</v>
      </c>
      <c r="AV188" s="23">
        <f>EXP(-LN(2)/25)*AV187+(1-EXP(-LN(2)/25))/(LN(2)/25)*Calculateur!AQ188*Calculateur!AS188*VLOOKUP('Données projet'!$B$10,Paramètres!$A$1:$I$89,3,0)*0.475*44/12</f>
        <v>3.7749515155650348</v>
      </c>
      <c r="AW188" s="23">
        <f>EXP(-LN(2)/2)*AW187+(1-EXP(-LN(2)/2))/(LN(2)/2)*AQ188*AT188*VLOOKUP('Données projet'!$B$10,Paramètres!$A$1:$I$89,3,0)*0.475*44/12</f>
        <v>3.2256279516317046E-15</v>
      </c>
      <c r="AX188" s="23">
        <f t="shared" si="166"/>
        <v>44.476013435505379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-1.7053025658242404E-13</v>
      </c>
      <c r="BE188" s="14">
        <f>BD188*VLOOKUP('Données projet'!$B$11,Paramètres!$A$1:$I$89,3,0)*VLOOKUP('Données projet'!$B$11,Paramètres!$A$1:$I$89,5,0)</f>
        <v>-9.3109520094003535E-14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417.99456559608217</v>
      </c>
      <c r="BJ188" s="62">
        <f t="shared" si="146"/>
        <v>651.41353014863932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35.613429179947808</v>
      </c>
      <c r="BQ188" s="23">
        <f>EXP(-LN(2)/25)*BQ187+(1-EXP(-LN(2)/25))/(LN(2)/25)*Calculateur!BL188*Calculateur!BN188*VLOOKUP('Données projet'!$B$11,Paramètres!$A$1:$I$89,3,0)*0.475*44/12</f>
        <v>3.3424049877398727</v>
      </c>
      <c r="BR188" s="23">
        <f>EXP(-LN(2)/2)*BR187+(1-EXP(-LN(2)/2))/(LN(2)/2)*BL188*BO188*VLOOKUP('Données projet'!$B$11,Paramètres!$A$1:$I$89,3,0)*0.475*44/12</f>
        <v>2.7796604507432283E-15</v>
      </c>
      <c r="BS188" s="24">
        <f t="shared" si="169"/>
        <v>38.955834167687684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-5.1431925385259088E-14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213.07277043804817</v>
      </c>
      <c r="CE188" s="62">
        <f t="shared" si="148"/>
        <v>129.14539883354166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82.615460287295107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82.615460287295107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-5.7639226724859328E-14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247.92503505485405</v>
      </c>
      <c r="CZ188" s="62">
        <f t="shared" si="150"/>
        <v>148.26437652597514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92.586291701278952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92.586291701278952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154.0837760161366</v>
      </c>
      <c r="DU188" s="62">
        <f t="shared" si="152"/>
        <v>96.484500841546037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108.99931141760568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108.99931141760568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-5.6843418860808015E-14</v>
      </c>
      <c r="EK188" s="18">
        <f>EJ188*VLOOKUP('Données projet'!$B$15,Paramètres!$A$1:$I$89,3,0)*VLOOKUP('Données projet'!$B$15,Paramètres!$A$1:$I$89,5,0)</f>
        <v>-3.813056537183002E-14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205.35893113421139</v>
      </c>
      <c r="EP188" s="62">
        <f t="shared" si="154"/>
        <v>220.4399811285175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9.9018040284182511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9.9018040284182511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-5.6843418860808015E-14</v>
      </c>
      <c r="FF188" s="18">
        <f>FE188*VLOOKUP('Données projet'!$B$16,Paramètres!$A$1:$I$89,3,0)*VLOOKUP('Données projet'!$B$16,Paramètres!$A$1:$I$89,5,0)</f>
        <v>-4.4337866711430253E-14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242.81177364426878</v>
      </c>
      <c r="FK188" s="62">
        <f t="shared" si="156"/>
        <v>260.72115764896671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9.3413245551115622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9.3413245551115622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-5.6843418860808015E-14</v>
      </c>
      <c r="GA188" s="18">
        <f>FZ188*VLOOKUP('Données projet'!$B$17,Paramètres!$A$1:$I$89,3,0)*VLOOKUP('Données projet'!$B$17,Paramètres!$A$1:$I$89,5,0)</f>
        <v>-4.5224624045658861E-14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248.15263300983543</v>
      </c>
      <c r="GF188" s="62">
        <f t="shared" si="158"/>
        <v>266.46511459244618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11.74400012672862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11.74400012672862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382.55387448074327</v>
      </c>
      <c r="T189" s="62">
        <f t="shared" si="142"/>
        <v>476.29465646955543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21.341681433310598</v>
      </c>
      <c r="AA189" s="23">
        <f>EXP(-LN(2)/25)*AA188+(1-EXP(-LN(2)/25))/(LN(2)/25)*Calculateur!V189*Calculateur!X189*VLOOKUP('Données projet'!$B$9,Paramètres!$A$1:$I$89,3,0)*0.475*44/12</f>
        <v>1.9582093109395804</v>
      </c>
      <c r="AB189" s="23">
        <f>EXP(-LN(2)/2)*AB188+(1-EXP(-LN(2)/2))/(LN(2)/2)*V189*Y189*VLOOKUP('Données projet'!$B$9,Paramètres!$A$1:$I$89,3,0)*0.475*44/12</f>
        <v>6.1063188354825417E-18</v>
      </c>
      <c r="AC189" s="24">
        <f t="shared" si="163"/>
        <v>23.299890744250177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-1.7053025658242404E-13</v>
      </c>
      <c r="AJ189" s="14">
        <f>AI189*VLOOKUP('Données projet'!$B$10,Paramètres!$A$1:$I$89,3,0)*VLOOKUP('Données projet'!$B$10,Paramètres!$A$1:$I$89,5,0)</f>
        <v>-1.064108801074326E-13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482.28841373508675</v>
      </c>
      <c r="AO189" s="62">
        <f t="shared" si="144"/>
        <v>746.97309214631684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39.902938920886797</v>
      </c>
      <c r="AV189" s="23">
        <f>EXP(-LN(2)/25)*AV188+(1-EXP(-LN(2)/25))/(LN(2)/25)*Calculateur!AQ189*Calculateur!AS189*VLOOKUP('Données projet'!$B$10,Paramètres!$A$1:$I$89,3,0)*0.475*44/12</f>
        <v>3.6717252678558365</v>
      </c>
      <c r="AW189" s="23">
        <f>EXP(-LN(2)/2)*AW188+(1-EXP(-LN(2)/2))/(LN(2)/2)*AQ189*AT189*VLOOKUP('Données projet'!$B$10,Paramètres!$A$1:$I$89,3,0)*0.475*44/12</f>
        <v>2.2808633981836512E-15</v>
      </c>
      <c r="AX189" s="23">
        <f t="shared" si="166"/>
        <v>43.574664188742631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-1.7053025658242404E-13</v>
      </c>
      <c r="BE189" s="14">
        <f>BD189*VLOOKUP('Données projet'!$B$11,Paramètres!$A$1:$I$89,3,0)*VLOOKUP('Données projet'!$B$11,Paramètres!$A$1:$I$89,5,0)</f>
        <v>-9.3109520094003535E-14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417.99456559608217</v>
      </c>
      <c r="BJ189" s="62">
        <f t="shared" si="146"/>
        <v>651.41353014863932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34.91507155577596</v>
      </c>
      <c r="BQ189" s="23">
        <f>EXP(-LN(2)/25)*BQ188+(1-EXP(-LN(2)/25))/(LN(2)/25)*Calculateur!BL189*Calculateur!BN189*VLOOKUP('Données projet'!$B$11,Paramètres!$A$1:$I$89,3,0)*0.475*44/12</f>
        <v>3.251006747580687</v>
      </c>
      <c r="BR189" s="23">
        <f>EXP(-LN(2)/2)*BR188+(1-EXP(-LN(2)/2))/(LN(2)/2)*BL189*BO189*VLOOKUP('Données projet'!$B$11,Paramètres!$A$1:$I$89,3,0)*0.475*44/12</f>
        <v>1.965516754116592E-15</v>
      </c>
      <c r="BS189" s="24">
        <f t="shared" si="169"/>
        <v>38.166078303356649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-5.1431925385259088E-14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213.07277043804817</v>
      </c>
      <c r="CE189" s="62">
        <f t="shared" si="148"/>
        <v>129.14539883354166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80.995421501516375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80.995421501516375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-5.7639226724859328E-14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247.92503505485405</v>
      </c>
      <c r="CZ189" s="62">
        <f t="shared" si="150"/>
        <v>148.26437652597514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90.770730993078658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90.770730993078658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154.0837760161366</v>
      </c>
      <c r="DU189" s="62">
        <f t="shared" si="152"/>
        <v>96.484500841546037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106.86190140372175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106.86190140372175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-5.6843418860808015E-14</v>
      </c>
      <c r="EK189" s="18">
        <f>EJ189*VLOOKUP('Données projet'!$B$15,Paramètres!$A$1:$I$89,3,0)*VLOOKUP('Données projet'!$B$15,Paramètres!$A$1:$I$89,5,0)</f>
        <v>-3.813056537183002E-14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205.35893113421139</v>
      </c>
      <c r="EP189" s="62">
        <f t="shared" si="154"/>
        <v>220.4399811285175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9.7076356909250752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9.7076356909250752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-5.6843418860808015E-14</v>
      </c>
      <c r="FF189" s="18">
        <f>FE189*VLOOKUP('Données projet'!$B$16,Paramètres!$A$1:$I$89,3,0)*VLOOKUP('Données projet'!$B$16,Paramètres!$A$1:$I$89,5,0)</f>
        <v>-4.4337866711430253E-14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242.81177364426878</v>
      </c>
      <c r="FK189" s="62">
        <f t="shared" si="156"/>
        <v>260.72115764896671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9.1581468782312072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9.1581468782312072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-5.6843418860808015E-14</v>
      </c>
      <c r="GA189" s="18">
        <f>FZ189*VLOOKUP('Données projet'!$B$17,Paramètres!$A$1:$I$89,3,0)*VLOOKUP('Données projet'!$B$17,Paramètres!$A$1:$I$89,5,0)</f>
        <v>-4.5224624045658861E-14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248.15263300983543</v>
      </c>
      <c r="GF189" s="62">
        <f t="shared" si="158"/>
        <v>266.46511459244618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11.513707447376248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11.513707447376248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382.55387448074327</v>
      </c>
      <c r="T190" s="62">
        <f t="shared" si="142"/>
        <v>476.29465646955543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20.923184077543716</v>
      </c>
      <c r="AA190" s="23">
        <f>EXP(-LN(2)/25)*AA189+(1-EXP(-LN(2)/25))/(LN(2)/25)*Calculateur!V190*Calculateur!X190*VLOOKUP('Données projet'!$B$9,Paramètres!$A$1:$I$89,3,0)*0.475*44/12</f>
        <v>1.9046619743541855</v>
      </c>
      <c r="AB190" s="23">
        <f>EXP(-LN(2)/2)*AB189+(1-EXP(-LN(2)/2))/(LN(2)/2)*V190*Y190*VLOOKUP('Données projet'!$B$9,Paramètres!$A$1:$I$89,3,0)*0.475*44/12</f>
        <v>4.3178194566568472E-18</v>
      </c>
      <c r="AC190" s="24">
        <f t="shared" si="163"/>
        <v>22.8278460518979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-1.7053025658242404E-13</v>
      </c>
      <c r="AJ190" s="14">
        <f>AI190*VLOOKUP('Données projet'!$B$10,Paramètres!$A$1:$I$89,3,0)*VLOOKUP('Données projet'!$B$10,Paramètres!$A$1:$I$89,5,0)</f>
        <v>-1.064108801074326E-13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482.28841373508675</v>
      </c>
      <c r="AO190" s="62">
        <f t="shared" si="144"/>
        <v>746.97309214631684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39.120466627037729</v>
      </c>
      <c r="AV190" s="23">
        <f>EXP(-LN(2)/25)*AV189+(1-EXP(-LN(2)/25))/(LN(2)/25)*Calculateur!AQ190*Calculateur!AS190*VLOOKUP('Données projet'!$B$10,Paramètres!$A$1:$I$89,3,0)*0.475*44/12</f>
        <v>3.5713217473186787</v>
      </c>
      <c r="AW190" s="23">
        <f>EXP(-LN(2)/2)*AW189+(1-EXP(-LN(2)/2))/(LN(2)/2)*AQ190*AT190*VLOOKUP('Données projet'!$B$10,Paramètres!$A$1:$I$89,3,0)*0.475*44/12</f>
        <v>1.6128139758158523E-15</v>
      </c>
      <c r="AX190" s="23">
        <f t="shared" si="166"/>
        <v>42.691788374356406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-1.7053025658242404E-13</v>
      </c>
      <c r="BE190" s="14">
        <f>BD190*VLOOKUP('Données projet'!$B$11,Paramètres!$A$1:$I$89,3,0)*VLOOKUP('Données projet'!$B$11,Paramètres!$A$1:$I$89,5,0)</f>
        <v>-9.3109520094003535E-14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417.99456559608217</v>
      </c>
      <c r="BJ190" s="62">
        <f t="shared" si="146"/>
        <v>651.41353014863932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34.230408298658027</v>
      </c>
      <c r="BQ190" s="23">
        <f>EXP(-LN(2)/25)*BQ189+(1-EXP(-LN(2)/25))/(LN(2)/25)*Calculateur!BL190*Calculateur!BN190*VLOOKUP('Données projet'!$B$11,Paramètres!$A$1:$I$89,3,0)*0.475*44/12</f>
        <v>3.1621077971050786</v>
      </c>
      <c r="BR190" s="23">
        <f>EXP(-LN(2)/2)*BR189+(1-EXP(-LN(2)/2))/(LN(2)/2)*BL190*BO190*VLOOKUP('Données projet'!$B$11,Paramètres!$A$1:$I$89,3,0)*0.475*44/12</f>
        <v>1.3898302253716141E-15</v>
      </c>
      <c r="BS190" s="24">
        <f t="shared" si="169"/>
        <v>37.392516095763106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-5.1431925385259088E-14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213.07277043804817</v>
      </c>
      <c r="CE190" s="62">
        <f t="shared" si="148"/>
        <v>129.14539883354166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79.407150688200687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79.407150688200687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-5.7639226724859328E-14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247.92503505485405</v>
      </c>
      <c r="CZ190" s="62">
        <f t="shared" si="150"/>
        <v>148.26437652597514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88.990772322983489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88.990772322983489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154.0837760161366</v>
      </c>
      <c r="DU190" s="62">
        <f t="shared" si="152"/>
        <v>96.484500841546037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104.76640469651869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104.76640469651869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-5.6843418860808015E-14</v>
      </c>
      <c r="EK190" s="18">
        <f>EJ190*VLOOKUP('Données projet'!$B$15,Paramètres!$A$1:$I$89,3,0)*VLOOKUP('Données projet'!$B$15,Paramètres!$A$1:$I$89,5,0)</f>
        <v>-3.813056537183002E-14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205.35893113421139</v>
      </c>
      <c r="EP190" s="62">
        <f t="shared" si="154"/>
        <v>220.4399811285175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9.5172748760991492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9.5172748760991492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-5.6843418860808015E-14</v>
      </c>
      <c r="FF190" s="18">
        <f>FE190*VLOOKUP('Données projet'!$B$16,Paramètres!$A$1:$I$89,3,0)*VLOOKUP('Données projet'!$B$16,Paramètres!$A$1:$I$89,5,0)</f>
        <v>-4.4337866711430253E-14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242.81177364426878</v>
      </c>
      <c r="FK190" s="62">
        <f t="shared" si="156"/>
        <v>260.72115764896671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8.978561203867125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8.978561203867125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-5.6843418860808015E-14</v>
      </c>
      <c r="GA190" s="18">
        <f>FZ190*VLOOKUP('Données projet'!$B$17,Paramètres!$A$1:$I$89,3,0)*VLOOKUP('Données projet'!$B$17,Paramètres!$A$1:$I$89,5,0)</f>
        <v>-4.5224624045658861E-14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248.15263300983543</v>
      </c>
      <c r="GF190" s="62">
        <f t="shared" si="158"/>
        <v>266.46511459244618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11.287930667001312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11.287930667001312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382.55387448074327</v>
      </c>
      <c r="T191" s="62">
        <f t="shared" si="142"/>
        <v>476.29465646955543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20.512893199665239</v>
      </c>
      <c r="AA191" s="23">
        <f>EXP(-LN(2)/25)*AA190+(1-EXP(-LN(2)/25))/(LN(2)/25)*Calculateur!V191*Calculateur!X191*VLOOKUP('Données projet'!$B$9,Paramètres!$A$1:$I$89,3,0)*0.475*44/12</f>
        <v>1.8525788925036502</v>
      </c>
      <c r="AB191" s="23">
        <f>EXP(-LN(2)/2)*AB190+(1-EXP(-LN(2)/2))/(LN(2)/2)*V191*Y191*VLOOKUP('Données projet'!$B$9,Paramètres!$A$1:$I$89,3,0)*0.475*44/12</f>
        <v>3.0531594177412708E-18</v>
      </c>
      <c r="AC191" s="24">
        <f t="shared" si="163"/>
        <v>22.36547209216889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-1.7053025658242404E-13</v>
      </c>
      <c r="AJ191" s="14">
        <f>AI191*VLOOKUP('Données projet'!$B$10,Paramètres!$A$1:$I$89,3,0)*VLOOKUP('Données projet'!$B$10,Paramètres!$A$1:$I$89,5,0)</f>
        <v>-1.064108801074326E-13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482.28841373508675</v>
      </c>
      <c r="AO191" s="62">
        <f t="shared" si="144"/>
        <v>746.97309214631684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38.353338137610073</v>
      </c>
      <c r="AV191" s="23">
        <f>EXP(-LN(2)/25)*AV190+(1-EXP(-LN(2)/25))/(LN(2)/25)*Calculateur!AQ191*Calculateur!AS191*VLOOKUP('Données projet'!$B$10,Paramètres!$A$1:$I$89,3,0)*0.475*44/12</f>
        <v>3.4736637663306009</v>
      </c>
      <c r="AW191" s="23">
        <f>EXP(-LN(2)/2)*AW190+(1-EXP(-LN(2)/2))/(LN(2)/2)*AQ191*AT191*VLOOKUP('Données projet'!$B$10,Paramètres!$A$1:$I$89,3,0)*0.475*44/12</f>
        <v>1.1404316990918256E-15</v>
      </c>
      <c r="AX191" s="23">
        <f t="shared" si="166"/>
        <v>41.827001903940676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-1.7053025658242404E-13</v>
      </c>
      <c r="BE191" s="14">
        <f>BD191*VLOOKUP('Données projet'!$B$11,Paramètres!$A$1:$I$89,3,0)*VLOOKUP('Données projet'!$B$11,Paramètres!$A$1:$I$89,5,0)</f>
        <v>-9.3109520094003535E-14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417.99456559608217</v>
      </c>
      <c r="BJ191" s="62">
        <f t="shared" si="146"/>
        <v>651.41353014863932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33.559170870408828</v>
      </c>
      <c r="BQ191" s="23">
        <f>EXP(-LN(2)/25)*BQ190+(1-EXP(-LN(2)/25))/(LN(2)/25)*Calculateur!BL191*Calculateur!BN191*VLOOKUP('Données projet'!$B$11,Paramètres!$A$1:$I$89,3,0)*0.475*44/12</f>
        <v>3.0756397931052182</v>
      </c>
      <c r="BR191" s="23">
        <f>EXP(-LN(2)/2)*BR190+(1-EXP(-LN(2)/2))/(LN(2)/2)*BL191*BO191*VLOOKUP('Données projet'!$B$11,Paramètres!$A$1:$I$89,3,0)*0.475*44/12</f>
        <v>9.8275837705829599E-16</v>
      </c>
      <c r="BS191" s="24">
        <f t="shared" si="169"/>
        <v>36.634810663514045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-5.1431925385259088E-14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213.07277043804817</v>
      </c>
      <c r="CE191" s="62">
        <f t="shared" si="148"/>
        <v>129.14539883354166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77.850024896784575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77.850024896784575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-5.7639226724859328E-14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247.92503505485405</v>
      </c>
      <c r="CZ191" s="62">
        <f t="shared" si="150"/>
        <v>148.26437652597514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87.245717556741297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87.245717556741297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154.0837760161366</v>
      </c>
      <c r="DU191" s="62">
        <f t="shared" si="152"/>
        <v>96.484500841546037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102.71199940161711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102.71199940161711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-5.6843418860808015E-14</v>
      </c>
      <c r="EK191" s="18">
        <f>EJ191*VLOOKUP('Données projet'!$B$15,Paramètres!$A$1:$I$89,3,0)*VLOOKUP('Données projet'!$B$15,Paramètres!$A$1:$I$89,5,0)</f>
        <v>-3.813056537183002E-14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205.35893113421139</v>
      </c>
      <c r="EP191" s="62">
        <f t="shared" si="154"/>
        <v>220.4399811285175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9.3306469207433267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9.3306469207433267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-5.6843418860808015E-14</v>
      </c>
      <c r="FF191" s="18">
        <f>FE191*VLOOKUP('Données projet'!$B$16,Paramètres!$A$1:$I$89,3,0)*VLOOKUP('Données projet'!$B$16,Paramètres!$A$1:$I$89,5,0)</f>
        <v>-4.4337866711430253E-14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242.81177364426878</v>
      </c>
      <c r="FK191" s="62">
        <f t="shared" si="156"/>
        <v>260.72115764896671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8.8024970950408772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8.8024970950408772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-5.6843418860808015E-14</v>
      </c>
      <c r="GA191" s="18">
        <f>FZ191*VLOOKUP('Données projet'!$B$17,Paramètres!$A$1:$I$89,3,0)*VLOOKUP('Données projet'!$B$17,Paramètres!$A$1:$I$89,5,0)</f>
        <v>-4.5224624045658861E-14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248.15263300983543</v>
      </c>
      <c r="GF191" s="62">
        <f t="shared" si="158"/>
        <v>266.46511459244618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11.06658123157929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11.06658123157929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382.55387448074327</v>
      </c>
      <c r="T192" s="62">
        <f t="shared" si="142"/>
        <v>476.29465646955543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20.110647875649235</v>
      </c>
      <c r="AA192" s="23">
        <f>EXP(-LN(2)/25)*AA191+(1-EXP(-LN(2)/25))/(LN(2)/25)*Calculateur!V192*Calculateur!X192*VLOOKUP('Données projet'!$B$9,Paramètres!$A$1:$I$89,3,0)*0.475*44/12</f>
        <v>1.8019200252652481</v>
      </c>
      <c r="AB192" s="23">
        <f>EXP(-LN(2)/2)*AB191+(1-EXP(-LN(2)/2))/(LN(2)/2)*V192*Y192*VLOOKUP('Données projet'!$B$9,Paramètres!$A$1:$I$89,3,0)*0.475*44/12</f>
        <v>2.1589097283284236E-18</v>
      </c>
      <c r="AC192" s="24">
        <f t="shared" si="163"/>
        <v>21.912567900914482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-1.7053025658242404E-13</v>
      </c>
      <c r="AJ192" s="14">
        <f>AI192*VLOOKUP('Données projet'!$B$10,Paramètres!$A$1:$I$89,3,0)*VLOOKUP('Données projet'!$B$10,Paramètres!$A$1:$I$89,5,0)</f>
        <v>-1.064108801074326E-13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482.28841373508675</v>
      </c>
      <c r="AO192" s="62">
        <f t="shared" si="144"/>
        <v>746.97309214631684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37.601252569957914</v>
      </c>
      <c r="AV192" s="23">
        <f>EXP(-LN(2)/25)*AV191+(1-EXP(-LN(2)/25))/(LN(2)/25)*Calculateur!AQ192*Calculateur!AS192*VLOOKUP('Données projet'!$B$10,Paramètres!$A$1:$I$89,3,0)*0.475*44/12</f>
        <v>3.3786762479682522</v>
      </c>
      <c r="AW192" s="23">
        <f>EXP(-LN(2)/2)*AW191+(1-EXP(-LN(2)/2))/(LN(2)/2)*AQ192*AT192*VLOOKUP('Données projet'!$B$10,Paramètres!$A$1:$I$89,3,0)*0.475*44/12</f>
        <v>8.0640698790792616E-16</v>
      </c>
      <c r="AX192" s="23">
        <f t="shared" si="166"/>
        <v>40.979928817926165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-1.7053025658242404E-13</v>
      </c>
      <c r="BE192" s="14">
        <f>BD192*VLOOKUP('Données projet'!$B$11,Paramètres!$A$1:$I$89,3,0)*VLOOKUP('Données projet'!$B$11,Paramètres!$A$1:$I$89,5,0)</f>
        <v>-9.3109520094003535E-14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417.99456559608217</v>
      </c>
      <c r="BJ192" s="62">
        <f t="shared" si="146"/>
        <v>651.41353014863932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32.901095998713188</v>
      </c>
      <c r="BQ192" s="23">
        <f>EXP(-LN(2)/25)*BQ191+(1-EXP(-LN(2)/25))/(LN(2)/25)*Calculateur!BL192*Calculateur!BN192*VLOOKUP('Données projet'!$B$11,Paramètres!$A$1:$I$89,3,0)*0.475*44/12</f>
        <v>2.9915362612218885</v>
      </c>
      <c r="BR192" s="23">
        <f>EXP(-LN(2)/2)*BR191+(1-EXP(-LN(2)/2))/(LN(2)/2)*BL192*BO192*VLOOKUP('Données projet'!$B$11,Paramètres!$A$1:$I$89,3,0)*0.475*44/12</f>
        <v>6.9491511268580707E-16</v>
      </c>
      <c r="BS192" s="24">
        <f t="shared" si="169"/>
        <v>35.892632259935077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-5.1431925385259088E-14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213.07277043804817</v>
      </c>
      <c r="CE192" s="62">
        <f t="shared" si="148"/>
        <v>129.14539883354166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76.323433392385184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76.323433392385184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-5.7639226724859328E-14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247.92503505485405</v>
      </c>
      <c r="CZ192" s="62">
        <f t="shared" si="150"/>
        <v>148.26437652597514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85.534882250086795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85.534882250086795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154.0837760161366</v>
      </c>
      <c r="DU192" s="62">
        <f t="shared" si="152"/>
        <v>96.484500841546037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100.69787974148504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100.69787974148504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-5.6843418860808015E-14</v>
      </c>
      <c r="EK192" s="18">
        <f>EJ192*VLOOKUP('Données projet'!$B$15,Paramètres!$A$1:$I$89,3,0)*VLOOKUP('Données projet'!$B$15,Paramètres!$A$1:$I$89,5,0)</f>
        <v>-3.813056537183002E-14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205.35893113421139</v>
      </c>
      <c r="EP192" s="62">
        <f t="shared" si="154"/>
        <v>220.4399811285175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9.1476786257602196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9.1476786257602196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-5.6843418860808015E-14</v>
      </c>
      <c r="FF192" s="18">
        <f>FE192*VLOOKUP('Données projet'!$B$16,Paramètres!$A$1:$I$89,3,0)*VLOOKUP('Données projet'!$B$16,Paramètres!$A$1:$I$89,5,0)</f>
        <v>-4.4337866711430253E-14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242.81177364426878</v>
      </c>
      <c r="FK192" s="62">
        <f t="shared" si="156"/>
        <v>260.72115764896671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8.6298854960002096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8.6298854960002096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-5.6843418860808015E-14</v>
      </c>
      <c r="GA192" s="18">
        <f>FZ192*VLOOKUP('Données projet'!$B$17,Paramètres!$A$1:$I$89,3,0)*VLOOKUP('Données projet'!$B$17,Paramètres!$A$1:$I$89,5,0)</f>
        <v>-4.5224624045658861E-14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248.15263300983543</v>
      </c>
      <c r="GF192" s="62">
        <f t="shared" si="158"/>
        <v>266.46511459244618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10.849572323576069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10.849572323576069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382.55387448074327</v>
      </c>
      <c r="T193" s="62">
        <f t="shared" si="142"/>
        <v>476.29465646955543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19.716290337091763</v>
      </c>
      <c r="AA193" s="23">
        <f>EXP(-LN(2)/25)*AA192+(1-EXP(-LN(2)/25))/(LN(2)/25)*Calculateur!V193*Calculateur!X193*VLOOKUP('Données projet'!$B$9,Paramètres!$A$1:$I$89,3,0)*0.475*44/12</f>
        <v>1.752646427415514</v>
      </c>
      <c r="AB193" s="23">
        <f>EXP(-LN(2)/2)*AB192+(1-EXP(-LN(2)/2))/(LN(2)/2)*V193*Y193*VLOOKUP('Données projet'!$B$9,Paramètres!$A$1:$I$89,3,0)*0.475*44/12</f>
        <v>1.5265797088706354E-18</v>
      </c>
      <c r="AC193" s="24">
        <f t="shared" si="163"/>
        <v>21.468936764507276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-1.7053025658242404E-13</v>
      </c>
      <c r="AJ193" s="14">
        <f>AI193*VLOOKUP('Données projet'!$B$10,Paramètres!$A$1:$I$89,3,0)*VLOOKUP('Données projet'!$B$10,Paramètres!$A$1:$I$89,5,0)</f>
        <v>-1.064108801074326E-13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482.28841373508675</v>
      </c>
      <c r="AO193" s="62">
        <f t="shared" si="144"/>
        <v>746.97309214631684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36.863914941560516</v>
      </c>
      <c r="AV193" s="23">
        <f>EXP(-LN(2)/25)*AV192+(1-EXP(-LN(2)/25))/(LN(2)/25)*Calculateur!AQ193*Calculateur!AS193*VLOOKUP('Données projet'!$B$10,Paramètres!$A$1:$I$89,3,0)*0.475*44/12</f>
        <v>3.2862861682906983</v>
      </c>
      <c r="AW193" s="23">
        <f>EXP(-LN(2)/2)*AW192+(1-EXP(-LN(2)/2))/(LN(2)/2)*AQ193*AT193*VLOOKUP('Données projet'!$B$10,Paramètres!$A$1:$I$89,3,0)*0.475*44/12</f>
        <v>5.7021584954591281E-16</v>
      </c>
      <c r="AX193" s="23">
        <f t="shared" si="166"/>
        <v>40.150201109851217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-1.7053025658242404E-13</v>
      </c>
      <c r="BE193" s="14">
        <f>BD193*VLOOKUP('Données projet'!$B$11,Paramètres!$A$1:$I$89,3,0)*VLOOKUP('Données projet'!$B$11,Paramètres!$A$1:$I$89,5,0)</f>
        <v>-9.3109520094003535E-14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417.99456559608217</v>
      </c>
      <c r="BJ193" s="62">
        <f t="shared" si="146"/>
        <v>651.41353014863932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32.255925573865461</v>
      </c>
      <c r="BQ193" s="23">
        <f>EXP(-LN(2)/25)*BQ192+(1-EXP(-LN(2)/25))/(LN(2)/25)*Calculateur!BL193*Calculateur!BN193*VLOOKUP('Données projet'!$B$11,Paramètres!$A$1:$I$89,3,0)*0.475*44/12</f>
        <v>2.9097325448407214</v>
      </c>
      <c r="BR193" s="23">
        <f>EXP(-LN(2)/2)*BR192+(1-EXP(-LN(2)/2))/(LN(2)/2)*BL193*BO193*VLOOKUP('Données projet'!$B$11,Paramètres!$A$1:$I$89,3,0)*0.475*44/12</f>
        <v>4.9137918852914799E-16</v>
      </c>
      <c r="BS193" s="24">
        <f t="shared" si="169"/>
        <v>35.165658118706183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-5.1431925385259088E-14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213.07277043804817</v>
      </c>
      <c r="CE193" s="62">
        <f t="shared" si="148"/>
        <v>129.14539883354166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74.826777416258182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74.826777416258182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-5.7639226724859328E-14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247.92503505485405</v>
      </c>
      <c r="CZ193" s="62">
        <f t="shared" si="150"/>
        <v>148.26437652597514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83.857595380289297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83.857595380289297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154.0837760161366</v>
      </c>
      <c r="DU193" s="62">
        <f t="shared" si="152"/>
        <v>96.484500841546037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98.723255739396478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98.723255739396478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-5.6843418860808015E-14</v>
      </c>
      <c r="EK193" s="18">
        <f>EJ193*VLOOKUP('Données projet'!$B$15,Paramètres!$A$1:$I$89,3,0)*VLOOKUP('Données projet'!$B$15,Paramètres!$A$1:$I$89,5,0)</f>
        <v>-3.813056537183002E-14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205.35893113421139</v>
      </c>
      <c r="EP193" s="62">
        <f t="shared" si="154"/>
        <v>220.4399811285175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8.9682982274420908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8.9682982274420908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-5.6843418860808015E-14</v>
      </c>
      <c r="FF193" s="18">
        <f>FE193*VLOOKUP('Données projet'!$B$16,Paramètres!$A$1:$I$89,3,0)*VLOOKUP('Données projet'!$B$16,Paramètres!$A$1:$I$89,5,0)</f>
        <v>-4.4337866711430253E-14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242.81177364426878</v>
      </c>
      <c r="FK193" s="62">
        <f t="shared" si="156"/>
        <v>260.72115764896671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8.4606587051340494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8.4606587051340494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-5.6843418860808015E-14</v>
      </c>
      <c r="GA193" s="18">
        <f>FZ193*VLOOKUP('Données projet'!$B$17,Paramètres!$A$1:$I$89,3,0)*VLOOKUP('Données projet'!$B$17,Paramètres!$A$1:$I$89,5,0)</f>
        <v>-4.5224624045658861E-14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248.15263300983543</v>
      </c>
      <c r="GF193" s="62">
        <f t="shared" si="158"/>
        <v>266.46511459244618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10.636818827896427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10.636818827896427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382.55387448074327</v>
      </c>
      <c r="T194" s="62">
        <f t="shared" si="142"/>
        <v>476.29465646955543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19.329665909331055</v>
      </c>
      <c r="AA194" s="23">
        <f>EXP(-LN(2)/25)*AA193+(1-EXP(-LN(2)/25))/(LN(2)/25)*Calculateur!V194*Calculateur!X194*VLOOKUP('Données projet'!$B$9,Paramètres!$A$1:$I$89,3,0)*0.475*44/12</f>
        <v>1.7047202186901669</v>
      </c>
      <c r="AB194" s="23">
        <f>EXP(-LN(2)/2)*AB193+(1-EXP(-LN(2)/2))/(LN(2)/2)*V194*Y194*VLOOKUP('Données projet'!$B$9,Paramètres!$A$1:$I$89,3,0)*0.475*44/12</f>
        <v>1.0794548641642118E-18</v>
      </c>
      <c r="AC194" s="24">
        <f t="shared" si="163"/>
        <v>21.034386128021222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-1.7053025658242404E-13</v>
      </c>
      <c r="AJ194" s="14">
        <f>AI194*VLOOKUP('Données projet'!$B$10,Paramètres!$A$1:$I$89,3,0)*VLOOKUP('Données projet'!$B$10,Paramètres!$A$1:$I$89,5,0)</f>
        <v>-1.064108801074326E-13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482.28841373508675</v>
      </c>
      <c r="AO194" s="62">
        <f t="shared" si="144"/>
        <v>746.97309214631684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36.141036054324445</v>
      </c>
      <c r="AV194" s="23">
        <f>EXP(-LN(2)/25)*AV193+(1-EXP(-LN(2)/25))/(LN(2)/25)*Calculateur!AQ194*Calculateur!AS194*VLOOKUP('Données projet'!$B$10,Paramètres!$A$1:$I$89,3,0)*0.475*44/12</f>
        <v>3.1964225002005104</v>
      </c>
      <c r="AW194" s="23">
        <f>EXP(-LN(2)/2)*AW193+(1-EXP(-LN(2)/2))/(LN(2)/2)*AQ194*AT194*VLOOKUP('Données projet'!$B$10,Paramètres!$A$1:$I$89,3,0)*0.475*44/12</f>
        <v>4.0320349395396308E-16</v>
      </c>
      <c r="AX194" s="23">
        <f t="shared" si="166"/>
        <v>39.337458554524957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-1.7053025658242404E-13</v>
      </c>
      <c r="BE194" s="14">
        <f>BD194*VLOOKUP('Données projet'!$B$11,Paramètres!$A$1:$I$89,3,0)*VLOOKUP('Données projet'!$B$11,Paramètres!$A$1:$I$89,5,0)</f>
        <v>-9.3109520094003535E-14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417.99456559608217</v>
      </c>
      <c r="BJ194" s="62">
        <f t="shared" si="146"/>
        <v>651.41353014863932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31.623406547533897</v>
      </c>
      <c r="BQ194" s="23">
        <f>EXP(-LN(2)/25)*BQ193+(1-EXP(-LN(2)/25))/(LN(2)/25)*Calculateur!BL194*Calculateur!BN194*VLOOKUP('Données projet'!$B$11,Paramètres!$A$1:$I$89,3,0)*0.475*44/12</f>
        <v>2.8301657553858677</v>
      </c>
      <c r="BR194" s="23">
        <f>EXP(-LN(2)/2)*BR193+(1-EXP(-LN(2)/2))/(LN(2)/2)*BL194*BO194*VLOOKUP('Données projet'!$B$11,Paramètres!$A$1:$I$89,3,0)*0.475*44/12</f>
        <v>3.4745755634290353E-16</v>
      </c>
      <c r="BS194" s="24">
        <f t="shared" si="169"/>
        <v>34.453572302919767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-5.1431925385259088E-14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213.07277043804817</v>
      </c>
      <c r="CE194" s="62">
        <f t="shared" si="148"/>
        <v>129.14539883354166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73.359469950953027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73.359469950953027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-5.7639226724859328E-14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247.92503505485405</v>
      </c>
      <c r="CZ194" s="62">
        <f t="shared" si="150"/>
        <v>148.26437652597514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82.21319908296455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82.21319908296455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154.0837760161366</v>
      </c>
      <c r="DU194" s="62">
        <f t="shared" si="152"/>
        <v>96.484500841546037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96.787352909587156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96.787352909587156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-5.6843418860808015E-14</v>
      </c>
      <c r="EK194" s="18">
        <f>EJ194*VLOOKUP('Données projet'!$B$15,Paramètres!$A$1:$I$89,3,0)*VLOOKUP('Données projet'!$B$15,Paramètres!$A$1:$I$89,5,0)</f>
        <v>-3.813056537183002E-14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205.35893113421139</v>
      </c>
      <c r="EP194" s="62">
        <f t="shared" si="154"/>
        <v>220.4399811285175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8.7924353693237407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8.7924353693237407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-5.6843418860808015E-14</v>
      </c>
      <c r="FF194" s="18">
        <f>FE194*VLOOKUP('Données projet'!$B$16,Paramètres!$A$1:$I$89,3,0)*VLOOKUP('Données projet'!$B$16,Paramètres!$A$1:$I$89,5,0)</f>
        <v>-4.4337866711430253E-14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242.81177364426878</v>
      </c>
      <c r="FK194" s="62">
        <f t="shared" si="156"/>
        <v>260.72115764896671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8.2947503484186242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8.2947503484186242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-5.6843418860808015E-14</v>
      </c>
      <c r="GA194" s="18">
        <f>FZ194*VLOOKUP('Données projet'!$B$17,Paramètres!$A$1:$I$89,3,0)*VLOOKUP('Données projet'!$B$17,Paramètres!$A$1:$I$89,5,0)</f>
        <v>-4.5224624045658861E-14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248.15263300983543</v>
      </c>
      <c r="GF194" s="62">
        <f t="shared" si="158"/>
        <v>266.46511459244618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10.428237298500244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10.428237298500244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382.55387448074327</v>
      </c>
      <c r="T195" s="62">
        <f t="shared" si="142"/>
        <v>476.29465646955543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18.950622950781121</v>
      </c>
      <c r="AA195" s="23">
        <f>EXP(-LN(2)/25)*AA194+(1-EXP(-LN(2)/25))/(LN(2)/25)*Calculateur!V195*Calculateur!X195*VLOOKUP('Données projet'!$B$9,Paramètres!$A$1:$I$89,3,0)*0.475*44/12</f>
        <v>1.6581045546627442</v>
      </c>
      <c r="AB195" s="23">
        <f>EXP(-LN(2)/2)*AB194+(1-EXP(-LN(2)/2))/(LN(2)/2)*V195*Y195*VLOOKUP('Données projet'!$B$9,Paramètres!$A$1:$I$89,3,0)*0.475*44/12</f>
        <v>7.6328985443531771E-19</v>
      </c>
      <c r="AC195" s="24">
        <f t="shared" si="163"/>
        <v>20.608727505443866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-1.7053025658242404E-13</v>
      </c>
      <c r="AJ195" s="14">
        <f>AI195*VLOOKUP('Données projet'!$B$10,Paramètres!$A$1:$I$89,3,0)*VLOOKUP('Données projet'!$B$10,Paramètres!$A$1:$I$89,5,0)</f>
        <v>-1.064108801074326E-13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482.28841373508675</v>
      </c>
      <c r="AO195" s="62">
        <f t="shared" si="144"/>
        <v>746.97309214631684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35.432332381154488</v>
      </c>
      <c r="AV195" s="23">
        <f>EXP(-LN(2)/25)*AV194+(1-EXP(-LN(2)/25))/(LN(2)/25)*Calculateur!AQ195*Calculateur!AS195*VLOOKUP('Données projet'!$B$10,Paramètres!$A$1:$I$89,3,0)*0.475*44/12</f>
        <v>3.1090161588399736</v>
      </c>
      <c r="AW195" s="23">
        <f>EXP(-LN(2)/2)*AW194+(1-EXP(-LN(2)/2))/(LN(2)/2)*AQ195*AT195*VLOOKUP('Données projet'!$B$10,Paramètres!$A$1:$I$89,3,0)*0.475*44/12</f>
        <v>2.8510792477295641E-16</v>
      </c>
      <c r="AX195" s="23">
        <f t="shared" si="166"/>
        <v>38.541348539994459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-1.7053025658242404E-13</v>
      </c>
      <c r="BE195" s="14">
        <f>BD195*VLOOKUP('Données projet'!$B$11,Paramètres!$A$1:$I$89,3,0)*VLOOKUP('Données projet'!$B$11,Paramètres!$A$1:$I$89,5,0)</f>
        <v>-9.3109520094003535E-14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417.99456559608217</v>
      </c>
      <c r="BJ195" s="62">
        <f t="shared" si="146"/>
        <v>651.41353014863932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31.003290833510182</v>
      </c>
      <c r="BQ195" s="23">
        <f>EXP(-LN(2)/25)*BQ194+(1-EXP(-LN(2)/25))/(LN(2)/25)*Calculateur!BL195*Calculateur!BN195*VLOOKUP('Données projet'!$B$11,Paramètres!$A$1:$I$89,3,0)*0.475*44/12</f>
        <v>2.7527747239728924</v>
      </c>
      <c r="BR195" s="23">
        <f>EXP(-LN(2)/2)*BR194+(1-EXP(-LN(2)/2))/(LN(2)/2)*BL195*BO195*VLOOKUP('Données projet'!$B$11,Paramètres!$A$1:$I$89,3,0)*0.475*44/12</f>
        <v>2.45689594264574E-16</v>
      </c>
      <c r="BS195" s="24">
        <f t="shared" si="169"/>
        <v>33.756065557483076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-5.1431925385259088E-14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213.07277043804817</v>
      </c>
      <c r="CE195" s="62">
        <f t="shared" si="148"/>
        <v>129.14539883354166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71.920935490073319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71.920935490073319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-5.7639226724859328E-14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247.92503505485405</v>
      </c>
      <c r="CZ195" s="62">
        <f t="shared" si="150"/>
        <v>148.26437652597514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80.601048394047638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80.601048394047638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154.0837760161366</v>
      </c>
      <c r="DU195" s="62">
        <f t="shared" si="152"/>
        <v>96.484500841546037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94.88941195348626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94.88941195348626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-5.6843418860808015E-14</v>
      </c>
      <c r="EK195" s="18">
        <f>EJ195*VLOOKUP('Données projet'!$B$15,Paramètres!$A$1:$I$89,3,0)*VLOOKUP('Données projet'!$B$15,Paramètres!$A$1:$I$89,5,0)</f>
        <v>-3.813056537183002E-14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205.35893113421139</v>
      </c>
      <c r="EP195" s="62">
        <f t="shared" si="154"/>
        <v>220.4399811285175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8.6200210745873402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8.6200210745873402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-5.6843418860808015E-14</v>
      </c>
      <c r="FF195" s="18">
        <f>FE195*VLOOKUP('Données projet'!$B$16,Paramètres!$A$1:$I$89,3,0)*VLOOKUP('Données projet'!$B$16,Paramètres!$A$1:$I$89,5,0)</f>
        <v>-4.4337866711430253E-14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242.81177364426878</v>
      </c>
      <c r="FK195" s="62">
        <f t="shared" si="156"/>
        <v>260.72115764896671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8.1320953533842832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8.1320953533842832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-5.6843418860808015E-14</v>
      </c>
      <c r="GA195" s="18">
        <f>FZ195*VLOOKUP('Données projet'!$B$17,Paramètres!$A$1:$I$89,3,0)*VLOOKUP('Données projet'!$B$17,Paramètres!$A$1:$I$89,5,0)</f>
        <v>-4.5224624045658861E-14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248.15263300983543</v>
      </c>
      <c r="GF195" s="62">
        <f t="shared" si="158"/>
        <v>266.46511459244618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10.22374592567335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10.22374592567335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382.55387448074327</v>
      </c>
      <c r="T196" s="62">
        <f t="shared" si="142"/>
        <v>476.29465646955543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18.579012793454972</v>
      </c>
      <c r="AA196" s="23">
        <f>EXP(-LN(2)/25)*AA195+(1-EXP(-LN(2)/25))/(LN(2)/25)*Calculateur!V196*Calculateur!X196*VLOOKUP('Données projet'!$B$9,Paramètres!$A$1:$I$89,3,0)*0.475*44/12</f>
        <v>1.6127635984195625</v>
      </c>
      <c r="AB196" s="23">
        <f>EXP(-LN(2)/2)*AB195+(1-EXP(-LN(2)/2))/(LN(2)/2)*V196*Y196*VLOOKUP('Données projet'!$B$9,Paramètres!$A$1:$I$89,3,0)*0.475*44/12</f>
        <v>5.397274320821059E-19</v>
      </c>
      <c r="AC196" s="24">
        <f t="shared" si="163"/>
        <v>20.191776391874534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-1.7053025658242404E-13</v>
      </c>
      <c r="AJ196" s="14">
        <f>AI196*VLOOKUP('Données projet'!$B$10,Paramètres!$A$1:$I$89,3,0)*VLOOKUP('Données projet'!$B$10,Paramètres!$A$1:$I$89,5,0)</f>
        <v>-1.064108801074326E-13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482.28841373508675</v>
      </c>
      <c r="AO196" s="62">
        <f t="shared" si="144"/>
        <v>746.97309214631684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34.737525954748833</v>
      </c>
      <c r="AV196" s="23">
        <f>EXP(-LN(2)/25)*AV195+(1-EXP(-LN(2)/25))/(LN(2)/25)*Calculateur!AQ196*Calculateur!AS196*VLOOKUP('Données projet'!$B$10,Paramètres!$A$1:$I$89,3,0)*0.475*44/12</f>
        <v>3.0239999484804403</v>
      </c>
      <c r="AW196" s="23">
        <f>EXP(-LN(2)/2)*AW195+(1-EXP(-LN(2)/2))/(LN(2)/2)*AQ196*AT196*VLOOKUP('Données projet'!$B$10,Paramètres!$A$1:$I$89,3,0)*0.475*44/12</f>
        <v>2.0160174697698154E-16</v>
      </c>
      <c r="AX196" s="23">
        <f t="shared" si="166"/>
        <v>37.76152590322927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-1.7053025658242404E-13</v>
      </c>
      <c r="BE196" s="14">
        <f>BD196*VLOOKUP('Données projet'!$B$11,Paramètres!$A$1:$I$89,3,0)*VLOOKUP('Données projet'!$B$11,Paramètres!$A$1:$I$89,5,0)</f>
        <v>-9.3109520094003535E-14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417.99456559608217</v>
      </c>
      <c r="BJ196" s="62">
        <f t="shared" si="146"/>
        <v>651.41353014863932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30.395335210405236</v>
      </c>
      <c r="BQ196" s="23">
        <f>EXP(-LN(2)/25)*BQ195+(1-EXP(-LN(2)/25))/(LN(2)/25)*Calculateur!BL196*Calculateur!BN196*VLOOKUP('Données projet'!$B$11,Paramètres!$A$1:$I$89,3,0)*0.475*44/12</f>
        <v>2.6774999543837223</v>
      </c>
      <c r="BR196" s="23">
        <f>EXP(-LN(2)/2)*BR195+(1-EXP(-LN(2)/2))/(LN(2)/2)*BL196*BO196*VLOOKUP('Données projet'!$B$11,Paramètres!$A$1:$I$89,3,0)*0.475*44/12</f>
        <v>1.7372877817145177E-16</v>
      </c>
      <c r="BS196" s="24">
        <f t="shared" si="169"/>
        <v>33.072835164788955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-5.1431925385259088E-14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213.07277043804817</v>
      </c>
      <c r="CE196" s="62">
        <f t="shared" si="148"/>
        <v>129.14539883354166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70.510609812552076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70.510609812552076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-5.7639226724859328E-14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247.92503505485405</v>
      </c>
      <c r="CZ196" s="62">
        <f t="shared" si="150"/>
        <v>148.26437652597514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79.020510996825564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79.020510996825564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154.0837760161366</v>
      </c>
      <c r="DU196" s="62">
        <f t="shared" si="152"/>
        <v>96.484500841546037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93.028688461904821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93.028688461904821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-5.6843418860808015E-14</v>
      </c>
      <c r="EK196" s="18">
        <f>EJ196*VLOOKUP('Données projet'!$B$15,Paramètres!$A$1:$I$89,3,0)*VLOOKUP('Données projet'!$B$15,Paramètres!$A$1:$I$89,5,0)</f>
        <v>-3.813056537183002E-14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205.35893113421139</v>
      </c>
      <c r="EP196" s="62">
        <f t="shared" si="154"/>
        <v>220.4399811285175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8.4509877190083831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8.4509877190083831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-5.6843418860808015E-14</v>
      </c>
      <c r="FF196" s="18">
        <f>FE196*VLOOKUP('Données projet'!$B$16,Paramètres!$A$1:$I$89,3,0)*VLOOKUP('Données projet'!$B$16,Paramètres!$A$1:$I$89,5,0)</f>
        <v>-4.4337866711430253E-14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242.81177364426878</v>
      </c>
      <c r="FK196" s="62">
        <f t="shared" si="156"/>
        <v>260.72115764896671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7.9726299235928151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7.9726299235928151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-5.6843418860808015E-14</v>
      </c>
      <c r="GA196" s="18">
        <f>FZ196*VLOOKUP('Données projet'!$B$17,Paramètres!$A$1:$I$89,3,0)*VLOOKUP('Données projet'!$B$17,Paramètres!$A$1:$I$89,5,0)</f>
        <v>-4.5224624045658861E-14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248.15263300983543</v>
      </c>
      <c r="GF196" s="62">
        <f t="shared" si="158"/>
        <v>266.46511459244618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10.023264503940171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10.023264503940171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382.55387448074327</v>
      </c>
      <c r="T197" s="62">
        <f t="shared" ref="T197:T203" si="204">$T$3</f>
        <v>476.29465646955543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18.214689684654175</v>
      </c>
      <c r="AA197" s="23">
        <f>EXP(-LN(2)/25)*AA196+(1-EXP(-LN(2)/25))/(LN(2)/25)*Calculateur!V197*Calculateur!X197*VLOOKUP('Données projet'!$B$9,Paramètres!$A$1:$I$89,3,0)*0.475*44/12</f>
        <v>1.5686624930092279</v>
      </c>
      <c r="AB197" s="23">
        <f>EXP(-LN(2)/2)*AB196+(1-EXP(-LN(2)/2))/(LN(2)/2)*V197*Y197*VLOOKUP('Données projet'!$B$9,Paramètres!$A$1:$I$89,3,0)*0.475*44/12</f>
        <v>3.8164492721765885E-19</v>
      </c>
      <c r="AC197" s="24">
        <f t="shared" si="163"/>
        <v>19.783352177663403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-1.7053025658242404E-13</v>
      </c>
      <c r="AJ197" s="14">
        <f>AI197*VLOOKUP('Données projet'!$B$10,Paramètres!$A$1:$I$89,3,0)*VLOOKUP('Données projet'!$B$10,Paramètres!$A$1:$I$89,5,0)</f>
        <v>-1.064108801074326E-13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482.28841373508675</v>
      </c>
      <c r="AO197" s="62">
        <f t="shared" ref="AO197:AO203" si="205">$AO$3</f>
        <v>746.97309214631684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34.056344258574917</v>
      </c>
      <c r="AV197" s="23">
        <f>EXP(-LN(2)/25)*AV196+(1-EXP(-LN(2)/25))/(LN(2)/25)*Calculateur!AQ197*Calculateur!AS197*VLOOKUP('Données projet'!$B$10,Paramètres!$A$1:$I$89,3,0)*0.475*44/12</f>
        <v>2.9413085108639967</v>
      </c>
      <c r="AW197" s="23">
        <f>EXP(-LN(2)/2)*AW196+(1-EXP(-LN(2)/2))/(LN(2)/2)*AQ197*AT197*VLOOKUP('Données projet'!$B$10,Paramètres!$A$1:$I$89,3,0)*0.475*44/12</f>
        <v>1.425539623864782E-16</v>
      </c>
      <c r="AX197" s="23">
        <f t="shared" si="166"/>
        <v>36.997652769438915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-1.7053025658242404E-13</v>
      </c>
      <c r="BE197" s="14">
        <f>BD197*VLOOKUP('Données projet'!$B$11,Paramètres!$A$1:$I$89,3,0)*VLOOKUP('Données projet'!$B$11,Paramètres!$A$1:$I$89,5,0)</f>
        <v>-9.3109520094003535E-14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417.99456559608217</v>
      </c>
      <c r="BJ197" s="62">
        <f t="shared" ref="BJ197:BJ203" si="206">$BJ$3</f>
        <v>651.41353014863932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29.799301226253061</v>
      </c>
      <c r="BQ197" s="23">
        <f>EXP(-LN(2)/25)*BQ196+(1-EXP(-LN(2)/25))/(LN(2)/25)*Calculateur!BL197*Calculateur!BN197*VLOOKUP('Données projet'!$B$11,Paramètres!$A$1:$I$89,3,0)*0.475*44/12</f>
        <v>2.6042835773274962</v>
      </c>
      <c r="BR197" s="23">
        <f>EXP(-LN(2)/2)*BR196+(1-EXP(-LN(2)/2))/(LN(2)/2)*BL197*BO197*VLOOKUP('Données projet'!$B$11,Paramètres!$A$1:$I$89,3,0)*0.475*44/12</f>
        <v>1.22844797132287E-16</v>
      </c>
      <c r="BS197" s="24">
        <f t="shared" si="169"/>
        <v>32.403584803580557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-5.1431925385259088E-14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213.07277043804817</v>
      </c>
      <c r="CE197" s="62">
        <f t="shared" ref="CE197:CE203" si="207">$CE$3</f>
        <v>129.14539883354166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69.127939761353304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69.127939761353304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-5.7639226724859328E-14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247.92503505485405</v>
      </c>
      <c r="CZ197" s="62">
        <f t="shared" ref="CZ197:CZ203" si="208">$CZ$3</f>
        <v>148.26437652597514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77.470966973930388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77.470966973930388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154.0837760161366</v>
      </c>
      <c r="DU197" s="62">
        <f t="shared" ref="DU197:DU203" si="209">$DU$3</f>
        <v>96.484500841546037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91.204452623064029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91.204452623064029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-5.6843418860808015E-14</v>
      </c>
      <c r="EK197" s="18">
        <f>EJ197*VLOOKUP('Données projet'!$B$15,Paramètres!$A$1:$I$89,3,0)*VLOOKUP('Données projet'!$B$15,Paramètres!$A$1:$I$89,5,0)</f>
        <v>-3.813056537183002E-14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205.35893113421139</v>
      </c>
      <c r="EP197" s="62">
        <f t="shared" ref="EP197:EP203" si="210">$EP$3</f>
        <v>220.4399811285175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8.2852690044321626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8.2852690044321626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-5.6843418860808015E-14</v>
      </c>
      <c r="FF197" s="18">
        <f>FE197*VLOOKUP('Données projet'!$B$16,Paramètres!$A$1:$I$89,3,0)*VLOOKUP('Données projet'!$B$16,Paramètres!$A$1:$I$89,5,0)</f>
        <v>-4.4337866711430253E-14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242.81177364426878</v>
      </c>
      <c r="FK197" s="62">
        <f t="shared" ref="FK197:FK203" si="211">$FK$3</f>
        <v>260.72115764896671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7.8162915136152495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7.8162915136152495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-5.6843418860808015E-14</v>
      </c>
      <c r="GA197" s="18">
        <f>FZ197*VLOOKUP('Données projet'!$B$17,Paramètres!$A$1:$I$89,3,0)*VLOOKUP('Données projet'!$B$17,Paramètres!$A$1:$I$89,5,0)</f>
        <v>-4.5224624045658861E-14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248.15263300983543</v>
      </c>
      <c r="GF197" s="62">
        <f t="shared" ref="GF197:GF203" si="212">$GF$3</f>
        <v>266.46511459244618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9.8267144006055851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9.8267144006055851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382.55387448074327</v>
      </c>
      <c r="T198" s="62">
        <f t="shared" si="204"/>
        <v>476.29465646955543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17.857510729801806</v>
      </c>
      <c r="AA198" s="23">
        <f>EXP(-LN(2)/25)*AA197+(1-EXP(-LN(2)/25))/(LN(2)/25)*Calculateur!V198*Calculateur!X198*VLOOKUP('Données projet'!$B$9,Paramètres!$A$1:$I$89,3,0)*0.475*44/12</f>
        <v>1.5257673346455152</v>
      </c>
      <c r="AB198" s="23">
        <f>EXP(-LN(2)/2)*AB197+(1-EXP(-LN(2)/2))/(LN(2)/2)*V198*Y198*VLOOKUP('Données projet'!$B$9,Paramètres!$A$1:$I$89,3,0)*0.475*44/12</f>
        <v>2.6986371604105295E-19</v>
      </c>
      <c r="AC198" s="24">
        <f t="shared" si="163"/>
        <v>19.383278064447321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-1.7053025658242404E-13</v>
      </c>
      <c r="AJ198" s="14">
        <f>AI198*VLOOKUP('Données projet'!$B$10,Paramètres!$A$1:$I$89,3,0)*VLOOKUP('Données projet'!$B$10,Paramètres!$A$1:$I$89,5,0)</f>
        <v>-1.064108801074326E-13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482.28841373508675</v>
      </c>
      <c r="AO198" s="62">
        <f t="shared" si="205"/>
        <v>746.97309214631684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33.388520119983163</v>
      </c>
      <c r="AV198" s="23">
        <f>EXP(-LN(2)/25)*AV197+(1-EXP(-LN(2)/25))/(LN(2)/25)*Calculateur!AQ198*Calculateur!AS198*VLOOKUP('Données projet'!$B$10,Paramètres!$A$1:$I$89,3,0)*0.475*44/12</f>
        <v>2.8608782749577286</v>
      </c>
      <c r="AW198" s="23">
        <f>EXP(-LN(2)/2)*AW197+(1-EXP(-LN(2)/2))/(LN(2)/2)*AQ198*AT198*VLOOKUP('Données projet'!$B$10,Paramètres!$A$1:$I$89,3,0)*0.475*44/12</f>
        <v>1.0080087348849077E-16</v>
      </c>
      <c r="AX198" s="23">
        <f t="shared" si="166"/>
        <v>36.24939839494089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-1.7053025658242404E-13</v>
      </c>
      <c r="BE198" s="14">
        <f>BD198*VLOOKUP('Données projet'!$B$11,Paramètres!$A$1:$I$89,3,0)*VLOOKUP('Données projet'!$B$11,Paramètres!$A$1:$I$89,5,0)</f>
        <v>-9.3109520094003535E-14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417.99456559608217</v>
      </c>
      <c r="BJ198" s="62">
        <f t="shared" si="206"/>
        <v>651.41353014863932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29.214955104985275</v>
      </c>
      <c r="BQ198" s="23">
        <f>EXP(-LN(2)/25)*BQ197+(1-EXP(-LN(2)/25))/(LN(2)/25)*Calculateur!BL198*Calculateur!BN198*VLOOKUP('Données projet'!$B$11,Paramètres!$A$1:$I$89,3,0)*0.475*44/12</f>
        <v>2.5330693059521545</v>
      </c>
      <c r="BR198" s="23">
        <f>EXP(-LN(2)/2)*BR197+(1-EXP(-LN(2)/2))/(LN(2)/2)*BL198*BO198*VLOOKUP('Données projet'!$B$11,Paramètres!$A$1:$I$89,3,0)*0.475*44/12</f>
        <v>8.6864389085725883E-17</v>
      </c>
      <c r="BS198" s="24">
        <f t="shared" si="169"/>
        <v>31.748024410937429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-5.1431925385259088E-14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213.07277043804817</v>
      </c>
      <c r="CE198" s="62">
        <f t="shared" si="207"/>
        <v>129.14539883354166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67.772383026513083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67.772383026513083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-5.7639226724859328E-14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247.92503505485405</v>
      </c>
      <c r="CZ198" s="62">
        <f t="shared" si="208"/>
        <v>148.26437652597514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75.951808564195659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75.951808564195659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154.0837760161366</v>
      </c>
      <c r="DU198" s="62">
        <f t="shared" si="209"/>
        <v>96.484500841546037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89.41598893634891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89.41598893634891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-5.6843418860808015E-14</v>
      </c>
      <c r="EK198" s="18">
        <f>EJ198*VLOOKUP('Données projet'!$B$15,Paramètres!$A$1:$I$89,3,0)*VLOOKUP('Données projet'!$B$15,Paramètres!$A$1:$I$89,5,0)</f>
        <v>-3.813056537183002E-14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205.35893113421139</v>
      </c>
      <c r="EP198" s="62">
        <f t="shared" si="210"/>
        <v>220.4399811285175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8.1227999327703468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8.1227999327703468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-5.6843418860808015E-14</v>
      </c>
      <c r="FF198" s="18">
        <f>FE198*VLOOKUP('Données projet'!$B$16,Paramètres!$A$1:$I$89,3,0)*VLOOKUP('Données projet'!$B$16,Paramètres!$A$1:$I$89,5,0)</f>
        <v>-4.4337866711430253E-14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242.81177364426878</v>
      </c>
      <c r="FK198" s="62">
        <f t="shared" si="211"/>
        <v>260.72115764896671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7.6630188045003296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7.6630188045003296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-5.6843418860808015E-14</v>
      </c>
      <c r="GA198" s="18">
        <f>FZ198*VLOOKUP('Données projet'!$B$17,Paramètres!$A$1:$I$89,3,0)*VLOOKUP('Données projet'!$B$17,Paramètres!$A$1:$I$89,5,0)</f>
        <v>-4.5224624045658861E-14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248.15263300983543</v>
      </c>
      <c r="GF198" s="62">
        <f t="shared" si="212"/>
        <v>266.46511459244618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9.6340185249136656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9.6340185249136656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382.55387448074327</v>
      </c>
      <c r="T199" s="62">
        <f t="shared" si="204"/>
        <v>476.29465646955543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17.507335836396443</v>
      </c>
      <c r="AA199" s="23">
        <f>EXP(-LN(2)/25)*AA198+(1-EXP(-LN(2)/25))/(LN(2)/25)*Calculateur!V199*Calculateur!X199*VLOOKUP('Données projet'!$B$9,Paramètres!$A$1:$I$89,3,0)*0.475*44/12</f>
        <v>1.4840451466430167</v>
      </c>
      <c r="AB199" s="23">
        <f>EXP(-LN(2)/2)*AB198+(1-EXP(-LN(2)/2))/(LN(2)/2)*V199*Y199*VLOOKUP('Données projet'!$B$9,Paramètres!$A$1:$I$89,3,0)*0.475*44/12</f>
        <v>1.9082246360882943E-19</v>
      </c>
      <c r="AC199" s="24">
        <f t="shared" si="163"/>
        <v>18.991380983039459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-1.7053025658242404E-13</v>
      </c>
      <c r="AJ199" s="14">
        <f>AI199*VLOOKUP('Données projet'!$B$10,Paramètres!$A$1:$I$89,3,0)*VLOOKUP('Données projet'!$B$10,Paramètres!$A$1:$I$89,5,0)</f>
        <v>-1.064108801074326E-13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482.28841373508675</v>
      </c>
      <c r="AO199" s="62">
        <f t="shared" si="205"/>
        <v>746.97309214631684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32.733791605416691</v>
      </c>
      <c r="AV199" s="23">
        <f>EXP(-LN(2)/25)*AV198+(1-EXP(-LN(2)/25))/(LN(2)/25)*Calculateur!AQ199*Calculateur!AS199*VLOOKUP('Données projet'!$B$10,Paramètres!$A$1:$I$89,3,0)*0.475*44/12</f>
        <v>2.7826474080819597</v>
      </c>
      <c r="AW199" s="23">
        <f>EXP(-LN(2)/2)*AW198+(1-EXP(-LN(2)/2))/(LN(2)/2)*AQ199*AT199*VLOOKUP('Données projet'!$B$10,Paramètres!$A$1:$I$89,3,0)*0.475*44/12</f>
        <v>7.1276981193239101E-17</v>
      </c>
      <c r="AX199" s="23">
        <f t="shared" si="166"/>
        <v>35.516439013498648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-1.7053025658242404E-13</v>
      </c>
      <c r="BE199" s="14">
        <f>BD199*VLOOKUP('Données projet'!$B$11,Paramètres!$A$1:$I$89,3,0)*VLOOKUP('Données projet'!$B$11,Paramètres!$A$1:$I$89,5,0)</f>
        <v>-9.3109520094003535E-14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417.99456559608217</v>
      </c>
      <c r="BJ199" s="62">
        <f t="shared" si="206"/>
        <v>651.41353014863932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28.642067654739613</v>
      </c>
      <c r="BQ199" s="23">
        <f>EXP(-LN(2)/25)*BQ198+(1-EXP(-LN(2)/25))/(LN(2)/25)*Calculateur!BL199*Calculateur!BN199*VLOOKUP('Données projet'!$B$11,Paramètres!$A$1:$I$89,3,0)*0.475*44/12</f>
        <v>2.4638023925725676</v>
      </c>
      <c r="BR199" s="23">
        <f>EXP(-LN(2)/2)*BR198+(1-EXP(-LN(2)/2))/(LN(2)/2)*BL199*BO199*VLOOKUP('Données projet'!$B$11,Paramètres!$A$1:$I$89,3,0)*0.475*44/12</f>
        <v>6.1422398566143499E-17</v>
      </c>
      <c r="BS199" s="24">
        <f t="shared" si="169"/>
        <v>31.10587004731218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-5.1431925385259088E-14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213.07277043804817</v>
      </c>
      <c r="CE199" s="62">
        <f t="shared" si="207"/>
        <v>129.14539883354166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66.443407932435107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66.443407932435107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-5.7639226724859328E-14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247.92503505485405</v>
      </c>
      <c r="CZ199" s="62">
        <f t="shared" si="208"/>
        <v>148.26437652597514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74.462439924280687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74.462439924280687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154.0837760161366</v>
      </c>
      <c r="DU199" s="62">
        <f t="shared" si="209"/>
        <v>96.484500841546037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87.662595931675142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87.662595931675142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-5.6843418860808015E-14</v>
      </c>
      <c r="EK199" s="18">
        <f>EJ199*VLOOKUP('Données projet'!$B$15,Paramètres!$A$1:$I$89,3,0)*VLOOKUP('Données projet'!$B$15,Paramètres!$A$1:$I$89,5,0)</f>
        <v>-3.813056537183002E-14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205.35893113421139</v>
      </c>
      <c r="EP199" s="62">
        <f t="shared" si="210"/>
        <v>220.4399811285175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7.9635167805074714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7.9635167805074714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-5.6843418860808015E-14</v>
      </c>
      <c r="FF199" s="18">
        <f>FE199*VLOOKUP('Données projet'!$B$16,Paramètres!$A$1:$I$89,3,0)*VLOOKUP('Données projet'!$B$16,Paramètres!$A$1:$I$89,5,0)</f>
        <v>-4.4337866711430253E-14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242.81177364426878</v>
      </c>
      <c r="FK199" s="62">
        <f t="shared" si="211"/>
        <v>260.72115764896671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7.5127516797240315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7.5127516797240315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-5.6843418860808015E-14</v>
      </c>
      <c r="GA199" s="18">
        <f>FZ199*VLOOKUP('Données projet'!$B$17,Paramètres!$A$1:$I$89,3,0)*VLOOKUP('Données projet'!$B$17,Paramètres!$A$1:$I$89,5,0)</f>
        <v>-4.5224624045658861E-14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248.15263300983543</v>
      </c>
      <c r="GF199" s="62">
        <f t="shared" si="212"/>
        <v>266.46511459244618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9.4451012978111848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9.4451012978111848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382.55387448074327</v>
      </c>
      <c r="T200" s="62">
        <f t="shared" si="204"/>
        <v>476.29465646955543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17.164027659065162</v>
      </c>
      <c r="AA200" s="23">
        <f>EXP(-LN(2)/25)*AA199+(1-EXP(-LN(2)/25))/(LN(2)/25)*Calculateur!V200*Calculateur!X200*VLOOKUP('Données projet'!$B$9,Paramètres!$A$1:$I$89,3,0)*0.475*44/12</f>
        <v>1.4434638540655209</v>
      </c>
      <c r="AB200" s="23">
        <f>EXP(-LN(2)/2)*AB199+(1-EXP(-LN(2)/2))/(LN(2)/2)*V200*Y200*VLOOKUP('Données projet'!$B$9,Paramètres!$A$1:$I$89,3,0)*0.475*44/12</f>
        <v>1.3493185802052647E-19</v>
      </c>
      <c r="AC200" s="24">
        <f t="shared" si="163"/>
        <v>18.607491513130682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-1.7053025658242404E-13</v>
      </c>
      <c r="AJ200" s="14">
        <f>AI200*VLOOKUP('Données projet'!$B$10,Paramètres!$A$1:$I$89,3,0)*VLOOKUP('Données projet'!$B$10,Paramètres!$A$1:$I$89,5,0)</f>
        <v>-1.064108801074326E-13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482.28841373508675</v>
      </c>
      <c r="AO200" s="62">
        <f t="shared" si="205"/>
        <v>746.97309214631684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32.091901917675905</v>
      </c>
      <c r="AV200" s="23">
        <f>EXP(-LN(2)/25)*AV199+(1-EXP(-LN(2)/25))/(LN(2)/25)*Calculateur!AQ200*Calculateur!AS200*VLOOKUP('Données projet'!$B$10,Paramètres!$A$1:$I$89,3,0)*0.475*44/12</f>
        <v>2.7065557683748911</v>
      </c>
      <c r="AW200" s="23">
        <f>EXP(-LN(2)/2)*AW199+(1-EXP(-LN(2)/2))/(LN(2)/2)*AQ200*AT200*VLOOKUP('Données projet'!$B$10,Paramètres!$A$1:$I$89,3,0)*0.475*44/12</f>
        <v>5.0400436744245385E-17</v>
      </c>
      <c r="AX200" s="23">
        <f t="shared" si="166"/>
        <v>34.798457686050796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-1.7053025658242404E-13</v>
      </c>
      <c r="BE200" s="14">
        <f>BD200*VLOOKUP('Données projet'!$B$11,Paramètres!$A$1:$I$89,3,0)*VLOOKUP('Données projet'!$B$11,Paramètres!$A$1:$I$89,5,0)</f>
        <v>-9.3109520094003535E-14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417.99456559608217</v>
      </c>
      <c r="BJ200" s="62">
        <f t="shared" si="206"/>
        <v>651.41353014863932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28.080414177966425</v>
      </c>
      <c r="BQ200" s="23">
        <f>EXP(-LN(2)/25)*BQ199+(1-EXP(-LN(2)/25))/(LN(2)/25)*Calculateur!BL200*Calculateur!BN200*VLOOKUP('Données projet'!$B$11,Paramètres!$A$1:$I$89,3,0)*0.475*44/12</f>
        <v>2.3964295865819341</v>
      </c>
      <c r="BR200" s="23">
        <f>EXP(-LN(2)/2)*BR199+(1-EXP(-LN(2)/2))/(LN(2)/2)*BL200*BO200*VLOOKUP('Données projet'!$B$11,Paramètres!$A$1:$I$89,3,0)*0.475*44/12</f>
        <v>4.3432194542862942E-17</v>
      </c>
      <c r="BS200" s="24">
        <f t="shared" si="169"/>
        <v>30.476843764548359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-5.1431925385259088E-14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213.07277043804817</v>
      </c>
      <c r="CE200" s="62">
        <f t="shared" si="207"/>
        <v>129.14539883354166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65.140493229357233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65.140493229357233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-5.7639226724859328E-14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247.92503505485405</v>
      </c>
      <c r="CZ200" s="62">
        <f t="shared" si="208"/>
        <v>148.26437652597514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73.002276894969285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73.002276894969285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154.0837760161366</v>
      </c>
      <c r="DU200" s="62">
        <f t="shared" si="209"/>
        <v>96.484500841546037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85.94358589435889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85.94358589435889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-5.6843418860808015E-14</v>
      </c>
      <c r="EK200" s="18">
        <f>EJ200*VLOOKUP('Données projet'!$B$15,Paramètres!$A$1:$I$89,3,0)*VLOOKUP('Données projet'!$B$15,Paramètres!$A$1:$I$89,5,0)</f>
        <v>-3.813056537183002E-14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205.35893113421139</v>
      </c>
      <c r="EP200" s="62">
        <f t="shared" si="210"/>
        <v>220.4399811285175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7.8073570737073412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7.8073570737073412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-5.6843418860808015E-14</v>
      </c>
      <c r="FF200" s="18">
        <f>FE200*VLOOKUP('Données projet'!$B$16,Paramètres!$A$1:$I$89,3,0)*VLOOKUP('Données projet'!$B$16,Paramètres!$A$1:$I$89,5,0)</f>
        <v>-4.4337866711430253E-14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242.81177364426878</v>
      </c>
      <c r="FK200" s="62">
        <f t="shared" si="211"/>
        <v>260.72115764896671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7.3654312016107006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7.3654312016107006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-5.6843418860808015E-14</v>
      </c>
      <c r="GA200" s="18">
        <f>FZ200*VLOOKUP('Données projet'!$B$17,Paramètres!$A$1:$I$89,3,0)*VLOOKUP('Données projet'!$B$17,Paramètres!$A$1:$I$89,5,0)</f>
        <v>-4.5224624045658861E-14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248.15263300983543</v>
      </c>
      <c r="GF200" s="62">
        <f t="shared" si="212"/>
        <v>266.46511459244618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9.2598886223040537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9.2598886223040537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382.55387448074327</v>
      </c>
      <c r="T201" s="62">
        <f t="shared" si="204"/>
        <v>476.29465646955543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16.827451545694036</v>
      </c>
      <c r="AA201" s="23">
        <f>EXP(-LN(2)/25)*AA200+(1-EXP(-LN(2)/25))/(LN(2)/25)*Calculateur!V201*Calculateur!X201*VLOOKUP('Données projet'!$B$9,Paramètres!$A$1:$I$89,3,0)*0.475*44/12</f>
        <v>1.4039922590676341</v>
      </c>
      <c r="AB201" s="23">
        <f>EXP(-LN(2)/2)*AB200+(1-EXP(-LN(2)/2))/(LN(2)/2)*V201*Y201*VLOOKUP('Données projet'!$B$9,Paramètres!$A$1:$I$89,3,0)*0.475*44/12</f>
        <v>9.5411231804414713E-20</v>
      </c>
      <c r="AC201" s="24">
        <f t="shared" si="163"/>
        <v>18.231443804761671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-1.7053025658242404E-13</v>
      </c>
      <c r="AJ201" s="14">
        <f>AI201*VLOOKUP('Données projet'!$B$10,Paramètres!$A$1:$I$89,3,0)*VLOOKUP('Données projet'!$B$10,Paramètres!$A$1:$I$89,5,0)</f>
        <v>-1.064108801074326E-13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482.28841373508675</v>
      </c>
      <c r="AO201" s="62">
        <f t="shared" si="205"/>
        <v>746.97309214631684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31.462599295197666</v>
      </c>
      <c r="AV201" s="23">
        <f>EXP(-LN(2)/25)*AV200+(1-EXP(-LN(2)/25))/(LN(2)/25)*Calculateur!AQ201*Calculateur!AS201*VLOOKUP('Données projet'!$B$10,Paramètres!$A$1:$I$89,3,0)*0.475*44/12</f>
        <v>2.6325448585570976</v>
      </c>
      <c r="AW201" s="23">
        <f>EXP(-LN(2)/2)*AW200+(1-EXP(-LN(2)/2))/(LN(2)/2)*AQ201*AT201*VLOOKUP('Données projet'!$B$10,Paramètres!$A$1:$I$89,3,0)*0.475*44/12</f>
        <v>3.5638490596619551E-17</v>
      </c>
      <c r="AX201" s="23">
        <f t="shared" si="166"/>
        <v>34.095144153754767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-1.7053025658242404E-13</v>
      </c>
      <c r="BE201" s="14">
        <f>BD201*VLOOKUP('Données projet'!$B$11,Paramètres!$A$1:$I$89,3,0)*VLOOKUP('Données projet'!$B$11,Paramètres!$A$1:$I$89,5,0)</f>
        <v>-9.3109520094003535E-14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417.99456559608217</v>
      </c>
      <c r="BJ201" s="62">
        <f t="shared" si="206"/>
        <v>651.41353014863932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27.529774383297966</v>
      </c>
      <c r="BQ201" s="23">
        <f>EXP(-LN(2)/25)*BQ200+(1-EXP(-LN(2)/25))/(LN(2)/25)*Calculateur!BL201*Calculateur!BN201*VLOOKUP('Données projet'!$B$11,Paramètres!$A$1:$I$89,3,0)*0.475*44/12</f>
        <v>2.3308990935140961</v>
      </c>
      <c r="BR201" s="23">
        <f>EXP(-LN(2)/2)*BR200+(1-EXP(-LN(2)/2))/(LN(2)/2)*BL201*BO201*VLOOKUP('Données projet'!$B$11,Paramètres!$A$1:$I$89,3,0)*0.475*44/12</f>
        <v>3.071119928307175E-17</v>
      </c>
      <c r="BS201" s="24">
        <f t="shared" si="169"/>
        <v>29.86067347681206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-5.1431925385259088E-14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213.07277043804817</v>
      </c>
      <c r="CE201" s="62">
        <f t="shared" si="207"/>
        <v>129.14539883354166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63.863127888907222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63.863127888907222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-5.7639226724859328E-14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247.92503505485405</v>
      </c>
      <c r="CZ201" s="62">
        <f t="shared" si="208"/>
        <v>148.26437652597514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71.570746772051166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71.570746772051166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154.0837760161366</v>
      </c>
      <c r="DU201" s="62">
        <f t="shared" si="209"/>
        <v>96.484500841546037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84.258284595381824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84.258284595381824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-5.6843418860808015E-14</v>
      </c>
      <c r="EK201" s="18">
        <f>EJ201*VLOOKUP('Données projet'!$B$15,Paramètres!$A$1:$I$89,3,0)*VLOOKUP('Données projet'!$B$15,Paramètres!$A$1:$I$89,5,0)</f>
        <v>-3.813056537183002E-14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205.35893113421139</v>
      </c>
      <c r="EP201" s="62">
        <f t="shared" si="210"/>
        <v>220.4399811285175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7.6542595635095454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7.6542595635095454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-5.6843418860808015E-14</v>
      </c>
      <c r="FF201" s="18">
        <f>FE201*VLOOKUP('Données projet'!$B$16,Paramètres!$A$1:$I$89,3,0)*VLOOKUP('Données projet'!$B$16,Paramètres!$A$1:$I$89,5,0)</f>
        <v>-4.4337866711430253E-14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242.81177364426878</v>
      </c>
      <c r="FK201" s="62">
        <f t="shared" si="211"/>
        <v>260.72115764896671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7.2209995882165536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7.2209995882165536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-5.6843418860808015E-14</v>
      </c>
      <c r="GA201" s="18">
        <f>FZ201*VLOOKUP('Données projet'!$B$17,Paramètres!$A$1:$I$89,3,0)*VLOOKUP('Données projet'!$B$17,Paramètres!$A$1:$I$89,5,0)</f>
        <v>-4.5224624045658861E-14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248.15263300983543</v>
      </c>
      <c r="GF201" s="62">
        <f t="shared" si="212"/>
        <v>266.46511459244618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9.0783078543950388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9.0783078543950388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382.55387448074327</v>
      </c>
      <c r="T202" s="62">
        <f t="shared" si="204"/>
        <v>476.29465646955543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16.497475484614959</v>
      </c>
      <c r="AA202" s="23">
        <f>EXP(-LN(2)/25)*AA201+(1-EXP(-LN(2)/25))/(LN(2)/25)*Calculateur!V202*Calculateur!X202*VLOOKUP('Données projet'!$B$9,Paramètres!$A$1:$I$89,3,0)*0.475*44/12</f>
        <v>1.3656000169106857</v>
      </c>
      <c r="AB202" s="23">
        <f>EXP(-LN(2)/2)*AB201+(1-EXP(-LN(2)/2))/(LN(2)/2)*V202*Y202*VLOOKUP('Données projet'!$B$9,Paramètres!$A$1:$I$89,3,0)*0.475*44/12</f>
        <v>6.7465929010263237E-20</v>
      </c>
      <c r="AC202" s="24">
        <f t="shared" si="163"/>
        <v>17.863075501525646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-1.7053025658242404E-13</v>
      </c>
      <c r="AJ202" s="14">
        <f>AI202*VLOOKUP('Données projet'!$B$10,Paramètres!$A$1:$I$89,3,0)*VLOOKUP('Données projet'!$B$10,Paramètres!$A$1:$I$89,5,0)</f>
        <v>-1.064108801074326E-13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482.28841373508675</v>
      </c>
      <c r="AO202" s="62">
        <f t="shared" si="205"/>
        <v>746.97309214631684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30.845636913309527</v>
      </c>
      <c r="AV202" s="23">
        <f>EXP(-LN(2)/25)*AV201+(1-EXP(-LN(2)/25))/(LN(2)/25)*Calculateur!AQ202*Calculateur!AS202*VLOOKUP('Données projet'!$B$10,Paramètres!$A$1:$I$89,3,0)*0.475*44/12</f>
        <v>2.5605577809603366</v>
      </c>
      <c r="AW202" s="23">
        <f>EXP(-LN(2)/2)*AW201+(1-EXP(-LN(2)/2))/(LN(2)/2)*AQ202*AT202*VLOOKUP('Données projet'!$B$10,Paramètres!$A$1:$I$89,3,0)*0.475*44/12</f>
        <v>2.5200218372122692E-17</v>
      </c>
      <c r="AX202" s="23">
        <f t="shared" si="166"/>
        <v>33.406194694269864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-1.7053025658242404E-13</v>
      </c>
      <c r="BE202" s="14">
        <f>BD202*VLOOKUP('Données projet'!$B$11,Paramètres!$A$1:$I$89,3,0)*VLOOKUP('Données projet'!$B$11,Paramètres!$A$1:$I$89,5,0)</f>
        <v>-9.3109520094003535E-14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417.99456559608217</v>
      </c>
      <c r="BJ202" s="62">
        <f t="shared" si="206"/>
        <v>651.41353014863932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26.989932299145842</v>
      </c>
      <c r="BQ202" s="23">
        <f>EXP(-LN(2)/25)*BQ201+(1-EXP(-LN(2)/25))/(LN(2)/25)*Calculateur!BL202*Calculateur!BN202*VLOOKUP('Données projet'!$B$11,Paramètres!$A$1:$I$89,3,0)*0.475*44/12</f>
        <v>2.267160535225297</v>
      </c>
      <c r="BR202" s="23">
        <f>EXP(-LN(2)/2)*BR201+(1-EXP(-LN(2)/2))/(LN(2)/2)*BL202*BO202*VLOOKUP('Données projet'!$B$11,Paramètres!$A$1:$I$89,3,0)*0.475*44/12</f>
        <v>2.1716097271431471E-17</v>
      </c>
      <c r="BS202" s="24">
        <f t="shared" si="169"/>
        <v>29.257092834371139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-5.1431925385259088E-14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213.07277043804817</v>
      </c>
      <c r="CE202" s="62">
        <f t="shared" si="207"/>
        <v>129.14539883354166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62.610810903667506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62.610810903667506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-5.7639226724859328E-14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247.92503505485405</v>
      </c>
      <c r="CZ202" s="62">
        <f t="shared" si="208"/>
        <v>148.26437652597514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70.167288081696313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70.167288081696313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154.0837760161366</v>
      </c>
      <c r="DU202" s="62">
        <f t="shared" si="209"/>
        <v>96.484500841546037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82.606031026945402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82.606031026945402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-5.6843418860808015E-14</v>
      </c>
      <c r="EK202" s="18">
        <f>EJ202*VLOOKUP('Données projet'!$B$15,Paramètres!$A$1:$I$89,3,0)*VLOOKUP('Données projet'!$B$15,Paramètres!$A$1:$I$89,5,0)</f>
        <v>-3.813056537183002E-14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205.35893113421139</v>
      </c>
      <c r="EP202" s="62">
        <f t="shared" si="210"/>
        <v>220.4399811285175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7.504164202106467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7.504164202106467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-5.6843418860808015E-14</v>
      </c>
      <c r="FF202" s="18">
        <f>FE202*VLOOKUP('Données projet'!$B$16,Paramètres!$A$1:$I$89,3,0)*VLOOKUP('Données projet'!$B$16,Paramètres!$A$1:$I$89,5,0)</f>
        <v>-4.4337866711430253E-14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242.81177364426878</v>
      </c>
      <c r="FK202" s="62">
        <f t="shared" si="211"/>
        <v>260.72115764896671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7.0794001906664796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7.0794001906664796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-5.6843418860808015E-14</v>
      </c>
      <c r="GA202" s="18">
        <f>FZ202*VLOOKUP('Données projet'!$B$17,Paramètres!$A$1:$I$89,3,0)*VLOOKUP('Données projet'!$B$17,Paramètres!$A$1:$I$89,5,0)</f>
        <v>-4.5224624045658861E-14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248.15263300983543</v>
      </c>
      <c r="GF202" s="62">
        <f t="shared" si="212"/>
        <v>266.46511459244618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8.9002877745913889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8.9002877745913889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382.55387448074327</v>
      </c>
      <c r="T203" s="62">
        <f t="shared" si="204"/>
        <v>476.29465646955543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16.173970052828121</v>
      </c>
      <c r="AA203" s="23">
        <f>EXP(-LN(2)/25)*AA202+(1-EXP(-LN(2)/25))/(LN(2)/25)*Calculateur!V203*Calculateur!X203*VLOOKUP('Données projet'!$B$9,Paramètres!$A$1:$I$89,3,0)*0.475*44/12</f>
        <v>1.3282576126344792</v>
      </c>
      <c r="AB203" s="23">
        <f>EXP(-LN(2)/2)*AB202+(1-EXP(-LN(2)/2))/(LN(2)/2)*V203*Y203*VLOOKUP('Données projet'!$B$9,Paramètres!$A$1:$I$89,3,0)*0.475*44/12</f>
        <v>4.7705615902207357E-20</v>
      </c>
      <c r="AC203" s="24">
        <f t="shared" si="163"/>
        <v>17.502227665462602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-1.7053025658242404E-13</v>
      </c>
      <c r="AJ203" s="14">
        <f>AI203*VLOOKUP('Données projet'!$B$10,Paramètres!$A$1:$I$89,3,0)*VLOOKUP('Données projet'!$B$10,Paramètres!$A$1:$I$89,5,0)</f>
        <v>-1.064108801074326E-13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482.28841373508675</v>
      </c>
      <c r="AO203" s="62">
        <f t="shared" si="205"/>
        <v>746.97309214631684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30.240772787420319</v>
      </c>
      <c r="AV203" s="23">
        <f>EXP(-LN(2)/25)*AV202+(1-EXP(-LN(2)/25))/(LN(2)/25)*Calculateur!AQ203*Calculateur!AS203*VLOOKUP('Données projet'!$B$10,Paramètres!$A$1:$I$89,3,0)*0.475*44/12</f>
        <v>2.4905391937860948</v>
      </c>
      <c r="AW203" s="23">
        <f>EXP(-LN(2)/2)*AW202+(1-EXP(-LN(2)/2))/(LN(2)/2)*AQ203*AT203*VLOOKUP('Données projet'!$B$10,Paramètres!$A$1:$I$89,3,0)*0.475*44/12</f>
        <v>1.7819245298309775E-17</v>
      </c>
      <c r="AX203" s="23">
        <f t="shared" si="166"/>
        <v>32.731311981206417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-1.7053025658242404E-13</v>
      </c>
      <c r="BE203" s="14">
        <f>BD203*VLOOKUP('Données projet'!$B$11,Paramètres!$A$1:$I$89,3,0)*VLOOKUP('Données projet'!$B$11,Paramètres!$A$1:$I$89,5,0)</f>
        <v>-9.3109520094003535E-14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417.99456559608217</v>
      </c>
      <c r="BJ203" s="62">
        <f t="shared" si="206"/>
        <v>651.41353014863932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26.460676188992785</v>
      </c>
      <c r="BQ203" s="23">
        <f>EXP(-LN(2)/25)*BQ202+(1-EXP(-LN(2)/25))/(LN(2)/25)*Calculateur!BL203*Calculateur!BN203*VLOOKUP('Données projet'!$B$11,Paramètres!$A$1:$I$89,3,0)*0.475*44/12</f>
        <v>2.2051649111647702</v>
      </c>
      <c r="BR203" s="23">
        <f>EXP(-LN(2)/2)*BR202+(1-EXP(-LN(2)/2))/(LN(2)/2)*BL203*BO203*VLOOKUP('Données projet'!$B$11,Paramètres!$A$1:$I$89,3,0)*0.475*44/12</f>
        <v>1.5355599641535875E-17</v>
      </c>
      <c r="BS203" s="24">
        <f t="shared" si="169"/>
        <v>28.665841100157557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-5.1431925385259088E-14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213.07277043804817</v>
      </c>
      <c r="CE203" s="62">
        <f t="shared" si="207"/>
        <v>129.14539883354166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61.383051090670406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61.383051090670406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-5.7639226724859328E-14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247.92503505485405</v>
      </c>
      <c r="CZ203" s="62">
        <f t="shared" si="208"/>
        <v>148.26437652597514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68.791350360234048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68.791350360234048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154.0837760161366</v>
      </c>
      <c r="DU203" s="62">
        <f t="shared" si="209"/>
        <v>96.484500841546037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80.986177143210853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80.986177143210853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-5.6843418860808015E-14</v>
      </c>
      <c r="EK203" s="18">
        <f>EJ203*VLOOKUP('Données projet'!$B$15,Paramètres!$A$1:$I$89,3,0)*VLOOKUP('Données projet'!$B$15,Paramètres!$A$1:$I$89,5,0)</f>
        <v>-3.813056537183002E-14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205.35893113421139</v>
      </c>
      <c r="EP203" s="62">
        <f t="shared" si="210"/>
        <v>220.4399811285175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7.3570121191913724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7.3570121191913724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-5.6843418860808015E-14</v>
      </c>
      <c r="FF203" s="18">
        <f>FE203*VLOOKUP('Données projet'!$B$16,Paramètres!$A$1:$I$89,3,0)*VLOOKUP('Données projet'!$B$16,Paramètres!$A$1:$I$89,5,0)</f>
        <v>-4.4337866711430253E-14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242.81177364426878</v>
      </c>
      <c r="FK203" s="62">
        <f t="shared" si="211"/>
        <v>260.72115764896671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6.9405774709352581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6.9405774709352581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-5.6843418860808015E-14</v>
      </c>
      <c r="GA203" s="18">
        <f>FZ203*VLOOKUP('Données projet'!$B$17,Paramètres!$A$1:$I$89,3,0)*VLOOKUP('Données projet'!$B$17,Paramètres!$A$1:$I$89,5,0)</f>
        <v>-4.5224624045658861E-14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248.15263300983543</v>
      </c>
      <c r="GF203" s="62">
        <f t="shared" si="212"/>
        <v>266.46511459244618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8.72575855997116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8.72575855997116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1.3070441688874561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1.4714192565876152</v>
      </c>
      <c r="BA205" s="88">
        <f>EXP(LN('Données projet'!B88)/'Données projet'!A88)</f>
        <v>1.4714192565876152</v>
      </c>
      <c r="BV205" s="88">
        <f>EXP(LN('Données projet'!B114)/'Données projet'!A114)</f>
        <v>1.1191358811422176</v>
      </c>
      <c r="CQ205" s="88">
        <f>EXP(LN('Données projet'!B140)/'Données projet'!A140)</f>
        <v>1.1191358811422176</v>
      </c>
      <c r="DL205" s="88">
        <f>EXP(LN('Données projet'!B166)/'Données projet'!A166)</f>
        <v>1.0879105265398694</v>
      </c>
      <c r="EG205" s="88">
        <f>EXP(LN('Données projet'!B192)/'Données projet'!A192)</f>
        <v>1.3405093326912476</v>
      </c>
      <c r="FB205" s="88">
        <f>EXP(LN('Données projet'!B218)/'Données projet'!A218)</f>
        <v>1.3405093326912476</v>
      </c>
      <c r="FW205" s="88">
        <f>EXP(LN('Données projet'!B244)/'Données projet'!A244)</f>
        <v>1.3405093326912476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workbookViewId="0">
      <selection activeCell="C88" sqref="C88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19" t="s">
        <v>0</v>
      </c>
      <c r="B1" s="120" t="s">
        <v>106</v>
      </c>
      <c r="C1" s="121" t="s">
        <v>144</v>
      </c>
      <c r="D1" s="120" t="s">
        <v>100</v>
      </c>
      <c r="E1" s="121" t="s">
        <v>145</v>
      </c>
      <c r="F1" s="121" t="s">
        <v>100</v>
      </c>
      <c r="G1" s="121" t="s">
        <v>146</v>
      </c>
      <c r="H1" s="121" t="s">
        <v>100</v>
      </c>
      <c r="I1" s="122" t="s">
        <v>147</v>
      </c>
      <c r="J1" s="99"/>
      <c r="K1" s="99"/>
      <c r="L1" s="99"/>
      <c r="M1" s="99"/>
      <c r="N1" s="99"/>
    </row>
    <row r="2" spans="1:16" x14ac:dyDescent="0.2">
      <c r="A2" s="123" t="s">
        <v>1</v>
      </c>
      <c r="B2" s="124" t="s">
        <v>53</v>
      </c>
      <c r="C2" s="125">
        <v>0.62</v>
      </c>
      <c r="D2" s="125" t="s">
        <v>161</v>
      </c>
      <c r="E2" s="125">
        <v>1.56</v>
      </c>
      <c r="F2" s="125" t="s">
        <v>274</v>
      </c>
      <c r="G2" s="126">
        <v>0.43</v>
      </c>
      <c r="H2" s="127" t="s">
        <v>278</v>
      </c>
      <c r="I2" s="128">
        <v>0.25</v>
      </c>
      <c r="J2" s="99"/>
      <c r="K2" s="99"/>
      <c r="L2" s="99"/>
      <c r="M2" s="99"/>
      <c r="N2" s="99"/>
      <c r="O2" s="358" t="s">
        <v>238</v>
      </c>
      <c r="P2" s="129">
        <v>0</v>
      </c>
    </row>
    <row r="3" spans="1:16" ht="16" thickBot="1" x14ac:dyDescent="0.25">
      <c r="A3" s="130" t="s">
        <v>2</v>
      </c>
      <c r="B3" s="131" t="s">
        <v>54</v>
      </c>
      <c r="C3" s="132">
        <v>0.64</v>
      </c>
      <c r="D3" s="132" t="s">
        <v>161</v>
      </c>
      <c r="E3" s="132">
        <v>1.56</v>
      </c>
      <c r="F3" s="133" t="s">
        <v>274</v>
      </c>
      <c r="G3" s="134">
        <v>0.43</v>
      </c>
      <c r="H3" s="132" t="s">
        <v>278</v>
      </c>
      <c r="I3" s="135">
        <v>0.25</v>
      </c>
      <c r="J3" s="99"/>
      <c r="K3" s="99"/>
      <c r="L3" s="99"/>
      <c r="M3" s="99"/>
      <c r="N3" s="99"/>
      <c r="O3" s="359"/>
      <c r="P3" s="136">
        <v>0.2</v>
      </c>
    </row>
    <row r="4" spans="1:16" ht="16" thickBot="1" x14ac:dyDescent="0.25">
      <c r="A4" s="130" t="s">
        <v>98</v>
      </c>
      <c r="B4" s="131" t="s">
        <v>99</v>
      </c>
      <c r="C4" s="132">
        <v>0.42</v>
      </c>
      <c r="D4" s="132" t="s">
        <v>161</v>
      </c>
      <c r="E4" s="132">
        <v>1.56</v>
      </c>
      <c r="F4" s="133" t="s">
        <v>274</v>
      </c>
      <c r="G4" s="134">
        <v>0.43</v>
      </c>
      <c r="H4" s="132" t="s">
        <v>278</v>
      </c>
      <c r="I4" s="135">
        <v>0.25</v>
      </c>
      <c r="J4" s="99"/>
      <c r="K4" s="99"/>
      <c r="L4" s="99"/>
      <c r="M4" s="99"/>
      <c r="N4" s="99"/>
    </row>
    <row r="5" spans="1:16" x14ac:dyDescent="0.2">
      <c r="A5" s="130" t="s">
        <v>4</v>
      </c>
      <c r="B5" s="131" t="s">
        <v>55</v>
      </c>
      <c r="C5" s="132">
        <v>0.42</v>
      </c>
      <c r="D5" s="132" t="s">
        <v>161</v>
      </c>
      <c r="E5" s="132">
        <v>1.56</v>
      </c>
      <c r="F5" s="133" t="s">
        <v>274</v>
      </c>
      <c r="G5" s="134">
        <v>0.43</v>
      </c>
      <c r="H5" s="132" t="s">
        <v>278</v>
      </c>
      <c r="I5" s="135">
        <v>0.25</v>
      </c>
      <c r="J5" s="99"/>
      <c r="K5" s="99"/>
      <c r="L5" s="99"/>
      <c r="M5" s="99"/>
      <c r="N5" s="99"/>
      <c r="O5" s="358" t="s">
        <v>237</v>
      </c>
      <c r="P5" s="129">
        <v>0</v>
      </c>
    </row>
    <row r="6" spans="1:16" x14ac:dyDescent="0.2">
      <c r="A6" s="130" t="s">
        <v>3</v>
      </c>
      <c r="B6" s="131" t="s">
        <v>97</v>
      </c>
      <c r="C6" s="132">
        <v>0.42</v>
      </c>
      <c r="D6" s="132" t="s">
        <v>161</v>
      </c>
      <c r="E6" s="132">
        <v>1.56</v>
      </c>
      <c r="F6" s="133" t="s">
        <v>274</v>
      </c>
      <c r="G6" s="134">
        <v>0.43</v>
      </c>
      <c r="H6" s="132" t="s">
        <v>278</v>
      </c>
      <c r="I6" s="135">
        <v>0.25</v>
      </c>
      <c r="J6" s="99"/>
      <c r="K6" s="99"/>
      <c r="L6" s="99"/>
      <c r="M6" s="99"/>
      <c r="N6" s="99"/>
      <c r="O6" s="360"/>
      <c r="P6" s="137">
        <v>0.05</v>
      </c>
    </row>
    <row r="7" spans="1:16" x14ac:dyDescent="0.2">
      <c r="A7" s="130" t="s">
        <v>5</v>
      </c>
      <c r="B7" s="131" t="s">
        <v>56</v>
      </c>
      <c r="C7" s="132">
        <v>0.52</v>
      </c>
      <c r="D7" s="132" t="s">
        <v>161</v>
      </c>
      <c r="E7" s="132">
        <v>1.56</v>
      </c>
      <c r="F7" s="133" t="s">
        <v>274</v>
      </c>
      <c r="G7" s="134">
        <v>0.43</v>
      </c>
      <c r="H7" s="132" t="s">
        <v>278</v>
      </c>
      <c r="I7" s="135">
        <v>0.25</v>
      </c>
      <c r="J7" s="99"/>
      <c r="K7" s="99"/>
      <c r="L7" s="99"/>
      <c r="M7" s="99"/>
      <c r="N7" s="99"/>
      <c r="O7" s="360"/>
      <c r="P7" s="137">
        <v>0.1</v>
      </c>
    </row>
    <row r="8" spans="1:16" ht="16" thickBot="1" x14ac:dyDescent="0.25">
      <c r="A8" s="130" t="s">
        <v>164</v>
      </c>
      <c r="B8" s="131" t="s">
        <v>57</v>
      </c>
      <c r="C8" s="132">
        <v>0.36</v>
      </c>
      <c r="D8" s="132" t="s">
        <v>161</v>
      </c>
      <c r="E8" s="132">
        <v>1.3</v>
      </c>
      <c r="F8" s="133" t="s">
        <v>274</v>
      </c>
      <c r="G8" s="134">
        <v>0.55000000000000004</v>
      </c>
      <c r="H8" s="132" t="s">
        <v>153</v>
      </c>
      <c r="I8" s="135">
        <v>0.43</v>
      </c>
      <c r="J8" s="99"/>
      <c r="K8" s="99"/>
      <c r="L8" s="99"/>
      <c r="M8" s="99"/>
      <c r="N8" s="99"/>
      <c r="O8" s="359"/>
      <c r="P8" s="136">
        <v>0.15</v>
      </c>
    </row>
    <row r="9" spans="1:16" ht="16" thickBot="1" x14ac:dyDescent="0.25">
      <c r="A9" s="130" t="s">
        <v>6</v>
      </c>
      <c r="B9" s="131" t="s">
        <v>58</v>
      </c>
      <c r="C9" s="132">
        <v>0.61</v>
      </c>
      <c r="D9" s="132" t="s">
        <v>161</v>
      </c>
      <c r="E9" s="132">
        <v>1.56</v>
      </c>
      <c r="F9" s="133" t="s">
        <v>274</v>
      </c>
      <c r="G9" s="134">
        <v>0.43</v>
      </c>
      <c r="H9" s="132" t="s">
        <v>278</v>
      </c>
      <c r="I9" s="135">
        <v>0.25</v>
      </c>
      <c r="J9" s="99"/>
      <c r="K9" s="99"/>
      <c r="L9" s="99"/>
      <c r="M9" s="99"/>
      <c r="N9" s="99"/>
    </row>
    <row r="10" spans="1:16" x14ac:dyDescent="0.2">
      <c r="A10" s="130" t="s">
        <v>7</v>
      </c>
      <c r="B10" s="131" t="s">
        <v>59</v>
      </c>
      <c r="C10" s="132">
        <v>0.66</v>
      </c>
      <c r="D10" s="132" t="s">
        <v>161</v>
      </c>
      <c r="E10" s="132">
        <v>1.56</v>
      </c>
      <c r="F10" s="133" t="s">
        <v>274</v>
      </c>
      <c r="G10" s="134">
        <v>0.43</v>
      </c>
      <c r="H10" s="132" t="s">
        <v>278</v>
      </c>
      <c r="I10" s="135">
        <v>0.25</v>
      </c>
      <c r="J10" s="99"/>
      <c r="K10" s="99"/>
      <c r="L10" s="99"/>
      <c r="M10" s="99"/>
      <c r="N10" s="99"/>
      <c r="O10" s="358" t="s">
        <v>236</v>
      </c>
      <c r="P10" s="129">
        <v>0</v>
      </c>
    </row>
    <row r="11" spans="1:16" ht="16" thickBot="1" x14ac:dyDescent="0.25">
      <c r="A11" s="130" t="s">
        <v>8</v>
      </c>
      <c r="B11" s="131" t="s">
        <v>60</v>
      </c>
      <c r="C11" s="132">
        <v>0.47</v>
      </c>
      <c r="D11" s="132" t="s">
        <v>161</v>
      </c>
      <c r="E11" s="132">
        <v>1.56</v>
      </c>
      <c r="F11" s="133" t="s">
        <v>274</v>
      </c>
      <c r="G11" s="134">
        <v>0.43</v>
      </c>
      <c r="H11" s="132" t="s">
        <v>278</v>
      </c>
      <c r="I11" s="135">
        <v>0.25</v>
      </c>
      <c r="J11" s="99"/>
      <c r="K11" s="99"/>
      <c r="L11" s="99"/>
      <c r="M11" s="99"/>
      <c r="N11" s="99"/>
      <c r="O11" s="359"/>
      <c r="P11" s="136">
        <v>0.1</v>
      </c>
    </row>
    <row r="12" spans="1:16" x14ac:dyDescent="0.2">
      <c r="A12" s="130" t="s">
        <v>9</v>
      </c>
      <c r="B12" s="131" t="s">
        <v>61</v>
      </c>
      <c r="C12" s="132">
        <v>0.67</v>
      </c>
      <c r="D12" s="132" t="s">
        <v>161</v>
      </c>
      <c r="E12" s="132">
        <v>1.56</v>
      </c>
      <c r="F12" s="133" t="s">
        <v>274</v>
      </c>
      <c r="G12" s="134">
        <v>0.43</v>
      </c>
      <c r="H12" s="132" t="s">
        <v>152</v>
      </c>
      <c r="I12" s="135">
        <v>0.25</v>
      </c>
      <c r="J12" s="99"/>
      <c r="K12" s="99"/>
      <c r="L12" s="99"/>
      <c r="M12" s="99"/>
      <c r="N12" s="99"/>
    </row>
    <row r="13" spans="1:16" x14ac:dyDescent="0.2">
      <c r="A13" s="130" t="s">
        <v>10</v>
      </c>
      <c r="B13" s="131" t="s">
        <v>62</v>
      </c>
      <c r="C13" s="132">
        <v>0.7</v>
      </c>
      <c r="D13" s="132" t="s">
        <v>161</v>
      </c>
      <c r="E13" s="132">
        <v>1.56</v>
      </c>
      <c r="F13" s="133" t="s">
        <v>274</v>
      </c>
      <c r="G13" s="134">
        <v>0.43</v>
      </c>
      <c r="H13" s="132" t="s">
        <v>152</v>
      </c>
      <c r="I13" s="135">
        <v>0.25</v>
      </c>
      <c r="J13" s="99"/>
      <c r="K13" s="99"/>
      <c r="L13" s="99"/>
      <c r="M13" s="99"/>
      <c r="N13" s="99"/>
    </row>
    <row r="14" spans="1:16" x14ac:dyDescent="0.2">
      <c r="A14" s="130" t="s">
        <v>11</v>
      </c>
      <c r="B14" s="131" t="s">
        <v>63</v>
      </c>
      <c r="C14" s="132">
        <v>0.54</v>
      </c>
      <c r="D14" s="132" t="s">
        <v>161</v>
      </c>
      <c r="E14" s="132">
        <v>1.56</v>
      </c>
      <c r="F14" s="133" t="s">
        <v>274</v>
      </c>
      <c r="G14" s="134">
        <v>0.43</v>
      </c>
      <c r="H14" s="132" t="s">
        <v>152</v>
      </c>
      <c r="I14" s="135">
        <v>0.25</v>
      </c>
      <c r="J14" s="99"/>
      <c r="K14" s="99"/>
      <c r="L14" s="99"/>
      <c r="M14" s="99"/>
      <c r="N14" s="99"/>
    </row>
    <row r="15" spans="1:16" x14ac:dyDescent="0.2">
      <c r="A15" s="130" t="s">
        <v>12</v>
      </c>
      <c r="B15" s="131" t="s">
        <v>64</v>
      </c>
      <c r="C15" s="132">
        <v>0.65</v>
      </c>
      <c r="D15" s="132" t="s">
        <v>161</v>
      </c>
      <c r="E15" s="132">
        <v>1.56</v>
      </c>
      <c r="F15" s="133" t="s">
        <v>274</v>
      </c>
      <c r="G15" s="134">
        <v>0.43</v>
      </c>
      <c r="H15" s="132" t="s">
        <v>152</v>
      </c>
      <c r="I15" s="135">
        <v>0.25</v>
      </c>
      <c r="J15" s="99"/>
      <c r="K15" s="99"/>
      <c r="L15" s="99"/>
      <c r="M15" s="99"/>
      <c r="N15" s="99"/>
    </row>
    <row r="16" spans="1:16" x14ac:dyDescent="0.2">
      <c r="A16" s="130" t="s">
        <v>13</v>
      </c>
      <c r="B16" s="131" t="s">
        <v>65</v>
      </c>
      <c r="C16" s="132">
        <v>0.56000000000000005</v>
      </c>
      <c r="D16" s="132" t="s">
        <v>161</v>
      </c>
      <c r="E16" s="132">
        <v>1.56</v>
      </c>
      <c r="F16" s="133" t="s">
        <v>274</v>
      </c>
      <c r="G16" s="134">
        <v>0.43</v>
      </c>
      <c r="H16" s="132" t="s">
        <v>152</v>
      </c>
      <c r="I16" s="135">
        <v>0.25</v>
      </c>
      <c r="J16" s="99"/>
      <c r="K16" s="99"/>
      <c r="L16" s="99"/>
      <c r="M16" s="99"/>
      <c r="N16" s="99"/>
    </row>
    <row r="17" spans="1:14" x14ac:dyDescent="0.2">
      <c r="A17" s="130" t="s">
        <v>14</v>
      </c>
      <c r="B17" s="131" t="s">
        <v>66</v>
      </c>
      <c r="C17" s="132">
        <v>0.57999999999999996</v>
      </c>
      <c r="D17" s="132" t="s">
        <v>161</v>
      </c>
      <c r="E17" s="132">
        <v>1.56</v>
      </c>
      <c r="F17" s="133" t="s">
        <v>274</v>
      </c>
      <c r="G17" s="134">
        <v>0.43</v>
      </c>
      <c r="H17" s="132" t="s">
        <v>152</v>
      </c>
      <c r="I17" s="135">
        <v>0.25</v>
      </c>
      <c r="J17" s="99"/>
      <c r="K17" s="99"/>
      <c r="L17" s="99"/>
      <c r="M17" s="99"/>
      <c r="N17" s="99"/>
    </row>
    <row r="18" spans="1:14" x14ac:dyDescent="0.2">
      <c r="A18" s="130" t="s">
        <v>15</v>
      </c>
      <c r="B18" s="131" t="s">
        <v>67</v>
      </c>
      <c r="C18" s="132">
        <v>0.64</v>
      </c>
      <c r="D18" s="132" t="s">
        <v>161</v>
      </c>
      <c r="E18" s="132">
        <v>1.56</v>
      </c>
      <c r="F18" s="133" t="s">
        <v>274</v>
      </c>
      <c r="G18" s="134">
        <v>0.43</v>
      </c>
      <c r="H18" s="132" t="s">
        <v>152</v>
      </c>
      <c r="I18" s="135">
        <v>0.25</v>
      </c>
      <c r="J18" s="99"/>
      <c r="K18" s="99"/>
      <c r="L18" s="99"/>
      <c r="M18" s="99"/>
      <c r="N18" s="99"/>
    </row>
    <row r="19" spans="1:14" x14ac:dyDescent="0.2">
      <c r="A19" s="130" t="s">
        <v>16</v>
      </c>
      <c r="B19" s="131" t="s">
        <v>68</v>
      </c>
      <c r="C19" s="132">
        <v>0.73</v>
      </c>
      <c r="D19" s="132" t="s">
        <v>161</v>
      </c>
      <c r="E19" s="132">
        <v>1.56</v>
      </c>
      <c r="F19" s="133" t="s">
        <v>274</v>
      </c>
      <c r="G19" s="134">
        <v>0.43</v>
      </c>
      <c r="H19" s="132" t="s">
        <v>152</v>
      </c>
      <c r="I19" s="135">
        <v>0.25</v>
      </c>
      <c r="J19" s="99"/>
      <c r="K19" s="99"/>
      <c r="L19" s="99"/>
      <c r="M19" s="99"/>
      <c r="N19" s="99"/>
    </row>
    <row r="20" spans="1:14" x14ac:dyDescent="0.2">
      <c r="A20" s="130" t="s">
        <v>52</v>
      </c>
      <c r="B20" s="131" t="s">
        <v>69</v>
      </c>
      <c r="C20" s="132">
        <v>0.69</v>
      </c>
      <c r="D20" s="132" t="s">
        <v>131</v>
      </c>
      <c r="E20" s="132">
        <v>1.56</v>
      </c>
      <c r="F20" s="133" t="s">
        <v>274</v>
      </c>
      <c r="G20" s="134">
        <v>0.43</v>
      </c>
      <c r="H20" s="132" t="s">
        <v>282</v>
      </c>
      <c r="I20" s="135">
        <v>0.25</v>
      </c>
      <c r="J20" s="99"/>
      <c r="K20" s="99"/>
      <c r="L20" s="99"/>
      <c r="M20" s="99"/>
      <c r="N20" s="99"/>
    </row>
    <row r="21" spans="1:14" x14ac:dyDescent="0.2">
      <c r="A21" s="130" t="s">
        <v>154</v>
      </c>
      <c r="B21" s="131" t="s">
        <v>155</v>
      </c>
      <c r="C21" s="132">
        <v>0.36</v>
      </c>
      <c r="D21" s="132" t="s">
        <v>161</v>
      </c>
      <c r="E21" s="132">
        <v>1.3</v>
      </c>
      <c r="F21" s="133" t="s">
        <v>274</v>
      </c>
      <c r="G21" s="134">
        <v>0.55000000000000004</v>
      </c>
      <c r="H21" s="132" t="s">
        <v>153</v>
      </c>
      <c r="I21" s="135">
        <v>0.43</v>
      </c>
      <c r="J21" s="99"/>
      <c r="K21" s="99"/>
      <c r="L21" s="99"/>
      <c r="M21" s="99"/>
      <c r="N21" s="99"/>
    </row>
    <row r="22" spans="1:14" x14ac:dyDescent="0.2">
      <c r="A22" s="130" t="s">
        <v>17</v>
      </c>
      <c r="B22" s="131" t="s">
        <v>70</v>
      </c>
      <c r="C22" s="132">
        <v>0.4</v>
      </c>
      <c r="D22" s="132" t="s">
        <v>161</v>
      </c>
      <c r="E22" s="132">
        <v>1.3</v>
      </c>
      <c r="F22" s="133" t="s">
        <v>274</v>
      </c>
      <c r="G22" s="134">
        <v>0.55000000000000004</v>
      </c>
      <c r="H22" s="132" t="s">
        <v>153</v>
      </c>
      <c r="I22" s="135">
        <v>0.43</v>
      </c>
      <c r="J22" s="99"/>
      <c r="K22" s="99"/>
      <c r="L22" s="99"/>
      <c r="M22" s="99"/>
      <c r="N22" s="99"/>
    </row>
    <row r="23" spans="1:14" x14ac:dyDescent="0.2">
      <c r="A23" s="130" t="s">
        <v>18</v>
      </c>
      <c r="B23" s="131" t="s">
        <v>71</v>
      </c>
      <c r="C23" s="132">
        <v>0.43</v>
      </c>
      <c r="D23" s="132" t="s">
        <v>161</v>
      </c>
      <c r="E23" s="132">
        <v>1.3</v>
      </c>
      <c r="F23" s="133" t="s">
        <v>274</v>
      </c>
      <c r="G23" s="134">
        <v>0.55000000000000004</v>
      </c>
      <c r="H23" s="132" t="s">
        <v>153</v>
      </c>
      <c r="I23" s="135">
        <v>0.43</v>
      </c>
      <c r="J23" s="99"/>
      <c r="K23" s="99"/>
      <c r="L23" s="99"/>
      <c r="M23" s="99"/>
      <c r="N23" s="99"/>
    </row>
    <row r="24" spans="1:14" x14ac:dyDescent="0.2">
      <c r="A24" s="130" t="s">
        <v>19</v>
      </c>
      <c r="B24" s="131" t="s">
        <v>72</v>
      </c>
      <c r="C24" s="132">
        <v>0.37</v>
      </c>
      <c r="D24" s="132" t="s">
        <v>161</v>
      </c>
      <c r="E24" s="132">
        <v>1.3</v>
      </c>
      <c r="F24" s="133" t="s">
        <v>274</v>
      </c>
      <c r="G24" s="134">
        <v>0.55000000000000004</v>
      </c>
      <c r="H24" s="132" t="s">
        <v>152</v>
      </c>
      <c r="I24" s="135">
        <v>0.43</v>
      </c>
      <c r="J24" s="99"/>
      <c r="K24" s="99"/>
      <c r="L24" s="99"/>
      <c r="M24" s="99"/>
      <c r="N24" s="99"/>
    </row>
    <row r="25" spans="1:14" x14ac:dyDescent="0.2">
      <c r="A25" s="130" t="s">
        <v>20</v>
      </c>
      <c r="B25" s="131" t="s">
        <v>73</v>
      </c>
      <c r="C25" s="132">
        <v>0.36</v>
      </c>
      <c r="D25" s="132" t="s">
        <v>161</v>
      </c>
      <c r="E25" s="132">
        <v>1.3</v>
      </c>
      <c r="F25" s="133" t="s">
        <v>274</v>
      </c>
      <c r="G25" s="134">
        <v>0.55000000000000004</v>
      </c>
      <c r="H25" s="132" t="s">
        <v>152</v>
      </c>
      <c r="I25" s="135">
        <v>0.43</v>
      </c>
      <c r="J25" s="99"/>
      <c r="K25" s="99"/>
      <c r="L25" s="99"/>
      <c r="M25" s="99"/>
      <c r="N25" s="99"/>
    </row>
    <row r="26" spans="1:14" x14ac:dyDescent="0.2">
      <c r="A26" s="130" t="s">
        <v>21</v>
      </c>
      <c r="B26" s="131" t="s">
        <v>74</v>
      </c>
      <c r="C26" s="132">
        <v>0.56000000000000005</v>
      </c>
      <c r="D26" s="132" t="s">
        <v>161</v>
      </c>
      <c r="E26" s="132">
        <v>1.56</v>
      </c>
      <c r="F26" s="133" t="s">
        <v>274</v>
      </c>
      <c r="G26" s="134">
        <v>0.53</v>
      </c>
      <c r="H26" s="132" t="s">
        <v>275</v>
      </c>
      <c r="I26" s="135">
        <v>0.25</v>
      </c>
      <c r="J26" s="99"/>
      <c r="K26" s="99"/>
      <c r="L26" s="99"/>
      <c r="M26" s="99"/>
      <c r="N26" s="99"/>
    </row>
    <row r="27" spans="1:14" x14ac:dyDescent="0.2">
      <c r="A27" s="130" t="s">
        <v>22</v>
      </c>
      <c r="B27" s="131" t="s">
        <v>75</v>
      </c>
      <c r="C27" s="132">
        <v>0.51</v>
      </c>
      <c r="D27" s="132" t="s">
        <v>161</v>
      </c>
      <c r="E27" s="132">
        <v>1.56</v>
      </c>
      <c r="F27" s="133" t="s">
        <v>274</v>
      </c>
      <c r="G27" s="134">
        <v>0.53</v>
      </c>
      <c r="H27" s="132" t="s">
        <v>275</v>
      </c>
      <c r="I27" s="135">
        <v>0.25</v>
      </c>
      <c r="J27" s="99"/>
      <c r="K27" s="99"/>
      <c r="L27" s="99"/>
      <c r="M27" s="99"/>
      <c r="N27" s="99"/>
    </row>
    <row r="28" spans="1:14" x14ac:dyDescent="0.2">
      <c r="A28" s="130" t="s">
        <v>23</v>
      </c>
      <c r="B28" s="131" t="s">
        <v>76</v>
      </c>
      <c r="C28" s="132">
        <v>0.51</v>
      </c>
      <c r="D28" s="132" t="s">
        <v>161</v>
      </c>
      <c r="E28" s="132">
        <v>1.56</v>
      </c>
      <c r="F28" s="133" t="s">
        <v>274</v>
      </c>
      <c r="G28" s="134">
        <v>0.53</v>
      </c>
      <c r="H28" s="132" t="s">
        <v>275</v>
      </c>
      <c r="I28" s="135">
        <v>0.25</v>
      </c>
      <c r="J28" s="99"/>
      <c r="K28" s="99"/>
      <c r="L28" s="99"/>
      <c r="M28" s="99"/>
      <c r="N28" s="99"/>
    </row>
    <row r="29" spans="1:14" x14ac:dyDescent="0.2">
      <c r="A29" s="130" t="s">
        <v>24</v>
      </c>
      <c r="B29" s="131" t="s">
        <v>24</v>
      </c>
      <c r="C29" s="132">
        <v>0.56000000000000005</v>
      </c>
      <c r="D29" s="132" t="s">
        <v>161</v>
      </c>
      <c r="E29" s="132">
        <v>1.56</v>
      </c>
      <c r="F29" s="133" t="s">
        <v>274</v>
      </c>
      <c r="G29" s="134">
        <v>0.53</v>
      </c>
      <c r="H29" s="132" t="s">
        <v>275</v>
      </c>
      <c r="I29" s="135">
        <v>0.25</v>
      </c>
      <c r="J29" s="99"/>
      <c r="K29" s="99"/>
      <c r="L29" s="99"/>
      <c r="M29" s="99"/>
      <c r="N29" s="99"/>
    </row>
    <row r="30" spans="1:14" x14ac:dyDescent="0.2">
      <c r="A30" s="130" t="s">
        <v>25</v>
      </c>
      <c r="B30" s="131" t="s">
        <v>77</v>
      </c>
      <c r="C30" s="132">
        <v>0.55000000000000004</v>
      </c>
      <c r="D30" s="132" t="s">
        <v>161</v>
      </c>
      <c r="E30" s="132">
        <v>1.56</v>
      </c>
      <c r="F30" s="133" t="s">
        <v>274</v>
      </c>
      <c r="G30" s="134">
        <v>0.53</v>
      </c>
      <c r="H30" s="132" t="s">
        <v>152</v>
      </c>
      <c r="I30" s="135">
        <v>0.25</v>
      </c>
      <c r="J30" s="99"/>
      <c r="K30" s="99"/>
      <c r="L30" s="99"/>
      <c r="M30" s="99"/>
      <c r="N30" s="99"/>
    </row>
    <row r="31" spans="1:14" x14ac:dyDescent="0.2">
      <c r="A31" s="130" t="s">
        <v>26</v>
      </c>
      <c r="B31" s="131" t="s">
        <v>78</v>
      </c>
      <c r="C31" s="132">
        <v>0.56000000000000005</v>
      </c>
      <c r="D31" s="132" t="s">
        <v>161</v>
      </c>
      <c r="E31" s="132">
        <v>1.56</v>
      </c>
      <c r="F31" s="133" t="s">
        <v>274</v>
      </c>
      <c r="G31" s="134">
        <v>0.43</v>
      </c>
      <c r="H31" s="132" t="s">
        <v>278</v>
      </c>
      <c r="I31" s="135">
        <v>0.25</v>
      </c>
      <c r="J31" s="99"/>
      <c r="K31" s="99"/>
      <c r="L31" s="99"/>
      <c r="M31" s="99"/>
      <c r="N31" s="99"/>
    </row>
    <row r="32" spans="1:14" x14ac:dyDescent="0.2">
      <c r="A32" s="130" t="s">
        <v>27</v>
      </c>
      <c r="B32" s="131" t="s">
        <v>79</v>
      </c>
      <c r="C32" s="132">
        <v>0.48</v>
      </c>
      <c r="D32" s="132" t="s">
        <v>161</v>
      </c>
      <c r="E32" s="132">
        <v>1.3</v>
      </c>
      <c r="F32" s="133" t="s">
        <v>274</v>
      </c>
      <c r="G32" s="134">
        <v>0.6</v>
      </c>
      <c r="H32" s="132" t="s">
        <v>281</v>
      </c>
      <c r="I32" s="135">
        <v>0.43</v>
      </c>
      <c r="J32" s="99"/>
      <c r="K32" s="99"/>
      <c r="L32" s="99"/>
      <c r="M32" s="99"/>
      <c r="N32" s="99"/>
    </row>
    <row r="33" spans="1:14" x14ac:dyDescent="0.2">
      <c r="A33" s="130" t="s">
        <v>28</v>
      </c>
      <c r="B33" s="131" t="s">
        <v>80</v>
      </c>
      <c r="C33" s="132">
        <v>0.42</v>
      </c>
      <c r="D33" s="132" t="s">
        <v>161</v>
      </c>
      <c r="E33" s="132">
        <v>1.3</v>
      </c>
      <c r="F33" s="133" t="s">
        <v>274</v>
      </c>
      <c r="G33" s="134">
        <v>0.6</v>
      </c>
      <c r="H33" s="132" t="s">
        <v>281</v>
      </c>
      <c r="I33" s="135">
        <v>0.43</v>
      </c>
      <c r="J33" s="99"/>
      <c r="K33" s="99"/>
      <c r="L33" s="99"/>
      <c r="M33" s="99"/>
      <c r="N33" s="99"/>
    </row>
    <row r="34" spans="1:14" x14ac:dyDescent="0.2">
      <c r="A34" s="130" t="s">
        <v>81</v>
      </c>
      <c r="B34" s="131" t="s">
        <v>163</v>
      </c>
      <c r="C34" s="132">
        <v>0.42</v>
      </c>
      <c r="D34" s="132" t="s">
        <v>103</v>
      </c>
      <c r="E34" s="132">
        <v>1.3</v>
      </c>
      <c r="F34" s="133" t="s">
        <v>274</v>
      </c>
      <c r="G34" s="134">
        <v>0.6</v>
      </c>
      <c r="H34" s="131" t="s">
        <v>280</v>
      </c>
      <c r="I34" s="135">
        <v>0.43</v>
      </c>
      <c r="J34" s="99"/>
      <c r="K34" s="99"/>
      <c r="L34" s="99"/>
      <c r="M34" s="99"/>
      <c r="N34" s="99"/>
    </row>
    <row r="35" spans="1:14" x14ac:dyDescent="0.2">
      <c r="A35" s="130" t="s">
        <v>29</v>
      </c>
      <c r="B35" s="131" t="s">
        <v>82</v>
      </c>
      <c r="C35" s="132">
        <v>0.5</v>
      </c>
      <c r="D35" s="132" t="s">
        <v>161</v>
      </c>
      <c r="E35" s="132">
        <v>1.56</v>
      </c>
      <c r="F35" s="133" t="s">
        <v>274</v>
      </c>
      <c r="G35" s="134">
        <v>0.43</v>
      </c>
      <c r="H35" s="132" t="s">
        <v>278</v>
      </c>
      <c r="I35" s="135">
        <v>0.25</v>
      </c>
      <c r="J35" s="99"/>
      <c r="K35" s="99"/>
      <c r="L35" s="99"/>
      <c r="M35" s="99"/>
      <c r="N35" s="99"/>
    </row>
    <row r="36" spans="1:14" x14ac:dyDescent="0.2">
      <c r="A36" s="130" t="s">
        <v>102</v>
      </c>
      <c r="B36" s="131" t="s">
        <v>101</v>
      </c>
      <c r="C36" s="132">
        <v>0.55000000000000004</v>
      </c>
      <c r="D36" s="132" t="s">
        <v>161</v>
      </c>
      <c r="E36" s="132">
        <v>1.56</v>
      </c>
      <c r="F36" s="133" t="s">
        <v>274</v>
      </c>
      <c r="G36" s="134">
        <v>0.53</v>
      </c>
      <c r="H36" s="132" t="s">
        <v>275</v>
      </c>
      <c r="I36" s="135">
        <v>0.25</v>
      </c>
      <c r="J36" s="99"/>
      <c r="K36" s="99"/>
      <c r="L36" s="99"/>
      <c r="M36" s="99"/>
      <c r="N36" s="99"/>
    </row>
    <row r="37" spans="1:14" x14ac:dyDescent="0.2">
      <c r="A37" s="130" t="s">
        <v>30</v>
      </c>
      <c r="B37" s="131" t="s">
        <v>104</v>
      </c>
      <c r="C37" s="132">
        <v>0.52</v>
      </c>
      <c r="D37" s="132" t="s">
        <v>161</v>
      </c>
      <c r="E37" s="132">
        <v>1.56</v>
      </c>
      <c r="F37" s="133" t="s">
        <v>274</v>
      </c>
      <c r="G37" s="134">
        <v>0.53</v>
      </c>
      <c r="H37" s="132" t="s">
        <v>275</v>
      </c>
      <c r="I37" s="135">
        <v>0.25</v>
      </c>
      <c r="J37" s="99"/>
      <c r="K37" s="99"/>
      <c r="L37" s="99"/>
      <c r="M37" s="99"/>
      <c r="N37" s="99"/>
    </row>
    <row r="38" spans="1:14" x14ac:dyDescent="0.2">
      <c r="A38" s="130" t="s">
        <v>31</v>
      </c>
      <c r="B38" s="131" t="s">
        <v>105</v>
      </c>
      <c r="C38" s="132">
        <v>0.52</v>
      </c>
      <c r="D38" s="132" t="s">
        <v>161</v>
      </c>
      <c r="E38" s="132">
        <v>1.56</v>
      </c>
      <c r="F38" s="133" t="s">
        <v>274</v>
      </c>
      <c r="G38" s="134">
        <v>0.43</v>
      </c>
      <c r="H38" s="132" t="s">
        <v>278</v>
      </c>
      <c r="I38" s="135">
        <v>0.25</v>
      </c>
      <c r="J38" s="99"/>
      <c r="K38" s="99"/>
      <c r="L38" s="99"/>
      <c r="M38" s="99"/>
      <c r="N38" s="99"/>
    </row>
    <row r="39" spans="1:14" x14ac:dyDescent="0.2">
      <c r="A39" s="130" t="s">
        <v>107</v>
      </c>
      <c r="B39" s="131" t="s">
        <v>132</v>
      </c>
      <c r="C39" s="132">
        <v>0.313</v>
      </c>
      <c r="D39" s="132" t="s">
        <v>130</v>
      </c>
      <c r="E39" s="132">
        <v>1.56</v>
      </c>
      <c r="F39" s="133" t="s">
        <v>274</v>
      </c>
      <c r="G39" s="134">
        <v>0.6</v>
      </c>
      <c r="H39" s="132" t="s">
        <v>283</v>
      </c>
      <c r="I39" s="135">
        <v>1.03</v>
      </c>
      <c r="J39" s="99"/>
      <c r="K39" s="99"/>
      <c r="L39" s="99"/>
      <c r="M39" s="99"/>
      <c r="N39" s="99"/>
    </row>
    <row r="40" spans="1:14" x14ac:dyDescent="0.2">
      <c r="A40" s="130" t="s">
        <v>108</v>
      </c>
      <c r="B40" s="131" t="s">
        <v>132</v>
      </c>
      <c r="C40" s="132">
        <v>0.35199999999999998</v>
      </c>
      <c r="D40" s="132" t="s">
        <v>130</v>
      </c>
      <c r="E40" s="132">
        <v>1.56</v>
      </c>
      <c r="F40" s="133" t="s">
        <v>274</v>
      </c>
      <c r="G40" s="134">
        <v>0.6</v>
      </c>
      <c r="H40" s="132" t="s">
        <v>283</v>
      </c>
      <c r="I40" s="135">
        <v>1.03</v>
      </c>
      <c r="J40" s="99"/>
      <c r="K40" s="99"/>
      <c r="L40" s="99"/>
      <c r="M40" s="99"/>
      <c r="N40" s="99"/>
    </row>
    <row r="41" spans="1:14" x14ac:dyDescent="0.2">
      <c r="A41" s="130" t="s">
        <v>121</v>
      </c>
      <c r="B41" s="131" t="s">
        <v>132</v>
      </c>
      <c r="C41" s="132">
        <v>0.32200000000000001</v>
      </c>
      <c r="D41" s="132" t="s">
        <v>130</v>
      </c>
      <c r="E41" s="132">
        <v>1.56</v>
      </c>
      <c r="F41" s="133" t="s">
        <v>274</v>
      </c>
      <c r="G41" s="134">
        <v>0.6</v>
      </c>
      <c r="H41" s="132" t="s">
        <v>283</v>
      </c>
      <c r="I41" s="135">
        <v>1.03</v>
      </c>
      <c r="J41" s="99"/>
      <c r="K41" s="99"/>
      <c r="L41" s="99"/>
      <c r="M41" s="99"/>
      <c r="N41" s="99"/>
    </row>
    <row r="42" spans="1:14" x14ac:dyDescent="0.2">
      <c r="A42" s="130" t="s">
        <v>122</v>
      </c>
      <c r="B42" s="131" t="s">
        <v>132</v>
      </c>
      <c r="C42" s="132">
        <v>0.311</v>
      </c>
      <c r="D42" s="132" t="s">
        <v>130</v>
      </c>
      <c r="E42" s="132">
        <v>1.56</v>
      </c>
      <c r="F42" s="133" t="s">
        <v>274</v>
      </c>
      <c r="G42" s="134">
        <v>0.6</v>
      </c>
      <c r="H42" s="132" t="s">
        <v>283</v>
      </c>
      <c r="I42" s="135">
        <v>1.03</v>
      </c>
      <c r="J42" s="99"/>
      <c r="K42" s="99"/>
      <c r="L42" s="99"/>
      <c r="M42" s="99"/>
      <c r="N42" s="99"/>
    </row>
    <row r="43" spans="1:14" x14ac:dyDescent="0.2">
      <c r="A43" s="130" t="s">
        <v>109</v>
      </c>
      <c r="B43" s="131" t="s">
        <v>132</v>
      </c>
      <c r="C43" s="132">
        <v>0.33900000000000002</v>
      </c>
      <c r="D43" s="132" t="s">
        <v>130</v>
      </c>
      <c r="E43" s="132">
        <v>1.56</v>
      </c>
      <c r="F43" s="133" t="s">
        <v>274</v>
      </c>
      <c r="G43" s="134">
        <v>0.6</v>
      </c>
      <c r="H43" s="132" t="s">
        <v>283</v>
      </c>
      <c r="I43" s="135">
        <v>1.03</v>
      </c>
      <c r="J43" s="99"/>
      <c r="K43" s="99"/>
      <c r="L43" s="99"/>
      <c r="M43" s="99"/>
      <c r="N43" s="99"/>
    </row>
    <row r="44" spans="1:14" x14ac:dyDescent="0.2">
      <c r="A44" s="130" t="s">
        <v>123</v>
      </c>
      <c r="B44" s="131" t="s">
        <v>132</v>
      </c>
      <c r="C44" s="132">
        <v>0.33600000000000002</v>
      </c>
      <c r="D44" s="132" t="s">
        <v>130</v>
      </c>
      <c r="E44" s="132">
        <v>1.56</v>
      </c>
      <c r="F44" s="133" t="s">
        <v>274</v>
      </c>
      <c r="G44" s="134">
        <v>0.6</v>
      </c>
      <c r="H44" s="132" t="s">
        <v>283</v>
      </c>
      <c r="I44" s="135">
        <v>1.03</v>
      </c>
      <c r="J44" s="99"/>
      <c r="K44" s="99"/>
      <c r="L44" s="99"/>
      <c r="M44" s="99"/>
      <c r="N44" s="99"/>
    </row>
    <row r="45" spans="1:14" x14ac:dyDescent="0.2">
      <c r="A45" s="130" t="s">
        <v>110</v>
      </c>
      <c r="B45" s="131" t="s">
        <v>132</v>
      </c>
      <c r="C45" s="132">
        <v>0.32900000000000001</v>
      </c>
      <c r="D45" s="132" t="s">
        <v>130</v>
      </c>
      <c r="E45" s="132">
        <v>1.56</v>
      </c>
      <c r="F45" s="133" t="s">
        <v>274</v>
      </c>
      <c r="G45" s="134">
        <v>0.6</v>
      </c>
      <c r="H45" s="132" t="s">
        <v>283</v>
      </c>
      <c r="I45" s="135">
        <v>1.03</v>
      </c>
      <c r="J45" s="99"/>
      <c r="K45" s="99"/>
      <c r="L45" s="99"/>
      <c r="M45" s="99"/>
      <c r="N45" s="99"/>
    </row>
    <row r="46" spans="1:14" x14ac:dyDescent="0.2">
      <c r="A46" s="130" t="s">
        <v>124</v>
      </c>
      <c r="B46" s="131" t="s">
        <v>132</v>
      </c>
      <c r="C46" s="132">
        <v>0.34300000000000003</v>
      </c>
      <c r="D46" s="132" t="s">
        <v>130</v>
      </c>
      <c r="E46" s="132">
        <v>1.56</v>
      </c>
      <c r="F46" s="133" t="s">
        <v>274</v>
      </c>
      <c r="G46" s="134">
        <v>0.6</v>
      </c>
      <c r="H46" s="132" t="s">
        <v>283</v>
      </c>
      <c r="I46" s="135">
        <v>1.03</v>
      </c>
      <c r="J46" s="99"/>
      <c r="K46" s="99"/>
      <c r="L46" s="99"/>
      <c r="M46" s="99"/>
      <c r="N46" s="99"/>
    </row>
    <row r="47" spans="1:14" x14ac:dyDescent="0.2">
      <c r="A47" s="130" t="s">
        <v>125</v>
      </c>
      <c r="B47" s="131" t="s">
        <v>132</v>
      </c>
      <c r="C47" s="132">
        <v>0.32500000000000001</v>
      </c>
      <c r="D47" s="132" t="s">
        <v>130</v>
      </c>
      <c r="E47" s="132">
        <v>1.56</v>
      </c>
      <c r="F47" s="133" t="s">
        <v>274</v>
      </c>
      <c r="G47" s="134">
        <v>0.6</v>
      </c>
      <c r="H47" s="132" t="s">
        <v>283</v>
      </c>
      <c r="I47" s="135">
        <v>1.03</v>
      </c>
      <c r="J47" s="99"/>
      <c r="K47" s="99"/>
      <c r="L47" s="99"/>
      <c r="M47" s="99"/>
      <c r="N47" s="99"/>
    </row>
    <row r="48" spans="1:14" x14ac:dyDescent="0.2">
      <c r="A48" s="130" t="s">
        <v>126</v>
      </c>
      <c r="B48" s="131" t="s">
        <v>132</v>
      </c>
      <c r="C48" s="132">
        <v>0.32</v>
      </c>
      <c r="D48" s="132" t="s">
        <v>130</v>
      </c>
      <c r="E48" s="132">
        <v>1.56</v>
      </c>
      <c r="F48" s="133" t="s">
        <v>274</v>
      </c>
      <c r="G48" s="134">
        <v>0.6</v>
      </c>
      <c r="H48" s="132" t="s">
        <v>283</v>
      </c>
      <c r="I48" s="135">
        <v>1.03</v>
      </c>
      <c r="J48" s="99"/>
      <c r="K48" s="99"/>
      <c r="L48" s="99"/>
      <c r="M48" s="99"/>
      <c r="N48" s="99"/>
    </row>
    <row r="49" spans="1:14" x14ac:dyDescent="0.2">
      <c r="A49" s="130" t="s">
        <v>111</v>
      </c>
      <c r="B49" s="131" t="s">
        <v>132</v>
      </c>
      <c r="C49" s="132">
        <v>0.28199999999999997</v>
      </c>
      <c r="D49" s="132" t="s">
        <v>130</v>
      </c>
      <c r="E49" s="132">
        <v>1.56</v>
      </c>
      <c r="F49" s="133" t="s">
        <v>274</v>
      </c>
      <c r="G49" s="134">
        <v>0.6</v>
      </c>
      <c r="H49" s="132" t="s">
        <v>283</v>
      </c>
      <c r="I49" s="135">
        <v>1.03</v>
      </c>
      <c r="J49" s="99"/>
      <c r="K49" s="99"/>
      <c r="L49" s="99"/>
      <c r="M49" s="99"/>
      <c r="N49" s="99"/>
    </row>
    <row r="50" spans="1:14" x14ac:dyDescent="0.2">
      <c r="A50" s="130" t="s">
        <v>127</v>
      </c>
      <c r="B50" s="131" t="s">
        <v>132</v>
      </c>
      <c r="C50" s="132">
        <v>0.32800000000000001</v>
      </c>
      <c r="D50" s="132" t="s">
        <v>130</v>
      </c>
      <c r="E50" s="132">
        <v>1.56</v>
      </c>
      <c r="F50" s="133" t="s">
        <v>274</v>
      </c>
      <c r="G50" s="134">
        <v>0.6</v>
      </c>
      <c r="H50" s="132" t="s">
        <v>283</v>
      </c>
      <c r="I50" s="135">
        <v>1.03</v>
      </c>
      <c r="J50" s="99"/>
      <c r="K50" s="99"/>
      <c r="L50" s="99"/>
      <c r="M50" s="99"/>
      <c r="N50" s="99"/>
    </row>
    <row r="51" spans="1:14" x14ac:dyDescent="0.2">
      <c r="A51" s="130" t="s">
        <v>112</v>
      </c>
      <c r="B51" s="131" t="s">
        <v>132</v>
      </c>
      <c r="C51" s="132">
        <v>0.32600000000000001</v>
      </c>
      <c r="D51" s="132" t="s">
        <v>130</v>
      </c>
      <c r="E51" s="132">
        <v>1.56</v>
      </c>
      <c r="F51" s="133" t="s">
        <v>274</v>
      </c>
      <c r="G51" s="134">
        <v>0.6</v>
      </c>
      <c r="H51" s="132" t="s">
        <v>283</v>
      </c>
      <c r="I51" s="135">
        <v>1.03</v>
      </c>
      <c r="J51" s="99"/>
      <c r="K51" s="99"/>
      <c r="L51" s="99"/>
      <c r="M51" s="99"/>
      <c r="N51" s="99"/>
    </row>
    <row r="52" spans="1:14" x14ac:dyDescent="0.2">
      <c r="A52" s="130" t="s">
        <v>113</v>
      </c>
      <c r="B52" s="131" t="s">
        <v>132</v>
      </c>
      <c r="C52" s="132">
        <v>0.35899999999999999</v>
      </c>
      <c r="D52" s="132" t="s">
        <v>130</v>
      </c>
      <c r="E52" s="132">
        <v>1.56</v>
      </c>
      <c r="F52" s="133" t="s">
        <v>274</v>
      </c>
      <c r="G52" s="134">
        <v>0.6</v>
      </c>
      <c r="H52" s="132" t="s">
        <v>283</v>
      </c>
      <c r="I52" s="135">
        <v>1.03</v>
      </c>
      <c r="J52" s="99"/>
      <c r="K52" s="99"/>
      <c r="L52" s="99"/>
      <c r="M52" s="99"/>
      <c r="N52" s="99"/>
    </row>
    <row r="53" spans="1:14" x14ac:dyDescent="0.2">
      <c r="A53" s="130" t="s">
        <v>114</v>
      </c>
      <c r="B53" s="131" t="s">
        <v>132</v>
      </c>
      <c r="C53" s="132">
        <v>0.34599999999999997</v>
      </c>
      <c r="D53" s="132" t="s">
        <v>130</v>
      </c>
      <c r="E53" s="132">
        <v>1.56</v>
      </c>
      <c r="F53" s="133" t="s">
        <v>274</v>
      </c>
      <c r="G53" s="134">
        <v>0.6</v>
      </c>
      <c r="H53" s="132" t="s">
        <v>283</v>
      </c>
      <c r="I53" s="135">
        <v>1.03</v>
      </c>
      <c r="J53" s="99"/>
      <c r="K53" s="99"/>
      <c r="L53" s="99"/>
      <c r="M53" s="99"/>
      <c r="N53" s="99"/>
    </row>
    <row r="54" spans="1:14" x14ac:dyDescent="0.2">
      <c r="A54" s="130" t="s">
        <v>115</v>
      </c>
      <c r="B54" s="131" t="s">
        <v>132</v>
      </c>
      <c r="C54" s="132">
        <v>0.32600000000000001</v>
      </c>
      <c r="D54" s="132" t="s">
        <v>130</v>
      </c>
      <c r="E54" s="132">
        <v>1.56</v>
      </c>
      <c r="F54" s="133" t="s">
        <v>274</v>
      </c>
      <c r="G54" s="134">
        <v>0.6</v>
      </c>
      <c r="H54" s="132" t="s">
        <v>283</v>
      </c>
      <c r="I54" s="135">
        <v>1.03</v>
      </c>
      <c r="J54" s="99"/>
      <c r="K54" s="99"/>
      <c r="L54" s="99"/>
      <c r="M54" s="99"/>
      <c r="N54" s="99"/>
    </row>
    <row r="55" spans="1:14" x14ac:dyDescent="0.2">
      <c r="A55" s="130" t="s">
        <v>116</v>
      </c>
      <c r="B55" s="131" t="s">
        <v>132</v>
      </c>
      <c r="C55" s="132">
        <v>0.30499999999999999</v>
      </c>
      <c r="D55" s="132" t="s">
        <v>130</v>
      </c>
      <c r="E55" s="132">
        <v>1.56</v>
      </c>
      <c r="F55" s="133" t="s">
        <v>274</v>
      </c>
      <c r="G55" s="134">
        <v>0.6</v>
      </c>
      <c r="H55" s="132" t="s">
        <v>283</v>
      </c>
      <c r="I55" s="135">
        <v>1.03</v>
      </c>
      <c r="J55" s="99"/>
      <c r="K55" s="99"/>
      <c r="L55" s="99"/>
      <c r="M55" s="99"/>
      <c r="N55" s="99"/>
    </row>
    <row r="56" spans="1:14" x14ac:dyDescent="0.2">
      <c r="A56" s="130" t="s">
        <v>128</v>
      </c>
      <c r="B56" s="131" t="s">
        <v>132</v>
      </c>
      <c r="C56" s="132">
        <v>0.32300000000000001</v>
      </c>
      <c r="D56" s="132" t="s">
        <v>130</v>
      </c>
      <c r="E56" s="132">
        <v>1.56</v>
      </c>
      <c r="F56" s="133" t="s">
        <v>274</v>
      </c>
      <c r="G56" s="134">
        <v>0.6</v>
      </c>
      <c r="H56" s="132" t="s">
        <v>283</v>
      </c>
      <c r="I56" s="135">
        <v>1.03</v>
      </c>
      <c r="J56" s="99"/>
      <c r="K56" s="99"/>
      <c r="L56" s="99"/>
      <c r="M56" s="99"/>
      <c r="N56" s="99"/>
    </row>
    <row r="57" spans="1:14" x14ac:dyDescent="0.2">
      <c r="A57" s="130" t="s">
        <v>129</v>
      </c>
      <c r="B57" s="131" t="s">
        <v>132</v>
      </c>
      <c r="C57" s="132">
        <v>0.36699999999999999</v>
      </c>
      <c r="D57" s="132" t="s">
        <v>130</v>
      </c>
      <c r="E57" s="132">
        <v>1.56</v>
      </c>
      <c r="F57" s="133" t="s">
        <v>274</v>
      </c>
      <c r="G57" s="134">
        <v>0.6</v>
      </c>
      <c r="H57" s="132" t="s">
        <v>283</v>
      </c>
      <c r="I57" s="135">
        <v>1.03</v>
      </c>
      <c r="J57" s="99"/>
      <c r="K57" s="99"/>
      <c r="L57" s="99"/>
      <c r="M57" s="99"/>
      <c r="N57" s="99"/>
    </row>
    <row r="58" spans="1:14" x14ac:dyDescent="0.2">
      <c r="A58" s="130" t="s">
        <v>117</v>
      </c>
      <c r="B58" s="131" t="s">
        <v>132</v>
      </c>
      <c r="C58" s="132">
        <v>0.36</v>
      </c>
      <c r="D58" s="132" t="s">
        <v>130</v>
      </c>
      <c r="E58" s="132">
        <v>1.56</v>
      </c>
      <c r="F58" s="133" t="s">
        <v>274</v>
      </c>
      <c r="G58" s="134">
        <v>0.6</v>
      </c>
      <c r="H58" s="132" t="s">
        <v>283</v>
      </c>
      <c r="I58" s="135">
        <v>1.03</v>
      </c>
      <c r="J58" s="99"/>
      <c r="K58" s="99"/>
      <c r="L58" s="99"/>
      <c r="M58" s="99"/>
      <c r="N58" s="99"/>
    </row>
    <row r="59" spans="1:14" x14ac:dyDescent="0.2">
      <c r="A59" s="130" t="s">
        <v>118</v>
      </c>
      <c r="B59" s="131" t="s">
        <v>132</v>
      </c>
      <c r="C59" s="132">
        <v>0.36799999999999999</v>
      </c>
      <c r="D59" s="132" t="s">
        <v>130</v>
      </c>
      <c r="E59" s="132">
        <v>1.56</v>
      </c>
      <c r="F59" s="133" t="s">
        <v>274</v>
      </c>
      <c r="G59" s="134">
        <v>0.6</v>
      </c>
      <c r="H59" s="132" t="s">
        <v>283</v>
      </c>
      <c r="I59" s="135">
        <v>1.03</v>
      </c>
      <c r="J59" s="99"/>
      <c r="K59" s="99"/>
      <c r="L59" s="99"/>
      <c r="M59" s="99"/>
      <c r="N59" s="99"/>
    </row>
    <row r="60" spans="1:14" x14ac:dyDescent="0.2">
      <c r="A60" s="130" t="s">
        <v>119</v>
      </c>
      <c r="B60" s="131" t="s">
        <v>132</v>
      </c>
      <c r="C60" s="132">
        <v>0.30599999999999999</v>
      </c>
      <c r="D60" s="132" t="s">
        <v>130</v>
      </c>
      <c r="E60" s="132">
        <v>1.56</v>
      </c>
      <c r="F60" s="133" t="s">
        <v>274</v>
      </c>
      <c r="G60" s="134">
        <v>0.6</v>
      </c>
      <c r="H60" s="132" t="s">
        <v>283</v>
      </c>
      <c r="I60" s="135">
        <v>1.03</v>
      </c>
      <c r="J60" s="99"/>
      <c r="K60" s="99"/>
      <c r="L60" s="99"/>
      <c r="M60" s="99"/>
      <c r="N60" s="99"/>
    </row>
    <row r="61" spans="1:14" x14ac:dyDescent="0.2">
      <c r="A61" s="130" t="s">
        <v>120</v>
      </c>
      <c r="B61" s="131" t="s">
        <v>132</v>
      </c>
      <c r="C61" s="132">
        <v>0.313</v>
      </c>
      <c r="D61" s="132" t="s">
        <v>130</v>
      </c>
      <c r="E61" s="132">
        <v>1.56</v>
      </c>
      <c r="F61" s="133" t="s">
        <v>274</v>
      </c>
      <c r="G61" s="134">
        <v>0.6</v>
      </c>
      <c r="H61" s="132" t="s">
        <v>283</v>
      </c>
      <c r="I61" s="135">
        <v>1.03</v>
      </c>
      <c r="J61" s="99"/>
      <c r="K61" s="99"/>
      <c r="L61" s="99"/>
      <c r="M61" s="99"/>
      <c r="N61" s="99"/>
    </row>
    <row r="62" spans="1:14" x14ac:dyDescent="0.2">
      <c r="A62" s="130" t="s">
        <v>32</v>
      </c>
      <c r="B62" s="131" t="s">
        <v>133</v>
      </c>
      <c r="C62" s="132">
        <v>0.37</v>
      </c>
      <c r="D62" s="132" t="s">
        <v>161</v>
      </c>
      <c r="E62" s="132">
        <v>1.56</v>
      </c>
      <c r="F62" s="133" t="s">
        <v>274</v>
      </c>
      <c r="G62" s="134">
        <v>0.6</v>
      </c>
      <c r="H62" s="132" t="s">
        <v>283</v>
      </c>
      <c r="I62" s="135">
        <v>1.03</v>
      </c>
      <c r="J62" s="99"/>
      <c r="K62" s="99"/>
      <c r="L62" s="99"/>
      <c r="M62" s="99"/>
      <c r="N62" s="99"/>
    </row>
    <row r="63" spans="1:14" x14ac:dyDescent="0.2">
      <c r="A63" s="130" t="s">
        <v>90</v>
      </c>
      <c r="B63" s="131" t="s">
        <v>83</v>
      </c>
      <c r="C63" s="132">
        <v>0.45</v>
      </c>
      <c r="D63" s="132" t="s">
        <v>161</v>
      </c>
      <c r="E63" s="132">
        <v>1.3</v>
      </c>
      <c r="F63" s="133" t="s">
        <v>274</v>
      </c>
      <c r="G63" s="134">
        <v>0.45</v>
      </c>
      <c r="H63" s="132" t="s">
        <v>276</v>
      </c>
      <c r="I63" s="135">
        <v>0.43</v>
      </c>
      <c r="J63" s="99"/>
      <c r="K63" s="99"/>
      <c r="L63" s="99"/>
      <c r="M63" s="99"/>
      <c r="N63" s="99"/>
    </row>
    <row r="64" spans="1:14" x14ac:dyDescent="0.2">
      <c r="A64" s="130" t="s">
        <v>33</v>
      </c>
      <c r="B64" s="131" t="s">
        <v>134</v>
      </c>
      <c r="C64" s="132">
        <v>0.39</v>
      </c>
      <c r="D64" s="132" t="s">
        <v>161</v>
      </c>
      <c r="E64" s="132">
        <v>1.3</v>
      </c>
      <c r="F64" s="133" t="s">
        <v>274</v>
      </c>
      <c r="G64" s="134">
        <v>0.45</v>
      </c>
      <c r="H64" s="132" t="s">
        <v>276</v>
      </c>
      <c r="I64" s="135">
        <v>0.43</v>
      </c>
      <c r="J64" s="99"/>
      <c r="K64" s="99"/>
      <c r="L64" s="99"/>
      <c r="M64" s="99"/>
      <c r="N64" s="99"/>
    </row>
    <row r="65" spans="1:14" x14ac:dyDescent="0.2">
      <c r="A65" s="130" t="s">
        <v>34</v>
      </c>
      <c r="B65" s="131" t="s">
        <v>135</v>
      </c>
      <c r="C65" s="132">
        <v>0.44</v>
      </c>
      <c r="D65" s="132" t="s">
        <v>161</v>
      </c>
      <c r="E65" s="132">
        <v>1.3</v>
      </c>
      <c r="F65" s="133" t="s">
        <v>274</v>
      </c>
      <c r="G65" s="134">
        <v>0.45</v>
      </c>
      <c r="H65" s="132" t="s">
        <v>276</v>
      </c>
      <c r="I65" s="135">
        <v>0.43</v>
      </c>
      <c r="J65" s="99"/>
      <c r="K65" s="99"/>
      <c r="L65" s="99"/>
      <c r="M65" s="99"/>
      <c r="N65" s="99"/>
    </row>
    <row r="66" spans="1:14" x14ac:dyDescent="0.2">
      <c r="A66" s="130" t="s">
        <v>35</v>
      </c>
      <c r="B66" s="131" t="s">
        <v>84</v>
      </c>
      <c r="C66" s="132">
        <v>0.46</v>
      </c>
      <c r="D66" s="132" t="s">
        <v>161</v>
      </c>
      <c r="E66" s="132">
        <v>1.3</v>
      </c>
      <c r="F66" s="133" t="s">
        <v>274</v>
      </c>
      <c r="G66" s="134">
        <v>0.45</v>
      </c>
      <c r="H66" s="132" t="s">
        <v>276</v>
      </c>
      <c r="I66" s="135">
        <v>0.43</v>
      </c>
      <c r="J66" s="99"/>
      <c r="K66" s="99"/>
      <c r="L66" s="99"/>
      <c r="M66" s="99"/>
      <c r="N66" s="99"/>
    </row>
    <row r="67" spans="1:14" x14ac:dyDescent="0.2">
      <c r="A67" s="130" t="s">
        <v>36</v>
      </c>
      <c r="B67" s="131" t="s">
        <v>85</v>
      </c>
      <c r="C67" s="132">
        <v>0.46</v>
      </c>
      <c r="D67" s="132" t="s">
        <v>161</v>
      </c>
      <c r="E67" s="132">
        <v>1.3</v>
      </c>
      <c r="F67" s="133" t="s">
        <v>274</v>
      </c>
      <c r="G67" s="134">
        <v>0.45</v>
      </c>
      <c r="H67" s="132" t="s">
        <v>152</v>
      </c>
      <c r="I67" s="135">
        <v>0.59</v>
      </c>
      <c r="J67" s="99"/>
      <c r="K67" s="99"/>
      <c r="L67" s="99"/>
      <c r="M67" s="99"/>
      <c r="N67" s="99"/>
    </row>
    <row r="68" spans="1:14" x14ac:dyDescent="0.2">
      <c r="A68" s="130" t="s">
        <v>37</v>
      </c>
      <c r="B68" s="131" t="s">
        <v>136</v>
      </c>
      <c r="C68" s="132">
        <v>0.44</v>
      </c>
      <c r="D68" s="132" t="s">
        <v>161</v>
      </c>
      <c r="E68" s="132">
        <v>1.3</v>
      </c>
      <c r="F68" s="133" t="s">
        <v>274</v>
      </c>
      <c r="G68" s="134">
        <v>0.45</v>
      </c>
      <c r="H68" s="132" t="s">
        <v>276</v>
      </c>
      <c r="I68" s="135">
        <v>0.43</v>
      </c>
      <c r="J68" s="99"/>
      <c r="K68" s="99"/>
      <c r="L68" s="99"/>
      <c r="M68" s="99"/>
      <c r="N68" s="99"/>
    </row>
    <row r="69" spans="1:14" x14ac:dyDescent="0.2">
      <c r="A69" s="130" t="s">
        <v>38</v>
      </c>
      <c r="B69" s="131" t="s">
        <v>86</v>
      </c>
      <c r="C69" s="132">
        <v>0.46</v>
      </c>
      <c r="D69" s="132" t="s">
        <v>161</v>
      </c>
      <c r="E69" s="132">
        <v>1.3</v>
      </c>
      <c r="F69" s="133" t="s">
        <v>274</v>
      </c>
      <c r="G69" s="134">
        <v>0.45</v>
      </c>
      <c r="H69" s="132" t="s">
        <v>276</v>
      </c>
      <c r="I69" s="135">
        <v>0.43</v>
      </c>
      <c r="J69" s="99"/>
      <c r="K69" s="99"/>
      <c r="L69" s="99"/>
      <c r="M69" s="99"/>
      <c r="N69" s="99"/>
    </row>
    <row r="70" spans="1:14" x14ac:dyDescent="0.2">
      <c r="A70" s="130" t="s">
        <v>39</v>
      </c>
      <c r="B70" s="131" t="s">
        <v>137</v>
      </c>
      <c r="C70" s="132">
        <v>0.48</v>
      </c>
      <c r="D70" s="132" t="s">
        <v>161</v>
      </c>
      <c r="E70" s="132">
        <v>2.4</v>
      </c>
      <c r="F70" s="132" t="s">
        <v>284</v>
      </c>
      <c r="G70" s="134">
        <v>0.45</v>
      </c>
      <c r="H70" s="132" t="s">
        <v>276</v>
      </c>
      <c r="I70" s="135">
        <v>0.43</v>
      </c>
      <c r="J70" s="99"/>
      <c r="K70" s="99"/>
      <c r="L70" s="99"/>
      <c r="M70" s="99"/>
      <c r="N70" s="99"/>
    </row>
    <row r="71" spans="1:14" x14ac:dyDescent="0.2">
      <c r="A71" s="130" t="s">
        <v>40</v>
      </c>
      <c r="B71" s="131" t="s">
        <v>87</v>
      </c>
      <c r="C71" s="132">
        <v>0.46</v>
      </c>
      <c r="D71" s="132" t="s">
        <v>150</v>
      </c>
      <c r="E71" s="132">
        <v>1.3</v>
      </c>
      <c r="F71" s="133" t="s">
        <v>274</v>
      </c>
      <c r="G71" s="134">
        <v>0.45</v>
      </c>
      <c r="H71" s="132" t="s">
        <v>276</v>
      </c>
      <c r="I71" s="135">
        <v>0.43</v>
      </c>
      <c r="J71" s="99"/>
      <c r="K71" s="99"/>
      <c r="L71" s="99"/>
      <c r="M71" s="99"/>
      <c r="N71" s="99"/>
    </row>
    <row r="72" spans="1:14" x14ac:dyDescent="0.2">
      <c r="A72" s="130" t="s">
        <v>41</v>
      </c>
      <c r="B72" s="131" t="s">
        <v>88</v>
      </c>
      <c r="C72" s="132">
        <v>0.44</v>
      </c>
      <c r="D72" s="132" t="s">
        <v>161</v>
      </c>
      <c r="E72" s="132">
        <v>1.3</v>
      </c>
      <c r="F72" s="133" t="s">
        <v>274</v>
      </c>
      <c r="G72" s="134">
        <v>0.45</v>
      </c>
      <c r="H72" s="132" t="s">
        <v>276</v>
      </c>
      <c r="I72" s="135">
        <v>0.43</v>
      </c>
      <c r="J72" s="99"/>
      <c r="K72" s="99"/>
      <c r="L72" s="99"/>
      <c r="M72" s="99"/>
      <c r="N72" s="99"/>
    </row>
    <row r="73" spans="1:14" x14ac:dyDescent="0.2">
      <c r="A73" s="130" t="s">
        <v>138</v>
      </c>
      <c r="B73" s="131" t="s">
        <v>140</v>
      </c>
      <c r="C73" s="132">
        <v>0.46</v>
      </c>
      <c r="D73" s="132" t="s">
        <v>151</v>
      </c>
      <c r="E73" s="132">
        <v>1.3</v>
      </c>
      <c r="F73" s="133" t="s">
        <v>274</v>
      </c>
      <c r="G73" s="134">
        <v>0.45</v>
      </c>
      <c r="H73" s="132" t="s">
        <v>276</v>
      </c>
      <c r="I73" s="135">
        <v>0.43</v>
      </c>
      <c r="J73" s="99"/>
      <c r="K73" s="99"/>
      <c r="L73" s="99"/>
      <c r="M73" s="99"/>
      <c r="N73" s="99"/>
    </row>
    <row r="74" spans="1:14" x14ac:dyDescent="0.2">
      <c r="A74" s="130" t="s">
        <v>42</v>
      </c>
      <c r="B74" s="131" t="s">
        <v>139</v>
      </c>
      <c r="C74" s="132">
        <v>0.34</v>
      </c>
      <c r="D74" s="132" t="s">
        <v>161</v>
      </c>
      <c r="E74" s="132">
        <v>1.3</v>
      </c>
      <c r="F74" s="133" t="s">
        <v>274</v>
      </c>
      <c r="G74" s="134">
        <v>0.45</v>
      </c>
      <c r="H74" s="132" t="s">
        <v>276</v>
      </c>
      <c r="I74" s="135">
        <v>0.43</v>
      </c>
      <c r="J74" s="99"/>
      <c r="K74" s="99"/>
      <c r="L74" s="99"/>
      <c r="M74" s="99"/>
      <c r="N74" s="99"/>
    </row>
    <row r="75" spans="1:14" x14ac:dyDescent="0.2">
      <c r="A75" s="130" t="s">
        <v>43</v>
      </c>
      <c r="B75" s="131" t="s">
        <v>162</v>
      </c>
      <c r="C75" s="132">
        <v>0.5</v>
      </c>
      <c r="D75" s="132" t="s">
        <v>161</v>
      </c>
      <c r="E75" s="132">
        <v>1.56</v>
      </c>
      <c r="F75" s="133" t="s">
        <v>274</v>
      </c>
      <c r="G75" s="134">
        <v>0.53</v>
      </c>
      <c r="H75" s="132" t="s">
        <v>275</v>
      </c>
      <c r="I75" s="135">
        <v>0.25</v>
      </c>
      <c r="J75" s="99"/>
      <c r="K75" s="99"/>
      <c r="L75" s="99"/>
      <c r="M75" s="99"/>
      <c r="N75" s="99"/>
    </row>
    <row r="76" spans="1:14" x14ac:dyDescent="0.2">
      <c r="A76" s="130" t="s">
        <v>44</v>
      </c>
      <c r="B76" s="131" t="s">
        <v>89</v>
      </c>
      <c r="C76" s="132">
        <v>0.57999999999999996</v>
      </c>
      <c r="D76" s="132" t="s">
        <v>161</v>
      </c>
      <c r="E76" s="132">
        <v>1.56</v>
      </c>
      <c r="F76" s="133" t="s">
        <v>274</v>
      </c>
      <c r="G76" s="134">
        <v>0.3</v>
      </c>
      <c r="H76" s="132" t="s">
        <v>277</v>
      </c>
      <c r="I76" s="135">
        <v>0.25</v>
      </c>
      <c r="J76" s="99"/>
      <c r="K76" s="99"/>
      <c r="L76" s="99"/>
      <c r="M76" s="99"/>
      <c r="N76" s="99"/>
    </row>
    <row r="77" spans="1:14" x14ac:dyDescent="0.2">
      <c r="A77" s="130" t="s">
        <v>47</v>
      </c>
      <c r="B77" s="131" t="s">
        <v>141</v>
      </c>
      <c r="C77" s="132">
        <v>0.37</v>
      </c>
      <c r="D77" s="132" t="s">
        <v>161</v>
      </c>
      <c r="E77" s="132">
        <v>1.3</v>
      </c>
      <c r="F77" s="133" t="s">
        <v>274</v>
      </c>
      <c r="G77" s="134">
        <v>0.55000000000000004</v>
      </c>
      <c r="H77" s="132" t="s">
        <v>152</v>
      </c>
      <c r="I77" s="135">
        <v>0.43</v>
      </c>
      <c r="J77" s="99"/>
      <c r="K77" s="99"/>
      <c r="L77" s="99"/>
      <c r="M77" s="99"/>
      <c r="N77" s="99"/>
    </row>
    <row r="78" spans="1:14" x14ac:dyDescent="0.2">
      <c r="A78" s="130" t="s">
        <v>45</v>
      </c>
      <c r="B78" s="131" t="s">
        <v>96</v>
      </c>
      <c r="C78" s="132">
        <v>0.37</v>
      </c>
      <c r="D78" s="132" t="s">
        <v>161</v>
      </c>
      <c r="E78" s="132">
        <v>1.3</v>
      </c>
      <c r="F78" s="133" t="s">
        <v>274</v>
      </c>
      <c r="G78" s="134">
        <v>0.55000000000000004</v>
      </c>
      <c r="H78" s="132" t="s">
        <v>152</v>
      </c>
      <c r="I78" s="135">
        <v>0.43</v>
      </c>
      <c r="J78" s="99"/>
      <c r="K78" s="99"/>
      <c r="L78" s="99"/>
      <c r="M78" s="99"/>
      <c r="N78" s="99"/>
    </row>
    <row r="79" spans="1:14" x14ac:dyDescent="0.2">
      <c r="A79" s="130" t="s">
        <v>46</v>
      </c>
      <c r="B79" s="131" t="s">
        <v>95</v>
      </c>
      <c r="C79" s="132">
        <v>0.38</v>
      </c>
      <c r="D79" s="132" t="s">
        <v>161</v>
      </c>
      <c r="E79" s="132">
        <v>1.3</v>
      </c>
      <c r="F79" s="133" t="s">
        <v>274</v>
      </c>
      <c r="G79" s="134">
        <v>0.55000000000000004</v>
      </c>
      <c r="H79" s="132" t="s">
        <v>153</v>
      </c>
      <c r="I79" s="135">
        <v>0.43</v>
      </c>
      <c r="J79" s="99"/>
      <c r="K79" s="99"/>
      <c r="L79" s="99"/>
      <c r="M79" s="99"/>
      <c r="N79" s="99"/>
    </row>
    <row r="80" spans="1:14" x14ac:dyDescent="0.2">
      <c r="A80" s="130" t="s">
        <v>48</v>
      </c>
      <c r="B80" s="131" t="s">
        <v>94</v>
      </c>
      <c r="C80" s="132">
        <v>0.36</v>
      </c>
      <c r="D80" s="132" t="s">
        <v>161</v>
      </c>
      <c r="E80" s="132">
        <v>1.3</v>
      </c>
      <c r="F80" s="133" t="s">
        <v>274</v>
      </c>
      <c r="G80" s="134">
        <v>0.55000000000000004</v>
      </c>
      <c r="H80" s="132" t="s">
        <v>153</v>
      </c>
      <c r="I80" s="135">
        <v>0.43</v>
      </c>
      <c r="J80" s="99"/>
      <c r="K80" s="99"/>
      <c r="L80" s="99"/>
      <c r="M80" s="99"/>
      <c r="N80" s="99"/>
    </row>
    <row r="81" spans="1:14" x14ac:dyDescent="0.2">
      <c r="A81" s="130" t="s">
        <v>49</v>
      </c>
      <c r="B81" s="131" t="s">
        <v>142</v>
      </c>
      <c r="C81" s="132">
        <v>0.37</v>
      </c>
      <c r="D81" s="132" t="s">
        <v>161</v>
      </c>
      <c r="E81" s="132">
        <v>1.56</v>
      </c>
      <c r="F81" s="133" t="s">
        <v>274</v>
      </c>
      <c r="G81" s="134">
        <v>0.43</v>
      </c>
      <c r="H81" s="132" t="s">
        <v>278</v>
      </c>
      <c r="I81" s="135">
        <v>0.25</v>
      </c>
      <c r="J81" s="99"/>
      <c r="K81" s="99"/>
      <c r="L81" s="99"/>
      <c r="M81" s="99"/>
      <c r="N81" s="99"/>
    </row>
    <row r="82" spans="1:14" x14ac:dyDescent="0.2">
      <c r="A82" s="130" t="s">
        <v>158</v>
      </c>
      <c r="B82" s="131" t="s">
        <v>159</v>
      </c>
      <c r="C82" s="132">
        <v>0.35</v>
      </c>
      <c r="D82" s="132" t="s">
        <v>160</v>
      </c>
      <c r="E82" s="132">
        <v>1.3</v>
      </c>
      <c r="F82" s="133" t="s">
        <v>274</v>
      </c>
      <c r="G82" s="134">
        <v>0.55000000000000004</v>
      </c>
      <c r="H82" s="132" t="s">
        <v>153</v>
      </c>
      <c r="I82" s="135">
        <v>0.43</v>
      </c>
      <c r="J82" s="99"/>
      <c r="K82" s="99"/>
      <c r="L82" s="99"/>
      <c r="M82" s="99"/>
      <c r="N82" s="99"/>
    </row>
    <row r="83" spans="1:14" x14ac:dyDescent="0.2">
      <c r="A83" s="130" t="s">
        <v>156</v>
      </c>
      <c r="B83" s="131" t="s">
        <v>157</v>
      </c>
      <c r="C83" s="132">
        <v>0.34</v>
      </c>
      <c r="D83" s="132" t="s">
        <v>161</v>
      </c>
      <c r="E83" s="132">
        <v>1.3</v>
      </c>
      <c r="F83" s="133" t="s">
        <v>274</v>
      </c>
      <c r="G83" s="134">
        <v>0.55000000000000004</v>
      </c>
      <c r="H83" s="132" t="s">
        <v>153</v>
      </c>
      <c r="I83" s="135">
        <v>0.43</v>
      </c>
      <c r="J83" s="99"/>
      <c r="K83" s="99"/>
      <c r="L83" s="99"/>
      <c r="M83" s="99"/>
      <c r="N83" s="99"/>
    </row>
    <row r="84" spans="1:14" x14ac:dyDescent="0.2">
      <c r="A84" s="130" t="s">
        <v>92</v>
      </c>
      <c r="B84" s="131" t="s">
        <v>93</v>
      </c>
      <c r="C84" s="132">
        <v>0.31</v>
      </c>
      <c r="D84" s="132" t="s">
        <v>161</v>
      </c>
      <c r="E84" s="132">
        <v>1.3</v>
      </c>
      <c r="F84" s="133" t="s">
        <v>274</v>
      </c>
      <c r="G84" s="134">
        <v>0.55000000000000004</v>
      </c>
      <c r="H84" s="132" t="s">
        <v>153</v>
      </c>
      <c r="I84" s="135">
        <v>0.43</v>
      </c>
      <c r="J84" s="99"/>
      <c r="K84" s="99"/>
      <c r="L84" s="99"/>
      <c r="M84" s="99"/>
      <c r="N84" s="99"/>
    </row>
    <row r="85" spans="1:14" x14ac:dyDescent="0.2">
      <c r="A85" s="130" t="s">
        <v>50</v>
      </c>
      <c r="B85" s="131" t="s">
        <v>143</v>
      </c>
      <c r="C85" s="132">
        <v>0.43</v>
      </c>
      <c r="D85" s="132" t="s">
        <v>161</v>
      </c>
      <c r="E85" s="132">
        <v>1.56</v>
      </c>
      <c r="F85" s="133" t="s">
        <v>274</v>
      </c>
      <c r="G85" s="134">
        <v>0.53</v>
      </c>
      <c r="H85" s="132" t="s">
        <v>275</v>
      </c>
      <c r="I85" s="135">
        <v>0.25</v>
      </c>
      <c r="J85" s="99"/>
      <c r="K85" s="99"/>
      <c r="L85" s="99"/>
      <c r="M85" s="99"/>
      <c r="N85" s="99"/>
    </row>
    <row r="86" spans="1:14" x14ac:dyDescent="0.2">
      <c r="A86" s="130" t="s">
        <v>51</v>
      </c>
      <c r="B86" s="131" t="s">
        <v>91</v>
      </c>
      <c r="C86" s="132">
        <v>0.38</v>
      </c>
      <c r="D86" s="132" t="s">
        <v>161</v>
      </c>
      <c r="E86" s="132">
        <v>1.56</v>
      </c>
      <c r="F86" s="133" t="s">
        <v>274</v>
      </c>
      <c r="G86" s="134">
        <v>0.6</v>
      </c>
      <c r="H86" s="132" t="s">
        <v>279</v>
      </c>
      <c r="I86" s="135">
        <v>0.25</v>
      </c>
      <c r="J86" s="99"/>
      <c r="K86" s="99"/>
      <c r="L86" s="99"/>
      <c r="M86" s="99"/>
      <c r="N86" s="99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99"/>
      <c r="K87" s="99"/>
      <c r="L87" s="99"/>
      <c r="M87" s="99"/>
      <c r="N87" s="99"/>
    </row>
    <row r="88" spans="1:14" x14ac:dyDescent="0.2">
      <c r="A88" s="130" t="s">
        <v>148</v>
      </c>
      <c r="B88" s="138"/>
      <c r="C88" s="132">
        <v>0.42</v>
      </c>
      <c r="D88" s="132" t="s">
        <v>161</v>
      </c>
      <c r="E88" s="132">
        <v>1.3</v>
      </c>
      <c r="F88" s="133" t="s">
        <v>274</v>
      </c>
      <c r="G88" s="139"/>
      <c r="H88" s="138"/>
      <c r="I88" s="140"/>
    </row>
    <row r="89" spans="1:14" ht="16" thickBot="1" x14ac:dyDescent="0.25">
      <c r="A89" s="141" t="s">
        <v>149</v>
      </c>
      <c r="B89" s="142"/>
      <c r="C89" s="143">
        <v>0.56999999999999995</v>
      </c>
      <c r="D89" s="144" t="s">
        <v>161</v>
      </c>
      <c r="E89" s="143">
        <v>1.56</v>
      </c>
      <c r="F89" s="143" t="s">
        <v>274</v>
      </c>
      <c r="G89" s="142"/>
      <c r="H89" s="142"/>
      <c r="I89" s="145"/>
    </row>
    <row r="93" spans="1:14" x14ac:dyDescent="0.2">
      <c r="A93" s="130" t="s">
        <v>208</v>
      </c>
    </row>
    <row r="94" spans="1:14" x14ac:dyDescent="0.2">
      <c r="A94" s="130" t="s">
        <v>209</v>
      </c>
    </row>
    <row r="95" spans="1:14" x14ac:dyDescent="0.2">
      <c r="A95" s="13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L11" sqref="L11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49" t="s">
        <v>271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6" t="s">
        <v>207</v>
      </c>
      <c r="B5" s="147" t="s">
        <v>250</v>
      </c>
      <c r="C5" s="148" t="str">
        <f>Calculateur!S2</f>
        <v>ΔStock moyen de long terme (tCO₂/ha)</v>
      </c>
      <c r="D5" s="148" t="str">
        <f>Calculateur!T2</f>
        <v>Δstock CO₂ 30 ans (tCO₂/ha)</v>
      </c>
      <c r="E5" s="148" t="s">
        <v>228</v>
      </c>
      <c r="F5" s="148" t="s">
        <v>239</v>
      </c>
      <c r="G5" s="148" t="s">
        <v>240</v>
      </c>
      <c r="H5" s="149" t="s">
        <v>241</v>
      </c>
      <c r="I5" s="150" t="s">
        <v>242</v>
      </c>
      <c r="J5" s="151" t="s">
        <v>243</v>
      </c>
      <c r="K5" s="152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3" t="str">
        <f>IF('Données projet'!$B$9="","",'Données projet'!$B$9)</f>
        <v>Douglas</v>
      </c>
      <c r="B6" s="154">
        <f>'Données projet'!D9</f>
        <v>4.4800000000000013</v>
      </c>
      <c r="C6" s="155">
        <f ca="1">IF(OR('Données projet'!B9="",'Données projet'!C9="",'Données projet'!C9=0%),0,Calculateur!S3)</f>
        <v>382.55387448074327</v>
      </c>
      <c r="D6" s="155">
        <f>IF(OR('Données projet'!B9="",'Données projet'!C9="",'Données projet'!C9=0%),0,Calculateur!T3)</f>
        <v>476.29465646955543</v>
      </c>
      <c r="E6" s="155">
        <f ca="1">MIN(C6,D6)</f>
        <v>382.55387448074327</v>
      </c>
      <c r="F6" s="155">
        <f ca="1">E6*B6</f>
        <v>1713.8413576737303</v>
      </c>
      <c r="G6" s="155">
        <f ca="1">F6*(100%-'Données projet'!$C$24)*(100%-'Données projet'!$C$25)*(100%-'Données projet'!$C$26)*(100%-'Données projet'!$C$27)</f>
        <v>1233.965777525086</v>
      </c>
      <c r="H6" s="156">
        <f>IF(OR('Données projet'!B9="",'Données projet'!C9="",'Données projet'!C9=0%),0,AVERAGE(Calculateur!$AC$3:$AC$33)*B6)</f>
        <v>19.855005975007838</v>
      </c>
      <c r="I6" s="157">
        <f>H6*(100%-'Données projet'!$C$24)*(100%-'Données projet'!$C$25)*(100%-'Données projet'!$C$26)*(100%-'Données projet'!$C$27)</f>
        <v>14.295604302005644</v>
      </c>
      <c r="J6" s="158">
        <f>IF(OR('Données projet'!B9="",'Données projet'!C9="",'Données projet'!C9=0%),0,SUM(Calculateur!$V$3:$V$33)*VLOOKUP('Données projet'!$B$9,Paramètres!$A$1:$I$89,9,0)*B6)</f>
        <v>208.05120000000005</v>
      </c>
      <c r="K6" s="159">
        <f>J6*(100%-'Données projet'!$C$24)*(100%-'Données projet'!$C$25)*(100%-'Données projet'!$C$26)*(100%-'Données projet'!$C$27)</f>
        <v>149.79686400000006</v>
      </c>
      <c r="L6" s="160">
        <f ca="1">G6+I6+K6</f>
        <v>1398.0582458270917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1" t="str">
        <f>IF('Données projet'!$B$10="","",'Données projet'!$B$10)</f>
        <v>Mélèze d'Europe</v>
      </c>
      <c r="B7" s="162">
        <f>'Données projet'!D10</f>
        <v>0.96000000000000008</v>
      </c>
      <c r="C7" s="155">
        <f ca="1">IF(OR('Données projet'!B10="",'Données projet'!C10="",'Données projet'!C10=0%),0,Calculateur!AN3)</f>
        <v>482.28841373508675</v>
      </c>
      <c r="D7" s="155">
        <f>IF(OR('Données projet'!B10="",'Données projet'!C10="",'Données projet'!C10=0%),0,Calculateur!AO3)</f>
        <v>746.97309214631684</v>
      </c>
      <c r="E7" s="155">
        <f t="shared" ref="E7:E15" ca="1" si="0">MIN(C7,D7)</f>
        <v>482.28841373508675</v>
      </c>
      <c r="F7" s="155">
        <f t="shared" ref="F7:F15" ca="1" si="1">E7*B7</f>
        <v>462.99687718568333</v>
      </c>
      <c r="G7" s="155">
        <f ca="1">F7*(100%-'Données projet'!$C$24)*(100%-'Données projet'!$C$25)*(100%-'Données projet'!$C$26)*(100%-'Données projet'!$C$27)</f>
        <v>333.35775157369204</v>
      </c>
      <c r="H7" s="163">
        <f>IF(OR('Données projet'!B10="",'Données projet'!C10="",'Données projet'!C10=0%),0,AVERAGE(Calculateur!$AX$3:$AX$33)*B7)</f>
        <v>1.7364220585338841</v>
      </c>
      <c r="I7" s="157">
        <f>H7*(100%-'Données projet'!$C$24)*(100%-'Données projet'!$C$25)*(100%-'Données projet'!$C$26)*(100%-'Données projet'!$C$27)</f>
        <v>1.2502238821443965</v>
      </c>
      <c r="J7" s="158">
        <f>IF(OR('Données projet'!B10="",'Données projet'!C10="",'Données projet'!C10=0%),0,SUM(Calculateur!$AQ$3:$AQ$33)*VLOOKUP('Données projet'!$B$10,Paramètres!$A$1:$I$89,9,0)*B7)</f>
        <v>44.169600000000003</v>
      </c>
      <c r="K7" s="159">
        <f>J7*(100%-'Données projet'!$C$24)*(100%-'Données projet'!$C$25)*(100%-'Données projet'!$C$26)*(100%-'Données projet'!$C$27)</f>
        <v>31.802112000000005</v>
      </c>
      <c r="L7" s="160">
        <f t="shared" ref="L7:L15" ca="1" si="2">G7+I7+K7</f>
        <v>366.41008745583645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1" t="str">
        <f>IF('Données projet'!$B$11="","",'Données projet'!$B$11)</f>
        <v>Mélèze hybride</v>
      </c>
      <c r="B8" s="162">
        <f>'Données projet'!D11</f>
        <v>0.96000000000000008</v>
      </c>
      <c r="C8" s="155">
        <f ca="1">IF(OR('Données projet'!B11="",'Données projet'!C11="",'Données projet'!C11=0%),0,Calculateur!BI3)</f>
        <v>417.99456559608217</v>
      </c>
      <c r="D8" s="155">
        <f>IF(OR('Données projet'!B11="",'Données projet'!C11="",'Données projet'!C11=0%),0,Calculateur!BJ3)</f>
        <v>651.41353014863932</v>
      </c>
      <c r="E8" s="155">
        <f t="shared" ca="1" si="0"/>
        <v>417.99456559608217</v>
      </c>
      <c r="F8" s="155">
        <f t="shared" ca="1" si="1"/>
        <v>401.27478297223894</v>
      </c>
      <c r="G8" s="155">
        <f ca="1">F8*(100%-'Données projet'!$C$24)*(100%-'Données projet'!$C$25)*(100%-'Données projet'!$C$26)*(100%-'Données projet'!$C$27)</f>
        <v>288.91784374001207</v>
      </c>
      <c r="H8" s="163">
        <f>IF(OR('Données projet'!B11="",'Données projet'!C11="",'Données projet'!C11=0%),0,AVERAGE(Calculateur!$BS$3:$BS$33)*B8)</f>
        <v>1.5181411183651865</v>
      </c>
      <c r="I8" s="157">
        <f>H8*(100%-'Données projet'!$C$24)*(100%-'Données projet'!$C$25)*(100%-'Données projet'!$C$26)*(100%-'Données projet'!$C$27)</f>
        <v>1.0930616052229345</v>
      </c>
      <c r="J8" s="158">
        <f>IF(OR('Données projet'!B11="",'Données projet'!C11="",'Données projet'!C11=0%),0,SUM(Calculateur!$BL$3:$BL$33)*VLOOKUP('Données projet'!$B$11,Paramètres!$A$1:$I$89,9,0)*B8)</f>
        <v>44.169600000000003</v>
      </c>
      <c r="K8" s="159">
        <f>J8*(100%-'Données projet'!$C$24)*(100%-'Données projet'!$C$25)*(100%-'Données projet'!$C$26)*(100%-'Données projet'!$C$27)</f>
        <v>31.802112000000005</v>
      </c>
      <c r="L8" s="160">
        <f t="shared" ca="1" si="2"/>
        <v>321.81301734523504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1" t="str">
        <f>IF('Données projet'!$B$12="","",'Données projet'!$B$12)</f>
        <v>Chêne sessile</v>
      </c>
      <c r="B9" s="162">
        <f>'Données projet'!D12</f>
        <v>0.30000000000000004</v>
      </c>
      <c r="C9" s="155">
        <f ca="1">IF(OR('Données projet'!B12="",'Données projet'!C12="",'Données projet'!C12=0%),0,Calculateur!CD3)</f>
        <v>213.07277043804817</v>
      </c>
      <c r="D9" s="155">
        <f>IF(OR('Données projet'!B12="",'Données projet'!C12="",'Données projet'!C12=0%),0,Calculateur!CE3)</f>
        <v>129.14539883354166</v>
      </c>
      <c r="E9" s="155">
        <f t="shared" ca="1" si="0"/>
        <v>129.14539883354166</v>
      </c>
      <c r="F9" s="155">
        <f t="shared" ca="1" si="1"/>
        <v>38.743619650062506</v>
      </c>
      <c r="G9" s="155">
        <f ca="1">F9*(100%-'Données projet'!$C$24)*(100%-'Données projet'!$C$25)*(100%-'Données projet'!$C$26)*(100%-'Données projet'!$C$27)</f>
        <v>27.895406148045005</v>
      </c>
      <c r="H9" s="163">
        <f>IF(OR('Données projet'!B12="",'Données projet'!C12="",'Données projet'!C12=0%),0,AVERAGE(Calculateur!$CN$3:$CN$33)*B9)</f>
        <v>0</v>
      </c>
      <c r="I9" s="157">
        <f>H9*(100%-'Données projet'!$C$24)*(100%-'Données projet'!$C$25)*(100%-'Données projet'!$C$26)*(100%-'Données projet'!$C$27)</f>
        <v>0</v>
      </c>
      <c r="J9" s="158">
        <f>IF(OR('Données projet'!B12="",'Données projet'!C12="",'Données projet'!C12=0%),0,SUM(Calculateur!$CG$3:$CG$33)*VLOOKUP('Données projet'!$B$12,Paramètres!$A$1:$I$89,9,0)*B9)</f>
        <v>0</v>
      </c>
      <c r="K9" s="159">
        <f>J9*(100%-'Données projet'!$C$24)*(100%-'Données projet'!$C$25)*(100%-'Données projet'!$C$26)*(100%-'Données projet'!$C$27)</f>
        <v>0</v>
      </c>
      <c r="L9" s="160">
        <f t="shared" ca="1" si="2"/>
        <v>27.895406148045005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1" t="str">
        <f>IF('Données projet'!$B$13="","",'Données projet'!$B$13)</f>
        <v>Chêne pubescent</v>
      </c>
      <c r="B10" s="162">
        <f>'Données projet'!D13</f>
        <v>0.30000000000000004</v>
      </c>
      <c r="C10" s="155">
        <f ca="1">IF(OR('Données projet'!B13="",'Données projet'!C13="",'Données projet'!C13=0%),0,Calculateur!CY3)</f>
        <v>247.92503505485405</v>
      </c>
      <c r="D10" s="155">
        <f>IF(OR('Données projet'!B13="",'Données projet'!C13="",'Données projet'!C13=0%),0,Calculateur!CZ3)</f>
        <v>148.26437652597514</v>
      </c>
      <c r="E10" s="155">
        <f t="shared" ca="1" si="0"/>
        <v>148.26437652597514</v>
      </c>
      <c r="F10" s="155">
        <f t="shared" ca="1" si="1"/>
        <v>44.479312957792551</v>
      </c>
      <c r="G10" s="155">
        <f ca="1">F10*(100%-'Données projet'!$C$24)*(100%-'Données projet'!$C$25)*(100%-'Données projet'!$C$26)*(100%-'Données projet'!$C$27)</f>
        <v>32.025105329610639</v>
      </c>
      <c r="H10" s="163">
        <f>IF(OR('Données projet'!B13="",'Données projet'!C13="",'Données projet'!C13=0%),0,AVERAGE(Calculateur!$DI$3:$DI$33)*B10)</f>
        <v>0</v>
      </c>
      <c r="I10" s="157">
        <f>H10*(100%-'Données projet'!$C$24)*(100%-'Données projet'!$C$25)*(100%-'Données projet'!$C$26)*(100%-'Données projet'!$C$27)</f>
        <v>0</v>
      </c>
      <c r="J10" s="158">
        <f>IF(OR('Données projet'!B13="",'Données projet'!C13="",'Données projet'!C13=0%),0,SUM(Calculateur!$DB$3:$DB$33)*VLOOKUP('Données projet'!$B$13,Paramètres!$A$1:$I$89,9,0)*B10)</f>
        <v>0</v>
      </c>
      <c r="K10" s="159">
        <f>J10*(100%-'Données projet'!$C$24)*(100%-'Données projet'!$C$25)*(100%-'Données projet'!$C$26)*(100%-'Données projet'!$C$27)</f>
        <v>0</v>
      </c>
      <c r="L10" s="160">
        <f t="shared" ca="1" si="2"/>
        <v>32.025105329610639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1" t="str">
        <f>IF('Données projet'!$B$14="","",'Données projet'!$B$14)</f>
        <v>Alisier torminal</v>
      </c>
      <c r="B11" s="162">
        <f>'Données projet'!D14</f>
        <v>6.0000000000000005E-2</v>
      </c>
      <c r="C11" s="155">
        <f ca="1">IF(OR('Données projet'!B14="",'Données projet'!C14="",'Données projet'!C14=0%),0,Calculateur!DT3)</f>
        <v>154.0837760161366</v>
      </c>
      <c r="D11" s="155">
        <f>IF(OR('Données projet'!B14="",'Données projet'!C14="",'Données projet'!C14=0%),0,Calculateur!DU3)</f>
        <v>96.484500841546037</v>
      </c>
      <c r="E11" s="155">
        <f t="shared" ca="1" si="0"/>
        <v>96.484500841546037</v>
      </c>
      <c r="F11" s="155">
        <f t="shared" ca="1" si="1"/>
        <v>5.7890700504927626</v>
      </c>
      <c r="G11" s="155">
        <f ca="1">F11*(100%-'Données projet'!$C$24)*(100%-'Données projet'!$C$25)*(100%-'Données projet'!$C$26)*(100%-'Données projet'!$C$27)</f>
        <v>4.1681304363547893</v>
      </c>
      <c r="H11" s="163">
        <f>IF(OR('Données projet'!B14="",'Données projet'!C14="",'Données projet'!C14=0%),0,AVERAGE(Calculateur!$ED$3:$ED$33)*B11)</f>
        <v>0</v>
      </c>
      <c r="I11" s="157">
        <f>H11*(100%-'Données projet'!$C$24)*(100%-'Données projet'!$C$25)*(100%-'Données projet'!$C$26)*(100%-'Données projet'!$C$27)</f>
        <v>0</v>
      </c>
      <c r="J11" s="158">
        <f>IF(OR('Données projet'!B14="",'Données projet'!C14="",'Données projet'!C14=0%),0,SUM(Calculateur!$DW$3:$DW$33)*VLOOKUP('Données projet'!$B$14,Paramètres!$A$1:$I$89,9,0)*B11)</f>
        <v>0</v>
      </c>
      <c r="K11" s="159">
        <f>J11*(100%-'Données projet'!$C$24)*(100%-'Données projet'!$C$25)*(100%-'Données projet'!$C$26)*(100%-'Données projet'!$C$27)</f>
        <v>0</v>
      </c>
      <c r="L11" s="160">
        <f t="shared" ca="1" si="2"/>
        <v>4.1681304363547893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1" t="str">
        <f>IF('Données projet'!$B$15="","",'Données projet'!$B$15)</f>
        <v>Tilleul</v>
      </c>
      <c r="B12" s="162">
        <f>'Données projet'!D15</f>
        <v>0.30000000000000004</v>
      </c>
      <c r="C12" s="155">
        <f ca="1">IF(OR('Données projet'!B15="",'Données projet'!C15="",'Données projet'!C15=0%),0,Calculateur!EO3)</f>
        <v>205.35893113421139</v>
      </c>
      <c r="D12" s="155">
        <f>IF(OR('Données projet'!B15="",'Données projet'!C15="",'Données projet'!C15=0%),0,Calculateur!EP3)</f>
        <v>220.4399811285175</v>
      </c>
      <c r="E12" s="155">
        <f t="shared" ca="1" si="0"/>
        <v>205.35893113421139</v>
      </c>
      <c r="F12" s="155">
        <f t="shared" ca="1" si="1"/>
        <v>61.607679340263424</v>
      </c>
      <c r="G12" s="155">
        <f ca="1">F12*(100%-'Données projet'!$C$24)*(100%-'Données projet'!$C$25)*(100%-'Données projet'!$C$26)*(100%-'Données projet'!$C$27)</f>
        <v>44.357529124989668</v>
      </c>
      <c r="H12" s="163">
        <f>IF(OR('Données projet'!B15="",'Données projet'!C15="",'Données projet'!C15=0%),0,AVERAGE(Calculateur!$EY$3:$EY$33)*B12)</f>
        <v>0.37200277688362843</v>
      </c>
      <c r="I12" s="157">
        <f>H12*(100%-'Données projet'!$C$24)*(100%-'Données projet'!$C$25)*(100%-'Données projet'!$C$26)*(100%-'Données projet'!$C$27)</f>
        <v>0.2678419993562125</v>
      </c>
      <c r="J12" s="158">
        <f>IF(OR('Données projet'!B15="",'Données projet'!C15="",'Données projet'!C15=0%),0,SUM(Calculateur!$ER$3:$ER$33)*VLOOKUP('Données projet'!$B$15,Paramètres!$A$1:$I$89,9,0)*B12)</f>
        <v>2.8479687500000006</v>
      </c>
      <c r="K12" s="159">
        <f>J12*(100%-'Données projet'!$C$24)*(100%-'Données projet'!$C$25)*(100%-'Données projet'!$C$26)*(100%-'Données projet'!$C$27)</f>
        <v>2.0505375000000003</v>
      </c>
      <c r="L12" s="160">
        <f t="shared" ca="1" si="2"/>
        <v>46.67590862434588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1" t="str">
        <f>IF('Données projet'!$B$16="","",'Données projet'!$B$16)</f>
        <v>Merisier</v>
      </c>
      <c r="B13" s="162">
        <f>'Données projet'!D16</f>
        <v>0.44</v>
      </c>
      <c r="C13" s="155">
        <f ca="1">IF(OR('Données projet'!B16="",'Données projet'!C16="",'Données projet'!C16=0%),0,Calculateur!FJ3)</f>
        <v>242.81177364426878</v>
      </c>
      <c r="D13" s="155">
        <f>IF(OR('Données projet'!B16="",'Données projet'!C16="",'Données projet'!C16=0%),0,Calculateur!FK3)</f>
        <v>260.72115764896671</v>
      </c>
      <c r="E13" s="155">
        <f t="shared" ca="1" si="0"/>
        <v>242.81177364426878</v>
      </c>
      <c r="F13" s="155">
        <f t="shared" ca="1" si="1"/>
        <v>106.83718040347827</v>
      </c>
      <c r="G13" s="155">
        <f ca="1">F13*(100%-'Données projet'!$C$24)*(100%-'Données projet'!$C$25)*(100%-'Données projet'!$C$26)*(100%-'Données projet'!$C$27)</f>
        <v>76.922769890504355</v>
      </c>
      <c r="H13" s="163">
        <f>IF(OR('Données projet'!B16="",'Données projet'!C16="",'Données projet'!C16=0%),0,AVERAGE(Calculateur!$FT$3:$FT$33)*B13)</f>
        <v>0.51472082336099512</v>
      </c>
      <c r="I13" s="157">
        <f>H13*(100%-'Données projet'!$C$24)*(100%-'Données projet'!$C$25)*(100%-'Données projet'!$C$26)*(100%-'Données projet'!$C$27)</f>
        <v>0.37059899281991648</v>
      </c>
      <c r="J13" s="158">
        <f>IF(OR('Données projet'!C16="",'Données projet'!C16=0%),0,SUM(Calculateur!$FM$3:$FM$33)*VLOOKUP('Données projet'!$B$16,Paramètres!$A$1:$I$89,9,0)*B13)</f>
        <v>4.1770208333333336</v>
      </c>
      <c r="K13" s="159">
        <f>J13*(100%-'Données projet'!$C$24)*(100%-'Données projet'!$C$25)*(100%-'Données projet'!$C$26)*(100%-'Données projet'!$C$27)</f>
        <v>3.0074550000000002</v>
      </c>
      <c r="L13" s="160">
        <f t="shared" ca="1" si="2"/>
        <v>80.300823883324284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1" t="str">
        <f>IF('Données projet'!$B$17="","",'Données projet'!$B$17)</f>
        <v>Erable sycomore</v>
      </c>
      <c r="B14" s="162">
        <f>'Données projet'!D17</f>
        <v>0.6000000000000002</v>
      </c>
      <c r="C14" s="155">
        <f ca="1">IF(OR('Données projet'!B17="",'Données projet'!C17="",'Données projet'!C17=0%),0,Calculateur!GE3)</f>
        <v>248.15263300983543</v>
      </c>
      <c r="D14" s="155">
        <f>IF(OR('Données projet'!B17="",'Données projet'!C17="",'Données projet'!C17=0%),0,Calculateur!GF3)</f>
        <v>266.46511459244618</v>
      </c>
      <c r="E14" s="155">
        <f t="shared" ca="1" si="0"/>
        <v>248.15263300983543</v>
      </c>
      <c r="F14" s="155">
        <f t="shared" ca="1" si="1"/>
        <v>148.8915798059013</v>
      </c>
      <c r="G14" s="155">
        <f ca="1">F14*(100%-'Données projet'!$C$24)*(100%-'Données projet'!$C$25)*(100%-'Données projet'!$C$26)*(100%-'Données projet'!$C$27)</f>
        <v>107.20193746024894</v>
      </c>
      <c r="H14" s="163">
        <f>IF(OR('Données projet'!B17="",'Données projet'!C17="",'Données projet'!C17=0%),0,AVERAGE(Calculateur!$GO$3:$GO$33)*B14)</f>
        <v>0.88242519167744415</v>
      </c>
      <c r="I14" s="157">
        <f>H14*(100%-'Données projet'!$C$24)*(100%-'Données projet'!$C$25)*(100%-'Données projet'!$C$26)*(100%-'Données projet'!$C$27)</f>
        <v>0.63534613800775985</v>
      </c>
      <c r="J14" s="158">
        <f>IF(OR('Données projet'!B17="",'Données projet'!C17="",'Données projet'!C17=0%),0,SUM(Calculateur!$GH$3:$GH$33)*VLOOKUP('Données projet'!$B$17,Paramètres!$A$1:$I$89,9,0)*B14)</f>
        <v>5.6959375000000021</v>
      </c>
      <c r="K14" s="159">
        <f>J14*(100%-'Données projet'!$C$24)*(100%-'Données projet'!$C$25)*(100%-'Données projet'!$C$26)*(100%-'Données projet'!$C$27)</f>
        <v>4.1010750000000016</v>
      </c>
      <c r="L14" s="160">
        <f t="shared" ca="1" si="2"/>
        <v>111.93835859825671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4" t="str">
        <f>IF('Données projet'!B18="","",'Données projet'!B18)</f>
        <v/>
      </c>
      <c r="B15" s="165">
        <f>'Données projet'!D18</f>
        <v>0</v>
      </c>
      <c r="C15" s="166">
        <f>IF(OR('Données projet'!B18="",'Données projet'!C18="",'Données projet'!C18=0%),0,Calculateur!GZ3)</f>
        <v>0</v>
      </c>
      <c r="D15" s="166">
        <f>IF(OR('Données projet'!B18="",'Données projet'!C18="",'Données projet'!C18=0%),0,Calculateur!HA3)</f>
        <v>0</v>
      </c>
      <c r="E15" s="166">
        <f t="shared" si="0"/>
        <v>0</v>
      </c>
      <c r="F15" s="167">
        <f t="shared" si="1"/>
        <v>0</v>
      </c>
      <c r="G15" s="167">
        <f>F15*(100%-'Données projet'!$C$24)*(100%-'Données projet'!$C$25)*(100%-'Données projet'!$C$26)*(100%-'Données projet'!$C$27)</f>
        <v>0</v>
      </c>
      <c r="H15" s="168">
        <f>IF(OR('Données projet'!B18="",'Données projet'!C18="",'Données projet'!C18=0%),0,AVERAGE(Calculateur!$HJ$3:$HJ$33)*B15)</f>
        <v>0</v>
      </c>
      <c r="I15" s="169">
        <f>H15*(100%-'Données projet'!$C$24)*(100%-'Données projet'!$C$25)*(100%-'Données projet'!$C$26)*(100%-'Données projet'!$C$27)</f>
        <v>0</v>
      </c>
      <c r="J15" s="170">
        <f>IF(OR('Données projet'!B18="",'Données projet'!C18="",'Données projet'!C18=0%),0,SUM(Calculateur!$HC$3:$HC$33)*VLOOKUP('Données projet'!$B$18,Paramètres!$A$1:$I$89,9,0)*B15)</f>
        <v>0</v>
      </c>
      <c r="K15" s="171">
        <f>J15*(100%-'Données projet'!$C$24)*(100%-'Données projet'!$C$25)*(100%-'Données projet'!$C$26)*(100%-'Données projet'!$C$27)</f>
        <v>0</v>
      </c>
      <c r="L15" s="172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3">
        <f t="shared" ref="F16:L16" ca="1" si="3">SUM(F6:F15)</f>
        <v>2984.4614600396435</v>
      </c>
      <c r="G16" s="174">
        <f t="shared" ca="1" si="3"/>
        <v>2148.8122512285436</v>
      </c>
      <c r="H16" s="175">
        <f t="shared" si="3"/>
        <v>24.878717943828978</v>
      </c>
      <c r="I16" s="175">
        <f t="shared" si="3"/>
        <v>17.912676919556862</v>
      </c>
      <c r="J16" s="176">
        <f t="shared" si="3"/>
        <v>309.11132708333344</v>
      </c>
      <c r="K16" s="176">
        <f t="shared" si="3"/>
        <v>222.56015550000004</v>
      </c>
      <c r="L16" s="177">
        <f t="shared" ca="1" si="3"/>
        <v>2389.2850836481007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61" t="s">
        <v>246</v>
      </c>
      <c r="G17" s="362"/>
      <c r="H17" s="362"/>
      <c r="I17" s="362"/>
      <c r="J17" s="362"/>
      <c r="K17" s="362"/>
      <c r="L17" s="36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63"/>
      <c r="G18" s="363"/>
      <c r="H18" s="363"/>
      <c r="I18" s="363"/>
      <c r="J18" s="363"/>
      <c r="K18" s="363"/>
      <c r="L18" s="36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8" t="str">
        <f>A6</f>
        <v>Douglas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8" t="str">
        <f>A7</f>
        <v>Mélèze d'Europe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8" t="str">
        <f>A8</f>
        <v>Mélèze hybride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8" t="str">
        <f>A9</f>
        <v>Chêne sessile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8" t="str">
        <f>A10</f>
        <v>Chêne pubescent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8" t="str">
        <f>A11</f>
        <v>Alisier torminal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8" t="str">
        <f>A12</f>
        <v>Tilleul</v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8" t="str">
        <f>A13</f>
        <v>Merisier</v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8" t="str">
        <f>A14</f>
        <v>Erable sycomore</v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8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N18" sqref="N18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49" t="s">
        <v>272</v>
      </c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1" customFormat="1" x14ac:dyDescent="0.2">
      <c r="A3" s="98"/>
      <c r="B3" s="98"/>
      <c r="C3" s="98"/>
      <c r="D3" s="98"/>
      <c r="E3" s="98"/>
      <c r="F3" s="179"/>
      <c r="G3" s="179"/>
      <c r="H3" s="180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</row>
    <row r="4" spans="1:42" s="201" customFormat="1" x14ac:dyDescent="0.2">
      <c r="A4" s="98"/>
      <c r="B4" s="98"/>
      <c r="C4" s="98"/>
      <c r="D4" s="98"/>
      <c r="E4" s="98"/>
      <c r="G4" s="179"/>
      <c r="H4" s="367" t="s">
        <v>315</v>
      </c>
      <c r="I4" s="367"/>
      <c r="K4" s="364" t="s">
        <v>253</v>
      </c>
      <c r="L4" s="365"/>
      <c r="M4" s="267">
        <v>4.4999999999999998E-2</v>
      </c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</row>
    <row r="5" spans="1:42" s="201" customFormat="1" x14ac:dyDescent="0.2">
      <c r="A5" s="98"/>
      <c r="B5" s="98"/>
      <c r="C5" s="98"/>
      <c r="D5" s="98"/>
      <c r="E5" s="98"/>
      <c r="G5" s="179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</row>
    <row r="6" spans="1:42" s="201" customFormat="1" ht="16" thickBot="1" x14ac:dyDescent="0.25">
      <c r="A6" s="98"/>
      <c r="B6" s="98"/>
      <c r="C6" s="98"/>
      <c r="D6" s="98"/>
      <c r="E6" s="98"/>
      <c r="F6" s="228"/>
      <c r="G6" s="179"/>
      <c r="H6" s="181"/>
      <c r="I6" s="181"/>
      <c r="J6" s="181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</row>
    <row r="7" spans="1:42" s="201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75" t="s">
        <v>310</v>
      </c>
      <c r="S7" s="376"/>
      <c r="T7" s="376"/>
      <c r="U7" s="376"/>
      <c r="V7" s="377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4" t="s">
        <v>262</v>
      </c>
      <c r="U9" s="187" t="s">
        <v>249</v>
      </c>
      <c r="V9" s="184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4" t="str">
        <f>B14</f>
        <v>Douglas</v>
      </c>
      <c r="T10" s="18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89">
        <f>'Données projet'!D9</f>
        <v>4.4800000000000013</v>
      </c>
      <c r="V10" s="188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4" t="str">
        <f>B45</f>
        <v>Mélèze d'Europe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89">
        <f>'Données projet'!D10</f>
        <v>0.96000000000000008</v>
      </c>
      <c r="V11" s="188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4" t="str">
        <f>B76</f>
        <v>Mélèze hybride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89">
        <f>'Données projet'!D11</f>
        <v>0.96000000000000008</v>
      </c>
      <c r="V12" s="188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3" t="s">
        <v>257</v>
      </c>
      <c r="M13" s="25"/>
      <c r="N13" s="25"/>
      <c r="O13" s="25"/>
      <c r="P13" s="25"/>
      <c r="Q13" s="264"/>
      <c r="R13" s="25"/>
      <c r="S13" s="184" t="str">
        <f>B107</f>
        <v>Chêne sessile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9">
        <f>'Données projet'!D12</f>
        <v>0.30000000000000004</v>
      </c>
      <c r="V13" s="188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5" t="str">
        <f>IF('Données projet'!$B$9="","",'Données projet'!$B$9)</f>
        <v>Douglas</v>
      </c>
      <c r="C14" s="5"/>
      <c r="D14" s="5"/>
      <c r="E14" s="5"/>
      <c r="F14" s="260"/>
      <c r="G14" s="220"/>
      <c r="H14" s="184" t="s">
        <v>178</v>
      </c>
      <c r="I14" s="184" t="s">
        <v>290</v>
      </c>
      <c r="J14" s="214"/>
      <c r="K14" s="182"/>
      <c r="L14" s="216"/>
      <c r="M14" s="25"/>
      <c r="N14" s="25"/>
      <c r="O14" s="5"/>
      <c r="P14" s="5"/>
      <c r="Q14" s="265"/>
      <c r="R14" s="5"/>
      <c r="S14" s="184" t="str">
        <f>B138</f>
        <v>Chêne pubescent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9">
        <f>'Données projet'!D13</f>
        <v>0.30000000000000004</v>
      </c>
      <c r="V14" s="188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68" t="s">
        <v>318</v>
      </c>
      <c r="H15" s="202">
        <v>0</v>
      </c>
      <c r="I15" s="203"/>
      <c r="J15" s="215"/>
      <c r="K15" s="224"/>
      <c r="L15" s="216"/>
      <c r="M15" s="25"/>
      <c r="N15" s="25"/>
      <c r="O15" s="25"/>
      <c r="P15" s="25"/>
      <c r="Q15" s="264"/>
      <c r="R15" s="25"/>
      <c r="S15" s="184" t="str">
        <f>B169</f>
        <v>Alisier torminal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9">
        <f>'Données projet'!D14</f>
        <v>6.0000000000000005E-2</v>
      </c>
      <c r="V15" s="188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68"/>
      <c r="H16" s="202"/>
      <c r="I16" s="203"/>
      <c r="J16" s="215"/>
      <c r="K16" s="224"/>
      <c r="L16" s="364" t="s">
        <v>254</v>
      </c>
      <c r="M16" s="365"/>
      <c r="N16" s="2"/>
      <c r="O16" s="25"/>
      <c r="P16" s="25"/>
      <c r="Q16" s="264"/>
      <c r="R16" s="25"/>
      <c r="S16" s="184" t="str">
        <f>B200</f>
        <v>Tilleul</v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9">
        <f>'Données projet'!D15</f>
        <v>0.30000000000000004</v>
      </c>
      <c r="V16" s="188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/>
      <c r="D17" s="210" t="s">
        <v>132</v>
      </c>
      <c r="E17" s="327"/>
      <c r="F17" s="260"/>
      <c r="G17" s="368"/>
      <c r="J17" s="215"/>
      <c r="K17" s="224"/>
      <c r="L17" s="335" t="s">
        <v>289</v>
      </c>
      <c r="M17" s="337"/>
      <c r="N17" s="186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4" t="str">
        <f>B231</f>
        <v>Merisier</v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9">
        <f>'Données projet'!D16</f>
        <v>0.44</v>
      </c>
      <c r="V17" s="188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/>
      <c r="D18" s="210" t="s">
        <v>132</v>
      </c>
      <c r="E18" s="328"/>
      <c r="F18" s="260"/>
      <c r="G18" s="368"/>
      <c r="J18" s="215"/>
      <c r="K18" s="224"/>
      <c r="L18" s="335" t="s">
        <v>255</v>
      </c>
      <c r="M18" s="337"/>
      <c r="N18" s="204"/>
      <c r="O18" s="25"/>
      <c r="P18" s="25"/>
      <c r="Q18" s="264"/>
      <c r="R18" s="25"/>
      <c r="S18" s="184" t="str">
        <f>B262</f>
        <v>Erable sycomore</v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9">
        <f>'Données projet'!D17</f>
        <v>0.6000000000000002</v>
      </c>
      <c r="V18" s="188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/>
      <c r="D19" s="210" t="s">
        <v>132</v>
      </c>
      <c r="E19" s="328"/>
      <c r="F19" s="260"/>
      <c r="G19" s="368"/>
      <c r="H19" s="231" t="s">
        <v>178</v>
      </c>
      <c r="I19" s="231" t="s">
        <v>287</v>
      </c>
      <c r="J19" s="259"/>
      <c r="K19" s="182"/>
      <c r="L19" s="364" t="s">
        <v>288</v>
      </c>
      <c r="M19" s="365"/>
      <c r="N19" s="190">
        <f>N17*N18</f>
        <v>0</v>
      </c>
      <c r="O19" s="25"/>
      <c r="P19" s="5"/>
      <c r="Q19" s="265"/>
      <c r="R19" s="5"/>
      <c r="S19" s="184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9">
        <f>'Données projet'!D18</f>
        <v>0</v>
      </c>
      <c r="V19" s="188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/>
      <c r="D20" s="210" t="s">
        <v>132</v>
      </c>
      <c r="E20" s="328"/>
      <c r="F20" s="260"/>
      <c r="G20" s="368"/>
      <c r="H20" s="202">
        <v>0</v>
      </c>
      <c r="I20" s="203"/>
      <c r="J20" s="5"/>
      <c r="K20" s="182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/>
      <c r="D21" s="210" t="s">
        <v>132</v>
      </c>
      <c r="E21" s="328"/>
      <c r="F21" s="260"/>
      <c r="H21" s="202">
        <v>1</v>
      </c>
      <c r="I21" s="203"/>
      <c r="K21" s="182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/>
      <c r="D22" s="210" t="s">
        <v>132</v>
      </c>
      <c r="E22" s="205"/>
      <c r="F22" s="260"/>
      <c r="H22" s="202">
        <v>2</v>
      </c>
      <c r="I22" s="203"/>
      <c r="K22" s="182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1">
        <f>'Données projet'!A36</f>
        <v>19</v>
      </c>
      <c r="B23" s="192">
        <f>'Données projet'!D36</f>
        <v>0</v>
      </c>
      <c r="C23" s="329"/>
      <c r="D23" s="193">
        <f>B23*C23</f>
        <v>0</v>
      </c>
      <c r="E23" s="205"/>
      <c r="F23" s="260"/>
      <c r="H23" s="202">
        <v>3</v>
      </c>
      <c r="I23" s="203"/>
      <c r="K23" s="224"/>
      <c r="L23" s="366" t="s">
        <v>260</v>
      </c>
      <c r="M23" s="366"/>
      <c r="N23" s="366"/>
      <c r="O23" s="25"/>
      <c r="P23" s="25"/>
      <c r="Q23" s="264"/>
      <c r="R23" s="25"/>
      <c r="S23" s="184" t="s">
        <v>264</v>
      </c>
      <c r="T23" s="38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80"/>
      <c r="V23" s="38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1">
        <f>'Données projet'!A37</f>
        <v>25</v>
      </c>
      <c r="B24" s="192">
        <f>'Données projet'!D37</f>
        <v>54</v>
      </c>
      <c r="C24" s="330"/>
      <c r="D24" s="193">
        <f t="shared" ref="D24:D42" si="2">B24*C24</f>
        <v>0</v>
      </c>
      <c r="E24" s="205"/>
      <c r="F24" s="263"/>
      <c r="H24" s="202">
        <v>4</v>
      </c>
      <c r="I24" s="203"/>
      <c r="K24" s="224"/>
      <c r="O24" s="25"/>
      <c r="P24" s="25"/>
      <c r="Q24" s="264"/>
      <c r="R24" s="25"/>
      <c r="S24" s="184" t="s">
        <v>261</v>
      </c>
      <c r="T24" s="38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81"/>
      <c r="V24" s="38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1">
        <f>'Données projet'!A38</f>
        <v>30</v>
      </c>
      <c r="B25" s="192">
        <f>'Données projet'!D38</f>
        <v>54</v>
      </c>
      <c r="C25" s="330"/>
      <c r="D25" s="193">
        <f t="shared" si="2"/>
        <v>0</v>
      </c>
      <c r="E25" s="205"/>
      <c r="F25" s="263"/>
      <c r="G25" s="1"/>
      <c r="H25" s="202">
        <v>5</v>
      </c>
      <c r="I25" s="203"/>
      <c r="K25" s="224"/>
      <c r="L25" s="270" t="s">
        <v>285</v>
      </c>
      <c r="M25" s="270"/>
      <c r="N25" s="270"/>
      <c r="O25" s="270"/>
      <c r="P25" s="204"/>
      <c r="Q25" s="264"/>
      <c r="R25" s="25"/>
      <c r="S25" s="197" t="s">
        <v>266</v>
      </c>
      <c r="T25" s="382">
        <f ca="1">T23-T24</f>
        <v>0</v>
      </c>
      <c r="U25" s="382"/>
      <c r="V25" s="38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1">
        <f>'Données projet'!A39</f>
        <v>35</v>
      </c>
      <c r="B26" s="192">
        <f>'Données projet'!D39</f>
        <v>69</v>
      </c>
      <c r="C26" s="330"/>
      <c r="D26" s="193">
        <f t="shared" si="2"/>
        <v>0</v>
      </c>
      <c r="E26" s="205"/>
      <c r="F26" s="263"/>
      <c r="G26" s="258"/>
      <c r="H26" s="202">
        <v>6</v>
      </c>
      <c r="I26" s="203"/>
      <c r="K26" s="224"/>
      <c r="L26" s="369" t="s">
        <v>258</v>
      </c>
      <c r="M26" s="370"/>
      <c r="N26" s="370"/>
      <c r="O26" s="370"/>
      <c r="P26" s="371"/>
      <c r="Q26" s="264"/>
      <c r="R26" s="25"/>
      <c r="S26" s="197" t="s">
        <v>265</v>
      </c>
      <c r="T26" s="379" t="str">
        <f ca="1">IF(T25&lt;0,"Votre projet est additionnel","Votre projet n'est pas additionnel")</f>
        <v>Votre projet n'est pas additionnel</v>
      </c>
      <c r="U26" s="379"/>
      <c r="V26" s="37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1">
        <f>'Données projet'!A40</f>
        <v>40</v>
      </c>
      <c r="B27" s="192">
        <f>'Données projet'!D40</f>
        <v>72</v>
      </c>
      <c r="C27" s="330"/>
      <c r="D27" s="193">
        <f t="shared" si="2"/>
        <v>0</v>
      </c>
      <c r="E27" s="205"/>
      <c r="F27" s="263"/>
      <c r="G27" s="258"/>
      <c r="H27" s="202">
        <v>7</v>
      </c>
      <c r="I27" s="203"/>
      <c r="K27" s="224"/>
      <c r="L27" s="372"/>
      <c r="M27" s="373"/>
      <c r="N27" s="373"/>
      <c r="O27" s="373"/>
      <c r="P27" s="374"/>
      <c r="Q27" s="264"/>
      <c r="R27" s="25"/>
      <c r="S27" s="378" t="s">
        <v>267</v>
      </c>
      <c r="T27" s="378"/>
      <c r="U27" s="378"/>
      <c r="V27" s="37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1">
        <f>'Données projet'!A41</f>
        <v>45</v>
      </c>
      <c r="B28" s="192">
        <f>'Données projet'!D41</f>
        <v>66</v>
      </c>
      <c r="C28" s="330"/>
      <c r="D28" s="193">
        <f t="shared" si="2"/>
        <v>0</v>
      </c>
      <c r="E28" s="205"/>
      <c r="F28" s="263"/>
      <c r="G28" s="221"/>
      <c r="H28" s="202">
        <v>8</v>
      </c>
      <c r="I28" s="203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1">
        <f>'Données projet'!A42</f>
        <v>50</v>
      </c>
      <c r="B29" s="192">
        <f>'Données projet'!D42</f>
        <v>48</v>
      </c>
      <c r="C29" s="330"/>
      <c r="D29" s="193">
        <f t="shared" si="2"/>
        <v>0</v>
      </c>
      <c r="E29" s="205"/>
      <c r="F29" s="263"/>
      <c r="G29" s="217"/>
      <c r="H29" s="202">
        <v>9</v>
      </c>
      <c r="I29" s="203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1">
        <f>'Données projet'!A43</f>
        <v>55</v>
      </c>
      <c r="B30" s="192">
        <f>'Données projet'!D43</f>
        <v>35</v>
      </c>
      <c r="C30" s="330"/>
      <c r="D30" s="193">
        <f t="shared" si="2"/>
        <v>0</v>
      </c>
      <c r="E30" s="205"/>
      <c r="F30" s="263"/>
      <c r="G30" s="217"/>
      <c r="H30" s="202">
        <v>10</v>
      </c>
      <c r="I30" s="203"/>
      <c r="K30" s="194"/>
      <c r="L30" s="184" t="s">
        <v>259</v>
      </c>
      <c r="M30" s="195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1">
        <f>'Données projet'!A44</f>
        <v>60</v>
      </c>
      <c r="B31" s="192">
        <f>'Données projet'!D44</f>
        <v>666</v>
      </c>
      <c r="C31" s="330"/>
      <c r="D31" s="193">
        <f t="shared" si="2"/>
        <v>0</v>
      </c>
      <c r="E31" s="205"/>
      <c r="F31" s="263"/>
      <c r="G31" s="217"/>
      <c r="H31" s="202">
        <v>11</v>
      </c>
      <c r="I31" s="203"/>
      <c r="K31" s="182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1">
        <f>'Données projet'!A45</f>
        <v>0</v>
      </c>
      <c r="B32" s="192">
        <f>'Données projet'!D45</f>
        <v>0</v>
      </c>
      <c r="C32" s="205"/>
      <c r="D32" s="193">
        <f t="shared" si="2"/>
        <v>0</v>
      </c>
      <c r="E32" s="205"/>
      <c r="F32" s="263"/>
      <c r="G32" s="217"/>
      <c r="H32" s="202">
        <v>12</v>
      </c>
      <c r="I32" s="203"/>
      <c r="K32" s="182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1">
        <f>'Données projet'!A46</f>
        <v>0</v>
      </c>
      <c r="B33" s="192">
        <f>'Données projet'!D46</f>
        <v>0</v>
      </c>
      <c r="C33" s="205"/>
      <c r="D33" s="193">
        <f t="shared" si="2"/>
        <v>0</v>
      </c>
      <c r="E33" s="205"/>
      <c r="F33" s="263"/>
      <c r="G33" s="217"/>
      <c r="H33" s="202">
        <v>13</v>
      </c>
      <c r="I33" s="203"/>
      <c r="K33" s="182"/>
      <c r="L33" s="5"/>
      <c r="M33" s="5"/>
      <c r="N33" s="5"/>
      <c r="O33" s="206">
        <v>0</v>
      </c>
      <c r="P33" s="196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1">
        <f>'Données projet'!A47</f>
        <v>0</v>
      </c>
      <c r="B34" s="192">
        <f>'Données projet'!D47</f>
        <v>0</v>
      </c>
      <c r="C34" s="205"/>
      <c r="D34" s="193">
        <f t="shared" si="2"/>
        <v>0</v>
      </c>
      <c r="E34" s="205"/>
      <c r="F34" s="263"/>
      <c r="G34" s="217"/>
      <c r="H34" s="202">
        <v>14</v>
      </c>
      <c r="I34" s="203"/>
      <c r="K34" s="182"/>
      <c r="L34" s="283"/>
      <c r="M34" s="283"/>
      <c r="N34" s="284"/>
      <c r="O34" s="206">
        <f>IF(O33+1&lt;=MIN('Données projet'!$E$9:$E$18),O33+1,"STOP")</f>
        <v>1</v>
      </c>
      <c r="P34" s="196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1">
        <f>'Données projet'!A48</f>
        <v>0</v>
      </c>
      <c r="B35" s="192">
        <f>'Données projet'!D48</f>
        <v>0</v>
      </c>
      <c r="C35" s="205"/>
      <c r="D35" s="193">
        <f t="shared" si="2"/>
        <v>0</v>
      </c>
      <c r="E35" s="205"/>
      <c r="F35" s="263"/>
      <c r="G35" s="217"/>
      <c r="H35" s="202">
        <v>15</v>
      </c>
      <c r="I35" s="203"/>
      <c r="K35" s="182"/>
      <c r="L35" s="283"/>
      <c r="M35" s="283"/>
      <c r="N35" s="284"/>
      <c r="O35" s="206">
        <f>IF(O34+1&lt;=MIN('Données projet'!$E$9:$E$18),O34+1,"STOP")</f>
        <v>2</v>
      </c>
      <c r="P35" s="196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1">
        <f>'Données projet'!A49</f>
        <v>0</v>
      </c>
      <c r="B36" s="192">
        <f>'Données projet'!D49</f>
        <v>0</v>
      </c>
      <c r="C36" s="205"/>
      <c r="D36" s="193">
        <f t="shared" si="2"/>
        <v>0</v>
      </c>
      <c r="E36" s="205"/>
      <c r="F36" s="263"/>
      <c r="G36" s="217"/>
      <c r="H36" s="202">
        <v>16</v>
      </c>
      <c r="I36" s="203"/>
      <c r="K36" s="182"/>
      <c r="L36" s="25"/>
      <c r="M36" s="25"/>
      <c r="N36" s="25"/>
      <c r="O36" s="206">
        <f>IF(O35+1&lt;=MIN('Données projet'!$E$9:$E$18),O35+1,"STOP")</f>
        <v>3</v>
      </c>
      <c r="P36" s="196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1">
        <f>'Données projet'!A50</f>
        <v>0</v>
      </c>
      <c r="B37" s="192">
        <f>'Données projet'!D50</f>
        <v>0</v>
      </c>
      <c r="C37" s="205"/>
      <c r="D37" s="193">
        <f t="shared" si="2"/>
        <v>0</v>
      </c>
      <c r="E37" s="205"/>
      <c r="F37" s="263"/>
      <c r="G37" s="217"/>
      <c r="H37" s="202">
        <v>17</v>
      </c>
      <c r="I37" s="203"/>
      <c r="K37" s="182"/>
      <c r="L37" s="25"/>
      <c r="M37" s="25"/>
      <c r="N37" s="25"/>
      <c r="O37" s="206">
        <f>IF(O36+1&lt;=MIN('Données projet'!$E$9:$E$18),O36+1,"STOP")</f>
        <v>4</v>
      </c>
      <c r="P37" s="196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1">
        <f>'Données projet'!A51</f>
        <v>0</v>
      </c>
      <c r="B38" s="192">
        <f>'Données projet'!D51</f>
        <v>0</v>
      </c>
      <c r="C38" s="205"/>
      <c r="D38" s="193">
        <f t="shared" si="2"/>
        <v>0</v>
      </c>
      <c r="E38" s="205"/>
      <c r="F38" s="263"/>
      <c r="G38" s="217"/>
      <c r="H38" s="202">
        <v>18</v>
      </c>
      <c r="I38" s="203"/>
      <c r="K38" s="182"/>
      <c r="L38" s="25"/>
      <c r="M38" s="25"/>
      <c r="N38" s="25"/>
      <c r="O38" s="206">
        <f>IF(O37+1&lt;=MIN('Données projet'!$E$9:$E$18),O37+1,"STOP")</f>
        <v>5</v>
      </c>
      <c r="P38" s="196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1">
        <f>'Données projet'!A52</f>
        <v>0</v>
      </c>
      <c r="B39" s="192">
        <f>'Données projet'!D52</f>
        <v>0</v>
      </c>
      <c r="C39" s="205"/>
      <c r="D39" s="193">
        <f t="shared" si="2"/>
        <v>0</v>
      </c>
      <c r="E39" s="205"/>
      <c r="F39" s="263"/>
      <c r="G39" s="217"/>
      <c r="H39" s="202">
        <v>19</v>
      </c>
      <c r="I39" s="203"/>
      <c r="K39" s="224"/>
      <c r="L39" s="25"/>
      <c r="M39" s="25"/>
      <c r="N39" s="25"/>
      <c r="O39" s="206">
        <f>IF(O38+1&lt;=MIN('Données projet'!$E$9:$E$18),O38+1,"STOP")</f>
        <v>6</v>
      </c>
      <c r="P39" s="196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1">
        <f>'Données projet'!A53</f>
        <v>0</v>
      </c>
      <c r="B40" s="192">
        <f>'Données projet'!D53</f>
        <v>0</v>
      </c>
      <c r="C40" s="205"/>
      <c r="D40" s="193">
        <f t="shared" si="2"/>
        <v>0</v>
      </c>
      <c r="E40" s="205"/>
      <c r="F40" s="263"/>
      <c r="G40" s="217"/>
      <c r="H40" s="202">
        <v>20</v>
      </c>
      <c r="I40" s="203"/>
      <c r="K40" s="224"/>
      <c r="L40" s="25"/>
      <c r="M40" s="25"/>
      <c r="N40" s="25"/>
      <c r="O40" s="206">
        <f>IF(O39+1&lt;=MIN('Données projet'!$E$9:$E$18),O39+1,"STOP")</f>
        <v>7</v>
      </c>
      <c r="P40" s="196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1">
        <f>'Données projet'!A54</f>
        <v>0</v>
      </c>
      <c r="B41" s="192">
        <f>'Données projet'!D54</f>
        <v>0</v>
      </c>
      <c r="C41" s="205"/>
      <c r="D41" s="193">
        <f t="shared" si="2"/>
        <v>0</v>
      </c>
      <c r="E41" s="205"/>
      <c r="F41" s="263"/>
      <c r="G41" s="217"/>
      <c r="H41" s="202">
        <v>21</v>
      </c>
      <c r="I41" s="203"/>
      <c r="K41" s="224"/>
      <c r="L41" s="25"/>
      <c r="M41" s="25"/>
      <c r="N41" s="25"/>
      <c r="O41" s="206">
        <f>IF(O40+1&lt;=MIN('Données projet'!$E$9:$E$18),O40+1,"STOP")</f>
        <v>8</v>
      </c>
      <c r="P41" s="196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1">
        <f>'Données projet'!A55</f>
        <v>0</v>
      </c>
      <c r="B42" s="192">
        <f>'Données projet'!D55</f>
        <v>0</v>
      </c>
      <c r="C42" s="205"/>
      <c r="D42" s="193">
        <f t="shared" si="2"/>
        <v>0</v>
      </c>
      <c r="E42" s="205"/>
      <c r="F42" s="263"/>
      <c r="G42" s="217"/>
      <c r="H42" s="202">
        <v>22</v>
      </c>
      <c r="I42" s="203"/>
      <c r="K42" s="224"/>
      <c r="L42" s="25"/>
      <c r="M42" s="25"/>
      <c r="N42" s="25"/>
      <c r="O42" s="206">
        <f>IF(O41+1&lt;=MIN('Données projet'!$E$9:$E$18),O41+1,"STOP")</f>
        <v>9</v>
      </c>
      <c r="P42" s="196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8"/>
      <c r="B43" s="198"/>
      <c r="C43" s="198"/>
      <c r="D43" s="255"/>
      <c r="E43" s="255"/>
      <c r="F43" s="268"/>
      <c r="G43" s="217"/>
      <c r="H43" s="202">
        <v>23</v>
      </c>
      <c r="I43" s="203"/>
      <c r="K43" s="224"/>
      <c r="L43" s="25"/>
      <c r="M43" s="25"/>
      <c r="N43" s="25"/>
      <c r="O43" s="206">
        <f>IF(O42+1&lt;=MIN('Données projet'!$E$9:$E$18),O42+1,"STOP")</f>
        <v>10</v>
      </c>
      <c r="P43" s="196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2">
        <v>24</v>
      </c>
      <c r="I44" s="203"/>
      <c r="K44" s="224"/>
      <c r="L44" s="25"/>
      <c r="M44" s="25"/>
      <c r="N44" s="25"/>
      <c r="O44" s="206">
        <f>IF(O43+1&lt;=MIN('Données projet'!$E$9:$E$18),O43+1,"STOP")</f>
        <v>11</v>
      </c>
      <c r="P44" s="196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5" t="str">
        <f>IF('Données projet'!$B$10="","",'Données projet'!$B$10)</f>
        <v>Mélèze d'Europe</v>
      </c>
      <c r="C45" s="5"/>
      <c r="D45" s="5"/>
      <c r="E45" s="5"/>
      <c r="F45" s="260"/>
      <c r="G45" s="217"/>
      <c r="H45" s="202">
        <v>25</v>
      </c>
      <c r="I45" s="203"/>
      <c r="J45" s="25"/>
      <c r="K45" s="224"/>
      <c r="L45" s="25"/>
      <c r="M45" s="25"/>
      <c r="N45" s="25"/>
      <c r="O45" s="206">
        <f>IF(O44+1&lt;=MIN('Données projet'!$E$9:$E$18),O44+1,"STOP")</f>
        <v>12</v>
      </c>
      <c r="P45" s="196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2">
        <v>26</v>
      </c>
      <c r="I46" s="203"/>
      <c r="J46" s="25"/>
      <c r="K46" s="224"/>
      <c r="L46" s="219"/>
      <c r="M46" s="219"/>
      <c r="N46" s="219"/>
      <c r="O46" s="206">
        <f>IF(O45+1&lt;=MIN('Données projet'!$E$9:$E$18),O45+1,"STOP")</f>
        <v>13</v>
      </c>
      <c r="P46" s="199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2">
        <v>27</v>
      </c>
      <c r="I47" s="203"/>
      <c r="J47" s="25"/>
      <c r="K47" s="224"/>
      <c r="L47" s="5"/>
      <c r="M47" s="5"/>
      <c r="N47" s="5"/>
      <c r="O47" s="206">
        <f>IF(O46+1&lt;=MIN('Données projet'!$E$9:$E$18),O46+1,"STOP")</f>
        <v>14</v>
      </c>
      <c r="P47" s="196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/>
      <c r="D48" s="210" t="s">
        <v>132</v>
      </c>
      <c r="E48" s="205"/>
      <c r="F48" s="261"/>
      <c r="G48" s="217"/>
      <c r="H48" s="202">
        <v>28</v>
      </c>
      <c r="I48" s="203"/>
      <c r="J48" s="25"/>
      <c r="K48" s="224"/>
      <c r="L48" s="5"/>
      <c r="M48" s="5"/>
      <c r="N48" s="5"/>
      <c r="O48" s="206">
        <f>IF(O47+1&lt;=MIN('Données projet'!$E$9:$E$18),O47+1,"STOP")</f>
        <v>15</v>
      </c>
      <c r="P48" s="196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7" customFormat="1" ht="17.25" customHeight="1" x14ac:dyDescent="0.2">
      <c r="A49" s="209">
        <v>1</v>
      </c>
      <c r="B49" s="212" t="s">
        <v>132</v>
      </c>
      <c r="C49" s="211"/>
      <c r="D49" s="210" t="s">
        <v>132</v>
      </c>
      <c r="E49" s="205"/>
      <c r="F49" s="261"/>
      <c r="G49" s="218"/>
      <c r="H49" s="202">
        <v>29</v>
      </c>
      <c r="I49" s="203"/>
      <c r="J49" s="219"/>
      <c r="K49" s="226"/>
      <c r="L49" s="5"/>
      <c r="M49" s="5"/>
      <c r="N49" s="5"/>
      <c r="O49" s="206">
        <f>IF(O48+1&lt;=MIN('Données projet'!$E$9:$E$18),O48+1,"STOP")</f>
        <v>16</v>
      </c>
      <c r="P49" s="196">
        <f t="shared" si="3"/>
        <v>0</v>
      </c>
      <c r="Q49" s="266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</row>
    <row r="50" spans="1:56" ht="16" x14ac:dyDescent="0.2">
      <c r="A50" s="209">
        <v>2</v>
      </c>
      <c r="B50" s="212" t="s">
        <v>132</v>
      </c>
      <c r="C50" s="211"/>
      <c r="D50" s="210" t="s">
        <v>132</v>
      </c>
      <c r="E50" s="205"/>
      <c r="F50" s="261"/>
      <c r="G50" s="220"/>
      <c r="H50" s="202"/>
      <c r="I50" s="203"/>
      <c r="J50" s="25"/>
      <c r="K50" s="182"/>
      <c r="L50" s="5"/>
      <c r="M50" s="5"/>
      <c r="N50" s="5"/>
      <c r="O50" s="206">
        <f>IF(O49+1&lt;=MIN('Données projet'!$E$9:$E$18),O49+1,"STOP")</f>
        <v>17</v>
      </c>
      <c r="P50" s="196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/>
      <c r="D51" s="210" t="s">
        <v>132</v>
      </c>
      <c r="E51" s="205"/>
      <c r="F51" s="261"/>
      <c r="G51" s="220"/>
      <c r="H51" s="202"/>
      <c r="I51" s="203"/>
      <c r="J51" s="25"/>
      <c r="K51" s="182"/>
      <c r="L51" s="5"/>
      <c r="M51" s="5"/>
      <c r="N51" s="5"/>
      <c r="O51" s="206">
        <f>IF(O50+1&lt;=MIN('Données projet'!$E$9:$E$18),O50+1,"STOP")</f>
        <v>18</v>
      </c>
      <c r="P51" s="196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/>
      <c r="D52" s="210" t="s">
        <v>132</v>
      </c>
      <c r="E52" s="205"/>
      <c r="F52" s="261"/>
      <c r="G52" s="220"/>
      <c r="H52" s="202"/>
      <c r="I52" s="203"/>
      <c r="J52" s="25"/>
      <c r="K52" s="182"/>
      <c r="L52" s="5"/>
      <c r="M52" s="5"/>
      <c r="N52" s="5"/>
      <c r="O52" s="206">
        <f>IF(O51+1&lt;=MIN('Données projet'!$E$9:$E$18),O51+1,"STOP")</f>
        <v>19</v>
      </c>
      <c r="P52" s="196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/>
      <c r="D53" s="210" t="s">
        <v>132</v>
      </c>
      <c r="E53" s="205"/>
      <c r="F53" s="261"/>
      <c r="G53" s="221"/>
      <c r="H53" s="202"/>
      <c r="I53" s="203"/>
      <c r="J53" s="25"/>
      <c r="K53" s="182"/>
      <c r="L53" s="5"/>
      <c r="M53" s="5"/>
      <c r="N53" s="5"/>
      <c r="O53" s="206">
        <f>IF(O52+1&lt;=MIN('Données projet'!$E$9:$E$18),O52+1,"STOP")</f>
        <v>20</v>
      </c>
      <c r="P53" s="196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1">
        <f>'Données projet'!A62</f>
        <v>12</v>
      </c>
      <c r="B54" s="192">
        <f>'Données projet'!D62</f>
        <v>0</v>
      </c>
      <c r="C54" s="329"/>
      <c r="D54" s="190">
        <f>B54*C54</f>
        <v>0</v>
      </c>
      <c r="E54" s="205"/>
      <c r="F54" s="262"/>
      <c r="G54" s="221"/>
      <c r="H54" s="202"/>
      <c r="I54" s="203"/>
      <c r="J54" s="25"/>
      <c r="K54" s="182"/>
      <c r="L54" s="5"/>
      <c r="M54" s="5"/>
      <c r="N54" s="5"/>
      <c r="O54" s="206">
        <f>IF(O53+1&lt;=MIN('Données projet'!$E$9:$E$18),O53+1,"STOP")</f>
        <v>21</v>
      </c>
      <c r="P54" s="196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1">
        <f>'Données projet'!A63</f>
        <v>18</v>
      </c>
      <c r="B55" s="192">
        <f>'Données projet'!D63</f>
        <v>0</v>
      </c>
      <c r="C55" s="330"/>
      <c r="D55" s="190">
        <f t="shared" ref="D55:D73" si="4">B55*C55</f>
        <v>0</v>
      </c>
      <c r="E55" s="205"/>
      <c r="F55" s="262"/>
      <c r="G55" s="221"/>
      <c r="H55" s="202"/>
      <c r="I55" s="203"/>
      <c r="J55" s="25"/>
      <c r="K55" s="182"/>
      <c r="L55" s="5"/>
      <c r="M55" s="5"/>
      <c r="N55" s="5"/>
      <c r="O55" s="206">
        <f>IF(O54+1&lt;=MIN('Données projet'!$E$9:$E$18),O54+1,"STOP")</f>
        <v>22</v>
      </c>
      <c r="P55" s="196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1">
        <f>'Données projet'!A64</f>
        <v>24</v>
      </c>
      <c r="B56" s="192">
        <f>'Données projet'!D64</f>
        <v>0</v>
      </c>
      <c r="C56" s="330"/>
      <c r="D56" s="190">
        <f t="shared" si="4"/>
        <v>0</v>
      </c>
      <c r="E56" s="205"/>
      <c r="F56" s="262"/>
      <c r="G56" s="221"/>
      <c r="H56" s="202"/>
      <c r="I56" s="203"/>
      <c r="J56" s="25"/>
      <c r="K56" s="182"/>
      <c r="L56" s="5"/>
      <c r="M56" s="5"/>
      <c r="N56" s="5"/>
      <c r="O56" s="206">
        <f>IF(O55+1&lt;=MIN('Données projet'!$E$9:$E$18),O55+1,"STOP")</f>
        <v>23</v>
      </c>
      <c r="P56" s="196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1">
        <f>'Données projet'!A65</f>
        <v>30</v>
      </c>
      <c r="B57" s="192">
        <f>'Données projet'!D65</f>
        <v>107</v>
      </c>
      <c r="C57" s="330"/>
      <c r="D57" s="190">
        <f t="shared" si="4"/>
        <v>0</v>
      </c>
      <c r="E57" s="205"/>
      <c r="F57" s="262"/>
      <c r="G57" s="221"/>
      <c r="H57" s="202"/>
      <c r="I57" s="203"/>
      <c r="J57" s="25"/>
      <c r="K57" s="182"/>
      <c r="L57" s="5"/>
      <c r="M57" s="5"/>
      <c r="N57" s="5"/>
      <c r="O57" s="206">
        <f>IF(O56+1&lt;=MIN('Données projet'!$E$9:$E$18),O56+1,"STOP")</f>
        <v>24</v>
      </c>
      <c r="P57" s="196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1">
        <f>'Données projet'!A66</f>
        <v>36</v>
      </c>
      <c r="B58" s="192">
        <f>'Données projet'!D66</f>
        <v>119</v>
      </c>
      <c r="C58" s="330"/>
      <c r="D58" s="190">
        <f t="shared" si="4"/>
        <v>0</v>
      </c>
      <c r="E58" s="205"/>
      <c r="F58" s="262"/>
      <c r="G58" s="221"/>
      <c r="H58" s="202"/>
      <c r="I58" s="203"/>
      <c r="J58" s="25"/>
      <c r="K58" s="182"/>
      <c r="L58" s="5"/>
      <c r="M58" s="5"/>
      <c r="N58" s="5"/>
      <c r="O58" s="206">
        <f>IF(O57+1&lt;=MIN('Données projet'!$E$9:$E$18),O57+1,"STOP")</f>
        <v>25</v>
      </c>
      <c r="P58" s="196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1">
        <f>'Données projet'!A67</f>
        <v>42</v>
      </c>
      <c r="B59" s="192">
        <f>'Données projet'!D67</f>
        <v>121</v>
      </c>
      <c r="C59" s="330"/>
      <c r="D59" s="190">
        <f t="shared" si="4"/>
        <v>0</v>
      </c>
      <c r="E59" s="205"/>
      <c r="F59" s="262"/>
      <c r="G59" s="221"/>
      <c r="H59" s="202"/>
      <c r="I59" s="203"/>
      <c r="J59" s="25"/>
      <c r="K59" s="182"/>
      <c r="L59" s="5"/>
      <c r="M59" s="5"/>
      <c r="N59" s="5"/>
      <c r="O59" s="206">
        <f>IF(O58+1&lt;=MIN('Données projet'!$E$9:$E$18),O58+1,"STOP")</f>
        <v>26</v>
      </c>
      <c r="P59" s="196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1">
        <f>'Données projet'!A68</f>
        <v>48</v>
      </c>
      <c r="B60" s="192">
        <f>'Données projet'!D68</f>
        <v>123</v>
      </c>
      <c r="C60" s="330"/>
      <c r="D60" s="190">
        <f t="shared" si="4"/>
        <v>0</v>
      </c>
      <c r="E60" s="205"/>
      <c r="F60" s="262"/>
      <c r="G60" s="222"/>
      <c r="H60" s="202"/>
      <c r="I60" s="203"/>
      <c r="J60" s="25"/>
      <c r="K60" s="182"/>
      <c r="L60" s="5"/>
      <c r="M60" s="5"/>
      <c r="N60" s="5"/>
      <c r="O60" s="206">
        <f>IF(O59+1&lt;=MIN('Données projet'!$E$9:$E$18),O59+1,"STOP")</f>
        <v>27</v>
      </c>
      <c r="P60" s="196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1">
        <f>'Données projet'!A69</f>
        <v>54</v>
      </c>
      <c r="B61" s="192">
        <f>'Données projet'!D69</f>
        <v>119</v>
      </c>
      <c r="C61" s="330"/>
      <c r="D61" s="190">
        <f t="shared" si="4"/>
        <v>0</v>
      </c>
      <c r="E61" s="205"/>
      <c r="F61" s="262"/>
      <c r="G61" s="222"/>
      <c r="H61" s="202"/>
      <c r="I61" s="203"/>
      <c r="J61" s="25"/>
      <c r="K61" s="182"/>
      <c r="L61" s="5"/>
      <c r="M61" s="5"/>
      <c r="N61" s="5"/>
      <c r="O61" s="206">
        <f>IF(O60+1&lt;=MIN('Données projet'!$E$9:$E$18),O60+1,"STOP")</f>
        <v>28</v>
      </c>
      <c r="P61" s="196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1">
        <f>'Données projet'!A70</f>
        <v>60</v>
      </c>
      <c r="B62" s="192">
        <f>'Données projet'!D70</f>
        <v>112</v>
      </c>
      <c r="C62" s="330"/>
      <c r="D62" s="190">
        <f t="shared" si="4"/>
        <v>0</v>
      </c>
      <c r="E62" s="205"/>
      <c r="F62" s="262"/>
      <c r="G62" s="222"/>
      <c r="H62" s="202"/>
      <c r="I62" s="203"/>
      <c r="J62" s="25"/>
      <c r="K62" s="182"/>
      <c r="L62" s="5"/>
      <c r="M62" s="5"/>
      <c r="N62" s="5"/>
      <c r="O62" s="206">
        <f>IF(O61+1&lt;=MIN('Données projet'!$E$9:$E$18),O61+1,"STOP")</f>
        <v>29</v>
      </c>
      <c r="P62" s="196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1">
        <f>'Données projet'!A71</f>
        <v>66</v>
      </c>
      <c r="B63" s="192">
        <f>'Données projet'!D71</f>
        <v>109</v>
      </c>
      <c r="C63" s="330"/>
      <c r="D63" s="190">
        <f t="shared" si="4"/>
        <v>0</v>
      </c>
      <c r="E63" s="205"/>
      <c r="F63" s="262"/>
      <c r="G63" s="222"/>
      <c r="H63" s="202"/>
      <c r="I63" s="203"/>
      <c r="J63" s="25"/>
      <c r="K63" s="182"/>
      <c r="L63" s="5"/>
      <c r="M63" s="5"/>
      <c r="N63" s="5"/>
      <c r="O63" s="206">
        <f>IF(O62+1&lt;=MIN('Données projet'!$E$9:$E$18),O62+1,"STOP")</f>
        <v>30</v>
      </c>
      <c r="P63" s="196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1">
        <f>'Données projet'!A72</f>
        <v>72</v>
      </c>
      <c r="B64" s="192">
        <f>'Données projet'!D72</f>
        <v>101</v>
      </c>
      <c r="C64" s="330"/>
      <c r="D64" s="190">
        <f t="shared" si="4"/>
        <v>0</v>
      </c>
      <c r="E64" s="205"/>
      <c r="F64" s="262"/>
      <c r="G64" s="222"/>
      <c r="H64" s="202"/>
      <c r="I64" s="203"/>
      <c r="J64" s="223"/>
      <c r="K64" s="182"/>
      <c r="L64" s="5"/>
      <c r="M64" s="5"/>
      <c r="N64" s="5"/>
      <c r="O64" s="206">
        <f>IF(O63+1&lt;=MIN('Données projet'!$E$9:$E$18),O63+1,"STOP")</f>
        <v>31</v>
      </c>
      <c r="P64" s="196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1">
        <f>'Données projet'!A73</f>
        <v>78</v>
      </c>
      <c r="B65" s="192">
        <f>'Données projet'!D73</f>
        <v>426</v>
      </c>
      <c r="C65" s="203"/>
      <c r="D65" s="190">
        <f t="shared" si="4"/>
        <v>0</v>
      </c>
      <c r="E65" s="205"/>
      <c r="F65" s="262"/>
      <c r="G65" s="222"/>
      <c r="H65" s="202"/>
      <c r="I65" s="203"/>
      <c r="J65" s="200"/>
      <c r="K65" s="182"/>
      <c r="L65" s="5"/>
      <c r="M65" s="5"/>
      <c r="N65" s="5"/>
      <c r="O65" s="206">
        <f>IF(O64+1&lt;=MIN('Données projet'!$E$9:$E$18),O64+1,"STOP")</f>
        <v>32</v>
      </c>
      <c r="P65" s="196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1">
        <f>'Données projet'!A74</f>
        <v>0</v>
      </c>
      <c r="B66" s="192">
        <f>'Données projet'!D74</f>
        <v>0</v>
      </c>
      <c r="C66" s="203"/>
      <c r="D66" s="190">
        <f t="shared" si="4"/>
        <v>0</v>
      </c>
      <c r="E66" s="205"/>
      <c r="F66" s="262"/>
      <c r="G66" s="222"/>
      <c r="H66" s="202"/>
      <c r="I66" s="203"/>
      <c r="J66" s="200"/>
      <c r="K66" s="182"/>
      <c r="L66" s="5"/>
      <c r="M66" s="5"/>
      <c r="N66" s="5"/>
      <c r="O66" s="206">
        <f>IF(O65+1&lt;=MIN('Données projet'!$E$9:$E$18),O65+1,"STOP")</f>
        <v>33</v>
      </c>
      <c r="P66" s="196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1">
        <f>'Données projet'!A75</f>
        <v>0</v>
      </c>
      <c r="B67" s="192">
        <f>'Données projet'!D75</f>
        <v>0</v>
      </c>
      <c r="C67" s="203"/>
      <c r="D67" s="190">
        <f t="shared" si="4"/>
        <v>0</v>
      </c>
      <c r="E67" s="205"/>
      <c r="F67" s="262"/>
      <c r="G67" s="222"/>
      <c r="H67" s="202"/>
      <c r="I67" s="203"/>
      <c r="J67" s="200"/>
      <c r="K67" s="182"/>
      <c r="L67" s="5"/>
      <c r="M67" s="5"/>
      <c r="N67" s="5"/>
      <c r="O67" s="206">
        <f>IF(O66+1&lt;=MIN('Données projet'!$E$9:$E$18),O66+1,"STOP")</f>
        <v>34</v>
      </c>
      <c r="P67" s="196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1">
        <f>'Données projet'!A76</f>
        <v>0</v>
      </c>
      <c r="B68" s="192">
        <f>'Données projet'!D76</f>
        <v>0</v>
      </c>
      <c r="C68" s="203"/>
      <c r="D68" s="190">
        <f t="shared" si="4"/>
        <v>0</v>
      </c>
      <c r="E68" s="205"/>
      <c r="F68" s="262"/>
      <c r="G68" s="222"/>
      <c r="H68" s="202"/>
      <c r="I68" s="203"/>
      <c r="J68" s="200"/>
      <c r="K68" s="182"/>
      <c r="L68" s="5"/>
      <c r="M68" s="5"/>
      <c r="N68" s="5"/>
      <c r="O68" s="206">
        <f>IF(O67+1&lt;=MIN('Données projet'!$E$9:$E$18),O67+1,"STOP")</f>
        <v>35</v>
      </c>
      <c r="P68" s="196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1">
        <f>'Données projet'!A77</f>
        <v>0</v>
      </c>
      <c r="B69" s="192">
        <f>'Données projet'!D77</f>
        <v>0</v>
      </c>
      <c r="C69" s="203"/>
      <c r="D69" s="190">
        <f t="shared" si="4"/>
        <v>0</v>
      </c>
      <c r="E69" s="205"/>
      <c r="F69" s="262"/>
      <c r="G69" s="222"/>
      <c r="H69" s="202"/>
      <c r="I69" s="203"/>
      <c r="J69" s="200"/>
      <c r="K69" s="182"/>
      <c r="L69" s="5"/>
      <c r="M69" s="5"/>
      <c r="N69" s="5"/>
      <c r="O69" s="206">
        <f>IF(O68+1&lt;=MIN('Données projet'!$E$9:$E$18),O68+1,"STOP")</f>
        <v>36</v>
      </c>
      <c r="P69" s="196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1">
        <f>'Données projet'!A78</f>
        <v>0</v>
      </c>
      <c r="B70" s="192">
        <f>'Données projet'!D78</f>
        <v>0</v>
      </c>
      <c r="C70" s="203"/>
      <c r="D70" s="190">
        <f t="shared" si="4"/>
        <v>0</v>
      </c>
      <c r="E70" s="205"/>
      <c r="F70" s="262"/>
      <c r="G70" s="222"/>
      <c r="H70" s="202"/>
      <c r="I70" s="203"/>
      <c r="J70" s="200"/>
      <c r="K70" s="182"/>
      <c r="L70" s="5"/>
      <c r="M70" s="5"/>
      <c r="N70" s="5"/>
      <c r="O70" s="206">
        <f>IF(O69+1&lt;=MIN('Données projet'!$E$9:$E$18),O69+1,"STOP")</f>
        <v>37</v>
      </c>
      <c r="P70" s="196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1">
        <f>'Données projet'!A79</f>
        <v>0</v>
      </c>
      <c r="B71" s="192">
        <f>'Données projet'!D79</f>
        <v>0</v>
      </c>
      <c r="C71" s="203"/>
      <c r="D71" s="190">
        <f t="shared" si="4"/>
        <v>0</v>
      </c>
      <c r="E71" s="205"/>
      <c r="F71" s="262"/>
      <c r="G71" s="222"/>
      <c r="H71" s="202"/>
      <c r="I71" s="203"/>
      <c r="J71" s="200"/>
      <c r="K71" s="182"/>
      <c r="L71" s="5"/>
      <c r="M71" s="5"/>
      <c r="N71" s="5"/>
      <c r="O71" s="206">
        <f>IF(O70+1&lt;=MIN('Données projet'!$E$9:$E$18),O70+1,"STOP")</f>
        <v>38</v>
      </c>
      <c r="P71" s="196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1">
        <f>'Données projet'!A80</f>
        <v>0</v>
      </c>
      <c r="B72" s="192">
        <f>'Données projet'!D80</f>
        <v>0</v>
      </c>
      <c r="C72" s="203"/>
      <c r="D72" s="190">
        <f t="shared" si="4"/>
        <v>0</v>
      </c>
      <c r="E72" s="205"/>
      <c r="F72" s="262"/>
      <c r="G72" s="222"/>
      <c r="H72" s="202"/>
      <c r="I72" s="203"/>
      <c r="J72" s="5"/>
      <c r="K72" s="182"/>
      <c r="L72" s="5"/>
      <c r="M72" s="5"/>
      <c r="N72" s="5"/>
      <c r="O72" s="206">
        <f>IF(O71+1&lt;=MIN('Données projet'!$E$9:$E$18),O71+1,"STOP")</f>
        <v>39</v>
      </c>
      <c r="P72" s="196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1">
        <f>'Données projet'!A81</f>
        <v>0</v>
      </c>
      <c r="B73" s="192">
        <f>'Données projet'!D81</f>
        <v>0</v>
      </c>
      <c r="C73" s="203"/>
      <c r="D73" s="190">
        <f t="shared" si="4"/>
        <v>0</v>
      </c>
      <c r="E73" s="205"/>
      <c r="F73" s="262"/>
      <c r="G73" s="222"/>
      <c r="H73" s="202"/>
      <c r="I73" s="203"/>
      <c r="J73" s="5"/>
      <c r="K73" s="182"/>
      <c r="L73" s="5"/>
      <c r="M73" s="5"/>
      <c r="N73" s="5"/>
      <c r="O73" s="206">
        <f>IF(O72+1&lt;=MIN('Données projet'!$E$9:$E$18),O72+1,"STOP")</f>
        <v>40</v>
      </c>
      <c r="P73" s="196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2"/>
      <c r="I74" s="203"/>
      <c r="J74" s="5"/>
      <c r="K74" s="182"/>
      <c r="L74" s="5"/>
      <c r="M74" s="5"/>
      <c r="N74" s="5"/>
      <c r="O74" s="206">
        <f>IF(O73+1&lt;=MIN('Données projet'!$E$9:$E$18),O73+1,"STOP")</f>
        <v>41</v>
      </c>
      <c r="P74" s="196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2"/>
      <c r="I75" s="203"/>
      <c r="J75" s="5"/>
      <c r="K75" s="182"/>
      <c r="L75" s="5"/>
      <c r="M75" s="5"/>
      <c r="N75" s="5"/>
      <c r="O75" s="206">
        <f>IF(O74+1&lt;=MIN('Données projet'!$E$9:$E$18),O74+1,"STOP")</f>
        <v>42</v>
      </c>
      <c r="P75" s="196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5" t="str">
        <f>IF('Données projet'!B11="","",'Données projet'!B11)</f>
        <v>Mélèze hybride</v>
      </c>
      <c r="C76" s="5"/>
      <c r="D76" s="5"/>
      <c r="E76" s="5"/>
      <c r="F76" s="260"/>
      <c r="G76" s="222"/>
      <c r="H76" s="202"/>
      <c r="I76" s="203"/>
      <c r="J76" s="5"/>
      <c r="K76" s="182"/>
      <c r="L76" s="5"/>
      <c r="M76" s="5"/>
      <c r="N76" s="5"/>
      <c r="O76" s="206">
        <f>IF(O75+1&lt;=MIN('Données projet'!$E$9:$E$18),O75+1,"STOP")</f>
        <v>43</v>
      </c>
      <c r="P76" s="196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2"/>
      <c r="I77" s="203"/>
      <c r="J77" s="5"/>
      <c r="K77" s="182"/>
      <c r="L77" s="5"/>
      <c r="M77" s="5"/>
      <c r="N77" s="5"/>
      <c r="O77" s="206">
        <f>IF(O76+1&lt;=MIN('Données projet'!$E$9:$E$18),O76+1,"STOP")</f>
        <v>44</v>
      </c>
      <c r="P77" s="196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2"/>
      <c r="I78" s="203"/>
      <c r="J78" s="5"/>
      <c r="K78" s="182"/>
      <c r="L78" s="5"/>
      <c r="M78" s="5"/>
      <c r="N78" s="5"/>
      <c r="O78" s="206">
        <f>IF(O77+1&lt;=MIN('Données projet'!$E$9:$E$18),O77+1,"STOP")</f>
        <v>45</v>
      </c>
      <c r="P78" s="196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5"/>
      <c r="F79" s="261"/>
      <c r="G79" s="222"/>
      <c r="H79" s="202"/>
      <c r="I79" s="203"/>
      <c r="J79" s="5"/>
      <c r="K79" s="182"/>
      <c r="L79" s="5"/>
      <c r="M79" s="5"/>
      <c r="N79" s="5"/>
      <c r="O79" s="206">
        <f>IF(O78+1&lt;=MIN('Données projet'!$E$9:$E$18),O78+1,"STOP")</f>
        <v>46</v>
      </c>
      <c r="P79" s="196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5"/>
      <c r="F80" s="261"/>
      <c r="G80" s="220"/>
      <c r="H80" s="202"/>
      <c r="I80" s="203"/>
      <c r="J80" s="5"/>
      <c r="K80" s="182"/>
      <c r="L80" s="5"/>
      <c r="M80" s="5"/>
      <c r="N80" s="5"/>
      <c r="O80" s="206">
        <f>IF(O79+1&lt;=MIN('Données projet'!$E$9:$E$18),O79+1,"STOP")</f>
        <v>47</v>
      </c>
      <c r="P80" s="196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5"/>
      <c r="F81" s="261"/>
      <c r="G81" s="220"/>
      <c r="H81" s="202"/>
      <c r="I81" s="203"/>
      <c r="J81" s="5"/>
      <c r="K81" s="182"/>
      <c r="L81" s="5"/>
      <c r="M81" s="5"/>
      <c r="N81" s="5"/>
      <c r="O81" s="206">
        <f>IF(O80+1&lt;=MIN('Données projet'!$E$9:$E$18),O80+1,"STOP")</f>
        <v>48</v>
      </c>
      <c r="P81" s="196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5"/>
      <c r="F82" s="261"/>
      <c r="G82" s="220"/>
      <c r="H82" s="202"/>
      <c r="I82" s="203"/>
      <c r="J82" s="5"/>
      <c r="K82" s="182"/>
      <c r="L82" s="5"/>
      <c r="M82" s="5"/>
      <c r="N82" s="5"/>
      <c r="O82" s="206">
        <f>IF(O81+1&lt;=MIN('Données projet'!$E$9:$E$18),O81+1,"STOP")</f>
        <v>49</v>
      </c>
      <c r="P82" s="196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5"/>
      <c r="F83" s="261"/>
      <c r="G83" s="220"/>
      <c r="H83" s="202"/>
      <c r="I83" s="203"/>
      <c r="J83" s="5"/>
      <c r="K83" s="182"/>
      <c r="L83" s="5"/>
      <c r="M83" s="5"/>
      <c r="N83" s="5"/>
      <c r="O83" s="206">
        <f>IF(O82+1&lt;=MIN('Données projet'!$E$9:$E$18),O82+1,"STOP")</f>
        <v>50</v>
      </c>
      <c r="P83" s="196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5"/>
      <c r="F84" s="261"/>
      <c r="G84" s="221"/>
      <c r="H84" s="202"/>
      <c r="I84" s="203"/>
      <c r="J84" s="5"/>
      <c r="K84" s="182"/>
      <c r="L84" s="5"/>
      <c r="M84" s="5"/>
      <c r="N84" s="5"/>
      <c r="O84" s="206">
        <f>IF(O83+1&lt;=MIN('Données projet'!$E$9:$E$18),O83+1,"STOP")</f>
        <v>51</v>
      </c>
      <c r="P84" s="196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1">
        <f>'Données projet'!A88</f>
        <v>12</v>
      </c>
      <c r="B85" s="192">
        <f>'Données projet'!D88</f>
        <v>0</v>
      </c>
      <c r="C85" s="329"/>
      <c r="D85" s="190">
        <f>B85*C85</f>
        <v>0</v>
      </c>
      <c r="E85" s="205"/>
      <c r="F85" s="262"/>
      <c r="G85" s="221"/>
      <c r="H85" s="202"/>
      <c r="I85" s="203"/>
      <c r="J85" s="5"/>
      <c r="K85" s="182"/>
      <c r="L85" s="5"/>
      <c r="M85" s="5"/>
      <c r="N85" s="5"/>
      <c r="O85" s="206">
        <f>IF(O84+1&lt;=MIN('Données projet'!$E$9:$E$18),O84+1,"STOP")</f>
        <v>52</v>
      </c>
      <c r="P85" s="196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1">
        <f>'Données projet'!A89</f>
        <v>18</v>
      </c>
      <c r="B86" s="192">
        <f>'Données projet'!D89</f>
        <v>0</v>
      </c>
      <c r="C86" s="330"/>
      <c r="D86" s="190">
        <f t="shared" ref="D86:D104" si="6">B86*C86</f>
        <v>0</v>
      </c>
      <c r="E86" s="205"/>
      <c r="F86" s="262"/>
      <c r="G86" s="221"/>
      <c r="H86" s="202"/>
      <c r="I86" s="203"/>
      <c r="J86" s="5"/>
      <c r="K86" s="182"/>
      <c r="L86" s="5"/>
      <c r="M86" s="5"/>
      <c r="N86" s="5"/>
      <c r="O86" s="206">
        <f>IF(O85+1&lt;=MIN('Données projet'!$E$9:$E$18),O85+1,"STOP")</f>
        <v>53</v>
      </c>
      <c r="P86" s="196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1">
        <f>'Données projet'!A90</f>
        <v>24</v>
      </c>
      <c r="B87" s="192">
        <f>'Données projet'!D90</f>
        <v>0</v>
      </c>
      <c r="C87" s="330"/>
      <c r="D87" s="190">
        <f t="shared" si="6"/>
        <v>0</v>
      </c>
      <c r="E87" s="205"/>
      <c r="F87" s="262"/>
      <c r="G87" s="221"/>
      <c r="H87" s="202"/>
      <c r="I87" s="203"/>
      <c r="J87" s="5"/>
      <c r="K87" s="182"/>
      <c r="L87" s="5"/>
      <c r="M87" s="5"/>
      <c r="N87" s="5"/>
      <c r="O87" s="206">
        <f>IF(O86+1&lt;=MIN('Données projet'!$E$9:$E$18),O86+1,"STOP")</f>
        <v>54</v>
      </c>
      <c r="P87" s="196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1">
        <f>'Données projet'!A91</f>
        <v>30</v>
      </c>
      <c r="B88" s="192">
        <f>'Données projet'!D91</f>
        <v>107</v>
      </c>
      <c r="C88" s="330"/>
      <c r="D88" s="190">
        <f t="shared" si="6"/>
        <v>0</v>
      </c>
      <c r="E88" s="205"/>
      <c r="F88" s="262"/>
      <c r="G88" s="221"/>
      <c r="H88" s="202"/>
      <c r="I88" s="203"/>
      <c r="J88" s="5"/>
      <c r="K88" s="182"/>
      <c r="L88" s="5"/>
      <c r="M88" s="5"/>
      <c r="N88" s="5"/>
      <c r="O88" s="206">
        <f>IF(O87+1&lt;=MIN('Données projet'!$E$9:$E$18),O87+1,"STOP")</f>
        <v>55</v>
      </c>
      <c r="P88" s="196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1">
        <f>'Données projet'!A92</f>
        <v>36</v>
      </c>
      <c r="B89" s="192">
        <f>'Données projet'!D92</f>
        <v>119</v>
      </c>
      <c r="C89" s="330"/>
      <c r="D89" s="190">
        <f t="shared" si="6"/>
        <v>0</v>
      </c>
      <c r="E89" s="205"/>
      <c r="F89" s="262"/>
      <c r="G89" s="221"/>
      <c r="H89" s="202"/>
      <c r="I89" s="203"/>
      <c r="J89" s="5"/>
      <c r="K89" s="182"/>
      <c r="L89" s="5"/>
      <c r="M89" s="5"/>
      <c r="N89" s="5"/>
      <c r="O89" s="206" t="str">
        <f>IF(O88+1&lt;=MIN('Données projet'!$E$9:$E$18),O88+1,"STOP")</f>
        <v>STOP</v>
      </c>
      <c r="P89" s="196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1">
        <f>'Données projet'!A93</f>
        <v>42</v>
      </c>
      <c r="B90" s="192">
        <f>'Données projet'!D93</f>
        <v>121</v>
      </c>
      <c r="C90" s="330"/>
      <c r="D90" s="190">
        <f t="shared" si="6"/>
        <v>0</v>
      </c>
      <c r="E90" s="205"/>
      <c r="F90" s="262"/>
      <c r="G90" s="221"/>
      <c r="H90" s="202"/>
      <c r="I90" s="203"/>
      <c r="J90" s="5"/>
      <c r="K90" s="182"/>
      <c r="L90" s="5"/>
      <c r="M90" s="5"/>
      <c r="N90" s="5"/>
      <c r="O90" s="206" t="e">
        <f>IF(O89+1&lt;=MIN('Données projet'!$E$9:$E$18),O89+1,"STOP")</f>
        <v>#VALUE!</v>
      </c>
      <c r="P90" s="196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1">
        <f>'Données projet'!A94</f>
        <v>48</v>
      </c>
      <c r="B91" s="192">
        <f>'Données projet'!D94</f>
        <v>123</v>
      </c>
      <c r="C91" s="330"/>
      <c r="D91" s="190">
        <f t="shared" si="6"/>
        <v>0</v>
      </c>
      <c r="E91" s="205"/>
      <c r="F91" s="262"/>
      <c r="G91" s="222"/>
      <c r="H91" s="202"/>
      <c r="I91" s="203"/>
      <c r="J91" s="5"/>
      <c r="K91" s="182"/>
      <c r="L91" s="5"/>
      <c r="M91" s="5"/>
      <c r="N91" s="5"/>
      <c r="O91" s="206" t="e">
        <f>IF(O90+1&lt;=MIN('Données projet'!$E$9:$E$18),O90+1,"STOP")</f>
        <v>#VALUE!</v>
      </c>
      <c r="P91" s="196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1">
        <f>'Données projet'!A95</f>
        <v>54</v>
      </c>
      <c r="B92" s="192">
        <f>'Données projet'!D95</f>
        <v>119</v>
      </c>
      <c r="C92" s="330"/>
      <c r="D92" s="190">
        <f t="shared" si="6"/>
        <v>0</v>
      </c>
      <c r="E92" s="205"/>
      <c r="F92" s="262"/>
      <c r="G92" s="222"/>
      <c r="H92" s="202"/>
      <c r="I92" s="203"/>
      <c r="J92" s="5"/>
      <c r="K92" s="182"/>
      <c r="L92" s="5"/>
      <c r="M92" s="5"/>
      <c r="N92" s="5"/>
      <c r="O92" s="206" t="e">
        <f>IF(O91+1&lt;=MIN('Données projet'!$E$9:$E$18),O91+1,"STOP")</f>
        <v>#VALUE!</v>
      </c>
      <c r="P92" s="196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1">
        <f>'Données projet'!A96</f>
        <v>60</v>
      </c>
      <c r="B93" s="192">
        <f>'Données projet'!D96</f>
        <v>112</v>
      </c>
      <c r="C93" s="330"/>
      <c r="D93" s="190">
        <f t="shared" si="6"/>
        <v>0</v>
      </c>
      <c r="E93" s="205"/>
      <c r="F93" s="262"/>
      <c r="G93" s="222"/>
      <c r="H93" s="202"/>
      <c r="I93" s="203"/>
      <c r="J93" s="5"/>
      <c r="K93" s="182"/>
      <c r="L93" s="5"/>
      <c r="M93" s="5"/>
      <c r="N93" s="5"/>
      <c r="O93" s="206" t="e">
        <f>IF(O92+1&lt;=MIN('Données projet'!$E$9:$E$18),O92+1,"STOP")</f>
        <v>#VALUE!</v>
      </c>
      <c r="P93" s="196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1">
        <f>'Données projet'!A97</f>
        <v>66</v>
      </c>
      <c r="B94" s="192">
        <f>'Données projet'!D97</f>
        <v>109</v>
      </c>
      <c r="C94" s="330"/>
      <c r="D94" s="190">
        <f t="shared" si="6"/>
        <v>0</v>
      </c>
      <c r="E94" s="205"/>
      <c r="F94" s="262"/>
      <c r="G94" s="222"/>
      <c r="H94" s="202"/>
      <c r="I94" s="203"/>
      <c r="J94" s="5"/>
      <c r="K94" s="182"/>
      <c r="L94" s="5"/>
      <c r="M94" s="5"/>
      <c r="N94" s="5"/>
      <c r="O94" s="206" t="e">
        <f>IF(O93+1&lt;=MIN('Données projet'!$E$9:$E$18),O93+1,"STOP")</f>
        <v>#VALUE!</v>
      </c>
      <c r="P94" s="196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1">
        <f>'Données projet'!A98</f>
        <v>72</v>
      </c>
      <c r="B95" s="192">
        <f>'Données projet'!D98</f>
        <v>101</v>
      </c>
      <c r="C95" s="330"/>
      <c r="D95" s="190">
        <f t="shared" si="6"/>
        <v>0</v>
      </c>
      <c r="E95" s="205"/>
      <c r="F95" s="262"/>
      <c r="G95" s="222"/>
      <c r="H95" s="202"/>
      <c r="I95" s="203"/>
      <c r="J95" s="5"/>
      <c r="K95" s="182"/>
      <c r="L95" s="5"/>
      <c r="M95" s="5"/>
      <c r="N95" s="5"/>
      <c r="O95" s="206" t="e">
        <f>IF(O94+1&lt;=MIN('Données projet'!$E$9:$E$18),O94+1,"STOP")</f>
        <v>#VALUE!</v>
      </c>
      <c r="P95" s="196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1">
        <f>'Données projet'!A99</f>
        <v>78</v>
      </c>
      <c r="B96" s="192">
        <f>'Données projet'!D99</f>
        <v>426</v>
      </c>
      <c r="C96" s="203"/>
      <c r="D96" s="190">
        <f t="shared" si="6"/>
        <v>0</v>
      </c>
      <c r="E96" s="205"/>
      <c r="F96" s="262"/>
      <c r="G96" s="222"/>
      <c r="H96" s="202"/>
      <c r="I96" s="203"/>
      <c r="J96" s="5"/>
      <c r="K96" s="182"/>
      <c r="L96" s="5"/>
      <c r="M96" s="5"/>
      <c r="N96" s="5"/>
      <c r="O96" s="206" t="e">
        <f>IF(O95+1&lt;=MIN('Données projet'!$E$9:$E$18),O95+1,"STOP")</f>
        <v>#VALUE!</v>
      </c>
      <c r="P96" s="196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1">
        <f>'Données projet'!A100</f>
        <v>0</v>
      </c>
      <c r="B97" s="192">
        <f>'Données projet'!D100</f>
        <v>0</v>
      </c>
      <c r="C97" s="203"/>
      <c r="D97" s="190">
        <f t="shared" si="6"/>
        <v>0</v>
      </c>
      <c r="E97" s="205"/>
      <c r="F97" s="262"/>
      <c r="G97" s="222"/>
      <c r="H97" s="202"/>
      <c r="I97" s="203"/>
      <c r="J97" s="5"/>
      <c r="K97" s="182"/>
      <c r="L97" s="5"/>
      <c r="M97" s="5"/>
      <c r="N97" s="5"/>
      <c r="O97" s="206" t="e">
        <f>IF(O96+1&lt;=MIN('Données projet'!$E$9:$E$18),O96+1,"STOP")</f>
        <v>#VALUE!</v>
      </c>
      <c r="P97" s="196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1">
        <f>'Données projet'!A101</f>
        <v>0</v>
      </c>
      <c r="B98" s="192">
        <f>'Données projet'!D101</f>
        <v>0</v>
      </c>
      <c r="C98" s="203"/>
      <c r="D98" s="190">
        <f t="shared" si="6"/>
        <v>0</v>
      </c>
      <c r="E98" s="205"/>
      <c r="F98" s="262"/>
      <c r="G98" s="222"/>
      <c r="H98" s="202"/>
      <c r="I98" s="203"/>
      <c r="J98" s="5"/>
      <c r="K98" s="182"/>
      <c r="L98" s="5"/>
      <c r="M98" s="5"/>
      <c r="N98" s="5"/>
      <c r="O98" s="206" t="e">
        <f>IF(O97+1&lt;=MIN('Données projet'!$E$9:$E$18),O97+1,"STOP")</f>
        <v>#VALUE!</v>
      </c>
      <c r="P98" s="196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1">
        <f>'Données projet'!A102</f>
        <v>0</v>
      </c>
      <c r="B99" s="192">
        <f>'Données projet'!D102</f>
        <v>0</v>
      </c>
      <c r="C99" s="203"/>
      <c r="D99" s="190">
        <f t="shared" si="6"/>
        <v>0</v>
      </c>
      <c r="E99" s="205"/>
      <c r="F99" s="262"/>
      <c r="G99" s="222"/>
      <c r="H99" s="202"/>
      <c r="I99" s="203"/>
      <c r="J99" s="5"/>
      <c r="K99" s="182"/>
      <c r="L99" s="5"/>
      <c r="M99" s="5"/>
      <c r="N99" s="5"/>
      <c r="O99" s="206" t="e">
        <f>IF(O98+1&lt;=MIN('Données projet'!$E$9:$E$18),O98+1,"STOP")</f>
        <v>#VALUE!</v>
      </c>
      <c r="P99" s="196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1">
        <f>'Données projet'!A103</f>
        <v>0</v>
      </c>
      <c r="B100" s="192">
        <f>'Données projet'!D103</f>
        <v>0</v>
      </c>
      <c r="C100" s="203"/>
      <c r="D100" s="190">
        <f t="shared" si="6"/>
        <v>0</v>
      </c>
      <c r="E100" s="205"/>
      <c r="F100" s="262"/>
      <c r="G100" s="222"/>
      <c r="H100" s="202"/>
      <c r="I100" s="203"/>
      <c r="J100" s="5"/>
      <c r="K100" s="182"/>
      <c r="L100" s="5"/>
      <c r="M100" s="5"/>
      <c r="N100" s="5"/>
      <c r="O100" s="206" t="e">
        <f>IF(O99+1&lt;=MIN('Données projet'!$E$9:$E$18),O99+1,"STOP")</f>
        <v>#VALUE!</v>
      </c>
      <c r="P100" s="196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1">
        <f>'Données projet'!A104</f>
        <v>0</v>
      </c>
      <c r="B101" s="192">
        <f>'Données projet'!D104</f>
        <v>0</v>
      </c>
      <c r="C101" s="203"/>
      <c r="D101" s="190">
        <f t="shared" si="6"/>
        <v>0</v>
      </c>
      <c r="E101" s="205"/>
      <c r="F101" s="262"/>
      <c r="G101" s="222"/>
      <c r="H101" s="202"/>
      <c r="I101" s="203"/>
      <c r="J101" s="5"/>
      <c r="K101" s="182"/>
      <c r="L101" s="5"/>
      <c r="M101" s="5"/>
      <c r="N101" s="5"/>
      <c r="O101" s="206" t="e">
        <f>IF(O100+1&lt;=MIN('Données projet'!$E$9:$E$18),O100+1,"STOP")</f>
        <v>#VALUE!</v>
      </c>
      <c r="P101" s="196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1">
        <f>'Données projet'!A105</f>
        <v>0</v>
      </c>
      <c r="B102" s="192">
        <f>'Données projet'!D105</f>
        <v>0</v>
      </c>
      <c r="C102" s="203"/>
      <c r="D102" s="190">
        <f t="shared" si="6"/>
        <v>0</v>
      </c>
      <c r="E102" s="205"/>
      <c r="F102" s="262"/>
      <c r="G102" s="222"/>
      <c r="H102" s="202"/>
      <c r="I102" s="203"/>
      <c r="J102" s="5"/>
      <c r="K102" s="182"/>
      <c r="L102" s="5"/>
      <c r="M102" s="5"/>
      <c r="N102" s="5"/>
      <c r="O102" s="206" t="e">
        <f>IF(O101+1&lt;=MIN('Données projet'!$E$9:$E$18),O101+1,"STOP")</f>
        <v>#VALUE!</v>
      </c>
      <c r="P102" s="196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1">
        <f>'Données projet'!A106</f>
        <v>0</v>
      </c>
      <c r="B103" s="192">
        <f>'Données projet'!D106</f>
        <v>0</v>
      </c>
      <c r="C103" s="203"/>
      <c r="D103" s="190">
        <f t="shared" si="6"/>
        <v>0</v>
      </c>
      <c r="E103" s="205"/>
      <c r="F103" s="262"/>
      <c r="G103" s="222"/>
      <c r="H103" s="202"/>
      <c r="I103" s="203"/>
      <c r="J103" s="5"/>
      <c r="K103" s="182"/>
      <c r="L103" s="5"/>
      <c r="M103" s="5"/>
      <c r="N103" s="5"/>
      <c r="O103" s="206" t="e">
        <f>IF(O102+1&lt;=MIN('Données projet'!$E$9:$E$18),O102+1,"STOP")</f>
        <v>#VALUE!</v>
      </c>
      <c r="P103" s="196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1">
        <f>'Données projet'!A107</f>
        <v>0</v>
      </c>
      <c r="B104" s="192">
        <f>'Données projet'!D107</f>
        <v>0</v>
      </c>
      <c r="C104" s="203"/>
      <c r="D104" s="190">
        <f t="shared" si="6"/>
        <v>0</v>
      </c>
      <c r="E104" s="205"/>
      <c r="F104" s="262"/>
      <c r="G104" s="222"/>
      <c r="H104" s="202"/>
      <c r="I104" s="203"/>
      <c r="J104" s="5"/>
      <c r="K104" s="182"/>
      <c r="L104" s="5"/>
      <c r="M104" s="5"/>
      <c r="N104" s="5"/>
      <c r="O104" s="206" t="e">
        <f>IF(O103+1&lt;=MIN('Données projet'!$E$9:$E$18),O103+1,"STOP")</f>
        <v>#VALUE!</v>
      </c>
      <c r="P104" s="196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2"/>
      <c r="I105" s="203"/>
      <c r="J105" s="5"/>
      <c r="K105" s="182"/>
      <c r="L105" s="5"/>
      <c r="M105" s="5"/>
      <c r="N105" s="5"/>
      <c r="O105" s="206" t="e">
        <f>IF(O104+1&lt;=MIN('Données projet'!$E$9:$E$18),O104+1,"STOP")</f>
        <v>#VALUE!</v>
      </c>
      <c r="P105" s="196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2"/>
      <c r="I106" s="203"/>
      <c r="J106" s="5"/>
      <c r="K106" s="182"/>
      <c r="L106" s="5"/>
      <c r="M106" s="5"/>
      <c r="N106" s="5"/>
      <c r="O106" s="206" t="e">
        <f>IF(O105+1&lt;=MIN('Données projet'!$E$9:$E$18),O105+1,"STOP")</f>
        <v>#VALUE!</v>
      </c>
      <c r="P106" s="196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5" t="str">
        <f>IF('Données projet'!B12="","",'Données projet'!B12)</f>
        <v>Chêne sessile</v>
      </c>
      <c r="C107" s="5"/>
      <c r="D107" s="5"/>
      <c r="E107" s="5"/>
      <c r="F107" s="260"/>
      <c r="G107" s="222"/>
      <c r="H107" s="202"/>
      <c r="I107" s="203"/>
      <c r="J107" s="5"/>
      <c r="K107" s="182"/>
      <c r="L107" s="5"/>
      <c r="M107" s="5"/>
      <c r="N107" s="5"/>
      <c r="O107" s="206" t="e">
        <f>IF(O106+1&lt;=MIN('Données projet'!$E$9:$E$18),O106+1,"STOP")</f>
        <v>#VALUE!</v>
      </c>
      <c r="P107" s="196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2"/>
      <c r="I108" s="203"/>
      <c r="J108" s="5"/>
      <c r="K108" s="182"/>
      <c r="L108" s="5"/>
      <c r="M108" s="5"/>
      <c r="N108" s="5"/>
      <c r="O108" s="206" t="e">
        <f>IF(O107+1&lt;=MIN('Données projet'!$E$9:$E$18),O107+1,"STOP")</f>
        <v>#VALUE!</v>
      </c>
      <c r="P108" s="196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2"/>
      <c r="I109" s="203"/>
      <c r="J109" s="5"/>
      <c r="K109" s="182"/>
      <c r="L109" s="5"/>
      <c r="M109" s="5"/>
      <c r="N109" s="5"/>
      <c r="O109" s="206" t="e">
        <f>IF(O108+1&lt;=MIN('Données projet'!$E$9:$E$18),O108+1,"STOP")</f>
        <v>#VALUE!</v>
      </c>
      <c r="P109" s="196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/>
      <c r="D110" s="210" t="s">
        <v>132</v>
      </c>
      <c r="E110" s="205"/>
      <c r="F110" s="261"/>
      <c r="G110" s="222"/>
      <c r="H110" s="202"/>
      <c r="I110" s="203"/>
      <c r="J110" s="5"/>
      <c r="K110" s="182"/>
      <c r="L110" s="5"/>
      <c r="M110" s="5"/>
      <c r="N110" s="5"/>
      <c r="O110" s="206" t="e">
        <f>IF(O109+1&lt;=MIN('Données projet'!$E$9:$E$18),O109+1,"STOP")</f>
        <v>#VALUE!</v>
      </c>
      <c r="P110" s="196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/>
      <c r="D111" s="210" t="s">
        <v>132</v>
      </c>
      <c r="E111" s="205"/>
      <c r="F111" s="261"/>
      <c r="G111" s="220"/>
      <c r="H111" s="202"/>
      <c r="I111" s="203"/>
      <c r="J111" s="5"/>
      <c r="K111" s="182"/>
      <c r="L111" s="5"/>
      <c r="M111" s="5"/>
      <c r="N111" s="5"/>
      <c r="O111" s="206" t="e">
        <f>IF(O110+1&lt;=MIN('Données projet'!$E$9:$E$18),O110+1,"STOP")</f>
        <v>#VALUE!</v>
      </c>
      <c r="P111" s="196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/>
      <c r="D112" s="210" t="s">
        <v>132</v>
      </c>
      <c r="E112" s="205"/>
      <c r="F112" s="261"/>
      <c r="G112" s="220"/>
      <c r="H112" s="202"/>
      <c r="I112" s="203"/>
      <c r="J112" s="5"/>
      <c r="K112" s="182"/>
      <c r="L112" s="5"/>
      <c r="M112" s="5"/>
      <c r="N112" s="5"/>
      <c r="O112" s="206" t="e">
        <f>IF(O111+1&lt;=MIN('Données projet'!$E$9:$E$18),O111+1,"STOP")</f>
        <v>#VALUE!</v>
      </c>
      <c r="P112" s="196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/>
      <c r="D113" s="210" t="s">
        <v>132</v>
      </c>
      <c r="E113" s="205"/>
      <c r="F113" s="261"/>
      <c r="G113" s="220"/>
      <c r="H113" s="202"/>
      <c r="I113" s="203"/>
      <c r="J113" s="5"/>
      <c r="K113" s="182"/>
      <c r="L113" s="5"/>
      <c r="M113" s="5"/>
      <c r="N113" s="5"/>
      <c r="O113" s="206" t="e">
        <f>IF(O112+1&lt;=MIN('Données projet'!$E$9:$E$18),O112+1,"STOP")</f>
        <v>#VALUE!</v>
      </c>
      <c r="P113" s="196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/>
      <c r="D114" s="210" t="s">
        <v>132</v>
      </c>
      <c r="E114" s="205"/>
      <c r="F114" s="261"/>
      <c r="G114" s="220"/>
      <c r="H114" s="202"/>
      <c r="I114" s="203"/>
      <c r="J114" s="5"/>
      <c r="K114" s="182"/>
      <c r="L114" s="5"/>
      <c r="M114" s="5"/>
      <c r="N114" s="5"/>
      <c r="O114" s="206" t="e">
        <f>IF(O113+1&lt;=MIN('Données projet'!$E$9:$E$18),O113+1,"STOP")</f>
        <v>#VALUE!</v>
      </c>
      <c r="P114" s="196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/>
      <c r="D115" s="210" t="s">
        <v>132</v>
      </c>
      <c r="E115" s="205"/>
      <c r="F115" s="261"/>
      <c r="G115" s="221"/>
      <c r="H115" s="202"/>
      <c r="I115" s="203"/>
      <c r="J115" s="5"/>
      <c r="K115" s="182"/>
      <c r="L115" s="5"/>
      <c r="M115" s="5"/>
      <c r="N115" s="5"/>
      <c r="O115" s="206" t="e">
        <f>IF(O114+1&lt;=MIN('Données projet'!$E$9:$E$18),O114+1,"STOP")</f>
        <v>#VALUE!</v>
      </c>
      <c r="P115" s="196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1">
        <f>'Données projet'!A114</f>
        <v>42</v>
      </c>
      <c r="B116" s="192">
        <f>'Données projet'!D114</f>
        <v>30</v>
      </c>
      <c r="C116" s="329"/>
      <c r="D116" s="190">
        <f>B116*C116</f>
        <v>0</v>
      </c>
      <c r="E116" s="205"/>
      <c r="F116" s="262"/>
      <c r="G116" s="221"/>
      <c r="H116" s="202"/>
      <c r="I116" s="203"/>
      <c r="J116" s="5"/>
      <c r="K116" s="182"/>
      <c r="L116" s="5"/>
      <c r="M116" s="5"/>
      <c r="N116" s="5"/>
      <c r="O116" s="206" t="e">
        <f>IF(O115+1&lt;=MIN('Données projet'!$E$9:$E$18),O115+1,"STOP")</f>
        <v>#VALUE!</v>
      </c>
      <c r="P116" s="196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1">
        <f>'Données projet'!A115</f>
        <v>48</v>
      </c>
      <c r="B117" s="192">
        <f>'Données projet'!D115</f>
        <v>28</v>
      </c>
      <c r="C117" s="330"/>
      <c r="D117" s="190">
        <f t="shared" ref="D117:D135" si="8">B117*C117</f>
        <v>0</v>
      </c>
      <c r="E117" s="205"/>
      <c r="F117" s="262"/>
      <c r="G117" s="221"/>
      <c r="H117" s="202"/>
      <c r="I117" s="203"/>
      <c r="J117" s="5"/>
      <c r="K117" s="182"/>
      <c r="L117" s="5"/>
      <c r="M117" s="5"/>
      <c r="N117" s="5"/>
      <c r="O117" s="206" t="e">
        <f>IF(O116+1&lt;=MIN('Données projet'!$E$9:$E$18),O116+1,"STOP")</f>
        <v>#VALUE!</v>
      </c>
      <c r="P117" s="196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1">
        <f>'Données projet'!A116</f>
        <v>56</v>
      </c>
      <c r="B118" s="192">
        <f>'Données projet'!D116</f>
        <v>36</v>
      </c>
      <c r="C118" s="330"/>
      <c r="D118" s="190">
        <f t="shared" si="8"/>
        <v>0</v>
      </c>
      <c r="E118" s="205"/>
      <c r="F118" s="262"/>
      <c r="G118" s="221"/>
      <c r="H118" s="202"/>
      <c r="I118" s="203"/>
      <c r="J118" s="5"/>
      <c r="K118" s="182"/>
      <c r="L118" s="5"/>
      <c r="M118" s="5"/>
      <c r="N118" s="5"/>
      <c r="O118" s="206" t="e">
        <f>IF(O117+1&lt;=MIN('Données projet'!$E$9:$E$18),O117+1,"STOP")</f>
        <v>#VALUE!</v>
      </c>
      <c r="P118" s="196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1">
        <f>'Données projet'!A117</f>
        <v>64</v>
      </c>
      <c r="B119" s="192">
        <f>'Données projet'!D117</f>
        <v>41</v>
      </c>
      <c r="C119" s="330"/>
      <c r="D119" s="190">
        <f t="shared" si="8"/>
        <v>0</v>
      </c>
      <c r="E119" s="205"/>
      <c r="F119" s="262"/>
      <c r="G119" s="221"/>
      <c r="H119" s="202"/>
      <c r="I119" s="203"/>
      <c r="J119" s="5"/>
      <c r="K119" s="182"/>
      <c r="L119" s="5"/>
      <c r="M119" s="5"/>
      <c r="N119" s="5"/>
      <c r="O119" s="206" t="e">
        <f>IF(O118+1&lt;=MIN('Données projet'!$E$9:$E$18),O118+1,"STOP")</f>
        <v>#VALUE!</v>
      </c>
      <c r="P119" s="196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1">
        <f>'Données projet'!A118</f>
        <v>72</v>
      </c>
      <c r="B120" s="192">
        <f>'Données projet'!D118</f>
        <v>32</v>
      </c>
      <c r="C120" s="330"/>
      <c r="D120" s="190">
        <f t="shared" si="8"/>
        <v>0</v>
      </c>
      <c r="E120" s="205"/>
      <c r="F120" s="262"/>
      <c r="G120" s="221"/>
      <c r="H120" s="202"/>
      <c r="I120" s="203"/>
      <c r="J120" s="5"/>
      <c r="K120" s="182"/>
      <c r="L120" s="5"/>
      <c r="M120" s="5"/>
      <c r="N120" s="5"/>
      <c r="O120" s="206" t="e">
        <f>IF(O119+1&lt;=MIN('Données projet'!$E$9:$E$18),O119+1,"STOP")</f>
        <v>#VALUE!</v>
      </c>
      <c r="P120" s="196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1">
        <f>'Données projet'!A119</f>
        <v>81</v>
      </c>
      <c r="B121" s="192">
        <f>'Données projet'!D119</f>
        <v>31</v>
      </c>
      <c r="C121" s="330"/>
      <c r="D121" s="190">
        <f t="shared" si="8"/>
        <v>0</v>
      </c>
      <c r="E121" s="205"/>
      <c r="F121" s="262"/>
      <c r="G121" s="221"/>
      <c r="H121" s="202"/>
      <c r="I121" s="203"/>
      <c r="J121" s="5"/>
      <c r="K121" s="182"/>
      <c r="L121" s="5"/>
      <c r="M121" s="5"/>
      <c r="N121" s="5"/>
      <c r="O121" s="206" t="e">
        <f>IF(O120+1&lt;=MIN('Données projet'!$E$9:$E$18),O120+1,"STOP")</f>
        <v>#VALUE!</v>
      </c>
      <c r="P121" s="196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1">
        <f>'Données projet'!A120</f>
        <v>90</v>
      </c>
      <c r="B122" s="192">
        <f>'Données projet'!D120</f>
        <v>30</v>
      </c>
      <c r="C122" s="330"/>
      <c r="D122" s="190">
        <f t="shared" si="8"/>
        <v>0</v>
      </c>
      <c r="E122" s="205"/>
      <c r="F122" s="262"/>
      <c r="G122" s="222"/>
      <c r="H122" s="202"/>
      <c r="I122" s="203"/>
      <c r="J122" s="5"/>
      <c r="K122" s="182"/>
      <c r="L122" s="5"/>
      <c r="M122" s="5"/>
      <c r="N122" s="5"/>
      <c r="O122" s="206" t="e">
        <f>IF(O121+1&lt;=MIN('Données projet'!$E$9:$E$18),O121+1,"STOP")</f>
        <v>#VALUE!</v>
      </c>
      <c r="P122" s="196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1">
        <f>'Données projet'!A121</f>
        <v>102</v>
      </c>
      <c r="B123" s="192">
        <f>'Données projet'!D121</f>
        <v>41</v>
      </c>
      <c r="C123" s="330"/>
      <c r="D123" s="190">
        <f t="shared" si="8"/>
        <v>0</v>
      </c>
      <c r="E123" s="205"/>
      <c r="F123" s="262"/>
      <c r="G123" s="222"/>
      <c r="H123" s="202"/>
      <c r="I123" s="203"/>
      <c r="J123" s="5"/>
      <c r="K123" s="182"/>
      <c r="L123" s="5"/>
      <c r="M123" s="5"/>
      <c r="N123" s="5"/>
      <c r="O123" s="206" t="e">
        <f>IF(O122+1&lt;=MIN('Données projet'!$E$9:$E$18),O122+1,"STOP")</f>
        <v>#VALUE!</v>
      </c>
      <c r="P123" s="196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1">
        <f>'Données projet'!A122</f>
        <v>114</v>
      </c>
      <c r="B124" s="192">
        <f>'Données projet'!D122</f>
        <v>37</v>
      </c>
      <c r="C124" s="330"/>
      <c r="D124" s="190">
        <f t="shared" si="8"/>
        <v>0</v>
      </c>
      <c r="E124" s="205"/>
      <c r="F124" s="262"/>
      <c r="G124" s="222"/>
      <c r="H124" s="202"/>
      <c r="I124" s="203"/>
      <c r="J124" s="5"/>
      <c r="K124" s="182"/>
      <c r="L124" s="5"/>
      <c r="M124" s="5"/>
      <c r="N124" s="5"/>
      <c r="O124" s="206" t="e">
        <f>IF(O123+1&lt;=MIN('Données projet'!$E$9:$E$18),O123+1,"STOP")</f>
        <v>#VALUE!</v>
      </c>
      <c r="P124" s="196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1">
        <f>'Données projet'!A123</f>
        <v>126</v>
      </c>
      <c r="B125" s="192">
        <f>'Données projet'!D123</f>
        <v>38</v>
      </c>
      <c r="C125" s="330"/>
      <c r="D125" s="190">
        <f t="shared" si="8"/>
        <v>0</v>
      </c>
      <c r="E125" s="205"/>
      <c r="F125" s="262"/>
      <c r="G125" s="222"/>
      <c r="H125" s="202"/>
      <c r="I125" s="203"/>
      <c r="J125" s="5"/>
      <c r="K125" s="182"/>
      <c r="L125" s="5"/>
      <c r="M125" s="5"/>
      <c r="N125" s="5"/>
      <c r="O125" s="206" t="e">
        <f>IF(O124+1&lt;=MIN('Données projet'!$E$9:$E$18),O124+1,"STOP")</f>
        <v>#VALUE!</v>
      </c>
      <c r="P125" s="196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1">
        <f>'Données projet'!A124</f>
        <v>138</v>
      </c>
      <c r="B126" s="192">
        <f>'Données projet'!D124</f>
        <v>39</v>
      </c>
      <c r="C126" s="330"/>
      <c r="D126" s="190">
        <f t="shared" si="8"/>
        <v>0</v>
      </c>
      <c r="E126" s="205"/>
      <c r="F126" s="262"/>
      <c r="G126" s="222"/>
      <c r="H126" s="202"/>
      <c r="I126" s="203"/>
      <c r="J126" s="5"/>
      <c r="K126" s="182"/>
      <c r="L126" s="5"/>
      <c r="M126" s="5"/>
      <c r="N126" s="5"/>
      <c r="O126" s="206" t="e">
        <f>IF(O125+1&lt;=MIN('Données projet'!$E$9:$E$18),O125+1,"STOP")</f>
        <v>#VALUE!</v>
      </c>
      <c r="P126" s="196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1">
        <f>'Données projet'!A125</f>
        <v>153</v>
      </c>
      <c r="B127" s="192">
        <f>'Données projet'!D125</f>
        <v>296</v>
      </c>
      <c r="C127" s="330"/>
      <c r="D127" s="190">
        <f t="shared" si="8"/>
        <v>0</v>
      </c>
      <c r="E127" s="205"/>
      <c r="F127" s="262"/>
      <c r="G127" s="222"/>
      <c r="H127" s="202"/>
      <c r="I127" s="203"/>
      <c r="J127" s="5"/>
      <c r="K127" s="182"/>
      <c r="L127" s="5"/>
      <c r="M127" s="5"/>
      <c r="N127" s="5"/>
      <c r="O127" s="206" t="e">
        <f>IF(O126+1&lt;=MIN('Données projet'!$E$9:$E$18),O126+1,"STOP")</f>
        <v>#VALUE!</v>
      </c>
      <c r="P127" s="196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1">
        <f>'Données projet'!A126</f>
        <v>0</v>
      </c>
      <c r="B128" s="192">
        <f>'Données projet'!D126</f>
        <v>0</v>
      </c>
      <c r="C128" s="203"/>
      <c r="D128" s="190">
        <f t="shared" si="8"/>
        <v>0</v>
      </c>
      <c r="E128" s="205"/>
      <c r="F128" s="262"/>
      <c r="G128" s="222"/>
      <c r="H128" s="202"/>
      <c r="I128" s="203"/>
      <c r="J128" s="5"/>
      <c r="K128" s="182"/>
      <c r="L128" s="5"/>
      <c r="M128" s="5"/>
      <c r="N128" s="5"/>
      <c r="O128" s="206" t="e">
        <f>IF(O127+1&lt;=MIN('Données projet'!$E$9:$E$18),O127+1,"STOP")</f>
        <v>#VALUE!</v>
      </c>
      <c r="P128" s="196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1">
        <f>'Données projet'!A127</f>
        <v>0</v>
      </c>
      <c r="B129" s="192">
        <f>'Données projet'!D127</f>
        <v>0</v>
      </c>
      <c r="C129" s="203"/>
      <c r="D129" s="190">
        <f t="shared" si="8"/>
        <v>0</v>
      </c>
      <c r="E129" s="205"/>
      <c r="F129" s="262"/>
      <c r="G129" s="222"/>
      <c r="H129" s="202"/>
      <c r="I129" s="203"/>
      <c r="J129" s="5"/>
      <c r="K129" s="182"/>
      <c r="L129" s="5"/>
      <c r="M129" s="5"/>
      <c r="N129" s="5"/>
      <c r="O129" s="206" t="e">
        <f>IF(O128+1&lt;=MIN('Données projet'!$E$9:$E$18),O128+1,"STOP")</f>
        <v>#VALUE!</v>
      </c>
      <c r="P129" s="196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1">
        <f>'Données projet'!A128</f>
        <v>0</v>
      </c>
      <c r="B130" s="192">
        <f>'Données projet'!D128</f>
        <v>0</v>
      </c>
      <c r="C130" s="203"/>
      <c r="D130" s="190">
        <f t="shared" si="8"/>
        <v>0</v>
      </c>
      <c r="E130" s="205"/>
      <c r="F130" s="262"/>
      <c r="G130" s="222"/>
      <c r="H130" s="202"/>
      <c r="I130" s="203"/>
      <c r="J130" s="5"/>
      <c r="K130" s="182"/>
      <c r="L130" s="5"/>
      <c r="M130" s="5"/>
      <c r="N130" s="5"/>
      <c r="O130" s="206" t="e">
        <f>IF(O129+1&lt;=MIN('Données projet'!$E$9:$E$18),O129+1,"STOP")</f>
        <v>#VALUE!</v>
      </c>
      <c r="P130" s="196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1">
        <f>'Données projet'!A129</f>
        <v>0</v>
      </c>
      <c r="B131" s="192">
        <f>'Données projet'!D129</f>
        <v>0</v>
      </c>
      <c r="C131" s="203"/>
      <c r="D131" s="190">
        <f t="shared" si="8"/>
        <v>0</v>
      </c>
      <c r="E131" s="205"/>
      <c r="F131" s="262"/>
      <c r="G131" s="222"/>
      <c r="H131" s="202"/>
      <c r="I131" s="203"/>
      <c r="J131" s="5"/>
      <c r="K131" s="182"/>
      <c r="L131" s="5"/>
      <c r="M131" s="5"/>
      <c r="N131" s="5"/>
      <c r="O131" s="206" t="e">
        <f>IF(O130+1&lt;=MIN('Données projet'!$E$9:$E$18),O130+1,"STOP")</f>
        <v>#VALUE!</v>
      </c>
      <c r="P131" s="196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1">
        <f>'Données projet'!A130</f>
        <v>0</v>
      </c>
      <c r="B132" s="192">
        <f>'Données projet'!D130</f>
        <v>0</v>
      </c>
      <c r="C132" s="203"/>
      <c r="D132" s="190">
        <f t="shared" si="8"/>
        <v>0</v>
      </c>
      <c r="E132" s="205"/>
      <c r="F132" s="262"/>
      <c r="G132" s="222"/>
      <c r="H132" s="202"/>
      <c r="I132" s="203"/>
      <c r="J132" s="5"/>
      <c r="K132" s="182"/>
      <c r="L132" s="5"/>
      <c r="M132" s="5"/>
      <c r="N132" s="5"/>
      <c r="O132" s="206" t="e">
        <f>IF(O131+1&lt;=MIN('Données projet'!$E$9:$E$18),O131+1,"STOP")</f>
        <v>#VALUE!</v>
      </c>
      <c r="P132" s="196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1">
        <f>'Données projet'!A131</f>
        <v>0</v>
      </c>
      <c r="B133" s="192">
        <f>'Données projet'!D131</f>
        <v>0</v>
      </c>
      <c r="C133" s="203"/>
      <c r="D133" s="190">
        <f t="shared" si="8"/>
        <v>0</v>
      </c>
      <c r="E133" s="205"/>
      <c r="F133" s="262"/>
      <c r="G133" s="222"/>
      <c r="H133" s="202"/>
      <c r="I133" s="203"/>
      <c r="J133" s="5"/>
      <c r="K133" s="182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1">
        <f>'Données projet'!A132</f>
        <v>0</v>
      </c>
      <c r="B134" s="192">
        <f>'Données projet'!D132</f>
        <v>0</v>
      </c>
      <c r="C134" s="203"/>
      <c r="D134" s="190">
        <f t="shared" si="8"/>
        <v>0</v>
      </c>
      <c r="E134" s="205"/>
      <c r="F134" s="262"/>
      <c r="G134" s="222"/>
      <c r="H134" s="202"/>
      <c r="I134" s="203"/>
      <c r="J134" s="5"/>
      <c r="K134" s="182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1">
        <f>'Données projet'!A133</f>
        <v>0</v>
      </c>
      <c r="B135" s="192">
        <f>'Données projet'!D133</f>
        <v>0</v>
      </c>
      <c r="C135" s="203"/>
      <c r="D135" s="190">
        <f t="shared" si="8"/>
        <v>0</v>
      </c>
      <c r="E135" s="205"/>
      <c r="F135" s="262"/>
      <c r="G135" s="222"/>
      <c r="H135" s="202"/>
      <c r="I135" s="203"/>
      <c r="J135" s="5"/>
      <c r="K135" s="182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2"/>
      <c r="I136" s="203"/>
      <c r="J136" s="5"/>
      <c r="K136" s="182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2"/>
      <c r="I137" s="203"/>
      <c r="J137" s="5"/>
      <c r="K137" s="182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5" t="str">
        <f>IF('Données projet'!B13="","",'Données projet'!B13)</f>
        <v>Chêne pubescent</v>
      </c>
      <c r="C138" s="5"/>
      <c r="D138" s="5"/>
      <c r="E138" s="5"/>
      <c r="F138" s="260"/>
      <c r="G138" s="222"/>
      <c r="H138" s="202"/>
      <c r="I138" s="203"/>
      <c r="J138" s="5"/>
      <c r="K138" s="182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2"/>
      <c r="I139" s="203"/>
      <c r="J139" s="5"/>
      <c r="K139" s="182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2"/>
      <c r="I140" s="203"/>
      <c r="J140" s="5"/>
      <c r="K140" s="182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/>
      <c r="D141" s="210" t="s">
        <v>132</v>
      </c>
      <c r="E141" s="205"/>
      <c r="F141" s="261"/>
      <c r="G141" s="222"/>
      <c r="H141" s="202"/>
      <c r="I141" s="203"/>
      <c r="J141" s="5"/>
      <c r="K141" s="182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/>
      <c r="D142" s="210" t="s">
        <v>132</v>
      </c>
      <c r="E142" s="205"/>
      <c r="F142" s="261"/>
      <c r="G142" s="220"/>
      <c r="H142" s="202"/>
      <c r="I142" s="203"/>
      <c r="J142" s="5"/>
      <c r="K142" s="182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/>
      <c r="D143" s="210" t="s">
        <v>132</v>
      </c>
      <c r="E143" s="205"/>
      <c r="F143" s="261"/>
      <c r="G143" s="220"/>
      <c r="H143" s="202"/>
      <c r="I143" s="203"/>
      <c r="J143" s="5"/>
      <c r="K143" s="182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/>
      <c r="D144" s="210" t="s">
        <v>132</v>
      </c>
      <c r="E144" s="205"/>
      <c r="F144" s="261"/>
      <c r="G144" s="220"/>
      <c r="H144" s="202"/>
      <c r="I144" s="203"/>
      <c r="J144" s="5"/>
      <c r="K144" s="182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/>
      <c r="D145" s="210" t="s">
        <v>132</v>
      </c>
      <c r="E145" s="205"/>
      <c r="F145" s="261"/>
      <c r="G145" s="220"/>
      <c r="H145" s="202"/>
      <c r="I145" s="203"/>
      <c r="J145" s="5"/>
      <c r="K145" s="182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/>
      <c r="D146" s="210" t="s">
        <v>132</v>
      </c>
      <c r="E146" s="205"/>
      <c r="F146" s="261"/>
      <c r="G146" s="221"/>
      <c r="H146" s="202"/>
      <c r="I146" s="203"/>
      <c r="J146" s="5"/>
      <c r="K146" s="182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42</v>
      </c>
      <c r="B147" s="186">
        <f>'Données projet'!D140</f>
        <v>30</v>
      </c>
      <c r="C147" s="329"/>
      <c r="D147" s="193">
        <f>B147*C147</f>
        <v>0</v>
      </c>
      <c r="E147" s="205"/>
      <c r="F147" s="263"/>
      <c r="G147" s="221"/>
      <c r="H147" s="202"/>
      <c r="I147" s="203"/>
      <c r="J147" s="5"/>
      <c r="K147" s="182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48</v>
      </c>
      <c r="B148" s="186">
        <f>'Données projet'!D141</f>
        <v>28</v>
      </c>
      <c r="C148" s="330"/>
      <c r="D148" s="193">
        <f t="shared" ref="D148:D166" si="10">B148*C148</f>
        <v>0</v>
      </c>
      <c r="E148" s="205"/>
      <c r="F148" s="263"/>
      <c r="G148" s="221"/>
      <c r="H148" s="202"/>
      <c r="I148" s="203"/>
      <c r="J148" s="5"/>
      <c r="K148" s="182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56</v>
      </c>
      <c r="B149" s="186">
        <f>'Données projet'!D142</f>
        <v>36</v>
      </c>
      <c r="C149" s="330"/>
      <c r="D149" s="193">
        <f t="shared" si="10"/>
        <v>0</v>
      </c>
      <c r="E149" s="205"/>
      <c r="F149" s="263"/>
      <c r="G149" s="221"/>
      <c r="H149" s="202"/>
      <c r="I149" s="203"/>
      <c r="J149" s="5"/>
      <c r="K149" s="182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64</v>
      </c>
      <c r="B150" s="186">
        <f>'Données projet'!D143</f>
        <v>41</v>
      </c>
      <c r="C150" s="330"/>
      <c r="D150" s="193">
        <f t="shared" si="10"/>
        <v>0</v>
      </c>
      <c r="E150" s="205"/>
      <c r="F150" s="263"/>
      <c r="G150" s="221"/>
      <c r="H150" s="202"/>
      <c r="I150" s="203"/>
      <c r="J150" s="5"/>
      <c r="K150" s="182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72</v>
      </c>
      <c r="B151" s="186">
        <f>'Données projet'!D144</f>
        <v>32</v>
      </c>
      <c r="C151" s="330"/>
      <c r="D151" s="193">
        <f t="shared" si="10"/>
        <v>0</v>
      </c>
      <c r="E151" s="205"/>
      <c r="F151" s="263"/>
      <c r="G151" s="221"/>
      <c r="H151" s="202"/>
      <c r="I151" s="203"/>
      <c r="J151" s="5"/>
      <c r="K151" s="182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81</v>
      </c>
      <c r="B152" s="186">
        <f>'Données projet'!D145</f>
        <v>31</v>
      </c>
      <c r="C152" s="330"/>
      <c r="D152" s="193">
        <f t="shared" si="10"/>
        <v>0</v>
      </c>
      <c r="E152" s="205"/>
      <c r="F152" s="263"/>
      <c r="G152" s="221"/>
      <c r="H152" s="202"/>
      <c r="I152" s="203"/>
      <c r="J152" s="5"/>
      <c r="K152" s="182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90</v>
      </c>
      <c r="B153" s="186">
        <f>'Données projet'!D146</f>
        <v>30</v>
      </c>
      <c r="C153" s="330"/>
      <c r="D153" s="193">
        <f t="shared" si="10"/>
        <v>0</v>
      </c>
      <c r="E153" s="205"/>
      <c r="F153" s="263"/>
      <c r="G153" s="217"/>
      <c r="H153" s="202"/>
      <c r="I153" s="203"/>
      <c r="J153" s="5"/>
      <c r="K153" s="182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102</v>
      </c>
      <c r="B154" s="186">
        <f>'Données projet'!D147</f>
        <v>41</v>
      </c>
      <c r="C154" s="330"/>
      <c r="D154" s="193">
        <f t="shared" si="10"/>
        <v>0</v>
      </c>
      <c r="E154" s="205"/>
      <c r="F154" s="263"/>
      <c r="G154" s="217"/>
      <c r="H154" s="202"/>
      <c r="I154" s="203"/>
      <c r="J154" s="5"/>
      <c r="K154" s="182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114</v>
      </c>
      <c r="B155" s="186">
        <f>'Données projet'!D148</f>
        <v>37</v>
      </c>
      <c r="C155" s="330"/>
      <c r="D155" s="193">
        <f t="shared" si="10"/>
        <v>0</v>
      </c>
      <c r="E155" s="205"/>
      <c r="F155" s="263"/>
      <c r="G155" s="217"/>
      <c r="H155" s="202"/>
      <c r="I155" s="203"/>
      <c r="J155" s="5"/>
      <c r="K155" s="182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126</v>
      </c>
      <c r="B156" s="186">
        <f>'Données projet'!D149</f>
        <v>38</v>
      </c>
      <c r="C156" s="330"/>
      <c r="D156" s="193">
        <f t="shared" si="10"/>
        <v>0</v>
      </c>
      <c r="E156" s="205"/>
      <c r="F156" s="263"/>
      <c r="G156" s="217"/>
      <c r="H156" s="202"/>
      <c r="I156" s="203"/>
      <c r="J156" s="5"/>
      <c r="K156" s="182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138</v>
      </c>
      <c r="B157" s="186">
        <f>'Données projet'!D150</f>
        <v>39</v>
      </c>
      <c r="C157" s="330"/>
      <c r="D157" s="193">
        <f t="shared" si="10"/>
        <v>0</v>
      </c>
      <c r="E157" s="205"/>
      <c r="F157" s="263"/>
      <c r="G157" s="217"/>
      <c r="H157" s="202"/>
      <c r="I157" s="203"/>
      <c r="J157" s="5"/>
      <c r="K157" s="182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153</v>
      </c>
      <c r="B158" s="186">
        <f>'Données projet'!D151</f>
        <v>296</v>
      </c>
      <c r="C158" s="330"/>
      <c r="D158" s="193">
        <f t="shared" si="10"/>
        <v>0</v>
      </c>
      <c r="E158" s="205"/>
      <c r="F158" s="263"/>
      <c r="G158" s="217"/>
      <c r="H158" s="202"/>
      <c r="I158" s="203"/>
      <c r="J158" s="5"/>
      <c r="K158" s="182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6">
        <f>'Données projet'!D152</f>
        <v>0</v>
      </c>
      <c r="C159" s="203"/>
      <c r="D159" s="193">
        <f t="shared" si="10"/>
        <v>0</v>
      </c>
      <c r="E159" s="205"/>
      <c r="F159" s="263"/>
      <c r="G159" s="217"/>
      <c r="H159" s="202"/>
      <c r="I159" s="203"/>
      <c r="J159" s="5"/>
      <c r="K159" s="182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6">
        <f>'Données projet'!D153</f>
        <v>0</v>
      </c>
      <c r="C160" s="203"/>
      <c r="D160" s="193">
        <f t="shared" si="10"/>
        <v>0</v>
      </c>
      <c r="E160" s="205"/>
      <c r="F160" s="263"/>
      <c r="G160" s="217"/>
      <c r="H160" s="202"/>
      <c r="I160" s="203"/>
      <c r="J160" s="5"/>
      <c r="K160" s="182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6">
        <f>'Données projet'!D154</f>
        <v>0</v>
      </c>
      <c r="C161" s="203"/>
      <c r="D161" s="193">
        <f t="shared" si="10"/>
        <v>0</v>
      </c>
      <c r="E161" s="205"/>
      <c r="F161" s="263"/>
      <c r="G161" s="217"/>
      <c r="H161" s="202"/>
      <c r="I161" s="203"/>
      <c r="J161" s="5"/>
      <c r="K161" s="182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6">
        <f>'Données projet'!D155</f>
        <v>0</v>
      </c>
      <c r="C162" s="203"/>
      <c r="D162" s="193">
        <f t="shared" si="10"/>
        <v>0</v>
      </c>
      <c r="E162" s="205"/>
      <c r="F162" s="263"/>
      <c r="G162" s="217"/>
      <c r="H162" s="202"/>
      <c r="I162" s="203"/>
      <c r="J162" s="5"/>
      <c r="K162" s="182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6">
        <f>'Données projet'!D156</f>
        <v>0</v>
      </c>
      <c r="C163" s="203"/>
      <c r="D163" s="193">
        <f t="shared" si="10"/>
        <v>0</v>
      </c>
      <c r="E163" s="205"/>
      <c r="F163" s="263"/>
      <c r="G163" s="217"/>
      <c r="H163" s="202"/>
      <c r="I163" s="203"/>
      <c r="J163" s="5"/>
      <c r="K163" s="182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6">
        <f>'Données projet'!D157</f>
        <v>0</v>
      </c>
      <c r="C164" s="203"/>
      <c r="D164" s="193">
        <f t="shared" si="10"/>
        <v>0</v>
      </c>
      <c r="E164" s="205"/>
      <c r="F164" s="263"/>
      <c r="G164" s="217"/>
      <c r="H164" s="202"/>
      <c r="I164" s="203"/>
      <c r="J164" s="5"/>
      <c r="K164" s="182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6">
        <f>'Données projet'!D158</f>
        <v>0</v>
      </c>
      <c r="C165" s="203"/>
      <c r="D165" s="193">
        <f t="shared" si="10"/>
        <v>0</v>
      </c>
      <c r="E165" s="205"/>
      <c r="F165" s="263"/>
      <c r="G165" s="217"/>
      <c r="H165" s="202"/>
      <c r="I165" s="203"/>
      <c r="J165" s="5"/>
      <c r="K165" s="182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6">
        <f>'Données projet'!D159</f>
        <v>0</v>
      </c>
      <c r="C166" s="203"/>
      <c r="D166" s="193">
        <f t="shared" si="10"/>
        <v>0</v>
      </c>
      <c r="E166" s="205"/>
      <c r="F166" s="263"/>
      <c r="G166" s="217"/>
      <c r="H166" s="202"/>
      <c r="I166" s="203"/>
      <c r="J166" s="5"/>
      <c r="K166" s="182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2"/>
      <c r="I167" s="203"/>
      <c r="J167" s="5"/>
      <c r="K167" s="182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2"/>
      <c r="I168" s="203"/>
      <c r="J168" s="5"/>
      <c r="K168" s="182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5" t="str">
        <f>IF('Données projet'!B14="","",'Données projet'!B14)</f>
        <v>Alisier torminal</v>
      </c>
      <c r="C169" s="5"/>
      <c r="D169" s="5"/>
      <c r="E169" s="5"/>
      <c r="F169" s="260"/>
      <c r="G169" s="217"/>
      <c r="H169" s="202"/>
      <c r="I169" s="203"/>
      <c r="J169" s="5"/>
      <c r="K169" s="182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2"/>
      <c r="I170" s="203"/>
      <c r="J170" s="5"/>
      <c r="K170" s="182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2"/>
      <c r="I171" s="203"/>
      <c r="J171" s="5"/>
      <c r="K171" s="182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/>
      <c r="D172" s="210" t="s">
        <v>132</v>
      </c>
      <c r="E172" s="205"/>
      <c r="F172" s="261"/>
      <c r="G172" s="217"/>
      <c r="H172" s="202"/>
      <c r="I172" s="203"/>
      <c r="J172" s="5"/>
      <c r="K172" s="182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/>
      <c r="D173" s="210" t="s">
        <v>132</v>
      </c>
      <c r="E173" s="205"/>
      <c r="F173" s="261"/>
      <c r="G173" s="220"/>
      <c r="H173" s="202"/>
      <c r="I173" s="203"/>
      <c r="J173" s="5"/>
      <c r="K173" s="182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/>
      <c r="D174" s="210" t="s">
        <v>132</v>
      </c>
      <c r="E174" s="205"/>
      <c r="F174" s="261"/>
      <c r="G174" s="220"/>
      <c r="H174" s="202"/>
      <c r="I174" s="203"/>
      <c r="J174" s="5"/>
      <c r="K174" s="182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/>
      <c r="D175" s="210" t="s">
        <v>132</v>
      </c>
      <c r="E175" s="205"/>
      <c r="F175" s="261"/>
      <c r="G175" s="220"/>
      <c r="H175" s="202"/>
      <c r="I175" s="203"/>
      <c r="J175" s="5"/>
      <c r="K175" s="182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/>
      <c r="D176" s="210" t="s">
        <v>132</v>
      </c>
      <c r="E176" s="205"/>
      <c r="F176" s="261"/>
      <c r="G176" s="220"/>
      <c r="H176" s="202"/>
      <c r="I176" s="203"/>
      <c r="J176" s="5"/>
      <c r="K176" s="182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/>
      <c r="D177" s="210" t="s">
        <v>132</v>
      </c>
      <c r="E177" s="205"/>
      <c r="F177" s="261"/>
      <c r="G177" s="221"/>
      <c r="H177" s="202"/>
      <c r="I177" s="203"/>
      <c r="J177" s="5"/>
      <c r="K177" s="182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1">
        <f>'Données projet'!A166</f>
        <v>56</v>
      </c>
      <c r="B178" s="192">
        <f>'Données projet'!D166</f>
        <v>33</v>
      </c>
      <c r="C178" s="205"/>
      <c r="D178" s="190">
        <f>B178*C178</f>
        <v>0</v>
      </c>
      <c r="E178" s="205"/>
      <c r="F178" s="262"/>
      <c r="G178" s="221"/>
      <c r="H178" s="202"/>
      <c r="I178" s="203"/>
      <c r="J178" s="5"/>
      <c r="K178" s="182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1">
        <f>'Données projet'!A167</f>
        <v>64</v>
      </c>
      <c r="B179" s="192">
        <f>'Données projet'!D167</f>
        <v>34</v>
      </c>
      <c r="C179" s="205"/>
      <c r="D179" s="190">
        <f t="shared" ref="D179:D197" si="11">B179*C179</f>
        <v>0</v>
      </c>
      <c r="E179" s="205"/>
      <c r="F179" s="262"/>
      <c r="G179" s="221"/>
      <c r="H179" s="202"/>
      <c r="I179" s="203"/>
      <c r="J179" s="5"/>
      <c r="K179" s="182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1">
        <f>'Données projet'!A168</f>
        <v>72</v>
      </c>
      <c r="B180" s="192">
        <f>'Données projet'!D168</f>
        <v>28</v>
      </c>
      <c r="C180" s="205"/>
      <c r="D180" s="190">
        <f t="shared" si="11"/>
        <v>0</v>
      </c>
      <c r="E180" s="205"/>
      <c r="F180" s="262"/>
      <c r="G180" s="221"/>
      <c r="H180" s="202"/>
      <c r="I180" s="203"/>
      <c r="J180" s="5"/>
      <c r="K180" s="182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1">
        <f>'Données projet'!A169</f>
        <v>81</v>
      </c>
      <c r="B181" s="192">
        <f>'Données projet'!D169</f>
        <v>26</v>
      </c>
      <c r="C181" s="205"/>
      <c r="D181" s="190">
        <f t="shared" si="11"/>
        <v>0</v>
      </c>
      <c r="E181" s="205"/>
      <c r="F181" s="262"/>
      <c r="G181" s="221"/>
      <c r="H181" s="202"/>
      <c r="I181" s="203"/>
      <c r="J181" s="5"/>
      <c r="K181" s="182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1">
        <f>'Données projet'!A170</f>
        <v>90</v>
      </c>
      <c r="B182" s="192">
        <f>'Données projet'!D170</f>
        <v>22</v>
      </c>
      <c r="C182" s="205"/>
      <c r="D182" s="190">
        <f t="shared" si="11"/>
        <v>0</v>
      </c>
      <c r="E182" s="205"/>
      <c r="F182" s="262"/>
      <c r="G182" s="221"/>
      <c r="H182" s="202"/>
      <c r="I182" s="203"/>
      <c r="J182" s="5"/>
      <c r="K182" s="182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1">
        <f>'Données projet'!A171</f>
        <v>100</v>
      </c>
      <c r="B183" s="192">
        <f>'Données projet'!D171</f>
        <v>22</v>
      </c>
      <c r="C183" s="205"/>
      <c r="D183" s="190">
        <f t="shared" si="11"/>
        <v>0</v>
      </c>
      <c r="E183" s="205"/>
      <c r="F183" s="262"/>
      <c r="G183" s="221"/>
      <c r="H183" s="202"/>
      <c r="I183" s="203"/>
      <c r="J183" s="5"/>
      <c r="K183" s="182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1">
        <f>'Données projet'!A172</f>
        <v>110</v>
      </c>
      <c r="B184" s="192">
        <f>'Données projet'!D172</f>
        <v>24</v>
      </c>
      <c r="C184" s="205"/>
      <c r="D184" s="190">
        <f t="shared" si="11"/>
        <v>0</v>
      </c>
      <c r="E184" s="205"/>
      <c r="F184" s="262"/>
      <c r="G184" s="222"/>
      <c r="H184" s="202"/>
      <c r="I184" s="203"/>
      <c r="J184" s="5"/>
      <c r="K184" s="182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1">
        <f>'Données projet'!A173</f>
        <v>122</v>
      </c>
      <c r="B185" s="192">
        <f>'Données projet'!D173</f>
        <v>25</v>
      </c>
      <c r="C185" s="205"/>
      <c r="D185" s="190">
        <f t="shared" si="11"/>
        <v>0</v>
      </c>
      <c r="E185" s="205"/>
      <c r="F185" s="262"/>
      <c r="G185" s="222"/>
      <c r="H185" s="202"/>
      <c r="I185" s="203"/>
      <c r="J185" s="5"/>
      <c r="K185" s="182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1">
        <f>'Données projet'!A174</f>
        <v>134</v>
      </c>
      <c r="B186" s="192">
        <f>'Données projet'!D174</f>
        <v>26</v>
      </c>
      <c r="C186" s="205"/>
      <c r="D186" s="190">
        <f t="shared" si="11"/>
        <v>0</v>
      </c>
      <c r="E186" s="205"/>
      <c r="F186" s="262"/>
      <c r="G186" s="222"/>
      <c r="H186" s="202"/>
      <c r="I186" s="203"/>
      <c r="J186" s="5"/>
      <c r="K186" s="182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1">
        <f>'Données projet'!A175</f>
        <v>148</v>
      </c>
      <c r="B187" s="192">
        <f>'Données projet'!D175</f>
        <v>30</v>
      </c>
      <c r="C187" s="205"/>
      <c r="D187" s="190">
        <f t="shared" si="11"/>
        <v>0</v>
      </c>
      <c r="E187" s="205"/>
      <c r="F187" s="262"/>
      <c r="G187" s="222"/>
      <c r="H187" s="202"/>
      <c r="I187" s="203"/>
      <c r="J187" s="5"/>
      <c r="K187" s="182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1">
        <f>'Données projet'!A176</f>
        <v>162</v>
      </c>
      <c r="B188" s="192">
        <f>'Données projet'!D176</f>
        <v>37</v>
      </c>
      <c r="C188" s="205"/>
      <c r="D188" s="190">
        <f t="shared" si="11"/>
        <v>0</v>
      </c>
      <c r="E188" s="205"/>
      <c r="F188" s="262"/>
      <c r="G188" s="222"/>
      <c r="H188" s="202"/>
      <c r="I188" s="203"/>
      <c r="J188" s="5"/>
      <c r="K188" s="182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1">
        <f>'Données projet'!A177</f>
        <v>177</v>
      </c>
      <c r="B189" s="192">
        <f>'Données projet'!D177</f>
        <v>230</v>
      </c>
      <c r="C189" s="205"/>
      <c r="D189" s="190">
        <f t="shared" si="11"/>
        <v>0</v>
      </c>
      <c r="E189" s="205"/>
      <c r="F189" s="262"/>
      <c r="G189" s="222"/>
      <c r="H189" s="202"/>
      <c r="I189" s="203"/>
      <c r="J189" s="5"/>
      <c r="K189" s="182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1">
        <f>'Données projet'!A178</f>
        <v>0</v>
      </c>
      <c r="B190" s="192">
        <f>'Données projet'!D178</f>
        <v>0</v>
      </c>
      <c r="C190" s="205"/>
      <c r="D190" s="190">
        <f t="shared" si="11"/>
        <v>0</v>
      </c>
      <c r="E190" s="205"/>
      <c r="F190" s="262"/>
      <c r="G190" s="222"/>
      <c r="H190" s="202"/>
      <c r="I190" s="203"/>
      <c r="J190" s="5"/>
      <c r="K190" s="182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1">
        <f>'Données projet'!A179</f>
        <v>0</v>
      </c>
      <c r="B191" s="192">
        <f>'Données projet'!D179</f>
        <v>0</v>
      </c>
      <c r="C191" s="205"/>
      <c r="D191" s="190">
        <f t="shared" si="11"/>
        <v>0</v>
      </c>
      <c r="E191" s="205"/>
      <c r="F191" s="262"/>
      <c r="G191" s="222"/>
      <c r="H191" s="202"/>
      <c r="I191" s="203"/>
      <c r="J191" s="5"/>
      <c r="K191" s="182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1">
        <f>'Données projet'!A180</f>
        <v>0</v>
      </c>
      <c r="B192" s="192">
        <f>'Données projet'!D180</f>
        <v>0</v>
      </c>
      <c r="C192" s="205"/>
      <c r="D192" s="190">
        <f t="shared" si="11"/>
        <v>0</v>
      </c>
      <c r="E192" s="205"/>
      <c r="F192" s="262"/>
      <c r="G192" s="222"/>
      <c r="H192" s="202"/>
      <c r="I192" s="203"/>
      <c r="J192" s="5"/>
      <c r="K192" s="182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1">
        <f>'Données projet'!A181</f>
        <v>0</v>
      </c>
      <c r="B193" s="192">
        <f>'Données projet'!D181</f>
        <v>0</v>
      </c>
      <c r="C193" s="205"/>
      <c r="D193" s="190">
        <f t="shared" si="11"/>
        <v>0</v>
      </c>
      <c r="E193" s="205"/>
      <c r="F193" s="262"/>
      <c r="G193" s="222"/>
      <c r="H193" s="202"/>
      <c r="I193" s="203"/>
      <c r="J193" s="5"/>
      <c r="K193" s="182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1">
        <f>'Données projet'!A182</f>
        <v>0</v>
      </c>
      <c r="B194" s="192">
        <f>'Données projet'!D182</f>
        <v>0</v>
      </c>
      <c r="C194" s="205"/>
      <c r="D194" s="190">
        <f t="shared" si="11"/>
        <v>0</v>
      </c>
      <c r="E194" s="205"/>
      <c r="F194" s="262"/>
      <c r="G194" s="222"/>
      <c r="H194" s="202"/>
      <c r="I194" s="203"/>
      <c r="J194" s="5"/>
      <c r="K194" s="182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1">
        <f>'Données projet'!A183</f>
        <v>0</v>
      </c>
      <c r="B195" s="192">
        <f>'Données projet'!D183</f>
        <v>0</v>
      </c>
      <c r="C195" s="205"/>
      <c r="D195" s="190">
        <f t="shared" si="11"/>
        <v>0</v>
      </c>
      <c r="E195" s="205"/>
      <c r="F195" s="262"/>
      <c r="G195" s="222"/>
      <c r="H195" s="202"/>
      <c r="I195" s="203"/>
      <c r="J195" s="5"/>
      <c r="K195" s="182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1">
        <f>'Données projet'!A184</f>
        <v>0</v>
      </c>
      <c r="B196" s="192">
        <f>'Données projet'!D184</f>
        <v>0</v>
      </c>
      <c r="C196" s="205"/>
      <c r="D196" s="190">
        <f t="shared" si="11"/>
        <v>0</v>
      </c>
      <c r="E196" s="205"/>
      <c r="F196" s="262"/>
      <c r="G196" s="222"/>
      <c r="H196" s="202"/>
      <c r="I196" s="203"/>
      <c r="J196" s="5"/>
      <c r="K196" s="182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1">
        <f>'Données projet'!A185</f>
        <v>0</v>
      </c>
      <c r="B197" s="192">
        <f>'Données projet'!D185</f>
        <v>0</v>
      </c>
      <c r="C197" s="205"/>
      <c r="D197" s="190">
        <f t="shared" si="11"/>
        <v>0</v>
      </c>
      <c r="E197" s="205"/>
      <c r="F197" s="262"/>
      <c r="G197" s="222"/>
      <c r="H197" s="202"/>
      <c r="I197" s="203"/>
      <c r="J197" s="5"/>
      <c r="K197" s="182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2"/>
      <c r="I198" s="203"/>
      <c r="J198" s="5"/>
      <c r="K198" s="182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2"/>
      <c r="I199" s="203"/>
      <c r="J199" s="5"/>
      <c r="K199" s="182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5" t="str">
        <f>IF('Données projet'!$B$15="","",'Données projet'!$B$15)</f>
        <v>Tilleul</v>
      </c>
      <c r="C200" s="5"/>
      <c r="D200" s="5"/>
      <c r="E200" s="5"/>
      <c r="F200" s="260"/>
      <c r="G200" s="222"/>
      <c r="H200" s="202"/>
      <c r="I200" s="203"/>
      <c r="J200" s="5"/>
      <c r="K200" s="182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2"/>
      <c r="I201" s="203"/>
      <c r="J201" s="5"/>
      <c r="K201" s="182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2"/>
      <c r="I202" s="203"/>
      <c r="J202" s="5"/>
      <c r="K202" s="182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/>
      <c r="D203" s="210" t="s">
        <v>132</v>
      </c>
      <c r="E203" s="205"/>
      <c r="F203" s="261"/>
      <c r="G203" s="222"/>
      <c r="H203" s="202"/>
      <c r="I203" s="203"/>
      <c r="J203" s="5"/>
      <c r="K203" s="182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/>
      <c r="D204" s="210" t="s">
        <v>132</v>
      </c>
      <c r="E204" s="205"/>
      <c r="F204" s="261"/>
      <c r="G204" s="220"/>
      <c r="H204" s="202"/>
      <c r="I204" s="203"/>
      <c r="J204" s="5"/>
      <c r="K204" s="182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/>
      <c r="D205" s="210" t="s">
        <v>132</v>
      </c>
      <c r="E205" s="205"/>
      <c r="F205" s="261"/>
      <c r="G205" s="220"/>
      <c r="H205" s="202"/>
      <c r="I205" s="203"/>
      <c r="J205" s="5"/>
      <c r="K205" s="182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/>
      <c r="D206" s="210" t="s">
        <v>132</v>
      </c>
      <c r="E206" s="205"/>
      <c r="F206" s="261"/>
      <c r="G206" s="220"/>
      <c r="H206" s="202"/>
      <c r="I206" s="203"/>
      <c r="J206" s="5"/>
      <c r="K206" s="182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/>
      <c r="D207" s="210" t="s">
        <v>132</v>
      </c>
      <c r="E207" s="205"/>
      <c r="F207" s="261"/>
      <c r="G207" s="220"/>
      <c r="H207" s="202"/>
      <c r="I207" s="203"/>
      <c r="J207" s="5"/>
      <c r="K207" s="182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/>
      <c r="D208" s="210" t="s">
        <v>132</v>
      </c>
      <c r="E208" s="205"/>
      <c r="F208" s="261"/>
      <c r="G208" s="221"/>
      <c r="H208" s="202"/>
      <c r="I208" s="203"/>
      <c r="J208" s="5"/>
      <c r="K208" s="182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1">
        <f>'Données projet'!A192</f>
        <v>15</v>
      </c>
      <c r="B209" s="192">
        <f>'Données projet'!D192</f>
        <v>13.517499999999998</v>
      </c>
      <c r="C209" s="205"/>
      <c r="D209" s="190">
        <f>B209*C209</f>
        <v>0</v>
      </c>
      <c r="E209" s="205"/>
      <c r="F209" s="262"/>
      <c r="G209" s="221"/>
      <c r="H209" s="202"/>
      <c r="I209" s="203"/>
      <c r="J209" s="5"/>
      <c r="K209" s="182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1">
        <f>'Données projet'!A193</f>
        <v>25</v>
      </c>
      <c r="B210" s="192">
        <f>'Données projet'!D193</f>
        <v>24.455416666666672</v>
      </c>
      <c r="C210" s="205"/>
      <c r="D210" s="190">
        <f t="shared" ref="D210:D228" si="12">B210*C210</f>
        <v>0</v>
      </c>
      <c r="E210" s="205"/>
      <c r="F210" s="262"/>
      <c r="G210" s="221"/>
      <c r="H210" s="202"/>
      <c r="I210" s="203"/>
      <c r="J210" s="5"/>
      <c r="K210" s="182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1">
        <f>'Données projet'!A194</f>
        <v>35</v>
      </c>
      <c r="B211" s="192">
        <f>'Données projet'!D194</f>
        <v>36.913680555555565</v>
      </c>
      <c r="C211" s="205"/>
      <c r="D211" s="190">
        <f t="shared" si="12"/>
        <v>0</v>
      </c>
      <c r="E211" s="205"/>
      <c r="F211" s="262"/>
      <c r="G211" s="221"/>
      <c r="H211" s="202"/>
      <c r="I211" s="203"/>
      <c r="J211" s="5"/>
      <c r="K211" s="182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1">
        <f>'Données projet'!A195</f>
        <v>45</v>
      </c>
      <c r="B212" s="192">
        <f>'Données projet'!D195</f>
        <v>50.638900462962958</v>
      </c>
      <c r="C212" s="205"/>
      <c r="D212" s="190">
        <f t="shared" si="12"/>
        <v>0</v>
      </c>
      <c r="E212" s="205"/>
      <c r="F212" s="262"/>
      <c r="G212" s="221"/>
      <c r="H212" s="202"/>
      <c r="I212" s="203"/>
      <c r="J212" s="5"/>
      <c r="K212" s="182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1">
        <f>'Données projet'!A196</f>
        <v>55</v>
      </c>
      <c r="B213" s="192">
        <f>'Données projet'!D196</f>
        <v>392.51950231481487</v>
      </c>
      <c r="C213" s="205"/>
      <c r="D213" s="190">
        <f t="shared" si="12"/>
        <v>0</v>
      </c>
      <c r="E213" s="205"/>
      <c r="F213" s="262"/>
      <c r="G213" s="221"/>
      <c r="H213" s="202"/>
      <c r="I213" s="203"/>
      <c r="J213" s="5"/>
      <c r="K213" s="182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1">
        <f>'Données projet'!A197</f>
        <v>0</v>
      </c>
      <c r="B214" s="192">
        <f>'Données projet'!D197</f>
        <v>0</v>
      </c>
      <c r="C214" s="205"/>
      <c r="D214" s="190">
        <f t="shared" si="12"/>
        <v>0</v>
      </c>
      <c r="E214" s="205"/>
      <c r="F214" s="262"/>
      <c r="G214" s="221"/>
      <c r="H214" s="202"/>
      <c r="I214" s="203"/>
      <c r="J214" s="5"/>
      <c r="K214" s="182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1">
        <f>'Données projet'!A198</f>
        <v>0</v>
      </c>
      <c r="B215" s="192">
        <f>'Données projet'!D198</f>
        <v>0</v>
      </c>
      <c r="C215" s="205"/>
      <c r="D215" s="190">
        <f t="shared" si="12"/>
        <v>0</v>
      </c>
      <c r="E215" s="205"/>
      <c r="F215" s="262"/>
      <c r="G215" s="222"/>
      <c r="H215" s="202"/>
      <c r="I215" s="203"/>
      <c r="J215" s="5"/>
      <c r="K215" s="182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1">
        <f>'Données projet'!A199</f>
        <v>0</v>
      </c>
      <c r="B216" s="192">
        <f>'Données projet'!D199</f>
        <v>0</v>
      </c>
      <c r="C216" s="205"/>
      <c r="D216" s="190">
        <f t="shared" si="12"/>
        <v>0</v>
      </c>
      <c r="E216" s="205"/>
      <c r="F216" s="262"/>
      <c r="G216" s="222"/>
      <c r="H216" s="202"/>
      <c r="I216" s="203"/>
      <c r="J216" s="5"/>
      <c r="K216" s="182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1">
        <f>'Données projet'!A200</f>
        <v>0</v>
      </c>
      <c r="B217" s="192">
        <f>'Données projet'!D200</f>
        <v>0</v>
      </c>
      <c r="C217" s="205"/>
      <c r="D217" s="190">
        <f t="shared" si="12"/>
        <v>0</v>
      </c>
      <c r="E217" s="205"/>
      <c r="F217" s="262"/>
      <c r="G217" s="222"/>
      <c r="H217" s="202"/>
      <c r="I217" s="203"/>
      <c r="J217" s="5"/>
      <c r="K217" s="182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1">
        <f>'Données projet'!A201</f>
        <v>0</v>
      </c>
      <c r="B218" s="192">
        <f>'Données projet'!D201</f>
        <v>0</v>
      </c>
      <c r="C218" s="205"/>
      <c r="D218" s="190">
        <f t="shared" si="12"/>
        <v>0</v>
      </c>
      <c r="E218" s="205"/>
      <c r="F218" s="262"/>
      <c r="G218" s="222"/>
      <c r="H218" s="202"/>
      <c r="I218" s="203"/>
      <c r="J218" s="5"/>
      <c r="K218" s="182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1">
        <f>'Données projet'!A202</f>
        <v>0</v>
      </c>
      <c r="B219" s="192">
        <f>'Données projet'!D202</f>
        <v>0</v>
      </c>
      <c r="C219" s="205"/>
      <c r="D219" s="190">
        <f t="shared" si="12"/>
        <v>0</v>
      </c>
      <c r="E219" s="205"/>
      <c r="F219" s="262"/>
      <c r="G219" s="222"/>
      <c r="H219" s="202"/>
      <c r="I219" s="203"/>
      <c r="J219" s="5"/>
      <c r="K219" s="182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1">
        <f>'Données projet'!A203</f>
        <v>0</v>
      </c>
      <c r="B220" s="192">
        <f>'Données projet'!D203</f>
        <v>0</v>
      </c>
      <c r="C220" s="205"/>
      <c r="D220" s="190">
        <f t="shared" si="12"/>
        <v>0</v>
      </c>
      <c r="E220" s="205"/>
      <c r="F220" s="262"/>
      <c r="G220" s="222"/>
      <c r="H220" s="5"/>
      <c r="I220" s="5"/>
      <c r="J220" s="5"/>
      <c r="K220" s="182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1">
        <f>'Données projet'!A204</f>
        <v>0</v>
      </c>
      <c r="B221" s="192">
        <f>'Données projet'!D204</f>
        <v>0</v>
      </c>
      <c r="C221" s="205"/>
      <c r="D221" s="190">
        <f t="shared" si="12"/>
        <v>0</v>
      </c>
      <c r="E221" s="205"/>
      <c r="F221" s="262"/>
      <c r="G221" s="222"/>
      <c r="H221" s="5"/>
      <c r="I221" s="5"/>
      <c r="J221" s="5"/>
      <c r="K221" s="182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1">
        <f>'Données projet'!A205</f>
        <v>0</v>
      </c>
      <c r="B222" s="192">
        <f>'Données projet'!D205</f>
        <v>0</v>
      </c>
      <c r="C222" s="205"/>
      <c r="D222" s="190">
        <f t="shared" si="12"/>
        <v>0</v>
      </c>
      <c r="E222" s="205"/>
      <c r="F222" s="262"/>
      <c r="G222" s="222"/>
      <c r="H222" s="5"/>
      <c r="I222" s="5"/>
      <c r="J222" s="5"/>
      <c r="K222" s="182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1">
        <f>'Données projet'!A206</f>
        <v>0</v>
      </c>
      <c r="B223" s="192">
        <f>'Données projet'!D206</f>
        <v>0</v>
      </c>
      <c r="C223" s="205"/>
      <c r="D223" s="190">
        <f t="shared" si="12"/>
        <v>0</v>
      </c>
      <c r="E223" s="205"/>
      <c r="F223" s="262"/>
      <c r="G223" s="222"/>
      <c r="H223" s="5"/>
      <c r="I223" s="5"/>
      <c r="J223" s="5"/>
      <c r="K223" s="182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1">
        <f>'Données projet'!A207</f>
        <v>0</v>
      </c>
      <c r="B224" s="192">
        <f>'Données projet'!D207</f>
        <v>0</v>
      </c>
      <c r="C224" s="205"/>
      <c r="D224" s="190">
        <f t="shared" si="12"/>
        <v>0</v>
      </c>
      <c r="E224" s="205"/>
      <c r="F224" s="262"/>
      <c r="G224" s="222"/>
      <c r="H224" s="5"/>
      <c r="I224" s="5"/>
      <c r="J224" s="5"/>
      <c r="K224" s="182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1">
        <f>'Données projet'!A208</f>
        <v>0</v>
      </c>
      <c r="B225" s="192">
        <f>'Données projet'!D208</f>
        <v>0</v>
      </c>
      <c r="C225" s="205"/>
      <c r="D225" s="190">
        <f t="shared" si="12"/>
        <v>0</v>
      </c>
      <c r="E225" s="205"/>
      <c r="F225" s="262"/>
      <c r="G225" s="222"/>
      <c r="H225" s="5"/>
      <c r="I225" s="5"/>
      <c r="J225" s="5"/>
      <c r="K225" s="182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1">
        <f>'Données projet'!A209</f>
        <v>0</v>
      </c>
      <c r="B226" s="192">
        <f>'Données projet'!D209</f>
        <v>0</v>
      </c>
      <c r="C226" s="205"/>
      <c r="D226" s="190">
        <f t="shared" si="12"/>
        <v>0</v>
      </c>
      <c r="E226" s="205"/>
      <c r="F226" s="262"/>
      <c r="G226" s="222"/>
      <c r="H226" s="5"/>
      <c r="I226" s="5"/>
      <c r="J226" s="5"/>
      <c r="K226" s="182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1">
        <f>'Données projet'!A210</f>
        <v>0</v>
      </c>
      <c r="B227" s="192">
        <f>'Données projet'!D210</f>
        <v>0</v>
      </c>
      <c r="C227" s="205"/>
      <c r="D227" s="190">
        <f t="shared" si="12"/>
        <v>0</v>
      </c>
      <c r="E227" s="205"/>
      <c r="F227" s="262"/>
      <c r="G227" s="222"/>
      <c r="H227" s="5"/>
      <c r="I227" s="5"/>
      <c r="J227" s="5"/>
      <c r="K227" s="182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1">
        <f>'Données projet'!A211</f>
        <v>0</v>
      </c>
      <c r="B228" s="192">
        <f>'Données projet'!D211</f>
        <v>0</v>
      </c>
      <c r="C228" s="205"/>
      <c r="D228" s="190">
        <f t="shared" si="12"/>
        <v>0</v>
      </c>
      <c r="E228" s="205"/>
      <c r="F228" s="262"/>
      <c r="G228" s="222"/>
      <c r="H228" s="5"/>
      <c r="I228" s="5"/>
      <c r="J228" s="5"/>
      <c r="K228" s="182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2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2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5" t="str">
        <f>IF('Données projet'!$B$16="","",'Données projet'!$B$16)</f>
        <v>Merisier</v>
      </c>
      <c r="C231" s="5"/>
      <c r="D231" s="5"/>
      <c r="E231" s="5"/>
      <c r="F231" s="260"/>
      <c r="G231" s="222"/>
      <c r="H231" s="5"/>
      <c r="I231" s="5"/>
      <c r="J231" s="5"/>
      <c r="K231" s="182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2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2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/>
      <c r="D234" s="210" t="s">
        <v>132</v>
      </c>
      <c r="E234" s="205"/>
      <c r="F234" s="261"/>
      <c r="G234" s="222"/>
      <c r="H234" s="5"/>
      <c r="I234" s="5"/>
      <c r="J234" s="5"/>
      <c r="K234" s="182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/>
      <c r="D235" s="210" t="s">
        <v>132</v>
      </c>
      <c r="E235" s="205"/>
      <c r="F235" s="261"/>
      <c r="G235" s="220"/>
      <c r="H235" s="5"/>
      <c r="I235" s="5"/>
      <c r="J235" s="5"/>
      <c r="K235" s="182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/>
      <c r="D236" s="210" t="s">
        <v>132</v>
      </c>
      <c r="E236" s="205"/>
      <c r="F236" s="261"/>
      <c r="G236" s="220"/>
      <c r="H236" s="5"/>
      <c r="I236" s="5"/>
      <c r="J236" s="5"/>
      <c r="K236" s="182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/>
      <c r="D237" s="210" t="s">
        <v>132</v>
      </c>
      <c r="E237" s="205"/>
      <c r="F237" s="261"/>
      <c r="G237" s="220"/>
      <c r="H237" s="5"/>
      <c r="I237" s="5"/>
      <c r="J237" s="5"/>
      <c r="K237" s="182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/>
      <c r="D238" s="210" t="s">
        <v>132</v>
      </c>
      <c r="E238" s="205"/>
      <c r="F238" s="261"/>
      <c r="G238" s="220"/>
      <c r="H238" s="5"/>
      <c r="I238" s="5"/>
      <c r="J238" s="5"/>
      <c r="K238" s="182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/>
      <c r="D239" s="210" t="s">
        <v>132</v>
      </c>
      <c r="E239" s="205"/>
      <c r="F239" s="261"/>
      <c r="G239" s="221"/>
      <c r="H239" s="5"/>
      <c r="I239" s="5"/>
      <c r="J239" s="5"/>
      <c r="K239" s="182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1">
        <f>'Données projet'!A218</f>
        <v>15</v>
      </c>
      <c r="B240" s="192">
        <f>'Données projet'!D218</f>
        <v>13.517499999999998</v>
      </c>
      <c r="C240" s="205"/>
      <c r="D240" s="190">
        <f>B240*C240</f>
        <v>0</v>
      </c>
      <c r="E240" s="205"/>
      <c r="F240" s="262"/>
      <c r="G240" s="221"/>
      <c r="H240" s="5"/>
      <c r="I240" s="5"/>
      <c r="J240" s="5"/>
      <c r="K240" s="182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1">
        <f>'Données projet'!A219</f>
        <v>25</v>
      </c>
      <c r="B241" s="192">
        <f>'Données projet'!D219</f>
        <v>24.455416666666672</v>
      </c>
      <c r="C241" s="205"/>
      <c r="D241" s="190">
        <f t="shared" ref="D241:D259" si="13">B241*C241</f>
        <v>0</v>
      </c>
      <c r="E241" s="205"/>
      <c r="F241" s="262"/>
      <c r="G241" s="221"/>
      <c r="H241" s="5"/>
      <c r="I241" s="5"/>
      <c r="J241" s="5"/>
      <c r="K241" s="182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1">
        <f>'Données projet'!A220</f>
        <v>35</v>
      </c>
      <c r="B242" s="192">
        <f>'Données projet'!D220</f>
        <v>36.913680555555565</v>
      </c>
      <c r="C242" s="205"/>
      <c r="D242" s="190">
        <f t="shared" si="13"/>
        <v>0</v>
      </c>
      <c r="E242" s="205"/>
      <c r="F242" s="262"/>
      <c r="G242" s="221"/>
      <c r="H242" s="5"/>
      <c r="I242" s="5"/>
      <c r="J242" s="5"/>
      <c r="K242" s="182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1">
        <f>'Données projet'!A221</f>
        <v>45</v>
      </c>
      <c r="B243" s="192">
        <f>'Données projet'!D221</f>
        <v>50.638900462962958</v>
      </c>
      <c r="C243" s="205"/>
      <c r="D243" s="190">
        <f t="shared" si="13"/>
        <v>0</v>
      </c>
      <c r="E243" s="205"/>
      <c r="F243" s="262"/>
      <c r="G243" s="221"/>
      <c r="H243" s="5"/>
      <c r="I243" s="5"/>
      <c r="J243" s="5"/>
      <c r="K243" s="182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1">
        <f>'Données projet'!A222</f>
        <v>55</v>
      </c>
      <c r="B244" s="192">
        <f>'Données projet'!D222</f>
        <v>392.51950231481487</v>
      </c>
      <c r="C244" s="205"/>
      <c r="D244" s="190">
        <f t="shared" si="13"/>
        <v>0</v>
      </c>
      <c r="E244" s="205"/>
      <c r="F244" s="262"/>
      <c r="G244" s="221"/>
      <c r="H244" s="5"/>
      <c r="I244" s="5"/>
      <c r="J244" s="5"/>
      <c r="K244" s="182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1">
        <f>'Données projet'!A223</f>
        <v>0</v>
      </c>
      <c r="B245" s="192">
        <f>'Données projet'!D223</f>
        <v>0</v>
      </c>
      <c r="C245" s="205"/>
      <c r="D245" s="190">
        <f t="shared" si="13"/>
        <v>0</v>
      </c>
      <c r="E245" s="205"/>
      <c r="F245" s="262"/>
      <c r="G245" s="221"/>
      <c r="H245" s="5"/>
      <c r="I245" s="5"/>
      <c r="J245" s="5"/>
      <c r="K245" s="182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1">
        <f>'Données projet'!A224</f>
        <v>0</v>
      </c>
      <c r="B246" s="192">
        <f>'Données projet'!D224</f>
        <v>0</v>
      </c>
      <c r="C246" s="205"/>
      <c r="D246" s="190">
        <f t="shared" si="13"/>
        <v>0</v>
      </c>
      <c r="E246" s="205"/>
      <c r="F246" s="262"/>
      <c r="G246" s="222"/>
      <c r="H246" s="5"/>
      <c r="I246" s="5"/>
      <c r="J246" s="5"/>
      <c r="K246" s="182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1">
        <f>'Données projet'!A225</f>
        <v>0</v>
      </c>
      <c r="B247" s="192">
        <f>'Données projet'!D225</f>
        <v>0</v>
      </c>
      <c r="C247" s="205"/>
      <c r="D247" s="190">
        <f t="shared" si="13"/>
        <v>0</v>
      </c>
      <c r="E247" s="205"/>
      <c r="F247" s="262"/>
      <c r="G247" s="222"/>
      <c r="H247" s="5"/>
      <c r="I247" s="5"/>
      <c r="J247" s="5"/>
      <c r="K247" s="182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1">
        <f>'Données projet'!A226</f>
        <v>0</v>
      </c>
      <c r="B248" s="192">
        <f>'Données projet'!D226</f>
        <v>0</v>
      </c>
      <c r="C248" s="205"/>
      <c r="D248" s="190">
        <f t="shared" si="13"/>
        <v>0</v>
      </c>
      <c r="E248" s="205"/>
      <c r="F248" s="262"/>
      <c r="G248" s="222"/>
      <c r="H248" s="5"/>
      <c r="I248" s="5"/>
      <c r="J248" s="5"/>
      <c r="K248" s="182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1">
        <f>'Données projet'!A227</f>
        <v>0</v>
      </c>
      <c r="B249" s="192">
        <f>'Données projet'!D227</f>
        <v>0</v>
      </c>
      <c r="C249" s="205"/>
      <c r="D249" s="190">
        <f t="shared" si="13"/>
        <v>0</v>
      </c>
      <c r="E249" s="205"/>
      <c r="F249" s="262"/>
      <c r="G249" s="222"/>
      <c r="H249" s="5"/>
      <c r="I249" s="5"/>
      <c r="J249" s="5"/>
      <c r="K249" s="182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1">
        <f>'Données projet'!A228</f>
        <v>0</v>
      </c>
      <c r="B250" s="192">
        <f>'Données projet'!D228</f>
        <v>0</v>
      </c>
      <c r="C250" s="205"/>
      <c r="D250" s="190">
        <f t="shared" si="13"/>
        <v>0</v>
      </c>
      <c r="E250" s="205"/>
      <c r="F250" s="262"/>
      <c r="G250" s="222"/>
      <c r="H250" s="5"/>
      <c r="I250" s="5"/>
      <c r="J250" s="5"/>
      <c r="K250" s="182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1">
        <f>'Données projet'!A229</f>
        <v>0</v>
      </c>
      <c r="B251" s="192">
        <f>'Données projet'!D229</f>
        <v>0</v>
      </c>
      <c r="C251" s="205"/>
      <c r="D251" s="190">
        <f t="shared" si="13"/>
        <v>0</v>
      </c>
      <c r="E251" s="205"/>
      <c r="F251" s="262"/>
      <c r="G251" s="222"/>
      <c r="H251" s="5"/>
      <c r="I251" s="5"/>
      <c r="J251" s="5"/>
      <c r="K251" s="18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1">
        <f>'Données projet'!A230</f>
        <v>0</v>
      </c>
      <c r="B252" s="192">
        <f>'Données projet'!D230</f>
        <v>0</v>
      </c>
      <c r="C252" s="205"/>
      <c r="D252" s="190">
        <f t="shared" si="13"/>
        <v>0</v>
      </c>
      <c r="E252" s="205"/>
      <c r="F252" s="262"/>
      <c r="G252" s="222"/>
      <c r="H252" s="5"/>
      <c r="I252" s="5"/>
      <c r="J252" s="5"/>
      <c r="K252" s="182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1">
        <f>'Données projet'!A231</f>
        <v>0</v>
      </c>
      <c r="B253" s="192">
        <f>'Données projet'!D231</f>
        <v>0</v>
      </c>
      <c r="C253" s="205"/>
      <c r="D253" s="190">
        <f t="shared" si="13"/>
        <v>0</v>
      </c>
      <c r="E253" s="205"/>
      <c r="F253" s="262"/>
      <c r="G253" s="222"/>
      <c r="H253" s="5"/>
      <c r="I253" s="5"/>
      <c r="J253" s="5"/>
      <c r="K253" s="182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1">
        <f>'Données projet'!A232</f>
        <v>0</v>
      </c>
      <c r="B254" s="192">
        <f>'Données projet'!D232</f>
        <v>0</v>
      </c>
      <c r="C254" s="205"/>
      <c r="D254" s="190">
        <f t="shared" si="13"/>
        <v>0</v>
      </c>
      <c r="E254" s="205"/>
      <c r="F254" s="262"/>
      <c r="G254" s="222"/>
      <c r="H254" s="5"/>
      <c r="I254" s="5"/>
      <c r="J254" s="5"/>
      <c r="K254" s="182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1">
        <f>'Données projet'!A233</f>
        <v>0</v>
      </c>
      <c r="B255" s="192">
        <f>'Données projet'!D233</f>
        <v>0</v>
      </c>
      <c r="C255" s="205"/>
      <c r="D255" s="190">
        <f t="shared" si="13"/>
        <v>0</v>
      </c>
      <c r="E255" s="205"/>
      <c r="F255" s="262"/>
      <c r="G255" s="222"/>
      <c r="H255" s="5"/>
      <c r="I255" s="5"/>
      <c r="J255" s="5"/>
      <c r="K255" s="182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1">
        <f>'Données projet'!A234</f>
        <v>0</v>
      </c>
      <c r="B256" s="192">
        <f>'Données projet'!D234</f>
        <v>0</v>
      </c>
      <c r="C256" s="205"/>
      <c r="D256" s="190">
        <f t="shared" si="13"/>
        <v>0</v>
      </c>
      <c r="E256" s="205"/>
      <c r="F256" s="262"/>
      <c r="G256" s="222"/>
      <c r="H256" s="5"/>
      <c r="I256" s="5"/>
      <c r="J256" s="5"/>
      <c r="K256" s="182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1">
        <f>'Données projet'!A235</f>
        <v>0</v>
      </c>
      <c r="B257" s="192">
        <f>'Données projet'!D235</f>
        <v>0</v>
      </c>
      <c r="C257" s="205"/>
      <c r="D257" s="190">
        <f t="shared" si="13"/>
        <v>0</v>
      </c>
      <c r="E257" s="205"/>
      <c r="F257" s="262"/>
      <c r="G257" s="222"/>
      <c r="H257" s="5"/>
      <c r="I257" s="5"/>
      <c r="J257" s="5"/>
      <c r="K257" s="182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1">
        <f>'Données projet'!A236</f>
        <v>0</v>
      </c>
      <c r="B258" s="192">
        <f>'Données projet'!D236</f>
        <v>0</v>
      </c>
      <c r="C258" s="205"/>
      <c r="D258" s="190">
        <f t="shared" si="13"/>
        <v>0</v>
      </c>
      <c r="E258" s="205"/>
      <c r="F258" s="262"/>
      <c r="G258" s="222"/>
      <c r="H258" s="5"/>
      <c r="I258" s="5"/>
      <c r="J258" s="5"/>
      <c r="K258" s="182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1">
        <f>'Données projet'!A237</f>
        <v>0</v>
      </c>
      <c r="B259" s="192">
        <f>'Données projet'!D237</f>
        <v>0</v>
      </c>
      <c r="C259" s="205"/>
      <c r="D259" s="190">
        <f t="shared" si="13"/>
        <v>0</v>
      </c>
      <c r="E259" s="205"/>
      <c r="F259" s="262"/>
      <c r="G259" s="222"/>
      <c r="H259" s="5"/>
      <c r="I259" s="5"/>
      <c r="J259" s="5"/>
      <c r="K259" s="182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2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2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5" t="str">
        <f>IF('Données projet'!$B$17="","",'Données projet'!$B$17)</f>
        <v>Erable sycomore</v>
      </c>
      <c r="C262" s="5"/>
      <c r="D262" s="5"/>
      <c r="E262" s="5"/>
      <c r="F262" s="260"/>
      <c r="G262" s="222"/>
      <c r="H262" s="5"/>
      <c r="I262" s="5"/>
      <c r="J262" s="5"/>
      <c r="K262" s="182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2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2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/>
      <c r="D265" s="210" t="s">
        <v>132</v>
      </c>
      <c r="E265" s="205"/>
      <c r="F265" s="261"/>
      <c r="G265" s="222"/>
      <c r="H265" s="5"/>
      <c r="I265" s="5"/>
      <c r="J265" s="5"/>
      <c r="K265" s="182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/>
      <c r="D266" s="210" t="s">
        <v>132</v>
      </c>
      <c r="E266" s="205"/>
      <c r="F266" s="261"/>
      <c r="G266" s="220"/>
      <c r="H266" s="5"/>
      <c r="I266" s="5"/>
      <c r="J266" s="5"/>
      <c r="K266" s="182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/>
      <c r="D267" s="210" t="s">
        <v>132</v>
      </c>
      <c r="E267" s="205"/>
      <c r="F267" s="261"/>
      <c r="G267" s="220"/>
      <c r="H267" s="5"/>
      <c r="I267" s="5"/>
      <c r="J267" s="5"/>
      <c r="K267" s="182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/>
      <c r="D268" s="210" t="s">
        <v>132</v>
      </c>
      <c r="E268" s="205"/>
      <c r="F268" s="261"/>
      <c r="G268" s="220"/>
      <c r="H268" s="5"/>
      <c r="I268" s="5"/>
      <c r="J268" s="5"/>
      <c r="K268" s="182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/>
      <c r="D269" s="210" t="s">
        <v>132</v>
      </c>
      <c r="E269" s="205"/>
      <c r="F269" s="261"/>
      <c r="G269" s="220"/>
      <c r="H269" s="5"/>
      <c r="I269" s="5"/>
      <c r="J269" s="5"/>
      <c r="K269" s="182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/>
      <c r="D270" s="210" t="s">
        <v>132</v>
      </c>
      <c r="E270" s="205"/>
      <c r="F270" s="261"/>
      <c r="G270" s="221"/>
      <c r="H270" s="5"/>
      <c r="I270" s="5"/>
      <c r="J270" s="5"/>
      <c r="K270" s="182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1">
        <f>'Données projet'!A244</f>
        <v>15</v>
      </c>
      <c r="B271" s="192">
        <f>'Données projet'!D244</f>
        <v>13.517499999999998</v>
      </c>
      <c r="C271" s="205"/>
      <c r="D271" s="190">
        <f>B271*C271</f>
        <v>0</v>
      </c>
      <c r="E271" s="205"/>
      <c r="F271" s="262"/>
      <c r="G271" s="221"/>
      <c r="H271" s="5"/>
      <c r="I271" s="5"/>
      <c r="J271" s="5"/>
      <c r="K271" s="182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1">
        <f>'Données projet'!A245</f>
        <v>25</v>
      </c>
      <c r="B272" s="192">
        <f>'Données projet'!D245</f>
        <v>24.455416666666672</v>
      </c>
      <c r="C272" s="205"/>
      <c r="D272" s="190">
        <f t="shared" ref="D272:D290" si="14">B272*C272</f>
        <v>0</v>
      </c>
      <c r="E272" s="205"/>
      <c r="F272" s="262"/>
      <c r="G272" s="221"/>
      <c r="H272" s="5"/>
      <c r="I272" s="5"/>
      <c r="J272" s="5"/>
      <c r="K272" s="182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1">
        <f>'Données projet'!A246</f>
        <v>35</v>
      </c>
      <c r="B273" s="192">
        <f>'Données projet'!D246</f>
        <v>36.913680555555565</v>
      </c>
      <c r="C273" s="205"/>
      <c r="D273" s="190">
        <f t="shared" si="14"/>
        <v>0</v>
      </c>
      <c r="E273" s="205"/>
      <c r="F273" s="262"/>
      <c r="G273" s="221"/>
      <c r="H273" s="5"/>
      <c r="I273" s="5"/>
      <c r="J273" s="5"/>
      <c r="K273" s="182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1">
        <f>'Données projet'!A247</f>
        <v>45</v>
      </c>
      <c r="B274" s="192">
        <f>'Données projet'!D247</f>
        <v>50.638900462962958</v>
      </c>
      <c r="C274" s="205"/>
      <c r="D274" s="190">
        <f t="shared" si="14"/>
        <v>0</v>
      </c>
      <c r="E274" s="205"/>
      <c r="F274" s="262"/>
      <c r="G274" s="221"/>
      <c r="H274" s="5"/>
      <c r="I274" s="5"/>
      <c r="J274" s="5"/>
      <c r="K274" s="182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1">
        <f>'Données projet'!A248</f>
        <v>55</v>
      </c>
      <c r="B275" s="192">
        <f>'Données projet'!D248</f>
        <v>392.51950231481487</v>
      </c>
      <c r="C275" s="205"/>
      <c r="D275" s="190">
        <f t="shared" si="14"/>
        <v>0</v>
      </c>
      <c r="E275" s="205"/>
      <c r="F275" s="262"/>
      <c r="G275" s="221"/>
      <c r="H275" s="5"/>
      <c r="I275" s="5"/>
      <c r="J275" s="5"/>
      <c r="K275" s="182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1">
        <f>'Données projet'!A249</f>
        <v>0</v>
      </c>
      <c r="B276" s="192">
        <f>'Données projet'!D249</f>
        <v>0</v>
      </c>
      <c r="C276" s="205"/>
      <c r="D276" s="190">
        <f t="shared" si="14"/>
        <v>0</v>
      </c>
      <c r="E276" s="205"/>
      <c r="F276" s="262"/>
      <c r="G276" s="221"/>
      <c r="H276" s="5"/>
      <c r="I276" s="5"/>
      <c r="J276" s="5"/>
      <c r="K276" s="182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1">
        <f>'Données projet'!A250</f>
        <v>0</v>
      </c>
      <c r="B277" s="192">
        <f>'Données projet'!D250</f>
        <v>0</v>
      </c>
      <c r="C277" s="205"/>
      <c r="D277" s="190">
        <f t="shared" si="14"/>
        <v>0</v>
      </c>
      <c r="E277" s="205"/>
      <c r="F277" s="262"/>
      <c r="G277" s="222"/>
      <c r="H277" s="5"/>
      <c r="I277" s="5"/>
      <c r="J277" s="5"/>
      <c r="K277" s="182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1">
        <f>'Données projet'!A251</f>
        <v>0</v>
      </c>
      <c r="B278" s="192">
        <f>'Données projet'!D251</f>
        <v>0</v>
      </c>
      <c r="C278" s="205"/>
      <c r="D278" s="190">
        <f t="shared" si="14"/>
        <v>0</v>
      </c>
      <c r="E278" s="205"/>
      <c r="F278" s="262"/>
      <c r="G278" s="222"/>
      <c r="H278" s="5"/>
      <c r="I278" s="5"/>
      <c r="J278" s="5"/>
      <c r="K278" s="182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1">
        <f>'Données projet'!A252</f>
        <v>0</v>
      </c>
      <c r="B279" s="192">
        <f>'Données projet'!D252</f>
        <v>0</v>
      </c>
      <c r="C279" s="205"/>
      <c r="D279" s="190">
        <f t="shared" si="14"/>
        <v>0</v>
      </c>
      <c r="E279" s="205"/>
      <c r="F279" s="262"/>
      <c r="G279" s="222"/>
      <c r="H279" s="5"/>
      <c r="I279" s="5"/>
      <c r="J279" s="5"/>
      <c r="K279" s="182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1">
        <f>'Données projet'!A253</f>
        <v>0</v>
      </c>
      <c r="B280" s="192">
        <f>'Données projet'!D253</f>
        <v>0</v>
      </c>
      <c r="C280" s="205"/>
      <c r="D280" s="190">
        <f t="shared" si="14"/>
        <v>0</v>
      </c>
      <c r="E280" s="205"/>
      <c r="F280" s="262"/>
      <c r="G280" s="222"/>
      <c r="H280" s="5"/>
      <c r="I280" s="5"/>
      <c r="J280" s="5"/>
      <c r="K280" s="182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1">
        <f>'Données projet'!A254</f>
        <v>0</v>
      </c>
      <c r="B281" s="192">
        <f>'Données projet'!D254</f>
        <v>0</v>
      </c>
      <c r="C281" s="205"/>
      <c r="D281" s="190">
        <f t="shared" si="14"/>
        <v>0</v>
      </c>
      <c r="E281" s="205"/>
      <c r="F281" s="262"/>
      <c r="G281" s="222"/>
      <c r="H281" s="5"/>
      <c r="I281" s="5"/>
      <c r="J281" s="5"/>
      <c r="K281" s="182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1">
        <f>'Données projet'!A255</f>
        <v>0</v>
      </c>
      <c r="B282" s="192">
        <f>'Données projet'!D255</f>
        <v>0</v>
      </c>
      <c r="C282" s="205"/>
      <c r="D282" s="190">
        <f t="shared" si="14"/>
        <v>0</v>
      </c>
      <c r="E282" s="205"/>
      <c r="F282" s="262"/>
      <c r="G282" s="222"/>
      <c r="H282" s="5"/>
      <c r="I282" s="5"/>
      <c r="J282" s="5"/>
      <c r="K282" s="182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1">
        <f>'Données projet'!A256</f>
        <v>0</v>
      </c>
      <c r="B283" s="192">
        <f>'Données projet'!D256</f>
        <v>0</v>
      </c>
      <c r="C283" s="205"/>
      <c r="D283" s="190">
        <f t="shared" si="14"/>
        <v>0</v>
      </c>
      <c r="E283" s="205"/>
      <c r="F283" s="262"/>
      <c r="G283" s="222"/>
      <c r="H283" s="5"/>
      <c r="I283" s="5"/>
      <c r="J283" s="5"/>
      <c r="K283" s="182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1">
        <f>'Données projet'!A257</f>
        <v>0</v>
      </c>
      <c r="B284" s="192">
        <f>'Données projet'!D257</f>
        <v>0</v>
      </c>
      <c r="C284" s="205"/>
      <c r="D284" s="190">
        <f t="shared" si="14"/>
        <v>0</v>
      </c>
      <c r="E284" s="205"/>
      <c r="F284" s="262"/>
      <c r="G284" s="222"/>
      <c r="H284" s="5"/>
      <c r="I284" s="5"/>
      <c r="J284" s="5"/>
      <c r="K284" s="182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1">
        <f>'Données projet'!A258</f>
        <v>0</v>
      </c>
      <c r="B285" s="192">
        <f>'Données projet'!D258</f>
        <v>0</v>
      </c>
      <c r="C285" s="205"/>
      <c r="D285" s="190">
        <f t="shared" si="14"/>
        <v>0</v>
      </c>
      <c r="E285" s="205"/>
      <c r="F285" s="262"/>
      <c r="G285" s="222"/>
      <c r="H285" s="5"/>
      <c r="I285" s="5"/>
      <c r="J285" s="5"/>
      <c r="K285" s="182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1">
        <f>'Données projet'!A259</f>
        <v>0</v>
      </c>
      <c r="B286" s="192">
        <f>'Données projet'!D259</f>
        <v>0</v>
      </c>
      <c r="C286" s="205"/>
      <c r="D286" s="190">
        <f t="shared" si="14"/>
        <v>0</v>
      </c>
      <c r="E286" s="205"/>
      <c r="F286" s="262"/>
      <c r="G286" s="222"/>
      <c r="H286" s="5"/>
      <c r="I286" s="5"/>
      <c r="J286" s="5"/>
      <c r="K286" s="182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1">
        <f>'Données projet'!A260</f>
        <v>0</v>
      </c>
      <c r="B287" s="192">
        <f>'Données projet'!D260</f>
        <v>0</v>
      </c>
      <c r="C287" s="205"/>
      <c r="D287" s="190">
        <f t="shared" si="14"/>
        <v>0</v>
      </c>
      <c r="E287" s="205"/>
      <c r="F287" s="262"/>
      <c r="G287" s="222"/>
      <c r="H287" s="5"/>
      <c r="I287" s="5"/>
      <c r="J287" s="5"/>
      <c r="K287" s="182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1">
        <f>'Données projet'!A261</f>
        <v>0</v>
      </c>
      <c r="B288" s="192">
        <f>'Données projet'!D261</f>
        <v>0</v>
      </c>
      <c r="C288" s="205"/>
      <c r="D288" s="190">
        <f t="shared" si="14"/>
        <v>0</v>
      </c>
      <c r="E288" s="205"/>
      <c r="F288" s="262"/>
      <c r="G288" s="222"/>
      <c r="H288" s="5"/>
      <c r="I288" s="5"/>
      <c r="J288" s="5"/>
      <c r="K288" s="182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1">
        <f>'Données projet'!A262</f>
        <v>0</v>
      </c>
      <c r="B289" s="192">
        <f>'Données projet'!D262</f>
        <v>0</v>
      </c>
      <c r="C289" s="205"/>
      <c r="D289" s="190">
        <f t="shared" si="14"/>
        <v>0</v>
      </c>
      <c r="E289" s="205"/>
      <c r="F289" s="262"/>
      <c r="G289" s="222"/>
      <c r="H289" s="5"/>
      <c r="I289" s="5"/>
      <c r="J289" s="5"/>
      <c r="K289" s="182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1">
        <f>'Données projet'!A263</f>
        <v>0</v>
      </c>
      <c r="B290" s="192">
        <f>'Données projet'!D263</f>
        <v>0</v>
      </c>
      <c r="C290" s="205"/>
      <c r="D290" s="190">
        <f t="shared" si="14"/>
        <v>0</v>
      </c>
      <c r="E290" s="205"/>
      <c r="F290" s="262"/>
      <c r="G290" s="222"/>
      <c r="H290" s="5"/>
      <c r="I290" s="5"/>
      <c r="J290" s="5"/>
      <c r="K290" s="182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2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2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5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2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2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2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/>
      <c r="D296" s="210" t="s">
        <v>132</v>
      </c>
      <c r="E296" s="205"/>
      <c r="F296" s="261"/>
      <c r="G296" s="222"/>
      <c r="H296" s="5"/>
      <c r="I296" s="5"/>
      <c r="J296" s="5"/>
      <c r="K296" s="182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/>
      <c r="D297" s="210" t="s">
        <v>132</v>
      </c>
      <c r="E297" s="205"/>
      <c r="F297" s="261"/>
      <c r="G297" s="220"/>
      <c r="H297" s="5"/>
      <c r="I297" s="5"/>
      <c r="J297" s="5"/>
      <c r="K297" s="182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/>
      <c r="D298" s="210" t="s">
        <v>132</v>
      </c>
      <c r="E298" s="205"/>
      <c r="F298" s="261"/>
      <c r="G298" s="220"/>
      <c r="H298" s="5"/>
      <c r="I298" s="5"/>
      <c r="J298" s="5"/>
      <c r="K298" s="182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/>
      <c r="D299" s="210" t="s">
        <v>132</v>
      </c>
      <c r="E299" s="205"/>
      <c r="F299" s="261"/>
      <c r="G299" s="220"/>
      <c r="H299" s="5"/>
      <c r="I299" s="5"/>
      <c r="J299" s="5"/>
      <c r="K299" s="182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/>
      <c r="D300" s="210" t="s">
        <v>132</v>
      </c>
      <c r="E300" s="205"/>
      <c r="F300" s="261"/>
      <c r="G300" s="220"/>
      <c r="H300" s="5"/>
      <c r="I300" s="5"/>
      <c r="J300" s="5"/>
      <c r="K300" s="182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/>
      <c r="D301" s="210" t="s">
        <v>132</v>
      </c>
      <c r="E301" s="205"/>
      <c r="F301" s="261"/>
      <c r="G301" s="221"/>
      <c r="H301" s="5"/>
      <c r="I301" s="5"/>
      <c r="J301" s="5"/>
      <c r="K301" s="182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1">
        <f>'Données projet'!A270</f>
        <v>0</v>
      </c>
      <c r="B302" s="192">
        <f>'Données projet'!D270</f>
        <v>0</v>
      </c>
      <c r="C302" s="203"/>
      <c r="D302" s="193">
        <f>B302*C302</f>
        <v>0</v>
      </c>
      <c r="E302" s="205"/>
      <c r="F302" s="263"/>
      <c r="G302" s="221"/>
      <c r="H302" s="5"/>
      <c r="I302" s="5"/>
      <c r="J302" s="5"/>
      <c r="K302" s="182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1">
        <f>'Données projet'!A271</f>
        <v>0</v>
      </c>
      <c r="B303" s="192">
        <f>'Données projet'!D271</f>
        <v>0</v>
      </c>
      <c r="C303" s="203"/>
      <c r="D303" s="193">
        <f t="shared" ref="D303:D321" si="15">B303*C303</f>
        <v>0</v>
      </c>
      <c r="E303" s="205"/>
      <c r="F303" s="263"/>
      <c r="G303" s="221"/>
      <c r="H303" s="5"/>
      <c r="I303" s="5"/>
      <c r="J303" s="5"/>
      <c r="K303" s="182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1">
        <f>'Données projet'!A272</f>
        <v>0</v>
      </c>
      <c r="B304" s="192">
        <f>'Données projet'!D272</f>
        <v>0</v>
      </c>
      <c r="C304" s="203"/>
      <c r="D304" s="193">
        <f t="shared" si="15"/>
        <v>0</v>
      </c>
      <c r="E304" s="205"/>
      <c r="F304" s="263"/>
      <c r="G304" s="221"/>
      <c r="H304" s="5"/>
      <c r="I304" s="5"/>
      <c r="J304" s="5"/>
      <c r="K304" s="182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1">
        <f>'Données projet'!A273</f>
        <v>0</v>
      </c>
      <c r="B305" s="192">
        <f>'Données projet'!D273</f>
        <v>0</v>
      </c>
      <c r="C305" s="203"/>
      <c r="D305" s="193">
        <f t="shared" si="15"/>
        <v>0</v>
      </c>
      <c r="E305" s="205"/>
      <c r="F305" s="263"/>
      <c r="G305" s="221"/>
      <c r="H305" s="5"/>
      <c r="I305" s="5"/>
      <c r="J305" s="5"/>
      <c r="K305" s="182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1">
        <f>'Données projet'!A274</f>
        <v>0</v>
      </c>
      <c r="B306" s="192">
        <f>'Données projet'!D274</f>
        <v>0</v>
      </c>
      <c r="C306" s="203"/>
      <c r="D306" s="193">
        <f t="shared" si="15"/>
        <v>0</v>
      </c>
      <c r="E306" s="205"/>
      <c r="F306" s="263"/>
      <c r="G306" s="221"/>
      <c r="H306" s="5"/>
      <c r="I306" s="5"/>
      <c r="J306" s="5"/>
      <c r="K306" s="182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1">
        <f>'Données projet'!A275</f>
        <v>0</v>
      </c>
      <c r="B307" s="192">
        <f>'Données projet'!D275</f>
        <v>0</v>
      </c>
      <c r="C307" s="203"/>
      <c r="D307" s="193">
        <f t="shared" si="15"/>
        <v>0</v>
      </c>
      <c r="E307" s="205"/>
      <c r="F307" s="263"/>
      <c r="G307" s="221"/>
      <c r="H307" s="5"/>
      <c r="I307" s="5"/>
      <c r="J307" s="5"/>
      <c r="K307" s="182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1">
        <f>'Données projet'!A276</f>
        <v>0</v>
      </c>
      <c r="B308" s="192">
        <f>'Données projet'!D276</f>
        <v>0</v>
      </c>
      <c r="C308" s="203"/>
      <c r="D308" s="193">
        <f t="shared" si="15"/>
        <v>0</v>
      </c>
      <c r="E308" s="205"/>
      <c r="F308" s="263"/>
      <c r="G308" s="217"/>
      <c r="H308" s="5"/>
      <c r="I308" s="5"/>
      <c r="J308" s="5"/>
      <c r="K308" s="182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1">
        <f>'Données projet'!A277</f>
        <v>0</v>
      </c>
      <c r="B309" s="192">
        <f>'Données projet'!D277</f>
        <v>0</v>
      </c>
      <c r="C309" s="203"/>
      <c r="D309" s="193">
        <f t="shared" si="15"/>
        <v>0</v>
      </c>
      <c r="E309" s="205"/>
      <c r="F309" s="263"/>
      <c r="G309" s="217"/>
      <c r="H309" s="5"/>
      <c r="I309" s="5"/>
      <c r="J309" s="5"/>
      <c r="K309" s="182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1">
        <f>'Données projet'!A278</f>
        <v>0</v>
      </c>
      <c r="B310" s="192">
        <f>'Données projet'!D278</f>
        <v>0</v>
      </c>
      <c r="C310" s="203"/>
      <c r="D310" s="193">
        <f t="shared" si="15"/>
        <v>0</v>
      </c>
      <c r="E310" s="205"/>
      <c r="F310" s="263"/>
      <c r="G310" s="217"/>
      <c r="H310" s="5"/>
      <c r="I310" s="5"/>
      <c r="J310" s="5"/>
      <c r="K310" s="182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1">
        <f>'Données projet'!A279</f>
        <v>0</v>
      </c>
      <c r="B311" s="192">
        <f>'Données projet'!D279</f>
        <v>0</v>
      </c>
      <c r="C311" s="203"/>
      <c r="D311" s="193">
        <f t="shared" si="15"/>
        <v>0</v>
      </c>
      <c r="E311" s="205"/>
      <c r="F311" s="263"/>
      <c r="G311" s="217"/>
      <c r="H311" s="5"/>
      <c r="I311" s="5"/>
      <c r="J311" s="5"/>
      <c r="K311" s="182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1">
        <f>'Données projet'!A280</f>
        <v>0</v>
      </c>
      <c r="B312" s="192">
        <f>'Données projet'!D280</f>
        <v>0</v>
      </c>
      <c r="C312" s="203"/>
      <c r="D312" s="193">
        <f t="shared" si="15"/>
        <v>0</v>
      </c>
      <c r="E312" s="205"/>
      <c r="F312" s="263"/>
      <c r="G312" s="217"/>
      <c r="H312" s="5"/>
      <c r="I312" s="5"/>
      <c r="J312" s="5"/>
      <c r="K312" s="182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1">
        <f>'Données projet'!A281</f>
        <v>0</v>
      </c>
      <c r="B313" s="192">
        <f>'Données projet'!D281</f>
        <v>0</v>
      </c>
      <c r="C313" s="203"/>
      <c r="D313" s="193">
        <f t="shared" si="15"/>
        <v>0</v>
      </c>
      <c r="E313" s="205"/>
      <c r="F313" s="263"/>
      <c r="G313" s="217"/>
      <c r="H313" s="5"/>
      <c r="I313" s="5"/>
      <c r="J313" s="5"/>
      <c r="K313" s="182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1">
        <f>'Données projet'!A282</f>
        <v>0</v>
      </c>
      <c r="B314" s="192">
        <f>'Données projet'!D282</f>
        <v>0</v>
      </c>
      <c r="C314" s="203"/>
      <c r="D314" s="193">
        <f t="shared" si="15"/>
        <v>0</v>
      </c>
      <c r="E314" s="205"/>
      <c r="F314" s="263"/>
      <c r="G314" s="217"/>
      <c r="H314" s="5"/>
      <c r="I314" s="5"/>
      <c r="J314" s="5"/>
      <c r="K314" s="182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1">
        <f>'Données projet'!A283</f>
        <v>0</v>
      </c>
      <c r="B315" s="192">
        <f>'Données projet'!D283</f>
        <v>0</v>
      </c>
      <c r="C315" s="203"/>
      <c r="D315" s="193">
        <f t="shared" si="15"/>
        <v>0</v>
      </c>
      <c r="E315" s="205"/>
      <c r="F315" s="263"/>
      <c r="G315" s="217"/>
      <c r="H315" s="5"/>
      <c r="I315" s="5"/>
      <c r="J315" s="5"/>
      <c r="K315" s="182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1">
        <f>'Données projet'!A284</f>
        <v>0</v>
      </c>
      <c r="B316" s="192">
        <f>'Données projet'!D284</f>
        <v>0</v>
      </c>
      <c r="C316" s="203"/>
      <c r="D316" s="193">
        <f t="shared" si="15"/>
        <v>0</v>
      </c>
      <c r="E316" s="205"/>
      <c r="F316" s="263"/>
      <c r="G316" s="217"/>
      <c r="H316" s="5"/>
      <c r="I316" s="5"/>
      <c r="J316" s="5"/>
      <c r="K316" s="182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1">
        <f>'Données projet'!A285</f>
        <v>0</v>
      </c>
      <c r="B317" s="192">
        <f>'Données projet'!D285</f>
        <v>0</v>
      </c>
      <c r="C317" s="203"/>
      <c r="D317" s="193">
        <f t="shared" si="15"/>
        <v>0</v>
      </c>
      <c r="E317" s="205"/>
      <c r="F317" s="263"/>
      <c r="G317" s="217"/>
      <c r="H317" s="5"/>
      <c r="I317" s="5"/>
      <c r="J317" s="5"/>
      <c r="K317" s="182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1">
        <f>'Données projet'!A286</f>
        <v>0</v>
      </c>
      <c r="B318" s="192">
        <f>'Données projet'!D286</f>
        <v>0</v>
      </c>
      <c r="C318" s="203"/>
      <c r="D318" s="193">
        <f t="shared" si="15"/>
        <v>0</v>
      </c>
      <c r="E318" s="205"/>
      <c r="F318" s="263"/>
      <c r="G318" s="217"/>
      <c r="H318" s="5"/>
      <c r="I318" s="5"/>
      <c r="J318" s="5"/>
      <c r="K318" s="182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1">
        <f>'Données projet'!A287</f>
        <v>0</v>
      </c>
      <c r="B319" s="192">
        <f>'Données projet'!D287</f>
        <v>0</v>
      </c>
      <c r="C319" s="203"/>
      <c r="D319" s="193">
        <f t="shared" si="15"/>
        <v>0</v>
      </c>
      <c r="E319" s="205"/>
      <c r="F319" s="263"/>
      <c r="G319" s="217"/>
      <c r="H319" s="5"/>
      <c r="I319" s="5"/>
      <c r="J319" s="5"/>
      <c r="K319" s="182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1">
        <f>'Données projet'!A288</f>
        <v>0</v>
      </c>
      <c r="B320" s="192">
        <f>'Données projet'!D288</f>
        <v>0</v>
      </c>
      <c r="C320" s="203"/>
      <c r="D320" s="193">
        <f t="shared" si="15"/>
        <v>0</v>
      </c>
      <c r="E320" s="205"/>
      <c r="F320" s="263"/>
      <c r="G320" s="217"/>
      <c r="H320" s="5"/>
      <c r="I320" s="5"/>
      <c r="J320" s="5"/>
      <c r="K320" s="182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1">
        <f>'Données projet'!A289</f>
        <v>0</v>
      </c>
      <c r="B321" s="192">
        <f>'Données projet'!D289</f>
        <v>0</v>
      </c>
      <c r="C321" s="208"/>
      <c r="D321" s="193">
        <f t="shared" si="15"/>
        <v>0</v>
      </c>
      <c r="E321" s="205"/>
      <c r="F321" s="263"/>
      <c r="G321" s="217"/>
      <c r="H321" s="5"/>
      <c r="I321" s="5"/>
      <c r="J321" s="5"/>
      <c r="K321" s="182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2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2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2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2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2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2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B4EDD96029174C893F76668C19DF97" ma:contentTypeVersion="16" ma:contentTypeDescription="Crée un document." ma:contentTypeScope="" ma:versionID="264f1e0e05f20c30c69198eb65f88b80">
  <xsd:schema xmlns:xsd="http://www.w3.org/2001/XMLSchema" xmlns:xs="http://www.w3.org/2001/XMLSchema" xmlns:p="http://schemas.microsoft.com/office/2006/metadata/properties" xmlns:ns2="8c1d9445-5ca3-48db-a349-49511c70e687" xmlns:ns3="1cca48d1-260d-4848-9875-be9a6e463188" targetNamespace="http://schemas.microsoft.com/office/2006/metadata/properties" ma:root="true" ma:fieldsID="362cea35d0b68dc6566f6fa6cf7be5c1" ns2:_="" ns3:_="">
    <xsd:import namespace="8c1d9445-5ca3-48db-a349-49511c70e687"/>
    <xsd:import namespace="1cca48d1-260d-4848-9875-be9a6e463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9445-5ca3-48db-a349-49511c70e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7bdd42d-bd6b-4b7f-bb03-8625edd76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a48d1-260d-4848-9875-be9a6e463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aab27c-1ada-43c2-9a6a-e5006b256cb5}" ma:internalName="TaxCatchAll" ma:showField="CatchAllData" ma:web="1cca48d1-260d-4848-9875-be9a6e463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1d9445-5ca3-48db-a349-49511c70e687">
      <Terms xmlns="http://schemas.microsoft.com/office/infopath/2007/PartnerControls"/>
    </lcf76f155ced4ddcb4097134ff3c332f>
    <TaxCatchAll xmlns="1cca48d1-260d-4848-9875-be9a6e4631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C00110-7C0F-437C-9C94-68A8A15FE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d9445-5ca3-48db-a349-49511c70e687"/>
    <ds:schemaRef ds:uri="1cca48d1-260d-4848-9875-be9a6e463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C16CF2-DDE1-4425-96D4-7986832B5DB5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8c1d9445-5ca3-48db-a349-49511c70e687"/>
    <ds:schemaRef ds:uri="1cca48d1-260d-4848-9875-be9a6e463188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89A1D1D-15DF-4FB8-BAF9-ACC03404A1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Pailler</cp:lastModifiedBy>
  <dcterms:created xsi:type="dcterms:W3CDTF">2021-02-01T08:22:39Z</dcterms:created>
  <dcterms:modified xsi:type="dcterms:W3CDTF">2022-07-28T11:56:34Z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0x010100D7B4EDD96029174C893F76668C19DF97</vt:lpwstr>
  </property>
  <property fmtid="{D5CDD505-2E9C-101B-9397-08002B2CF9AE}" pid="3" name="MediaServiceImageTags">
    <vt:lpwstr/>
  </property>
</Properties>
</file>