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des Charentes\Projet Nieul-le-Virouil_012021\"/>
    </mc:Choice>
  </mc:AlternateContent>
  <bookViews>
    <workbookView xWindow="0" yWindow="0" windowWidth="19200" windowHeight="7310" activeTab="3"/>
  </bookViews>
  <sheets>
    <sheet name="REAforêtReboisement" sheetId="1" r:id="rId1"/>
    <sheet name="REAproduitsReboisement" sheetId="3" r:id="rId2"/>
    <sheet name="REEsubsRe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O28" i="1" l="1"/>
  <c r="Z21" i="5"/>
  <c r="AA18" i="3"/>
  <c r="AA25" i="1" l="1"/>
  <c r="X26" i="1"/>
  <c r="Y26" i="1" s="1"/>
  <c r="Z26" i="1" s="1"/>
  <c r="AA26" i="1" s="1"/>
  <c r="W26" i="1"/>
  <c r="S26" i="1"/>
  <c r="T26" i="1" s="1"/>
  <c r="U26" i="1" s="1"/>
  <c r="V26" i="1" s="1"/>
  <c r="R26" i="1"/>
  <c r="N26" i="1"/>
  <c r="O26" i="1" s="1"/>
  <c r="P26" i="1" s="1"/>
  <c r="Q26" i="1" s="1"/>
  <c r="M26" i="1"/>
  <c r="I26" i="1"/>
  <c r="J26" i="1"/>
  <c r="K26" i="1" s="1"/>
  <c r="L26" i="1" s="1"/>
  <c r="H26" i="1"/>
  <c r="D26" i="1"/>
  <c r="E26" i="1" s="1"/>
  <c r="F26" i="1" s="1"/>
  <c r="G26" i="1" s="1"/>
  <c r="C26" i="1"/>
  <c r="AE21" i="5" l="1"/>
  <c r="P21" i="5"/>
  <c r="D14" i="3"/>
  <c r="E14" i="3"/>
  <c r="F14" i="3"/>
  <c r="G14" i="3"/>
  <c r="H14" i="3"/>
  <c r="I14" i="3"/>
  <c r="J14" i="3"/>
  <c r="K14" i="3"/>
  <c r="L14" i="3"/>
  <c r="M14" i="3"/>
  <c r="N14" i="3"/>
  <c r="O14" i="3"/>
  <c r="P14" i="3"/>
  <c r="Q14" i="3"/>
  <c r="R14" i="3"/>
  <c r="S14" i="3"/>
  <c r="T14" i="3"/>
  <c r="U14" i="3"/>
  <c r="V14" i="3"/>
  <c r="W14" i="3"/>
  <c r="X14" i="3"/>
  <c r="Y14" i="3"/>
  <c r="Z14" i="3"/>
  <c r="AA14" i="3"/>
  <c r="C14" i="3"/>
  <c r="C15" i="3"/>
  <c r="C16" i="3"/>
  <c r="B17" i="3"/>
  <c r="AA17" i="3"/>
  <c r="AF17" i="3"/>
  <c r="AE17" i="3"/>
  <c r="AD17" i="3"/>
  <c r="AC17" i="3"/>
  <c r="AB17" i="3"/>
  <c r="Z17" i="3"/>
  <c r="Y17" i="3"/>
  <c r="X17" i="3"/>
  <c r="W17" i="3"/>
  <c r="V17" i="3"/>
  <c r="U17" i="3"/>
  <c r="T17" i="3"/>
  <c r="S17" i="3"/>
  <c r="R17" i="3"/>
  <c r="Q17" i="3"/>
  <c r="P17" i="3"/>
  <c r="O17" i="3"/>
  <c r="N17" i="3"/>
  <c r="M17" i="3"/>
  <c r="L17" i="3"/>
  <c r="K17" i="3"/>
  <c r="J17" i="3"/>
  <c r="I17" i="3"/>
  <c r="H17" i="3"/>
  <c r="G17" i="3"/>
  <c r="F17" i="3"/>
  <c r="E17" i="3"/>
  <c r="D17" i="3"/>
  <c r="C17" i="3"/>
  <c r="B14" i="3"/>
  <c r="D16" i="3" l="1"/>
  <c r="D15" i="3" s="1"/>
  <c r="E16" i="3" l="1"/>
  <c r="E15" i="3" s="1"/>
  <c r="F16" i="3" l="1"/>
  <c r="F15" i="3" s="1"/>
  <c r="G16" i="3" l="1"/>
  <c r="G15" i="3" s="1"/>
  <c r="AF28" i="1"/>
  <c r="D28" i="1"/>
  <c r="E28" i="1" s="1"/>
  <c r="F28" i="1" s="1"/>
  <c r="G28" i="1" s="1"/>
  <c r="H28" i="1" s="1"/>
  <c r="I28" i="1" s="1"/>
  <c r="J28" i="1" s="1"/>
  <c r="K28" i="1" s="1"/>
  <c r="L28" i="1" s="1"/>
  <c r="M28" i="1" s="1"/>
  <c r="N28" i="1" s="1"/>
  <c r="O28" i="1" s="1"/>
  <c r="P28" i="1" s="1"/>
  <c r="Q28" i="1" s="1"/>
  <c r="R28" i="1" s="1"/>
  <c r="S28" i="1" s="1"/>
  <c r="T28" i="1" s="1"/>
  <c r="U28" i="1" s="1"/>
  <c r="V28" i="1" s="1"/>
  <c r="W28" i="1" s="1"/>
  <c r="X28" i="1" s="1"/>
  <c r="Y28" i="1" s="1"/>
  <c r="Z28" i="1" s="1"/>
  <c r="AA28" i="1" s="1"/>
  <c r="AB28" i="1" s="1"/>
  <c r="AC28" i="1" s="1"/>
  <c r="AD28" i="1" s="1"/>
  <c r="AE28" i="1" s="1"/>
  <c r="C28" i="1"/>
  <c r="C25" i="1"/>
  <c r="AU24" i="1"/>
  <c r="AK24" i="1"/>
  <c r="AA24" i="1"/>
  <c r="Q24" i="1"/>
  <c r="R24" i="1" s="1"/>
  <c r="S24" i="1" s="1"/>
  <c r="T24" i="1" s="1"/>
  <c r="U24" i="1" s="1"/>
  <c r="V24" i="1" s="1"/>
  <c r="W24" i="1" s="1"/>
  <c r="X24" i="1" s="1"/>
  <c r="Y24" i="1" s="1"/>
  <c r="Z24" i="1" s="1"/>
  <c r="D24" i="1"/>
  <c r="E24" i="1" s="1"/>
  <c r="F24" i="1" s="1"/>
  <c r="G24" i="1" s="1"/>
  <c r="H24" i="1" s="1"/>
  <c r="I24" i="1" s="1"/>
  <c r="J24" i="1" s="1"/>
  <c r="K24" i="1" s="1"/>
  <c r="L24" i="1" s="1"/>
  <c r="M24" i="1" s="1"/>
  <c r="N24" i="1" s="1"/>
  <c r="O24" i="1" s="1"/>
  <c r="P24" i="1" s="1"/>
  <c r="C24" i="1"/>
  <c r="B47" i="1"/>
  <c r="B32" i="1"/>
  <c r="AH36" i="1"/>
  <c r="AI36" i="1"/>
  <c r="AJ36" i="1"/>
  <c r="AK36" i="1"/>
  <c r="AL36" i="1"/>
  <c r="AM36" i="1"/>
  <c r="AN36" i="1"/>
  <c r="AO36" i="1"/>
  <c r="AP36" i="1"/>
  <c r="AG36" i="1"/>
  <c r="G40" i="1"/>
  <c r="E40" i="1"/>
  <c r="AF30" i="1"/>
  <c r="H16" i="3" l="1"/>
  <c r="H15" i="3" s="1"/>
  <c r="AG28" i="1"/>
  <c r="AH28" i="1" s="1"/>
  <c r="AI28" i="1" s="1"/>
  <c r="AJ28" i="1" s="1"/>
  <c r="AK28" i="1" s="1"/>
  <c r="AL28" i="1" s="1"/>
  <c r="AM28" i="1" s="1"/>
  <c r="AN28" i="1" s="1"/>
  <c r="AO28" i="1" s="1"/>
  <c r="AP28" i="1" s="1"/>
  <c r="AQ28" i="1" s="1"/>
  <c r="AR28" i="1" s="1"/>
  <c r="AS28" i="1" s="1"/>
  <c r="AT28" i="1" s="1"/>
  <c r="AU28" i="1" s="1"/>
  <c r="AV28" i="1" s="1"/>
  <c r="AW28" i="1" s="1"/>
  <c r="AX28" i="1" s="1"/>
  <c r="AY28" i="1" s="1"/>
  <c r="AZ28" i="1" s="1"/>
  <c r="BA28" i="1" s="1"/>
  <c r="BB28" i="1" s="1"/>
  <c r="BC28" i="1" s="1"/>
  <c r="BD28" i="1" s="1"/>
  <c r="BE28" i="1" s="1"/>
  <c r="BF28" i="1" s="1"/>
  <c r="BG28" i="1" s="1"/>
  <c r="BH28" i="1" s="1"/>
  <c r="BI28" i="1" s="1"/>
  <c r="BJ28" i="1" s="1"/>
  <c r="BK28" i="1" s="1"/>
  <c r="BL28" i="1" s="1"/>
  <c r="BM28" i="1" s="1"/>
  <c r="BN28" i="1" s="1"/>
  <c r="BP28" i="1" s="1"/>
  <c r="BQ28" i="1" s="1"/>
  <c r="BR28" i="1" s="1"/>
  <c r="BS28" i="1" s="1"/>
  <c r="BT28" i="1" s="1"/>
  <c r="BU28" i="1" s="1"/>
  <c r="BV28" i="1" s="1"/>
  <c r="BW28" i="1" s="1"/>
  <c r="BX28" i="1" s="1"/>
  <c r="BY28" i="1" s="1"/>
  <c r="BZ28" i="1" s="1"/>
  <c r="CA28" i="1" s="1"/>
  <c r="CB28" i="1" s="1"/>
  <c r="CC28" i="1" s="1"/>
  <c r="CD28" i="1" s="1"/>
  <c r="CE28" i="1" s="1"/>
  <c r="CF28" i="1" s="1"/>
  <c r="CG28" i="1" s="1"/>
  <c r="CH28" i="1" s="1"/>
  <c r="CI28" i="1" s="1"/>
  <c r="CJ28" i="1" s="1"/>
  <c r="CK28" i="1" s="1"/>
  <c r="CL28" i="1" s="1"/>
  <c r="CM28" i="1" s="1"/>
  <c r="CN28" i="1" s="1"/>
  <c r="CO28" i="1" s="1"/>
  <c r="CP28" i="1" s="1"/>
  <c r="CQ28" i="1" s="1"/>
  <c r="CR28" i="1" s="1"/>
  <c r="CS28" i="1" s="1"/>
  <c r="CT28" i="1" s="1"/>
  <c r="CU28" i="1" s="1"/>
  <c r="CV28" i="1" s="1"/>
  <c r="CW28" i="1" s="1"/>
  <c r="CX28" i="1" s="1"/>
  <c r="CY28" i="1" s="1"/>
  <c r="CZ28" i="1" s="1"/>
  <c r="DA28" i="1" s="1"/>
  <c r="DB28" i="1" s="1"/>
  <c r="DC28" i="1" s="1"/>
  <c r="DD28" i="1" s="1"/>
  <c r="DE28" i="1" s="1"/>
  <c r="DF28" i="1" s="1"/>
  <c r="DG28" i="1" s="1"/>
  <c r="DH28" i="1" s="1"/>
  <c r="DI28" i="1" s="1"/>
  <c r="DJ28" i="1" s="1"/>
  <c r="DK28" i="1" s="1"/>
  <c r="DL28" i="1" s="1"/>
  <c r="DM28" i="1" s="1"/>
  <c r="DN28" i="1" s="1"/>
  <c r="DO28" i="1" s="1"/>
  <c r="DP28" i="1" s="1"/>
  <c r="DQ28" i="1" s="1"/>
  <c r="DR28" i="1" s="1"/>
  <c r="G25" i="1"/>
  <c r="AB24" i="1"/>
  <c r="AC24" i="1" s="1"/>
  <c r="AD24" i="1" s="1"/>
  <c r="AE24" i="1" s="1"/>
  <c r="AF24" i="1" s="1"/>
  <c r="AG24" i="1" s="1"/>
  <c r="AH24" i="1" s="1"/>
  <c r="AI24" i="1" s="1"/>
  <c r="AJ24" i="1" s="1"/>
  <c r="AL24" i="1" s="1"/>
  <c r="AM24" i="1" s="1"/>
  <c r="AN24" i="1" s="1"/>
  <c r="AO24" i="1" s="1"/>
  <c r="AP24" i="1" s="1"/>
  <c r="AQ24" i="1" s="1"/>
  <c r="AR24" i="1" s="1"/>
  <c r="AS24" i="1" s="1"/>
  <c r="AT24" i="1" s="1"/>
  <c r="AV24" i="1" s="1"/>
  <c r="AW24" i="1" s="1"/>
  <c r="AX24" i="1" s="1"/>
  <c r="AY24" i="1" s="1"/>
  <c r="AZ24" i="1" s="1"/>
  <c r="BA24" i="1" s="1"/>
  <c r="BB24" i="1" s="1"/>
  <c r="BC24" i="1" s="1"/>
  <c r="BD24" i="1" s="1"/>
  <c r="BE24" i="1" s="1"/>
  <c r="BF24" i="1" s="1"/>
  <c r="BG24" i="1" s="1"/>
  <c r="BH24" i="1" s="1"/>
  <c r="BI24" i="1" s="1"/>
  <c r="BJ24" i="1" s="1"/>
  <c r="N25" i="1"/>
  <c r="U25" i="1"/>
  <c r="E25" i="1"/>
  <c r="T25" i="1"/>
  <c r="L25" i="1"/>
  <c r="D25" i="1"/>
  <c r="V25" i="1"/>
  <c r="F25" i="1"/>
  <c r="M25" i="1"/>
  <c r="B25" i="1"/>
  <c r="S25" i="1"/>
  <c r="K25" i="1"/>
  <c r="Y25" i="1"/>
  <c r="Q25" i="1"/>
  <c r="I25" i="1"/>
  <c r="R25" i="1"/>
  <c r="J25" i="1"/>
  <c r="X25" i="1"/>
  <c r="P25" i="1"/>
  <c r="H25" i="1"/>
  <c r="Z25" i="1"/>
  <c r="W25" i="1"/>
  <c r="O25" i="1"/>
  <c r="I16" i="3" l="1"/>
  <c r="I15" i="3" s="1"/>
  <c r="B15" i="5"/>
  <c r="B14" i="5"/>
  <c r="B20" i="5" s="1"/>
  <c r="C26" i="3"/>
  <c r="J16" i="3" l="1"/>
  <c r="J15" i="3" s="1"/>
  <c r="E20" i="5"/>
  <c r="K16" i="3" l="1"/>
  <c r="K15" i="3" s="1"/>
  <c r="C34" i="1"/>
  <c r="L16" i="3" l="1"/>
  <c r="L15" i="3" s="1"/>
  <c r="D34" i="1"/>
  <c r="E34" i="1" s="1"/>
  <c r="F34" i="1" s="1"/>
  <c r="G34" i="1" s="1"/>
  <c r="H34" i="1" s="1"/>
  <c r="I34" i="1" s="1"/>
  <c r="J34" i="1" s="1"/>
  <c r="K34" i="1" s="1"/>
  <c r="L34" i="1" s="1"/>
  <c r="M34" i="1" s="1"/>
  <c r="N34" i="1" s="1"/>
  <c r="O34" i="1" s="1"/>
  <c r="P34" i="1" s="1"/>
  <c r="Q34" i="1" s="1"/>
  <c r="R34" i="1" s="1"/>
  <c r="S34" i="1" s="1"/>
  <c r="T34" i="1" s="1"/>
  <c r="U34" i="1" s="1"/>
  <c r="V34" i="1" s="1"/>
  <c r="W34" i="1" s="1"/>
  <c r="X34" i="1" s="1"/>
  <c r="Y34" i="1" s="1"/>
  <c r="Z34" i="1" s="1"/>
  <c r="AA34" i="1" s="1"/>
  <c r="AB34" i="1" s="1"/>
  <c r="AC34" i="1" s="1"/>
  <c r="AD34" i="1" s="1"/>
  <c r="AE34" i="1" s="1"/>
  <c r="AF34" i="1" s="1"/>
  <c r="AG34" i="1" s="1"/>
  <c r="C36" i="1"/>
  <c r="D36" i="1"/>
  <c r="E36" i="1"/>
  <c r="F36" i="1"/>
  <c r="G36" i="1"/>
  <c r="H36" i="1"/>
  <c r="I36" i="1"/>
  <c r="J36" i="1"/>
  <c r="K36" i="1"/>
  <c r="L36" i="1"/>
  <c r="M36" i="1"/>
  <c r="N36" i="1"/>
  <c r="O36" i="1"/>
  <c r="P36" i="1"/>
  <c r="Q36" i="1"/>
  <c r="R36" i="1"/>
  <c r="S36" i="1"/>
  <c r="T36" i="1"/>
  <c r="U36" i="1"/>
  <c r="V36" i="1"/>
  <c r="W36" i="1"/>
  <c r="X36" i="1"/>
  <c r="Y36" i="1"/>
  <c r="Z36" i="1"/>
  <c r="AA36" i="1"/>
  <c r="AB36" i="1"/>
  <c r="AC36" i="1"/>
  <c r="AD36" i="1"/>
  <c r="AE36" i="1"/>
  <c r="AF36" i="1"/>
  <c r="B36" i="1"/>
  <c r="C30" i="1"/>
  <c r="D30" i="1"/>
  <c r="E30" i="1"/>
  <c r="F30" i="1"/>
  <c r="G30" i="1"/>
  <c r="H30" i="1"/>
  <c r="I30" i="1"/>
  <c r="J30" i="1"/>
  <c r="K30" i="1"/>
  <c r="L30" i="1"/>
  <c r="M30" i="1"/>
  <c r="N30" i="1"/>
  <c r="O30" i="1"/>
  <c r="P30" i="1"/>
  <c r="Q30" i="1"/>
  <c r="R30" i="1"/>
  <c r="S30" i="1"/>
  <c r="T30" i="1"/>
  <c r="U30" i="1"/>
  <c r="V30" i="1"/>
  <c r="W30" i="1"/>
  <c r="X30" i="1"/>
  <c r="Y30" i="1"/>
  <c r="Z30" i="1"/>
  <c r="AA30" i="1"/>
  <c r="AB30" i="1"/>
  <c r="AC30" i="1"/>
  <c r="AD30" i="1"/>
  <c r="AE30" i="1"/>
  <c r="B30" i="1"/>
  <c r="B23" i="5"/>
  <c r="C20" i="5"/>
  <c r="M16" i="3" l="1"/>
  <c r="M15" i="3" s="1"/>
  <c r="AH34" i="1"/>
  <c r="C15" i="4"/>
  <c r="N16" i="3" l="1"/>
  <c r="N15" i="3" s="1"/>
  <c r="AI34" i="1"/>
  <c r="B25" i="5"/>
  <c r="O16" i="3" l="1"/>
  <c r="O15" i="3" s="1"/>
  <c r="AJ34" i="1"/>
  <c r="P16" i="3" l="1"/>
  <c r="P15" i="3" s="1"/>
  <c r="AK34" i="1"/>
  <c r="C27" i="3"/>
  <c r="Q16" i="3" l="1"/>
  <c r="Q15" i="3" s="1"/>
  <c r="AL34" i="1"/>
  <c r="C17" i="4"/>
  <c r="C29" i="3"/>
  <c r="R16" i="3" l="1"/>
  <c r="R15" i="3" s="1"/>
  <c r="AM34" i="1"/>
  <c r="S16" i="3" l="1"/>
  <c r="S15" i="3" s="1"/>
  <c r="AN34" i="1"/>
  <c r="C23" i="5"/>
  <c r="C25" i="5" s="1"/>
  <c r="C28" i="3"/>
  <c r="T16" i="3" l="1"/>
  <c r="T15" i="3" s="1"/>
  <c r="AO34" i="1"/>
  <c r="D20" i="5"/>
  <c r="J23" i="5"/>
  <c r="R23" i="5"/>
  <c r="Z23" i="5"/>
  <c r="AE23" i="5"/>
  <c r="K23" i="5"/>
  <c r="S23" i="5"/>
  <c r="AA23" i="5"/>
  <c r="Q23" i="5"/>
  <c r="D23" i="5"/>
  <c r="L23" i="5"/>
  <c r="T23" i="5"/>
  <c r="AB23" i="5"/>
  <c r="V23" i="5"/>
  <c r="Y23" i="5"/>
  <c r="E23" i="5"/>
  <c r="M23" i="5"/>
  <c r="U23" i="5"/>
  <c r="AC23" i="5"/>
  <c r="F23" i="5"/>
  <c r="N23" i="5"/>
  <c r="AD23" i="5"/>
  <c r="I23" i="5"/>
  <c r="G23" i="5"/>
  <c r="O23" i="5"/>
  <c r="W23" i="5"/>
  <c r="H23" i="5"/>
  <c r="P23" i="5"/>
  <c r="X23" i="5"/>
  <c r="M20" i="5"/>
  <c r="U20" i="5"/>
  <c r="AC20" i="5"/>
  <c r="O20" i="5"/>
  <c r="L20" i="5"/>
  <c r="F20" i="5"/>
  <c r="F25" i="5" s="1"/>
  <c r="N20" i="5"/>
  <c r="V20" i="5"/>
  <c r="AD20" i="5"/>
  <c r="G20" i="5"/>
  <c r="W20" i="5"/>
  <c r="H20" i="5"/>
  <c r="P20" i="5"/>
  <c r="X20" i="5"/>
  <c r="R20" i="5"/>
  <c r="AE20" i="5"/>
  <c r="AA20" i="5"/>
  <c r="T20" i="5"/>
  <c r="I20" i="5"/>
  <c r="Q20" i="5"/>
  <c r="Y20" i="5"/>
  <c r="J20" i="5"/>
  <c r="Z20" i="5"/>
  <c r="K20" i="5"/>
  <c r="S20" i="5"/>
  <c r="AB20" i="5"/>
  <c r="C18" i="4"/>
  <c r="AB25" i="5" l="1"/>
  <c r="U16" i="3"/>
  <c r="U15" i="3" s="1"/>
  <c r="AP34" i="1"/>
  <c r="L25" i="5"/>
  <c r="AD25" i="5"/>
  <c r="V25" i="5"/>
  <c r="K25" i="5"/>
  <c r="AC25" i="5"/>
  <c r="T25" i="5"/>
  <c r="U25" i="5"/>
  <c r="G25" i="5"/>
  <c r="R25" i="5"/>
  <c r="H25" i="5"/>
  <c r="I25" i="5"/>
  <c r="AA25" i="5"/>
  <c r="E25" i="5"/>
  <c r="S25" i="5"/>
  <c r="Y25" i="5"/>
  <c r="P25" i="5"/>
  <c r="M25" i="5"/>
  <c r="AE25" i="5"/>
  <c r="Z25" i="5"/>
  <c r="B6" i="5" s="1"/>
  <c r="N25" i="5"/>
  <c r="D25" i="5"/>
  <c r="J25" i="5"/>
  <c r="X25" i="5"/>
  <c r="Q25" i="5"/>
  <c r="O25" i="5"/>
  <c r="W25" i="5"/>
  <c r="C21" i="3"/>
  <c r="I40" i="1"/>
  <c r="C40" i="1"/>
  <c r="C39" i="1"/>
  <c r="B39" i="1"/>
  <c r="B8" i="4" l="1"/>
  <c r="B9" i="4" s="1"/>
  <c r="B5" i="5"/>
  <c r="V16" i="3"/>
  <c r="V15" i="3" s="1"/>
  <c r="H27" i="1"/>
  <c r="W27" i="1"/>
  <c r="BJ27" i="1"/>
  <c r="BY27" i="1"/>
  <c r="M27" i="1"/>
  <c r="AU27" i="1"/>
  <c r="BX27" i="1"/>
  <c r="L27" i="1"/>
  <c r="CT27" i="1"/>
  <c r="AH27" i="1"/>
  <c r="CU27" i="1"/>
  <c r="BM27" i="1"/>
  <c r="AA27" i="1"/>
  <c r="CJ27" i="1"/>
  <c r="X27" i="1"/>
  <c r="G27" i="1"/>
  <c r="BB27" i="1"/>
  <c r="BQ27" i="1"/>
  <c r="E27" i="1"/>
  <c r="AE27" i="1"/>
  <c r="BP27" i="1"/>
  <c r="D27" i="1"/>
  <c r="CL27" i="1"/>
  <c r="Z27" i="1"/>
  <c r="BW27" i="1"/>
  <c r="CD27" i="1"/>
  <c r="DC27" i="1"/>
  <c r="CY27" i="1"/>
  <c r="AL27" i="1"/>
  <c r="DM27" i="1"/>
  <c r="BA27" i="1"/>
  <c r="DL27" i="1"/>
  <c r="AZ27" i="1"/>
  <c r="BV27" i="1"/>
  <c r="J27" i="1"/>
  <c r="AI27" i="1"/>
  <c r="DA27" i="1"/>
  <c r="AO27" i="1"/>
  <c r="CM27" i="1"/>
  <c r="BL27" i="1"/>
  <c r="DP27" i="1"/>
  <c r="DQ27" i="1"/>
  <c r="P27" i="1"/>
  <c r="BI27" i="1"/>
  <c r="BH27" i="1"/>
  <c r="DI27" i="1"/>
  <c r="CI27" i="1"/>
  <c r="DF27" i="1"/>
  <c r="AD27" i="1"/>
  <c r="DE27" i="1"/>
  <c r="AS27" i="1"/>
  <c r="DG27" i="1"/>
  <c r="DN27" i="1"/>
  <c r="DD27" i="1"/>
  <c r="AR27" i="1"/>
  <c r="BN27" i="1"/>
  <c r="DR27" i="1"/>
  <c r="DR22" i="1" s="1"/>
  <c r="DR29" i="1" s="1"/>
  <c r="S27" i="1"/>
  <c r="CS27" i="1"/>
  <c r="AG27" i="1"/>
  <c r="CE27" i="1"/>
  <c r="BD27" i="1"/>
  <c r="AM27" i="1"/>
  <c r="CG27" i="1"/>
  <c r="DK27" i="1"/>
  <c r="I27" i="1"/>
  <c r="AF27" i="1"/>
  <c r="CB27" i="1"/>
  <c r="AT27" i="1"/>
  <c r="BG27" i="1"/>
  <c r="BS27" i="1"/>
  <c r="CP27" i="1"/>
  <c r="V27" i="1"/>
  <c r="CW27" i="1"/>
  <c r="AK27" i="1"/>
  <c r="CQ27" i="1"/>
  <c r="CX27" i="1"/>
  <c r="CV27" i="1"/>
  <c r="AJ27" i="1"/>
  <c r="B27" i="1"/>
  <c r="BF27" i="1"/>
  <c r="C27" i="1"/>
  <c r="C22" i="1" s="1"/>
  <c r="CK27" i="1"/>
  <c r="Y27" i="1"/>
  <c r="BO27" i="1"/>
  <c r="DH27" i="1"/>
  <c r="AV27" i="1"/>
  <c r="F27" i="1"/>
  <c r="BK27" i="1"/>
  <c r="T27" i="1"/>
  <c r="AP27" i="1"/>
  <c r="BU27" i="1"/>
  <c r="CR27" i="1"/>
  <c r="BE27" i="1"/>
  <c r="O27" i="1"/>
  <c r="R27" i="1"/>
  <c r="AW27" i="1"/>
  <c r="BT27" i="1"/>
  <c r="BC27" i="1"/>
  <c r="CH27" i="1"/>
  <c r="N27" i="1"/>
  <c r="CO27" i="1"/>
  <c r="AC27" i="1"/>
  <c r="CA27" i="1"/>
  <c r="BR27" i="1"/>
  <c r="CN27" i="1"/>
  <c r="AB27" i="1"/>
  <c r="DJ27" i="1"/>
  <c r="AX27" i="1"/>
  <c r="CC27" i="1"/>
  <c r="Q27" i="1"/>
  <c r="AY27" i="1"/>
  <c r="CZ27" i="1"/>
  <c r="AN27" i="1"/>
  <c r="BZ27" i="1"/>
  <c r="U27" i="1"/>
  <c r="CF27" i="1"/>
  <c r="DB27" i="1"/>
  <c r="AQ27" i="1"/>
  <c r="K27" i="1"/>
  <c r="DO27" i="1"/>
  <c r="B33" i="1"/>
  <c r="AG33" i="1"/>
  <c r="AH33" i="1"/>
  <c r="AI33" i="1"/>
  <c r="AI35" i="1" s="1"/>
  <c r="AI32" i="1" s="1"/>
  <c r="AJ33" i="1"/>
  <c r="AJ35" i="1" s="1"/>
  <c r="AJ32" i="1" s="1"/>
  <c r="AK33" i="1"/>
  <c r="AK35" i="1" s="1"/>
  <c r="AK32" i="1" s="1"/>
  <c r="AL33" i="1"/>
  <c r="AL35" i="1" s="1"/>
  <c r="AL32" i="1" s="1"/>
  <c r="AM33" i="1"/>
  <c r="AM35" i="1" s="1"/>
  <c r="AM32" i="1" s="1"/>
  <c r="AN33" i="1"/>
  <c r="AN35" i="1" s="1"/>
  <c r="AN32" i="1" s="1"/>
  <c r="E23" i="1"/>
  <c r="E22" i="1" s="1"/>
  <c r="E29" i="1" s="1"/>
  <c r="E21" i="1" s="1"/>
  <c r="M23" i="1"/>
  <c r="U23" i="1"/>
  <c r="AC23" i="1"/>
  <c r="AK23" i="1"/>
  <c r="AS23" i="1"/>
  <c r="BA23" i="1"/>
  <c r="BI23" i="1"/>
  <c r="P23" i="1"/>
  <c r="P22" i="1" s="1"/>
  <c r="P29" i="1" s="1"/>
  <c r="P21" i="1" s="1"/>
  <c r="AF23" i="1"/>
  <c r="AV23" i="1"/>
  <c r="BD23" i="1"/>
  <c r="AA23" i="1"/>
  <c r="AY23" i="1"/>
  <c r="F23" i="1"/>
  <c r="N23" i="1"/>
  <c r="V23" i="1"/>
  <c r="AD23" i="1"/>
  <c r="AL23" i="1"/>
  <c r="AT23" i="1"/>
  <c r="BB23" i="1"/>
  <c r="B23" i="1"/>
  <c r="H23" i="1"/>
  <c r="H22" i="1" s="1"/>
  <c r="H29" i="1" s="1"/>
  <c r="H21" i="1" s="1"/>
  <c r="X23" i="1"/>
  <c r="AN23" i="1"/>
  <c r="G23" i="1"/>
  <c r="O23" i="1"/>
  <c r="W23" i="1"/>
  <c r="AE23" i="1"/>
  <c r="AM23" i="1"/>
  <c r="AU23" i="1"/>
  <c r="BC23" i="1"/>
  <c r="I23" i="1"/>
  <c r="I22" i="1" s="1"/>
  <c r="I29" i="1" s="1"/>
  <c r="I21" i="1" s="1"/>
  <c r="Q23" i="1"/>
  <c r="Y23" i="1"/>
  <c r="AG23" i="1"/>
  <c r="AO23" i="1"/>
  <c r="AW23" i="1"/>
  <c r="BE23" i="1"/>
  <c r="C23" i="1"/>
  <c r="S23" i="1"/>
  <c r="AQ23" i="1"/>
  <c r="L23" i="1"/>
  <c r="AB23" i="1"/>
  <c r="AR23" i="1"/>
  <c r="BH23" i="1"/>
  <c r="BJ23" i="1"/>
  <c r="J23" i="1"/>
  <c r="R23" i="1"/>
  <c r="Z23" i="1"/>
  <c r="AH23" i="1"/>
  <c r="AP23" i="1"/>
  <c r="AX23" i="1"/>
  <c r="BF23" i="1"/>
  <c r="K23" i="1"/>
  <c r="AI23" i="1"/>
  <c r="BG23" i="1"/>
  <c r="D23" i="1"/>
  <c r="T23" i="1"/>
  <c r="AJ23" i="1"/>
  <c r="AZ23" i="1"/>
  <c r="AO33" i="1"/>
  <c r="AO35" i="1" s="1"/>
  <c r="AO32" i="1" s="1"/>
  <c r="AP33" i="1"/>
  <c r="D33" i="1"/>
  <c r="C33" i="1"/>
  <c r="C35" i="1" s="1"/>
  <c r="C32" i="1" s="1"/>
  <c r="AF33" i="1"/>
  <c r="L33" i="1"/>
  <c r="T33" i="1"/>
  <c r="AB33" i="1"/>
  <c r="I33" i="1"/>
  <c r="E33" i="1"/>
  <c r="M33" i="1"/>
  <c r="U33" i="1"/>
  <c r="U35" i="1" s="1"/>
  <c r="U32" i="1" s="1"/>
  <c r="AC33" i="1"/>
  <c r="K33" i="1"/>
  <c r="F33" i="1"/>
  <c r="N33" i="1"/>
  <c r="V33" i="1"/>
  <c r="AD33" i="1"/>
  <c r="Y33" i="1"/>
  <c r="Z33" i="1"/>
  <c r="G33" i="1"/>
  <c r="O33" i="1"/>
  <c r="W33" i="1"/>
  <c r="AE33" i="1"/>
  <c r="Q33" i="1"/>
  <c r="AA33" i="1"/>
  <c r="H33" i="1"/>
  <c r="P33" i="1"/>
  <c r="X33" i="1"/>
  <c r="J33" i="1"/>
  <c r="R33" i="1"/>
  <c r="S33" i="1"/>
  <c r="I35" i="1"/>
  <c r="I32" i="1" s="1"/>
  <c r="W16" i="3" l="1"/>
  <c r="W15" i="3" s="1"/>
  <c r="D22" i="1"/>
  <c r="D29" i="1" s="1"/>
  <c r="D21" i="1" s="1"/>
  <c r="J22" i="1"/>
  <c r="J29" i="1" s="1"/>
  <c r="J21" i="1" s="1"/>
  <c r="Q22" i="1"/>
  <c r="Q29" i="1" s="1"/>
  <c r="Q21" i="1" s="1"/>
  <c r="M22" i="1"/>
  <c r="M29" i="1" s="1"/>
  <c r="M21" i="1" s="1"/>
  <c r="N22" i="1"/>
  <c r="N29" i="1" s="1"/>
  <c r="N21" i="1" s="1"/>
  <c r="K22" i="1"/>
  <c r="K29" i="1" s="1"/>
  <c r="K21" i="1" s="1"/>
  <c r="F22" i="1"/>
  <c r="F29" i="1" s="1"/>
  <c r="F21" i="1" s="1"/>
  <c r="AP35" i="1"/>
  <c r="AP32" i="1" s="1"/>
  <c r="B22" i="1"/>
  <c r="B21" i="1" s="1"/>
  <c r="L22" i="1"/>
  <c r="L29" i="1" s="1"/>
  <c r="L21" i="1" s="1"/>
  <c r="O22" i="1"/>
  <c r="O29" i="1" s="1"/>
  <c r="O21" i="1" s="1"/>
  <c r="AA22" i="1"/>
  <c r="G22" i="1"/>
  <c r="G29" i="1" s="1"/>
  <c r="G21" i="1" s="1"/>
  <c r="AH35" i="1"/>
  <c r="AH32" i="1" s="1"/>
  <c r="AG35" i="1"/>
  <c r="AG32" i="1" s="1"/>
  <c r="AC35" i="1"/>
  <c r="AC32" i="1" s="1"/>
  <c r="AF35" i="1"/>
  <c r="AF32" i="1" s="1"/>
  <c r="Y35" i="1"/>
  <c r="Y32" i="1" s="1"/>
  <c r="P35" i="1"/>
  <c r="P32" i="1" s="1"/>
  <c r="F35" i="1"/>
  <c r="F32" i="1" s="1"/>
  <c r="M35" i="1"/>
  <c r="M32" i="1" s="1"/>
  <c r="G35" i="1"/>
  <c r="G32" i="1" s="1"/>
  <c r="E35" i="1"/>
  <c r="E32" i="1" s="1"/>
  <c r="X35" i="1"/>
  <c r="X32" i="1" s="1"/>
  <c r="AA35" i="1"/>
  <c r="AA32" i="1" s="1"/>
  <c r="Q35" i="1"/>
  <c r="Q32" i="1" s="1"/>
  <c r="S35" i="1"/>
  <c r="S32" i="1" s="1"/>
  <c r="O35" i="1"/>
  <c r="O32" i="1" s="1"/>
  <c r="H35" i="1"/>
  <c r="H32" i="1" s="1"/>
  <c r="K35" i="1"/>
  <c r="K32" i="1" s="1"/>
  <c r="W35" i="1"/>
  <c r="W32" i="1" s="1"/>
  <c r="AE35" i="1"/>
  <c r="AE32" i="1" s="1"/>
  <c r="D35" i="1"/>
  <c r="D32" i="1" s="1"/>
  <c r="T35" i="1"/>
  <c r="T32" i="1" s="1"/>
  <c r="R35" i="1"/>
  <c r="R32" i="1" s="1"/>
  <c r="AB35" i="1"/>
  <c r="AB32" i="1" s="1"/>
  <c r="Z35" i="1"/>
  <c r="Z32" i="1" s="1"/>
  <c r="L35" i="1"/>
  <c r="L32" i="1" s="1"/>
  <c r="J35" i="1"/>
  <c r="J32" i="1" s="1"/>
  <c r="N35" i="1"/>
  <c r="N32" i="1" s="1"/>
  <c r="V35" i="1"/>
  <c r="V32" i="1" s="1"/>
  <c r="AD35" i="1"/>
  <c r="AD32" i="1" s="1"/>
  <c r="X16" i="3" l="1"/>
  <c r="X15" i="3" s="1"/>
  <c r="C29" i="1"/>
  <c r="C21" i="1" s="1"/>
  <c r="R22" i="1"/>
  <c r="S22" i="1"/>
  <c r="Y16" i="3" l="1"/>
  <c r="Y15" i="3" s="1"/>
  <c r="R29" i="1"/>
  <c r="R21" i="1" s="1"/>
  <c r="S29" i="1"/>
  <c r="S21" i="1" s="1"/>
  <c r="T22" i="1"/>
  <c r="Z16" i="3" l="1"/>
  <c r="Z15" i="3" s="1"/>
  <c r="T29" i="1"/>
  <c r="T21" i="1" s="1"/>
  <c r="AA16" i="3" l="1"/>
  <c r="AA15" i="3" s="1"/>
  <c r="U22" i="1"/>
  <c r="V22" i="1"/>
  <c r="AB16" i="3" l="1"/>
  <c r="AB15" i="3" s="1"/>
  <c r="AB14" i="3" s="1"/>
  <c r="U29" i="1"/>
  <c r="U21" i="1" s="1"/>
  <c r="V29" i="1"/>
  <c r="V21" i="1" s="1"/>
  <c r="W22" i="1"/>
  <c r="AC16" i="3" l="1"/>
  <c r="AC15" i="3" s="1"/>
  <c r="AC14" i="3" s="1"/>
  <c r="W29" i="1"/>
  <c r="W21" i="1" s="1"/>
  <c r="X22" i="1"/>
  <c r="AD16" i="3" l="1"/>
  <c r="AD15" i="3" s="1"/>
  <c r="AD14" i="3" s="1"/>
  <c r="Y22" i="1"/>
  <c r="X29" i="1"/>
  <c r="X21" i="1" s="1"/>
  <c r="AE16" i="3" l="1"/>
  <c r="AE15" i="3" s="1"/>
  <c r="AE14" i="3" s="1"/>
  <c r="Y29" i="1"/>
  <c r="Y21" i="1" s="1"/>
  <c r="B5" i="3" l="1"/>
  <c r="B6" i="4" s="1"/>
  <c r="AF16" i="3"/>
  <c r="AF15" i="3" s="1"/>
  <c r="AF14" i="3" s="1"/>
  <c r="Z22" i="1"/>
  <c r="Z29" i="1" l="1"/>
  <c r="Z21" i="1" s="1"/>
  <c r="AB22" i="1"/>
  <c r="AA29" i="1"/>
  <c r="AA21" i="1" s="1"/>
  <c r="AC22" i="1" l="1"/>
  <c r="AB29" i="1"/>
  <c r="AB21" i="1" s="1"/>
  <c r="AC29" i="1" l="1"/>
  <c r="AC21" i="1" s="1"/>
  <c r="AD22" i="1"/>
  <c r="AE22" i="1" l="1"/>
  <c r="AD29" i="1"/>
  <c r="AD21" i="1" s="1"/>
  <c r="AE29" i="1" l="1"/>
  <c r="AE21" i="1" s="1"/>
  <c r="AF22" i="1"/>
  <c r="AF29" i="1" l="1"/>
  <c r="AF21" i="1" s="1"/>
  <c r="B45" i="1" s="1"/>
  <c r="AG22" i="1"/>
  <c r="AG29" i="1" l="1"/>
  <c r="AG21" i="1" s="1"/>
  <c r="AH22" i="1"/>
  <c r="AH29" i="1" l="1"/>
  <c r="AH21" i="1" s="1"/>
  <c r="AI22" i="1"/>
  <c r="AJ22" i="1" l="1"/>
  <c r="AI29" i="1"/>
  <c r="AI21" i="1" s="1"/>
  <c r="AK22" i="1" l="1"/>
  <c r="AJ29" i="1"/>
  <c r="AJ21" i="1" s="1"/>
  <c r="AK29" i="1" l="1"/>
  <c r="AK21" i="1" s="1"/>
  <c r="AL22" i="1"/>
  <c r="AL29" i="1" l="1"/>
  <c r="AL21" i="1" s="1"/>
  <c r="AM22" i="1"/>
  <c r="AM29" i="1" l="1"/>
  <c r="AM21" i="1" s="1"/>
  <c r="AN22" i="1"/>
  <c r="AO22" i="1" l="1"/>
  <c r="AN29" i="1"/>
  <c r="AN21" i="1" s="1"/>
  <c r="AO29" i="1" l="1"/>
  <c r="AO21" i="1" s="1"/>
  <c r="AP22" i="1"/>
  <c r="AQ22" i="1" l="1"/>
  <c r="AP29" i="1"/>
  <c r="AP21" i="1" s="1"/>
  <c r="AR22" i="1" l="1"/>
  <c r="AQ29" i="1"/>
  <c r="AQ21" i="1" s="1"/>
  <c r="AS22" i="1" l="1"/>
  <c r="AR29" i="1"/>
  <c r="AR21" i="1" s="1"/>
  <c r="AT22" i="1" l="1"/>
  <c r="AS29" i="1"/>
  <c r="AS21" i="1" s="1"/>
  <c r="AU22" i="1" l="1"/>
  <c r="AT29" i="1"/>
  <c r="AT21" i="1" s="1"/>
  <c r="AU29" i="1" l="1"/>
  <c r="AU21" i="1" s="1"/>
  <c r="AV22" i="1"/>
  <c r="AW22" i="1" l="1"/>
  <c r="AV29" i="1"/>
  <c r="AV21" i="1" s="1"/>
  <c r="AW29" i="1" l="1"/>
  <c r="AW21" i="1" s="1"/>
  <c r="AX22" i="1"/>
  <c r="AY22" i="1" l="1"/>
  <c r="AX29" i="1"/>
  <c r="AX21" i="1" s="1"/>
  <c r="AZ22" i="1" l="1"/>
  <c r="AY29" i="1"/>
  <c r="AY21" i="1" s="1"/>
  <c r="BA22" i="1" l="1"/>
  <c r="AZ29" i="1"/>
  <c r="AZ21" i="1" s="1"/>
  <c r="BA29" i="1" l="1"/>
  <c r="BA21" i="1" s="1"/>
  <c r="BB22" i="1"/>
  <c r="BC22" i="1" l="1"/>
  <c r="BB29" i="1"/>
  <c r="BB21" i="1" s="1"/>
  <c r="BD22" i="1" l="1"/>
  <c r="BC29" i="1"/>
  <c r="BC21" i="1" s="1"/>
  <c r="BD29" i="1" l="1"/>
  <c r="BD21" i="1" s="1"/>
  <c r="BE22" i="1"/>
  <c r="BF22" i="1" l="1"/>
  <c r="BE29" i="1"/>
  <c r="BE21" i="1" s="1"/>
  <c r="BF29" i="1" l="1"/>
  <c r="BF21" i="1" s="1"/>
  <c r="BG22" i="1"/>
  <c r="BG29" i="1" l="1"/>
  <c r="BG21" i="1" s="1"/>
  <c r="BH22" i="1"/>
  <c r="BI22" i="1" l="1"/>
  <c r="BJ22" i="1"/>
  <c r="BH29" i="1"/>
  <c r="BH21" i="1" s="1"/>
  <c r="BJ29" i="1" l="1"/>
  <c r="BJ21" i="1" s="1"/>
  <c r="BI29" i="1"/>
  <c r="BI21" i="1" s="1"/>
  <c r="BK22" i="1"/>
  <c r="BK29" i="1" l="1"/>
  <c r="BK21" i="1" s="1"/>
  <c r="BL22" i="1"/>
  <c r="BL29" i="1" l="1"/>
  <c r="BL21" i="1" s="1"/>
  <c r="BM22" i="1"/>
  <c r="BM29" i="1" l="1"/>
  <c r="BM21" i="1" s="1"/>
  <c r="BN22" i="1"/>
  <c r="BN29" i="1" l="1"/>
  <c r="BN21" i="1" s="1"/>
  <c r="BO22" i="1"/>
  <c r="BO29" i="1" l="1"/>
  <c r="BO21" i="1" s="1"/>
  <c r="BP22" i="1"/>
  <c r="BP29" i="1" l="1"/>
  <c r="BP21" i="1" s="1"/>
  <c r="BQ22" i="1"/>
  <c r="B7" i="4" l="1"/>
  <c r="BQ29" i="1"/>
  <c r="BQ21" i="1" s="1"/>
  <c r="BR22" i="1"/>
  <c r="BR29" i="1" l="1"/>
  <c r="BR21" i="1" s="1"/>
  <c r="BS22" i="1"/>
  <c r="BS29" i="1" l="1"/>
  <c r="BS21" i="1" s="1"/>
  <c r="BT22" i="1"/>
  <c r="BT29" i="1" l="1"/>
  <c r="BT21" i="1" s="1"/>
  <c r="BU22" i="1"/>
  <c r="BU29" i="1" l="1"/>
  <c r="BU21" i="1" s="1"/>
  <c r="BV22" i="1"/>
  <c r="BW22" i="1" l="1"/>
  <c r="BV29" i="1"/>
  <c r="BV21" i="1" s="1"/>
  <c r="BW29" i="1" l="1"/>
  <c r="BW21" i="1" s="1"/>
  <c r="BX22" i="1"/>
  <c r="BY22" i="1" l="1"/>
  <c r="BX29" i="1"/>
  <c r="BX21" i="1" s="1"/>
  <c r="BY29" i="1" l="1"/>
  <c r="BY21" i="1" s="1"/>
  <c r="BZ22" i="1"/>
  <c r="CA22" i="1" l="1"/>
  <c r="BZ29" i="1"/>
  <c r="BZ21" i="1" s="1"/>
  <c r="CA29" i="1" l="1"/>
  <c r="CA21" i="1" s="1"/>
  <c r="CB22" i="1"/>
  <c r="CB29" i="1" l="1"/>
  <c r="CB21" i="1" s="1"/>
  <c r="CC22" i="1"/>
  <c r="CC29" i="1" l="1"/>
  <c r="CC21" i="1" s="1"/>
  <c r="CD22" i="1"/>
  <c r="CE22" i="1" l="1"/>
  <c r="CD29" i="1"/>
  <c r="CD21" i="1" s="1"/>
  <c r="CE29" i="1" l="1"/>
  <c r="CE21" i="1" s="1"/>
  <c r="CF22" i="1"/>
  <c r="CF29" i="1" l="1"/>
  <c r="CF21" i="1" s="1"/>
  <c r="CG22" i="1"/>
  <c r="CG29" i="1" l="1"/>
  <c r="CG21" i="1" s="1"/>
  <c r="CH22" i="1"/>
  <c r="CH29" i="1" l="1"/>
  <c r="CH21" i="1" s="1"/>
  <c r="CI22" i="1"/>
  <c r="CI29" i="1" l="1"/>
  <c r="CI21" i="1" s="1"/>
  <c r="CJ22" i="1"/>
  <c r="CJ29" i="1" l="1"/>
  <c r="CJ21" i="1" s="1"/>
  <c r="CK22" i="1"/>
  <c r="CK29" i="1" l="1"/>
  <c r="CK21" i="1" s="1"/>
  <c r="CL22" i="1"/>
  <c r="CM22" i="1" l="1"/>
  <c r="CL29" i="1"/>
  <c r="CL21" i="1" s="1"/>
  <c r="CM29" i="1" l="1"/>
  <c r="CM21" i="1" s="1"/>
  <c r="CN22" i="1"/>
  <c r="CO22" i="1" l="1"/>
  <c r="CN29" i="1"/>
  <c r="CN21" i="1" s="1"/>
  <c r="CO29" i="1" l="1"/>
  <c r="CO21" i="1" s="1"/>
  <c r="CP22" i="1"/>
  <c r="CP29" i="1" l="1"/>
  <c r="CP21" i="1" s="1"/>
  <c r="CQ22" i="1"/>
  <c r="CQ29" i="1" l="1"/>
  <c r="CQ21" i="1" s="1"/>
  <c r="CR22" i="1"/>
  <c r="CS22" i="1" l="1"/>
  <c r="CR29" i="1"/>
  <c r="CR21" i="1" s="1"/>
  <c r="CS29" i="1" l="1"/>
  <c r="CS21" i="1" s="1"/>
  <c r="CT22" i="1"/>
  <c r="CT29" i="1" l="1"/>
  <c r="CT21" i="1" s="1"/>
  <c r="CU22" i="1"/>
  <c r="CU29" i="1" l="1"/>
  <c r="CU21" i="1" s="1"/>
  <c r="CV22" i="1"/>
  <c r="CW22" i="1" l="1"/>
  <c r="CV29" i="1"/>
  <c r="CV21" i="1" s="1"/>
  <c r="CW29" i="1" l="1"/>
  <c r="CW21" i="1" s="1"/>
  <c r="CX22" i="1"/>
  <c r="CX29" i="1" l="1"/>
  <c r="CX21" i="1" s="1"/>
  <c r="CY22" i="1"/>
  <c r="CY29" i="1" l="1"/>
  <c r="CY21" i="1" s="1"/>
  <c r="CZ22" i="1"/>
  <c r="DA22" i="1" l="1"/>
  <c r="CZ29" i="1"/>
  <c r="CZ21" i="1" s="1"/>
  <c r="DA29" i="1" l="1"/>
  <c r="DA21" i="1" s="1"/>
  <c r="DB22" i="1"/>
  <c r="DC22" i="1" l="1"/>
  <c r="DB29" i="1"/>
  <c r="DB21" i="1" s="1"/>
  <c r="DC29" i="1" l="1"/>
  <c r="DC21" i="1" s="1"/>
  <c r="DD22" i="1"/>
  <c r="DD29" i="1" l="1"/>
  <c r="DD21" i="1" s="1"/>
  <c r="DE22" i="1"/>
  <c r="DE29" i="1" l="1"/>
  <c r="DE21" i="1" s="1"/>
  <c r="DF22" i="1"/>
  <c r="DF29" i="1" l="1"/>
  <c r="DF21" i="1" s="1"/>
  <c r="DG22" i="1"/>
  <c r="DH22" i="1" l="1"/>
  <c r="DG29" i="1"/>
  <c r="DG21" i="1" s="1"/>
  <c r="DH29" i="1" l="1"/>
  <c r="DH21" i="1" s="1"/>
  <c r="DI22" i="1"/>
  <c r="DJ22" i="1" l="1"/>
  <c r="DI29" i="1"/>
  <c r="DI21" i="1" s="1"/>
  <c r="DK22" i="1" l="1"/>
  <c r="DJ29" i="1"/>
  <c r="DJ21" i="1" s="1"/>
  <c r="DK29" i="1" l="1"/>
  <c r="DK21" i="1" s="1"/>
  <c r="DL22" i="1"/>
  <c r="DL29" i="1" l="1"/>
  <c r="DL21" i="1" s="1"/>
  <c r="DM22" i="1"/>
  <c r="DN22" i="1" l="1"/>
  <c r="DM29" i="1"/>
  <c r="DM21" i="1" s="1"/>
  <c r="DN29" i="1" l="1"/>
  <c r="DN21" i="1" s="1"/>
  <c r="DO22" i="1"/>
  <c r="DO29" i="1" l="1"/>
  <c r="DO21" i="1" s="1"/>
  <c r="DP22" i="1"/>
  <c r="DP29" i="1" l="1"/>
  <c r="DP21" i="1" s="1"/>
  <c r="DQ22" i="1"/>
  <c r="DQ29" i="1" l="1"/>
  <c r="DQ21" i="1" s="1"/>
  <c r="DR21" i="1"/>
  <c r="B46" i="1" l="1"/>
  <c r="B48" i="1" s="1"/>
  <c r="B6" i="1" s="1"/>
  <c r="B5" i="1" l="1"/>
  <c r="B4" i="4"/>
  <c r="B5" i="4" l="1"/>
  <c r="B3" i="4"/>
  <c r="B10" i="4" s="1"/>
  <c r="B11" i="4" l="1"/>
</calcChain>
</file>

<file path=xl/comments1.xml><?xml version="1.0" encoding="utf-8"?>
<comments xmlns="http://schemas.openxmlformats.org/spreadsheetml/2006/main">
  <authors>
    <author>Florence HEUSCHMIDT</author>
  </authors>
  <commentList>
    <comment ref="A34" authorId="0" shapeId="0">
      <text>
        <r>
          <rPr>
            <sz val="9"/>
            <color indexed="81"/>
            <rFont val="Tahoma"/>
            <family val="2"/>
          </rPr>
          <t>colonisation lente par des accrus ayant une croissance linéaire de 1 m3/ha/an en volume bois fort (dès l’année 0), donc atteignant un volume bois fort de 30 m3/ha au bout de 30 ans. 
Pour les projets situés dans les GRECO de l’IGN « Méditerranée » et « Corse », pour tenir compte de conditions de production plus faibles et être plus réaliste, cette valeur par défaut sera fixée à 0,5 m3/ha/an en volume bois fort.</t>
        </r>
      </text>
    </comment>
    <comment ref="A35" authorId="0" shapeId="0">
      <text>
        <r>
          <rPr>
            <sz val="9"/>
            <color indexed="81"/>
            <rFont val="Tahoma"/>
            <family val="2"/>
          </rPr>
          <t>Pour forêt métropolitaine</t>
        </r>
      </text>
    </comment>
    <comment ref="A43"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4" authorId="0" shapeId="0">
      <text>
        <r>
          <rPr>
            <b/>
            <sz val="9"/>
            <color indexed="81"/>
            <rFont val="Tahoma"/>
            <family val="2"/>
          </rPr>
          <t>Stock de carbone au début de l'année n dans les produits bois déjà récoltés</t>
        </r>
      </text>
    </comment>
    <comment ref="AA18" authorId="0" shapeId="0">
      <text>
        <r>
          <rPr>
            <b/>
            <sz val="9"/>
            <color indexed="81"/>
            <rFont val="Tahoma"/>
            <family val="2"/>
          </rPr>
          <t>Florence HEUSCHMIDT:</t>
        </r>
        <r>
          <rPr>
            <sz val="9"/>
            <color indexed="81"/>
            <rFont val="Tahoma"/>
            <family val="2"/>
          </rPr>
          <t xml:space="preserve">
60% du volume total récolté partira en piquets. Le volume total a été divisé par le FEB pour avoir un volume bois fort.</t>
        </r>
      </text>
    </comment>
  </commentList>
</comments>
</file>

<file path=xl/comments3.xml><?xml version="1.0" encoding="utf-8"?>
<comments xmlns="http://schemas.openxmlformats.org/spreadsheetml/2006/main">
  <authors>
    <author>Florence HEUSCHMIDT</author>
  </authors>
  <commentList>
    <comment ref="A21" authorId="0" shapeId="0">
      <text>
        <r>
          <rPr>
            <b/>
            <sz val="9"/>
            <color indexed="81"/>
            <rFont val="Tahoma"/>
            <family val="2"/>
          </rPr>
          <t>Flux entrant issu des produits bois récoltés au cours de l’année n (sur la période entre l’année n et l’année n+1) dans le scénario de projet</t>
        </r>
      </text>
    </comment>
    <comment ref="A24" authorId="0" shapeId="0">
      <text>
        <r>
          <rPr>
            <b/>
            <sz val="9"/>
            <color indexed="81"/>
            <rFont val="Tahoma"/>
            <family val="2"/>
          </rPr>
          <t>Flux entrant issu des produits bois récoltés au cours de l’année n (sur la période entre l’année n et l’année n+1) dans le scénario de référence
Si essence feuillus : pas d'éclaircie sur les 30ères années, 
si Résineux 1 éclaircie avec pour destination du bois industrie sur les 30ères années.</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<sst xmlns="http://schemas.openxmlformats.org/spreadsheetml/2006/main" count="289" uniqueCount="218">
  <si>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</si>
  <si>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</si>
  <si>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</si>
  <si>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</si>
  <si>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</si>
  <si>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</si>
  <si>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</si>
  <si>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</si>
  <si>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</si>
  <si>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</si>
  <si>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L0 (carbone de la litière avant le projet de reboisement) (en tC/ha)</t>
  </si>
  <si>
    <t xml:space="preserve">Constantes </t>
  </si>
  <si>
    <t>Carbone organique du sol (n) (en tC/ha)</t>
  </si>
  <si>
    <t>Volume bois fort tige (n) (en m3/ha)</t>
  </si>
  <si>
    <t>Informations générales :</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</si>
  <si>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</si>
  <si>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</si>
  <si>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</si>
  <si>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</si>
  <si>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</si>
  <si>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</si>
  <si>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</si>
  <si>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</si>
  <si>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</si>
  <si>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</si>
  <si>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</si>
  <si>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</si>
  <si>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</si>
  <si>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</si>
  <si>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</si>
  <si>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</si>
  <si>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</si>
  <si>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</si>
  <si>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</si>
  <si>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</si>
  <si>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</si>
  <si>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</si>
  <si>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</si>
  <si>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</si>
  <si>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</si>
  <si>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</si>
  <si>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</si>
  <si>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</si>
  <si>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</si>
  <si>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</si>
  <si>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</si>
  <si>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</si>
  <si>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</si>
  <si>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</si>
  <si>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</si>
  <si>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</si>
  <si>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</si>
  <si>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</si>
  <si>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</si>
  <si>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</si>
  <si>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</si>
  <si>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</si>
  <si>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</si>
  <si>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</si>
  <si>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</si>
  <si>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</si>
  <si>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</si>
  <si>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</si>
  <si>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</si>
  <si>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</si>
  <si>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</si>
  <si>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</si>
  <si>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</si>
  <si>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</si>
  <si>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</si>
  <si>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</si>
  <si>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</si>
  <si>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</si>
  <si>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</si>
  <si>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</si>
  <si>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</si>
  <si>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</si>
  <si>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</si>
  <si>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</si>
  <si>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</si>
  <si>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</si>
  <si>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</si>
  <si>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</si>
  <si>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</si>
  <si>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</si>
  <si>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</si>
  <si>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</si>
  <si>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Essence accrus</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</si>
  <si>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</si>
  <si>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</si>
  <si>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</si>
  <si>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</si>
  <si>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</si>
  <si>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</si>
  <si>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</si>
  <si>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</si>
  <si>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</si>
  <si>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</si>
  <si>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</si>
  <si>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</si>
  <si>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</si>
  <si>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</si>
  <si>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</si>
  <si>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</si>
  <si>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</si>
  <si>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</si>
  <si>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</si>
  <si>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</si>
  <si>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</si>
  <si>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</si>
  <si>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</si>
  <si>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</si>
  <si>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</si>
  <si>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</si>
  <si>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Reboisement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</si>
  <si>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</si>
  <si>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</si>
  <si>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</si>
  <si>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</si>
  <si>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</si>
  <si>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</si>
  <si>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</si>
  <si>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</si>
  <si>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</si>
  <si>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</si>
  <si>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</si>
  <si>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</si>
  <si>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</si>
  <si>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</si>
  <si>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</si>
  <si>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</si>
  <si>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</si>
  <si>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</si>
  <si>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</si>
  <si>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</si>
  <si>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</si>
  <si>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</si>
  <si>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</si>
  <si>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</si>
  <si>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</si>
  <si>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</si>
  <si>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</si>
  <si>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</si>
  <si>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Situation de référence</t>
  </si>
  <si>
    <t>Embroussaillement</t>
  </si>
  <si>
    <t>Culture agricole</t>
  </si>
  <si>
    <t>Nature de prairie ou pâture</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</si>
  <si>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</si>
  <si>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</si>
  <si>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</si>
  <si>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</si>
  <si>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</si>
  <si>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</si>
  <si>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</si>
  <si>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</si>
  <si>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</si>
  <si>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</si>
  <si>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</si>
  <si>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</si>
  <si>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</si>
  <si>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</si>
  <si>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</si>
  <si>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</si>
  <si>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</si>
  <si>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</si>
  <si>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</si>
  <si>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</si>
  <si>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</si>
  <si>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</si>
  <si>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</si>
  <si>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</si>
  <si>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</si>
  <si>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</si>
  <si>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</si>
  <si>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</si>
  <si>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</si>
  <si>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</si>
  <si>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REA forêt (compartiments forestiers) (en tCO2/ha) =</t>
  </si>
  <si>
    <t xml:space="preserve">REE substitution (en tCO2/ha) = </t>
  </si>
  <si>
    <t>Biomasse Aérienne (n) (en tMS/ha)</t>
  </si>
  <si>
    <t>Biomasse Racinaire (n) (en tMS/ha)</t>
  </si>
  <si>
    <t>Litière (n) (en tC/ha)</t>
  </si>
  <si>
    <t>S réf (n) (en tCO2/ha)</t>
  </si>
  <si>
    <t>C projet Piquet (n) (en tC/ha)</t>
  </si>
  <si>
    <t>Dégradation des piquets déjà récoltés (en tC/ha)</t>
  </si>
  <si>
    <t>Flux entrant de carbone en piquets au cours de l'année n et dégradation (en tC/ha)</t>
  </si>
  <si>
    <r>
      <t xml:space="preserve">deltaS(30) (différence de stock de C à l’année 30 entre le projet et le scénario de référence) (en </t>
    </r>
    <r>
      <rPr>
        <b/>
        <sz val="11"/>
        <color theme="1"/>
        <rFont val="Calibri"/>
        <family val="2"/>
        <scheme val="minor"/>
      </rPr>
      <t>tCO2</t>
    </r>
    <r>
      <rPr>
        <sz val="11"/>
        <color theme="1"/>
        <rFont val="Calibri"/>
        <family val="2"/>
        <scheme val="minor"/>
      </rPr>
      <t xml:space="preserve"> à 30 ans)</t>
    </r>
  </si>
  <si>
    <r>
      <t xml:space="preserve">moyenne du carbone stocké dans le projet pendant sa durée de vie (en </t>
    </r>
    <r>
      <rPr>
        <b/>
        <sz val="11"/>
        <color theme="1"/>
        <rFont val="Calibri"/>
        <family val="2"/>
        <scheme val="minor"/>
      </rPr>
      <t>tCO2/an</t>
    </r>
    <r>
      <rPr>
        <sz val="11"/>
        <color theme="1"/>
        <rFont val="Calibri"/>
        <family val="2"/>
        <scheme val="minor"/>
      </rPr>
      <t xml:space="preserve">) </t>
    </r>
  </si>
  <si>
    <r>
      <t xml:space="preserve">moyenne du carbone stocké dans le scénario de référence pendant sa durée de vie (en </t>
    </r>
    <r>
      <rPr>
        <b/>
        <sz val="11"/>
        <color theme="1"/>
        <rFont val="Calibri"/>
        <family val="2"/>
        <scheme val="minor"/>
      </rPr>
      <t>tCO2/an</t>
    </r>
    <r>
      <rPr>
        <sz val="11"/>
        <color theme="1"/>
        <rFont val="Calibri"/>
        <family val="2"/>
        <scheme val="minor"/>
      </rPr>
      <t xml:space="preserve">) </t>
    </r>
  </si>
  <si>
    <r>
      <t xml:space="preserve">différence de la moyenne du carbone stocké dans le projet par rapport au scénario de référence pendant sa durée de vie (en </t>
    </r>
    <r>
      <rPr>
        <b/>
        <sz val="11"/>
        <color theme="1"/>
        <rFont val="Calibri"/>
        <family val="2"/>
        <scheme val="minor"/>
      </rPr>
      <t>tCO2/an</t>
    </r>
    <r>
      <rPr>
        <sz val="11"/>
        <color theme="1"/>
        <rFont val="Calibri"/>
        <family val="2"/>
        <scheme val="minor"/>
      </rPr>
      <t xml:space="preserve">) </t>
    </r>
  </si>
  <si>
    <t>Moyenne</t>
  </si>
  <si>
    <t>Projet situé dans les GRECO de l'IGN "Méditerranée" et "Corse"</t>
  </si>
  <si>
    <t>GRECO IGN</t>
  </si>
  <si>
    <t>OUI</t>
  </si>
  <si>
    <t>NON</t>
  </si>
  <si>
    <t>Si embroussaillement de la parcelle, enfrichement par des :</t>
  </si>
  <si>
    <t>Analyse économique de l’additionnalité</t>
  </si>
  <si>
    <t>Risques généraux difficilement maîtrisables</t>
  </si>
  <si>
    <t>Volume total Chêne rouge (n) (en m3/ha)</t>
  </si>
  <si>
    <t>Volume total Acacia (n) (en m3/ha)</t>
  </si>
  <si>
    <t>Volume bois fort tige Chêne sessile (n) (en m3/ha)</t>
  </si>
  <si>
    <t>R essence plantée la plus longue : Chêne sessile (ans)</t>
  </si>
  <si>
    <t>Essences plantées</t>
  </si>
  <si>
    <t>R' essence scénario référence (accrus châtaignier) (ans)</t>
  </si>
  <si>
    <t>S projet TOTAL pour les 2.8290 ha (n) (en tCO2)</t>
  </si>
  <si>
    <t>Biomasse Aérienne TOTALE pour les 2.8290 ha (n) (en tMS)</t>
  </si>
  <si>
    <t>Biomasse Aérienne Chêne rouge 1.3863 ha (n) (en tMS)</t>
  </si>
  <si>
    <t>Biomasse Aérienne Acacia 0.9997 ha (n) (en tMS)</t>
  </si>
  <si>
    <t>Biomasse Aérienne Chêne sessile 0.443 ha (n) (en tMS)</t>
  </si>
  <si>
    <t>Biomasse Racinaire TOTALE pour les 2.8290 ha (n) (en tMS)</t>
  </si>
  <si>
    <t>Volume bois fort Piquet (n) (en m3/ha)</t>
  </si>
  <si>
    <t xml:space="preserve">REA produits (produits bois) pour les 0.9997 ha où sera planté l'Acacia (en tCO2) = </t>
  </si>
  <si>
    <t>C projet (n) pour les 0.9997 ha d'Acacia (en tC)</t>
  </si>
  <si>
    <t>Flux projet (n) (en m3)</t>
  </si>
  <si>
    <t>CS*Flux projet (n) (en TCO2)</t>
  </si>
  <si>
    <t>CS*Flux réf (n) (en TCO2)</t>
  </si>
  <si>
    <t>Flux réf (n) (en m3)</t>
  </si>
  <si>
    <t>CSp*Flux projet (n) - CSr*Flux réf (n) (en tCO2)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</si>
</sst>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8"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D5FFD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s>
  <cellStyleXfs count="1">
    <xf numFmtId="0" fontId="0" fillId="0" borderId="0"/>
  </cellStyleXfs>
  <cellXfs count="191">
    <xf numFmtId="0" fontId="0" fillId="0" borderId="0" xfId="0"/>
    <xf numFmtId="0" fontId="0" fillId="0" borderId="0" xfId="0" applyAlignment="1">
      <alignment vertical="center" wrapText="1"/>
    </xf>
    <xf numFmtId="0" fontId="0" fillId="4" borderId="4" xfId="0" applyFill="1" applyBorder="1" applyAlignment="1">
      <alignment vertical="center" wrapText="1"/>
    </xf>
    <xf numFmtId="0" fontId="0" fillId="4" borderId="6" xfId="0" applyFill="1" applyBorder="1" applyAlignment="1">
      <alignment vertical="center" wrapText="1"/>
    </xf>
    <xf numFmtId="0" fontId="0" fillId="4" borderId="8" xfId="0" applyFill="1" applyBorder="1" applyAlignment="1">
      <alignment vertical="center" wrapText="1"/>
    </xf>
    <xf numFmtId="0" fontId="0" fillId="6"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4" borderId="14" xfId="0" applyFill="1" applyBorder="1" applyAlignment="1">
      <alignment vertical="center" wrapText="1"/>
    </xf>
    <xf numFmtId="0" fontId="0" fillId="7" borderId="3" xfId="0" applyFill="1" applyBorder="1" applyAlignment="1">
      <alignment horizontal="center" vertical="center"/>
    </xf>
    <xf numFmtId="0" fontId="0" fillId="7" borderId="10" xfId="0" applyFill="1" applyBorder="1" applyAlignment="1">
      <alignment horizontal="center" vertical="center"/>
    </xf>
    <xf numFmtId="0" fontId="0" fillId="7"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5" borderId="22" xfId="0" applyFont="1" applyFill="1" applyBorder="1" applyAlignment="1">
      <alignment vertical="center" wrapText="1"/>
    </xf>
    <xf numFmtId="0" fontId="0" fillId="7" borderId="9" xfId="0" applyFill="1" applyBorder="1" applyAlignment="1">
      <alignment horizontal="center"/>
    </xf>
    <xf numFmtId="0" fontId="0" fillId="4" borderId="6" xfId="0" applyFill="1" applyBorder="1" applyAlignment="1">
      <alignment horizontal="center" vertical="center" wrapText="1"/>
    </xf>
    <xf numFmtId="0" fontId="0" fillId="0" borderId="20" xfId="0" applyFill="1" applyBorder="1" applyAlignment="1">
      <alignment horizontal="center" vertical="center"/>
    </xf>
    <xf numFmtId="0" fontId="0" fillId="7" borderId="11" xfId="0" applyFill="1" applyBorder="1" applyAlignment="1">
      <alignment horizontal="center" vertical="center"/>
    </xf>
    <xf numFmtId="0" fontId="0" fillId="3" borderId="25" xfId="0" applyFill="1" applyBorder="1" applyAlignment="1">
      <alignment horizontal="center" vertical="center"/>
    </xf>
    <xf numFmtId="0" fontId="0" fillId="7" borderId="7" xfId="0" applyFill="1" applyBorder="1" applyAlignment="1">
      <alignment horizontal="center" vertical="center"/>
    </xf>
    <xf numFmtId="0" fontId="0" fillId="7" borderId="27" xfId="0" applyFill="1" applyBorder="1" applyAlignment="1">
      <alignment horizontal="center" vertical="center"/>
    </xf>
    <xf numFmtId="164" fontId="0" fillId="7" borderId="3" xfId="0" applyNumberFormat="1" applyFill="1" applyBorder="1" applyAlignment="1">
      <alignment horizontal="center" vertical="center"/>
    </xf>
    <xf numFmtId="0" fontId="4" fillId="5" borderId="4" xfId="0" applyFont="1" applyFill="1" applyBorder="1" applyAlignment="1">
      <alignment horizontal="center" vertical="center" wrapText="1"/>
    </xf>
    <xf numFmtId="0" fontId="5" fillId="5" borderId="22" xfId="0" applyFont="1" applyFill="1" applyBorder="1" applyAlignment="1">
      <alignment vertical="center" wrapText="1"/>
    </xf>
    <xf numFmtId="0" fontId="0" fillId="7" borderId="5" xfId="0" applyFill="1" applyBorder="1" applyAlignment="1">
      <alignment horizontal="center" vertical="center"/>
    </xf>
    <xf numFmtId="0" fontId="0" fillId="7"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7" borderId="23" xfId="0" applyNumberFormat="1" applyFill="1" applyBorder="1" applyAlignment="1">
      <alignment horizontal="center" vertical="center"/>
    </xf>
    <xf numFmtId="2" fontId="0" fillId="7"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7" borderId="9" xfId="0" applyFill="1" applyBorder="1" applyAlignment="1">
      <alignment horizontal="center" vertical="center"/>
    </xf>
    <xf numFmtId="0" fontId="0" fillId="10" borderId="6" xfId="0" applyFill="1" applyBorder="1" applyAlignment="1">
      <alignment vertical="center" wrapText="1"/>
    </xf>
    <xf numFmtId="0" fontId="4" fillId="0" borderId="31"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32" xfId="0" applyFill="1" applyBorder="1" applyAlignment="1">
      <alignment horizontal="center" vertical="center" wrapText="1"/>
    </xf>
    <xf numFmtId="0" fontId="0" fillId="0" borderId="3" xfId="0"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8" xfId="0" applyFill="1" applyBorder="1" applyAlignment="1">
      <alignment horizontal="center" vertical="center"/>
    </xf>
    <xf numFmtId="164" fontId="0" fillId="0" borderId="7" xfId="0" applyNumberFormat="1" applyFill="1" applyBorder="1" applyAlignment="1">
      <alignment horizontal="center" vertical="center"/>
    </xf>
    <xf numFmtId="0" fontId="0" fillId="0" borderId="11" xfId="0" applyFill="1" applyBorder="1" applyAlignment="1">
      <alignment horizontal="center" vertical="center"/>
    </xf>
    <xf numFmtId="0" fontId="0" fillId="7" borderId="20" xfId="0" applyFill="1" applyBorder="1" applyAlignment="1">
      <alignment horizontal="center" vertical="center"/>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0" fillId="7" borderId="3" xfId="0" applyFont="1" applyFill="1" applyBorder="1" applyAlignment="1">
      <alignment horizontal="center" vertical="center" wrapText="1"/>
    </xf>
    <xf numFmtId="0" fontId="0" fillId="4" borderId="14" xfId="0" applyFont="1" applyFill="1" applyBorder="1" applyAlignment="1">
      <alignment horizontal="left" vertical="center" wrapText="1"/>
    </xf>
    <xf numFmtId="0" fontId="0" fillId="7" borderId="7" xfId="0" applyFont="1" applyFill="1" applyBorder="1" applyAlignment="1">
      <alignment horizontal="center" vertical="center" wrapText="1"/>
    </xf>
    <xf numFmtId="0" fontId="4" fillId="2" borderId="33" xfId="0" applyFont="1" applyFill="1" applyBorder="1" applyAlignment="1">
      <alignment horizontal="center" vertical="center"/>
    </xf>
    <xf numFmtId="0" fontId="0" fillId="4" borderId="42" xfId="0" applyFill="1" applyBorder="1" applyAlignment="1">
      <alignment horizontal="center" vertical="center" wrapText="1"/>
    </xf>
    <xf numFmtId="0" fontId="0" fillId="4" borderId="43" xfId="0" applyFill="1" applyBorder="1" applyAlignment="1">
      <alignment horizontal="center" vertical="center" wrapText="1"/>
    </xf>
    <xf numFmtId="0" fontId="0" fillId="4" borderId="44" xfId="0" applyFill="1" applyBorder="1" applyAlignment="1">
      <alignment horizontal="center" vertical="center" wrapText="1"/>
    </xf>
    <xf numFmtId="0" fontId="1" fillId="10" borderId="31" xfId="0" applyFont="1" applyFill="1" applyBorder="1" applyAlignment="1">
      <alignment horizontal="center" vertical="center" wrapText="1"/>
    </xf>
    <xf numFmtId="0" fontId="0" fillId="4" borderId="45"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46" xfId="0" applyFill="1" applyBorder="1" applyAlignment="1">
      <alignment horizontal="center" vertical="center" wrapText="1"/>
    </xf>
    <xf numFmtId="0" fontId="1" fillId="10" borderId="47"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9" xfId="0" applyFill="1" applyBorder="1" applyAlignment="1">
      <alignment horizontal="center" vertical="center" wrapText="1"/>
    </xf>
    <xf numFmtId="0" fontId="0" fillId="4" borderId="4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14" xfId="0" applyFill="1" applyBorder="1" applyAlignment="1">
      <alignment horizontal="center" vertical="center" wrapText="1"/>
    </xf>
    <xf numFmtId="0" fontId="4" fillId="2" borderId="31" xfId="0" applyFont="1" applyFill="1" applyBorder="1" applyAlignment="1">
      <alignment horizontal="center" vertical="center" wrapText="1"/>
    </xf>
    <xf numFmtId="0" fontId="0" fillId="4" borderId="32"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34" xfId="0" applyFill="1" applyBorder="1" applyAlignment="1">
      <alignment horizontal="center" vertical="center" wrapText="1"/>
    </xf>
    <xf numFmtId="0" fontId="0" fillId="0" borderId="0" xfId="0" applyFill="1" applyBorder="1" applyAlignment="1">
      <alignment horizontal="center" vertical="center" wrapText="1"/>
    </xf>
    <xf numFmtId="0" fontId="0" fillId="4" borderId="39" xfId="0" applyFill="1" applyBorder="1" applyAlignment="1">
      <alignment horizontal="center" vertical="center" wrapText="1"/>
    </xf>
    <xf numFmtId="0" fontId="4" fillId="2" borderId="25" xfId="0" applyFont="1" applyFill="1" applyBorder="1" applyAlignment="1">
      <alignment horizontal="center" vertical="center"/>
    </xf>
    <xf numFmtId="0" fontId="0" fillId="12" borderId="6" xfId="0" applyFill="1"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165" fontId="0" fillId="7" borderId="3" xfId="0" applyNumberFormat="1" applyFill="1" applyBorder="1" applyAlignment="1">
      <alignment horizontal="center" vertical="center"/>
    </xf>
    <xf numFmtId="0" fontId="0" fillId="4" borderId="29" xfId="0" applyFill="1" applyBorder="1" applyAlignment="1">
      <alignment vertical="center" wrapText="1"/>
    </xf>
    <xf numFmtId="1" fontId="0" fillId="7" borderId="9" xfId="0" applyNumberFormat="1" applyFill="1" applyBorder="1" applyAlignment="1">
      <alignment horizontal="center" vertical="center"/>
    </xf>
    <xf numFmtId="0" fontId="0" fillId="3" borderId="5" xfId="0" applyFill="1" applyBorder="1" applyAlignment="1">
      <alignment horizontal="center" vertical="center"/>
    </xf>
    <xf numFmtId="0" fontId="0" fillId="0" borderId="0" xfId="0" applyBorder="1"/>
    <xf numFmtId="0" fontId="0" fillId="7" borderId="23" xfId="0" applyFill="1" applyBorder="1" applyAlignment="1">
      <alignment horizontal="center"/>
    </xf>
    <xf numFmtId="1" fontId="0" fillId="13" borderId="9" xfId="0" applyNumberFormat="1" applyFill="1" applyBorder="1" applyAlignment="1">
      <alignment horizontal="center" vertical="center"/>
    </xf>
    <xf numFmtId="165" fontId="0" fillId="9"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5" fontId="0" fillId="0" borderId="0" xfId="0" applyNumberFormat="1" applyFill="1" applyBorder="1" applyAlignment="1">
      <alignment horizontal="center" vertical="center"/>
    </xf>
    <xf numFmtId="0" fontId="0" fillId="0" borderId="0" xfId="0" applyFill="1" applyAlignment="1">
      <alignment wrapText="1"/>
    </xf>
    <xf numFmtId="0" fontId="0" fillId="4" borderId="8" xfId="0" applyFill="1" applyBorder="1" applyAlignment="1">
      <alignment horizontal="center" vertical="center" wrapText="1"/>
    </xf>
    <xf numFmtId="165" fontId="0" fillId="7" borderId="11" xfId="0" applyNumberFormat="1" applyFill="1" applyBorder="1" applyAlignment="1">
      <alignment horizontal="center" vertical="center"/>
    </xf>
    <xf numFmtId="0" fontId="0" fillId="15" borderId="9" xfId="0" applyFill="1" applyBorder="1" applyAlignment="1">
      <alignment horizontal="center" vertical="center" wrapText="1"/>
    </xf>
    <xf numFmtId="0" fontId="1" fillId="10" borderId="52" xfId="0" applyFont="1" applyFill="1" applyBorder="1" applyAlignment="1">
      <alignment horizontal="center" vertical="center" wrapText="1"/>
    </xf>
    <xf numFmtId="0" fontId="0" fillId="4" borderId="37" xfId="0" applyFill="1" applyBorder="1" applyAlignment="1">
      <alignment horizontal="center" vertical="center" wrapText="1"/>
    </xf>
    <xf numFmtId="0" fontId="0" fillId="4" borderId="19" xfId="0" applyFill="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0" fillId="4" borderId="8" xfId="0"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0" fontId="0" fillId="16" borderId="3" xfId="0" applyFill="1" applyBorder="1" applyAlignment="1">
      <alignment horizontal="center" vertical="center"/>
    </xf>
    <xf numFmtId="0" fontId="0" fillId="9" borderId="3" xfId="0" applyFill="1" applyBorder="1" applyAlignment="1">
      <alignment horizontal="center" vertical="center"/>
    </xf>
    <xf numFmtId="0" fontId="0" fillId="16" borderId="10" xfId="0" applyFill="1" applyBorder="1" applyAlignment="1">
      <alignment horizontal="center" vertical="center"/>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165" fontId="0" fillId="7" borderId="20" xfId="0" applyNumberFormat="1" applyFill="1" applyBorder="1" applyAlignment="1">
      <alignment horizontal="center" vertical="center"/>
    </xf>
    <xf numFmtId="165" fontId="0" fillId="7" borderId="10" xfId="0" applyNumberFormat="1" applyFill="1" applyBorder="1" applyAlignment="1">
      <alignment horizontal="center" vertical="center"/>
    </xf>
    <xf numFmtId="0" fontId="0" fillId="0" borderId="1" xfId="0" applyFill="1" applyBorder="1" applyAlignment="1">
      <alignment horizontal="center" vertical="center"/>
    </xf>
    <xf numFmtId="0" fontId="0" fillId="0" borderId="52" xfId="0" applyFill="1" applyBorder="1" applyAlignment="1">
      <alignment horizontal="center" vertical="center"/>
    </xf>
    <xf numFmtId="0" fontId="0" fillId="0" borderId="3" xfId="0" applyBorder="1" applyAlignment="1">
      <alignment horizontal="center" vertical="center"/>
    </xf>
    <xf numFmtId="0" fontId="0" fillId="0" borderId="28" xfId="0" applyFill="1" applyBorder="1"/>
    <xf numFmtId="0" fontId="0" fillId="0" borderId="53" xfId="0" applyFill="1" applyBorder="1"/>
    <xf numFmtId="0" fontId="0" fillId="0" borderId="54" xfId="0" applyFill="1" applyBorder="1"/>
    <xf numFmtId="165" fontId="0" fillId="7" borderId="21" xfId="0" applyNumberFormat="1" applyFill="1" applyBorder="1" applyAlignment="1">
      <alignment horizontal="center" vertical="center"/>
    </xf>
    <xf numFmtId="0" fontId="0" fillId="7" borderId="11" xfId="0" applyFill="1" applyBorder="1" applyAlignment="1">
      <alignment horizontal="center" vertical="center" wrapText="1"/>
    </xf>
    <xf numFmtId="0" fontId="0" fillId="0" borderId="33" xfId="0" applyFill="1" applyBorder="1" applyAlignment="1">
      <alignment horizontal="center" vertical="center" wrapText="1"/>
    </xf>
    <xf numFmtId="0" fontId="0" fillId="7" borderId="33" xfId="0" applyFill="1" applyBorder="1" applyAlignment="1">
      <alignment horizontal="center" vertical="center" wrapText="1"/>
    </xf>
    <xf numFmtId="0" fontId="0" fillId="0" borderId="26" xfId="0" applyFill="1" applyBorder="1" applyAlignment="1">
      <alignment horizontal="center" vertical="center" wrapText="1"/>
    </xf>
    <xf numFmtId="0" fontId="1" fillId="6" borderId="14" xfId="0" applyFont="1" applyFill="1" applyBorder="1" applyAlignment="1">
      <alignment vertical="center" wrapText="1"/>
    </xf>
    <xf numFmtId="0" fontId="1" fillId="6" borderId="15" xfId="0" applyFont="1" applyFill="1" applyBorder="1" applyAlignment="1">
      <alignment vertical="center" wrapText="1"/>
    </xf>
    <xf numFmtId="1" fontId="6" fillId="9" borderId="25" xfId="0" applyNumberFormat="1" applyFont="1" applyFill="1" applyBorder="1" applyAlignment="1">
      <alignment horizontal="center" vertical="center"/>
    </xf>
    <xf numFmtId="0" fontId="0" fillId="9" borderId="10" xfId="0" applyFill="1" applyBorder="1" applyAlignment="1">
      <alignment horizontal="center" vertical="center"/>
    </xf>
    <xf numFmtId="165" fontId="0" fillId="7" borderId="32" xfId="0" applyNumberFormat="1" applyFill="1" applyBorder="1" applyAlignment="1">
      <alignment horizontal="center" vertical="center"/>
    </xf>
    <xf numFmtId="165" fontId="0" fillId="7" borderId="5" xfId="0" applyNumberFormat="1" applyFill="1" applyBorder="1" applyAlignment="1">
      <alignment horizontal="center" vertical="center"/>
    </xf>
    <xf numFmtId="165" fontId="0" fillId="7" borderId="7" xfId="0" applyNumberFormat="1" applyFill="1" applyBorder="1" applyAlignment="1">
      <alignment horizontal="center" vertical="center"/>
    </xf>
    <xf numFmtId="165" fontId="0" fillId="7" borderId="9" xfId="0" applyNumberFormat="1" applyFill="1" applyBorder="1" applyAlignment="1">
      <alignment horizontal="center" vertical="center"/>
    </xf>
    <xf numFmtId="165" fontId="0" fillId="7" borderId="35" xfId="0" applyNumberFormat="1" applyFill="1" applyBorder="1" applyAlignment="1">
      <alignment horizontal="center" vertical="center"/>
    </xf>
    <xf numFmtId="0" fontId="0" fillId="0" borderId="1" xfId="0" applyBorder="1"/>
    <xf numFmtId="0" fontId="0" fillId="0" borderId="28" xfId="0" applyBorder="1"/>
    <xf numFmtId="2" fontId="6" fillId="9" borderId="25" xfId="0" applyNumberFormat="1" applyFont="1" applyFill="1" applyBorder="1" applyAlignment="1">
      <alignment horizontal="center" vertical="center"/>
    </xf>
    <xf numFmtId="165" fontId="0" fillId="0" borderId="11" xfId="0" applyNumberFormat="1" applyFill="1" applyBorder="1" applyAlignment="1">
      <alignment horizontal="center" vertical="center"/>
    </xf>
    <xf numFmtId="165" fontId="0" fillId="0" borderId="9" xfId="0" applyNumberFormat="1" applyFill="1" applyBorder="1" applyAlignment="1">
      <alignment horizontal="center" vertical="center"/>
    </xf>
    <xf numFmtId="0" fontId="0" fillId="7" borderId="55" xfId="0" applyFill="1" applyBorder="1" applyAlignment="1">
      <alignment horizontal="center" vertical="center"/>
    </xf>
    <xf numFmtId="0" fontId="0" fillId="7" borderId="56" xfId="0" applyFill="1" applyBorder="1" applyAlignment="1">
      <alignment horizontal="center" vertical="center"/>
    </xf>
    <xf numFmtId="164" fontId="0" fillId="7" borderId="56" xfId="0" applyNumberFormat="1" applyFill="1" applyBorder="1" applyAlignment="1">
      <alignment horizontal="center" vertical="center"/>
    </xf>
    <xf numFmtId="164" fontId="0" fillId="7" borderId="21" xfId="0" applyNumberFormat="1" applyFill="1" applyBorder="1" applyAlignment="1">
      <alignment horizontal="center" vertical="center"/>
    </xf>
    <xf numFmtId="164" fontId="0" fillId="7" borderId="35" xfId="0" applyNumberFormat="1" applyFill="1" applyBorder="1" applyAlignment="1">
      <alignment horizontal="center" vertical="center"/>
    </xf>
    <xf numFmtId="0" fontId="0" fillId="9" borderId="7" xfId="0" applyFill="1" applyBorder="1" applyAlignment="1">
      <alignment horizontal="center" vertical="center"/>
    </xf>
    <xf numFmtId="165" fontId="0" fillId="0" borderId="3" xfId="0" applyNumberFormat="1" applyFill="1" applyBorder="1" applyAlignment="1">
      <alignment horizontal="center" vertical="center"/>
    </xf>
    <xf numFmtId="165" fontId="0" fillId="7" borderId="3" xfId="0" applyNumberFormat="1" applyFont="1" applyFill="1" applyBorder="1" applyAlignment="1">
      <alignment horizontal="center" vertical="center" wrapText="1"/>
    </xf>
    <xf numFmtId="165" fontId="0" fillId="7" borderId="7" xfId="0" applyNumberFormat="1" applyFont="1" applyFill="1" applyBorder="1" applyAlignment="1">
      <alignment horizontal="center" vertical="center" wrapText="1"/>
    </xf>
    <xf numFmtId="165" fontId="0" fillId="0" borderId="7" xfId="0" applyNumberFormat="1" applyFill="1" applyBorder="1" applyAlignment="1">
      <alignment horizontal="center" vertical="center"/>
    </xf>
    <xf numFmtId="165" fontId="4" fillId="9" borderId="48" xfId="0" applyNumberFormat="1" applyFont="1" applyFill="1" applyBorder="1" applyAlignment="1">
      <alignment horizontal="center" vertical="center" wrapText="1"/>
    </xf>
    <xf numFmtId="165" fontId="4" fillId="9" borderId="10" xfId="0" applyNumberFormat="1" applyFont="1" applyFill="1" applyBorder="1" applyAlignment="1">
      <alignment horizontal="center" vertical="center" wrapText="1"/>
    </xf>
    <xf numFmtId="165" fontId="4" fillId="9" borderId="35" xfId="0" applyNumberFormat="1" applyFont="1" applyFill="1" applyBorder="1" applyAlignment="1">
      <alignment horizontal="center" vertical="center" wrapText="1"/>
    </xf>
    <xf numFmtId="165" fontId="0" fillId="11" borderId="48" xfId="0" applyNumberFormat="1" applyFill="1" applyBorder="1" applyAlignment="1">
      <alignment horizontal="center" vertical="center"/>
    </xf>
    <xf numFmtId="165" fontId="0" fillId="11" borderId="35" xfId="0" applyNumberFormat="1" applyFill="1" applyBorder="1" applyAlignment="1">
      <alignment horizontal="center" vertical="center"/>
    </xf>
    <xf numFmtId="0" fontId="0" fillId="6" borderId="46" xfId="0" applyFill="1" applyBorder="1" applyAlignment="1">
      <alignment horizontal="center" vertical="center" wrapText="1"/>
    </xf>
    <xf numFmtId="0" fontId="0" fillId="6" borderId="50"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6" borderId="14"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0" fillId="4" borderId="19"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38" xfId="0" applyFill="1" applyBorder="1" applyAlignment="1">
      <alignment horizontal="center" vertical="center" wrapText="1"/>
    </xf>
    <xf numFmtId="0" fontId="0" fillId="4" borderId="29" xfId="0" applyFill="1" applyBorder="1" applyAlignment="1">
      <alignment horizontal="center" vertical="center" wrapText="1"/>
    </xf>
    <xf numFmtId="0" fontId="4" fillId="6" borderId="12"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1" fillId="6" borderId="17" xfId="0" applyFont="1" applyFill="1" applyBorder="1" applyAlignment="1">
      <alignment horizontal="left" vertical="center" wrapText="1"/>
    </xf>
    <xf numFmtId="0" fontId="1" fillId="6" borderId="51" xfId="0" applyFont="1" applyFill="1" applyBorder="1" applyAlignment="1">
      <alignment horizontal="left" vertical="center" wrapText="1"/>
    </xf>
    <xf numFmtId="0" fontId="1" fillId="6" borderId="18"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8" xfId="0"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15" xfId="0" applyFont="1" applyFill="1" applyBorder="1" applyAlignment="1">
      <alignment horizontal="left" vertical="center" wrapText="1"/>
    </xf>
    <xf numFmtId="0" fontId="1" fillId="6" borderId="30" xfId="0" applyFont="1" applyFill="1" applyBorder="1" applyAlignment="1">
      <alignment horizontal="left" vertical="center" wrapText="1"/>
    </xf>
    <xf numFmtId="0" fontId="1" fillId="2" borderId="49"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10" borderId="49" xfId="0" applyFont="1" applyFill="1" applyBorder="1" applyAlignment="1">
      <alignment horizontal="center" vertical="center" wrapText="1"/>
    </xf>
    <xf numFmtId="0" fontId="1" fillId="10" borderId="40" xfId="0" applyFont="1" applyFill="1" applyBorder="1" applyAlignment="1">
      <alignment horizontal="center" vertical="center" wrapText="1"/>
    </xf>
    <xf numFmtId="0" fontId="1" fillId="10" borderId="41" xfId="0" applyFont="1" applyFill="1" applyBorder="1" applyAlignment="1">
      <alignment horizontal="center" vertical="center" wrapText="1"/>
    </xf>
    <xf numFmtId="0" fontId="0" fillId="0" borderId="11" xfId="0" applyFill="1" applyBorder="1" applyAlignment="1">
      <alignment horizontal="center" vertical="center" wrapText="1"/>
    </xf>
    <xf numFmtId="0" fontId="0" fillId="7" borderId="9" xfId="0" applyFill="1" applyBorder="1" applyAlignment="1">
      <alignment horizontal="center" vertical="center" wrapText="1"/>
    </xf>
  </cellXfs>
  <cellStyles count="1">
    <cellStyle name="Normal" xfId="0" builtinId="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8"/>
  <sheetViews>
    <sheetView topLeftCell="A34" zoomScale="66" workbookViewId="0">
      <selection activeCell="BM35" sqref="BM35"/>
    </sheetView>
  </sheetViews>
  <sheetFormatPr baseColWidth="10" defaultRowHeight="14.5" x14ac:dyDescent="0.35"/>
  <cols>
    <col min="1" max="1" width="32.08984375" style="1" customWidth="1"/>
    <col min="2" max="2" width="19.90625" customWidth="1"/>
    <col min="3" max="3" width="12.36328125" bestFit="1" customWidth="1"/>
    <col min="4" max="4" width="13.1796875" customWidth="1"/>
    <col min="5" max="31" width="12.36328125" bestFit="1" customWidth="1"/>
    <col min="32" max="32" width="13.36328125" bestFit="1" customWidth="1"/>
  </cols>
  <sheetData>
    <row r="1" spans="1:4" x14ac:dyDescent="0.35">
      <c r="D1" s="102"/>
    </row>
    <row r="4" spans="1:4" ht="15" thickBot="1" x14ac:dyDescent="0.4">
      <c r="B4" s="9"/>
    </row>
    <row r="5" spans="1:4" ht="37.5" thickBot="1" x14ac:dyDescent="0.4">
      <c r="A5" s="30" t="s">
        <v>177</v>
      </c>
      <c r="B5" s="144">
        <f>B6/B10</f>
        <v>86.027091023196732</v>
      </c>
    </row>
    <row r="6" spans="1:4" ht="37.5" thickBot="1" x14ac:dyDescent="0.4">
      <c r="A6" s="30" t="s">
        <v>154</v>
      </c>
      <c r="B6" s="135">
        <f>MIN(B45,B48)</f>
        <v>243.37064050462357</v>
      </c>
    </row>
    <row r="8" spans="1:4" ht="15" thickBot="1" x14ac:dyDescent="0.4"/>
    <row r="9" spans="1:4" ht="15" thickBot="1" x14ac:dyDescent="0.4">
      <c r="A9" s="164" t="s">
        <v>14</v>
      </c>
      <c r="B9" s="165"/>
    </row>
    <row r="10" spans="1:4" x14ac:dyDescent="0.35">
      <c r="A10" s="2" t="s">
        <v>7</v>
      </c>
      <c r="B10" s="89">
        <v>2.8290000000000002</v>
      </c>
    </row>
    <row r="11" spans="1:4" ht="29" x14ac:dyDescent="0.35">
      <c r="A11" s="3" t="s">
        <v>201</v>
      </c>
      <c r="B11" s="90">
        <v>120</v>
      </c>
    </row>
    <row r="12" spans="1:4" x14ac:dyDescent="0.35">
      <c r="A12" s="3" t="s">
        <v>202</v>
      </c>
      <c r="B12" s="90" t="s">
        <v>18</v>
      </c>
    </row>
    <row r="13" spans="1:4" ht="27.5" customHeight="1" x14ac:dyDescent="0.35">
      <c r="A13" s="3" t="s">
        <v>203</v>
      </c>
      <c r="B13" s="90">
        <v>40</v>
      </c>
    </row>
    <row r="14" spans="1:4" ht="18.5" customHeight="1" x14ac:dyDescent="0.35">
      <c r="A14" s="3" t="s">
        <v>87</v>
      </c>
      <c r="B14" s="90" t="s">
        <v>18</v>
      </c>
    </row>
    <row r="15" spans="1:4" x14ac:dyDescent="0.35">
      <c r="A15" s="3" t="s">
        <v>15</v>
      </c>
      <c r="B15" s="26">
        <v>30</v>
      </c>
    </row>
    <row r="16" spans="1:4" ht="29.5" thickBot="1" x14ac:dyDescent="0.4">
      <c r="A16" s="4" t="s">
        <v>191</v>
      </c>
      <c r="B16" s="105" t="s">
        <v>194</v>
      </c>
    </row>
    <row r="17" spans="1:177" ht="15" thickBot="1" x14ac:dyDescent="0.4"/>
    <row r="18" spans="1:177" s="5" customFormat="1" ht="15.5" x14ac:dyDescent="0.35">
      <c r="A18" s="113" t="s">
        <v>0</v>
      </c>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c r="DM18" s="114"/>
      <c r="DN18" s="114"/>
      <c r="DO18" s="114"/>
      <c r="DP18" s="114"/>
      <c r="DQ18" s="114"/>
      <c r="DR18" s="114"/>
      <c r="DS18" s="125"/>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97</v>
      </c>
      <c r="B19" s="12">
        <v>0</v>
      </c>
      <c r="C19" s="12">
        <v>1</v>
      </c>
      <c r="D19" s="12">
        <v>2</v>
      </c>
      <c r="E19" s="12">
        <v>3</v>
      </c>
      <c r="F19" s="12">
        <v>4</v>
      </c>
      <c r="G19" s="12">
        <v>5</v>
      </c>
      <c r="H19" s="12">
        <v>6</v>
      </c>
      <c r="I19" s="12">
        <v>7</v>
      </c>
      <c r="J19" s="12">
        <v>8</v>
      </c>
      <c r="K19" s="12">
        <v>9</v>
      </c>
      <c r="L19" s="12">
        <v>10</v>
      </c>
      <c r="M19" s="12">
        <v>11</v>
      </c>
      <c r="N19" s="12">
        <v>12</v>
      </c>
      <c r="O19" s="12">
        <v>13</v>
      </c>
      <c r="P19" s="12">
        <v>14</v>
      </c>
      <c r="Q19" s="116">
        <v>15</v>
      </c>
      <c r="R19" s="12">
        <v>16</v>
      </c>
      <c r="S19" s="12">
        <v>17</v>
      </c>
      <c r="T19" s="12">
        <v>18</v>
      </c>
      <c r="U19" s="12">
        <v>19</v>
      </c>
      <c r="V19" s="12">
        <v>20</v>
      </c>
      <c r="W19" s="12">
        <v>21</v>
      </c>
      <c r="X19" s="12">
        <v>22</v>
      </c>
      <c r="Y19" s="12">
        <v>23</v>
      </c>
      <c r="Z19" s="12">
        <v>24</v>
      </c>
      <c r="AA19" s="116">
        <v>25</v>
      </c>
      <c r="AB19" s="12">
        <v>26</v>
      </c>
      <c r="AC19" s="12">
        <v>27</v>
      </c>
      <c r="AD19" s="12">
        <v>28</v>
      </c>
      <c r="AE19" s="12">
        <v>29</v>
      </c>
      <c r="AF19" s="117">
        <v>30</v>
      </c>
      <c r="AG19" s="12">
        <v>31</v>
      </c>
      <c r="AH19" s="12">
        <v>32</v>
      </c>
      <c r="AI19" s="13">
        <v>33</v>
      </c>
      <c r="AJ19" s="12">
        <v>34</v>
      </c>
      <c r="AK19" s="116">
        <v>35</v>
      </c>
      <c r="AL19" s="13">
        <v>36</v>
      </c>
      <c r="AM19" s="12">
        <v>37</v>
      </c>
      <c r="AN19" s="12">
        <v>38</v>
      </c>
      <c r="AO19" s="13">
        <v>39</v>
      </c>
      <c r="AP19" s="12">
        <v>40</v>
      </c>
      <c r="AQ19" s="12">
        <v>41</v>
      </c>
      <c r="AR19" s="13">
        <v>42</v>
      </c>
      <c r="AS19" s="12">
        <v>43</v>
      </c>
      <c r="AT19" s="12">
        <v>44</v>
      </c>
      <c r="AU19" s="136">
        <v>45</v>
      </c>
      <c r="AV19" s="12">
        <v>46</v>
      </c>
      <c r="AW19" s="12">
        <v>47</v>
      </c>
      <c r="AX19" s="13">
        <v>48</v>
      </c>
      <c r="AY19" s="12">
        <v>49</v>
      </c>
      <c r="AZ19" s="12">
        <v>50</v>
      </c>
      <c r="BA19" s="13">
        <v>51</v>
      </c>
      <c r="BB19" s="12">
        <v>52</v>
      </c>
      <c r="BC19" s="12">
        <v>53</v>
      </c>
      <c r="BD19" s="13">
        <v>54</v>
      </c>
      <c r="BE19" s="12">
        <v>55</v>
      </c>
      <c r="BF19" s="12">
        <v>56</v>
      </c>
      <c r="BG19" s="13">
        <v>57</v>
      </c>
      <c r="BH19" s="12">
        <v>58</v>
      </c>
      <c r="BI19" s="12">
        <v>59</v>
      </c>
      <c r="BJ19" s="136">
        <v>60</v>
      </c>
      <c r="BK19" s="12">
        <v>61</v>
      </c>
      <c r="BL19" s="12">
        <v>62</v>
      </c>
      <c r="BM19" s="13">
        <v>63</v>
      </c>
      <c r="BN19" s="12">
        <v>64</v>
      </c>
      <c r="BO19" s="115">
        <v>65</v>
      </c>
      <c r="BP19" s="13">
        <v>66</v>
      </c>
      <c r="BQ19" s="12">
        <v>67</v>
      </c>
      <c r="BR19" s="12">
        <v>68</v>
      </c>
      <c r="BS19" s="13">
        <v>69</v>
      </c>
      <c r="BT19" s="12">
        <v>70</v>
      </c>
      <c r="BU19" s="12">
        <v>71</v>
      </c>
      <c r="BV19" s="13">
        <v>72</v>
      </c>
      <c r="BW19" s="12">
        <v>73</v>
      </c>
      <c r="BX19" s="12">
        <v>74</v>
      </c>
      <c r="BY19" s="13">
        <v>75</v>
      </c>
      <c r="BZ19" s="12">
        <v>76</v>
      </c>
      <c r="CA19" s="12">
        <v>77</v>
      </c>
      <c r="CB19" s="13">
        <v>78</v>
      </c>
      <c r="CC19" s="12">
        <v>79</v>
      </c>
      <c r="CD19" s="12">
        <v>80</v>
      </c>
      <c r="CE19" s="13">
        <v>81</v>
      </c>
      <c r="CF19" s="12">
        <v>82</v>
      </c>
      <c r="CG19" s="12">
        <v>83</v>
      </c>
      <c r="CH19" s="13">
        <v>84</v>
      </c>
      <c r="CI19" s="12">
        <v>85</v>
      </c>
      <c r="CJ19" s="12">
        <v>86</v>
      </c>
      <c r="CK19" s="13">
        <v>87</v>
      </c>
      <c r="CL19" s="12">
        <v>88</v>
      </c>
      <c r="CM19" s="12">
        <v>89</v>
      </c>
      <c r="CN19" s="13">
        <v>90</v>
      </c>
      <c r="CO19" s="12">
        <v>91</v>
      </c>
      <c r="CP19" s="12">
        <v>92</v>
      </c>
      <c r="CQ19" s="13">
        <v>93</v>
      </c>
      <c r="CR19" s="12">
        <v>94</v>
      </c>
      <c r="CS19" s="12">
        <v>95</v>
      </c>
      <c r="CT19" s="13">
        <v>96</v>
      </c>
      <c r="CU19" s="12">
        <v>97</v>
      </c>
      <c r="CV19" s="12">
        <v>98</v>
      </c>
      <c r="CW19" s="13">
        <v>99</v>
      </c>
      <c r="CX19" s="12">
        <v>100</v>
      </c>
      <c r="CY19" s="12">
        <v>101</v>
      </c>
      <c r="CZ19" s="13">
        <v>102</v>
      </c>
      <c r="DA19" s="12">
        <v>103</v>
      </c>
      <c r="DB19" s="12">
        <v>104</v>
      </c>
      <c r="DC19" s="13">
        <v>105</v>
      </c>
      <c r="DD19" s="12">
        <v>106</v>
      </c>
      <c r="DE19" s="12">
        <v>107</v>
      </c>
      <c r="DF19" s="13">
        <v>108</v>
      </c>
      <c r="DG19" s="12">
        <v>109</v>
      </c>
      <c r="DH19" s="12">
        <v>110</v>
      </c>
      <c r="DI19" s="13">
        <v>111</v>
      </c>
      <c r="DJ19" s="12">
        <v>112</v>
      </c>
      <c r="DK19" s="12">
        <v>113</v>
      </c>
      <c r="DL19" s="13">
        <v>114</v>
      </c>
      <c r="DM19" s="12">
        <v>115</v>
      </c>
      <c r="DN19" s="12">
        <v>116</v>
      </c>
      <c r="DO19" s="13">
        <v>117</v>
      </c>
      <c r="DP19" s="12">
        <v>118</v>
      </c>
      <c r="DQ19" s="12">
        <v>119</v>
      </c>
      <c r="DR19" s="13">
        <v>120</v>
      </c>
      <c r="DS19" s="125"/>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8" t="s">
        <v>3</v>
      </c>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25"/>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3" t="s">
        <v>204</v>
      </c>
      <c r="B21" s="91">
        <f>(((B22+B29)*$B$38)+(($B$43+B30)*$B$10))*(44/12)</f>
        <v>726.11</v>
      </c>
      <c r="C21" s="91">
        <f t="shared" ref="C21:BN21" si="0">(((C22+C29)*$B$38)+(($B$43+C30)*$B$10))*(44/12)</f>
        <v>752.04421105526262</v>
      </c>
      <c r="D21" s="91">
        <f t="shared" si="0"/>
        <v>777.0664967763546</v>
      </c>
      <c r="E21" s="91">
        <f t="shared" si="0"/>
        <v>801.79427639029734</v>
      </c>
      <c r="F21" s="91">
        <f t="shared" si="0"/>
        <v>826.34051558739225</v>
      </c>
      <c r="G21" s="91">
        <f t="shared" si="0"/>
        <v>850.75641412174423</v>
      </c>
      <c r="H21" s="91">
        <f t="shared" si="0"/>
        <v>884.43616802233021</v>
      </c>
      <c r="I21" s="91">
        <f t="shared" si="0"/>
        <v>917.95549418900112</v>
      </c>
      <c r="J21" s="91">
        <f t="shared" si="0"/>
        <v>951.34733447509666</v>
      </c>
      <c r="K21" s="91">
        <f t="shared" si="0"/>
        <v>984.63375859784719</v>
      </c>
      <c r="L21" s="91">
        <f t="shared" si="0"/>
        <v>1017.8305479931411</v>
      </c>
      <c r="M21" s="91">
        <f t="shared" si="0"/>
        <v>1050.5765910776943</v>
      </c>
      <c r="N21" s="91">
        <f t="shared" si="0"/>
        <v>1083.2556184135665</v>
      </c>
      <c r="O21" s="91">
        <f t="shared" si="0"/>
        <v>1115.8747013993736</v>
      </c>
      <c r="P21" s="91">
        <f t="shared" si="0"/>
        <v>1148.439617542313</v>
      </c>
      <c r="Q21" s="91">
        <f t="shared" si="0"/>
        <v>1114.7509586786787</v>
      </c>
      <c r="R21" s="91">
        <f t="shared" si="0"/>
        <v>1159.5006715946511</v>
      </c>
      <c r="S21" s="91">
        <f t="shared" si="0"/>
        <v>1204.1521944223489</v>
      </c>
      <c r="T21" s="91">
        <f t="shared" si="0"/>
        <v>1248.716516868813</v>
      </c>
      <c r="U21" s="91">
        <f t="shared" si="0"/>
        <v>1293.2025065890095</v>
      </c>
      <c r="V21" s="91">
        <f t="shared" si="0"/>
        <v>1337.6174627114456</v>
      </c>
      <c r="W21" s="91">
        <f t="shared" si="0"/>
        <v>1378.9857711875295</v>
      </c>
      <c r="X21" s="91">
        <f t="shared" si="0"/>
        <v>1420.3024427322609</v>
      </c>
      <c r="Y21" s="91">
        <f t="shared" si="0"/>
        <v>1461.5710785042013</v>
      </c>
      <c r="Z21" s="91">
        <f t="shared" si="0"/>
        <v>1502.7948313073634</v>
      </c>
      <c r="AA21" s="91">
        <f t="shared" si="0"/>
        <v>1462.3085126941712</v>
      </c>
      <c r="AB21" s="91">
        <f t="shared" si="0"/>
        <v>1132.876157824729</v>
      </c>
      <c r="AC21" s="91">
        <f t="shared" si="0"/>
        <v>1160.218469917939</v>
      </c>
      <c r="AD21" s="91">
        <f t="shared" si="0"/>
        <v>1187.5239725594433</v>
      </c>
      <c r="AE21" s="91">
        <f t="shared" si="0"/>
        <v>1214.7954100802488</v>
      </c>
      <c r="AF21" s="91">
        <f t="shared" si="0"/>
        <v>1216.4421661454837</v>
      </c>
      <c r="AG21" s="91">
        <f t="shared" si="0"/>
        <v>1238.9054818013842</v>
      </c>
      <c r="AH21" s="91">
        <f t="shared" si="0"/>
        <v>1261.3421660510285</v>
      </c>
      <c r="AI21" s="91">
        <f t="shared" si="0"/>
        <v>1283.7537972838213</v>
      </c>
      <c r="AJ21" s="91">
        <f t="shared" si="0"/>
        <v>1306.141785419951</v>
      </c>
      <c r="AK21" s="91">
        <f t="shared" si="0"/>
        <v>1229.6157488419194</v>
      </c>
      <c r="AL21" s="91">
        <f t="shared" si="0"/>
        <v>1249.7526760116664</v>
      </c>
      <c r="AM21" s="91">
        <f t="shared" si="0"/>
        <v>1269.8688092665757</v>
      </c>
      <c r="AN21" s="91">
        <f t="shared" si="0"/>
        <v>1289.9652323371313</v>
      </c>
      <c r="AO21" s="91">
        <f t="shared" si="0"/>
        <v>1310.0429266234771</v>
      </c>
      <c r="AP21" s="91">
        <f t="shared" si="0"/>
        <v>1330.1027848196136</v>
      </c>
      <c r="AQ21" s="91">
        <f t="shared" si="0"/>
        <v>1348.5025858540994</v>
      </c>
      <c r="AR21" s="91">
        <f t="shared" si="0"/>
        <v>1366.8886241585692</v>
      </c>
      <c r="AS21" s="91">
        <f t="shared" si="0"/>
        <v>1388.2262094688003</v>
      </c>
      <c r="AT21" s="91">
        <f t="shared" si="0"/>
        <v>1409.5467300718096</v>
      </c>
      <c r="AU21" s="91">
        <f t="shared" si="0"/>
        <v>1299.4836101763062</v>
      </c>
      <c r="AV21" s="91">
        <f t="shared" si="0"/>
        <v>1319.2353836247057</v>
      </c>
      <c r="AW21" s="91">
        <f t="shared" si="0"/>
        <v>1338.9702515630827</v>
      </c>
      <c r="AX21" s="91">
        <f t="shared" si="0"/>
        <v>1358.6889610190308</v>
      </c>
      <c r="AY21" s="91">
        <f t="shared" si="0"/>
        <v>1378.0532581412749</v>
      </c>
      <c r="AZ21" s="91">
        <f t="shared" si="0"/>
        <v>1397.4032133949488</v>
      </c>
      <c r="BA21" s="91">
        <f t="shared" si="0"/>
        <v>1414.772708532993</v>
      </c>
      <c r="BB21" s="91">
        <f t="shared" si="0"/>
        <v>1432.1314584623565</v>
      </c>
      <c r="BC21" s="91">
        <f t="shared" si="0"/>
        <v>1449.4798162597042</v>
      </c>
      <c r="BD21" s="91">
        <f t="shared" si="0"/>
        <v>1466.8181136339533</v>
      </c>
      <c r="BE21" s="91">
        <f t="shared" si="0"/>
        <v>1484.146662777724</v>
      </c>
      <c r="BF21" s="91">
        <f t="shared" si="0"/>
        <v>1500.1583141336305</v>
      </c>
      <c r="BG21" s="91">
        <f t="shared" si="0"/>
        <v>1516.9211724556521</v>
      </c>
      <c r="BH21" s="91">
        <f t="shared" si="0"/>
        <v>1533.6756471895023</v>
      </c>
      <c r="BI21" s="91">
        <f t="shared" si="0"/>
        <v>1550.4219658434065</v>
      </c>
      <c r="BJ21" s="91">
        <f t="shared" si="0"/>
        <v>1567.1603444981204</v>
      </c>
      <c r="BK21" s="91">
        <f t="shared" si="0"/>
        <v>1008.5215325097736</v>
      </c>
      <c r="BL21" s="91">
        <f t="shared" si="0"/>
        <v>1014.3396664224641</v>
      </c>
      <c r="BM21" s="91">
        <f t="shared" si="0"/>
        <v>1020.1535136703599</v>
      </c>
      <c r="BN21" s="91">
        <f t="shared" si="0"/>
        <v>1025.9632239307887</v>
      </c>
      <c r="BO21" s="91">
        <f t="shared" ref="BO21:DQ21" si="1">(((BO22+BO29)*$B$38)+(($B$43+BO30)*$B$10))*(44/12)</f>
        <v>943.74371939659784</v>
      </c>
      <c r="BP21" s="91">
        <f t="shared" si="1"/>
        <v>948.74643577349821</v>
      </c>
      <c r="BQ21" s="91">
        <f t="shared" si="1"/>
        <v>953.74401882828454</v>
      </c>
      <c r="BR21" s="91">
        <f t="shared" si="1"/>
        <v>958.73670535261419</v>
      </c>
      <c r="BS21" s="91">
        <f t="shared" si="1"/>
        <v>963.72471224809658</v>
      </c>
      <c r="BT21" s="91">
        <f t="shared" si="1"/>
        <v>968.70823889306666</v>
      </c>
      <c r="BU21" s="91">
        <f t="shared" si="1"/>
        <v>973.68746915096256</v>
      </c>
      <c r="BV21" s="91">
        <f t="shared" si="1"/>
        <v>978.66257308538627</v>
      </c>
      <c r="BW21" s="91">
        <f t="shared" si="1"/>
        <v>982.93623904050139</v>
      </c>
      <c r="BX21" s="91">
        <f t="shared" si="1"/>
        <v>987.20706603090059</v>
      </c>
      <c r="BY21" s="91">
        <f t="shared" si="1"/>
        <v>991.47514217636069</v>
      </c>
      <c r="BZ21" s="91">
        <f t="shared" si="1"/>
        <v>995.74055055115366</v>
      </c>
      <c r="CA21" s="91">
        <f t="shared" si="1"/>
        <v>1000.00336959828</v>
      </c>
      <c r="CB21" s="91">
        <f t="shared" si="1"/>
        <v>1004.2636734999286</v>
      </c>
      <c r="CC21" s="91">
        <f t="shared" si="1"/>
        <v>1008.5215325097734</v>
      </c>
      <c r="CD21" s="91">
        <f t="shared" si="1"/>
        <v>1012.7770132518671</v>
      </c>
      <c r="CE21" s="91">
        <f t="shared" si="1"/>
        <v>1017.0301789902129</v>
      </c>
      <c r="CF21" s="91">
        <f t="shared" si="1"/>
        <v>1021.107626703962</v>
      </c>
      <c r="CG21" s="91">
        <f t="shared" si="1"/>
        <v>1025.1830504653562</v>
      </c>
      <c r="CH21" s="91">
        <f t="shared" si="1"/>
        <v>1029.2564985596152</v>
      </c>
      <c r="CI21" s="91">
        <f t="shared" si="1"/>
        <v>1033.3280171337349</v>
      </c>
      <c r="CJ21" s="91">
        <f t="shared" si="1"/>
        <v>1037.3976503330671</v>
      </c>
      <c r="CK21" s="91">
        <f t="shared" si="1"/>
        <v>1041.4654404266043</v>
      </c>
      <c r="CL21" s="91">
        <f t="shared" si="1"/>
        <v>1045.5314279221129</v>
      </c>
      <c r="CM21" s="91">
        <f t="shared" si="1"/>
        <v>1049.5956516721108</v>
      </c>
      <c r="CN21" s="91">
        <f t="shared" si="1"/>
        <v>1053.6581489715829</v>
      </c>
      <c r="CO21" s="91">
        <f t="shared" si="1"/>
        <v>1057.7189556482208</v>
      </c>
      <c r="CP21" s="91">
        <f t="shared" si="1"/>
        <v>1061.7781061458752</v>
      </c>
      <c r="CQ21" s="91">
        <f t="shared" si="1"/>
        <v>1065.8356336018594</v>
      </c>
      <c r="CR21" s="91">
        <f t="shared" si="1"/>
        <v>1069.891569918643</v>
      </c>
      <c r="CS21" s="91">
        <f t="shared" si="1"/>
        <v>1073.9459458304416</v>
      </c>
      <c r="CT21" s="91">
        <f t="shared" si="1"/>
        <v>1077.9987909651425</v>
      </c>
      <c r="CU21" s="91">
        <f t="shared" si="1"/>
        <v>1082.0501339019681</v>
      </c>
      <c r="CV21" s="91">
        <f t="shared" si="1"/>
        <v>1086.1000022252338</v>
      </c>
      <c r="CW21" s="91">
        <f t="shared" si="1"/>
        <v>1090.1484225745246</v>
      </c>
      <c r="CX21" s="91">
        <f t="shared" si="1"/>
        <v>1094.1954206915825</v>
      </c>
      <c r="CY21" s="91">
        <f t="shared" si="1"/>
        <v>1098.2410214641677</v>
      </c>
      <c r="CZ21" s="91">
        <f t="shared" si="1"/>
        <v>1102.2852489671341</v>
      </c>
      <c r="DA21" s="91">
        <f t="shared" si="1"/>
        <v>1106.2421217296114</v>
      </c>
      <c r="DB21" s="91">
        <f t="shared" si="1"/>
        <v>1110.1977225192672</v>
      </c>
      <c r="DC21" s="91">
        <f t="shared" si="1"/>
        <v>1114.1520718486881</v>
      </c>
      <c r="DD21" s="91">
        <f t="shared" si="1"/>
        <v>1118.1051896122644</v>
      </c>
      <c r="DE21" s="91">
        <f t="shared" si="1"/>
        <v>1122.0570951132402</v>
      </c>
      <c r="DF21" s="91">
        <f t="shared" si="1"/>
        <v>1126.0078070892205</v>
      </c>
      <c r="DG21" s="91">
        <f t="shared" si="1"/>
        <v>1129.957343736246</v>
      </c>
      <c r="DH21" s="91">
        <f t="shared" si="1"/>
        <v>1133.9057227315307</v>
      </c>
      <c r="DI21" s="91">
        <f t="shared" si="1"/>
        <v>1137.8529612549567</v>
      </c>
      <c r="DJ21" s="91">
        <f t="shared" si="1"/>
        <v>1141.7990760094081</v>
      </c>
      <c r="DK21" s="91">
        <f t="shared" si="1"/>
        <v>1145.7440832400193</v>
      </c>
      <c r="DL21" s="91">
        <f t="shared" si="1"/>
        <v>1149.6879987524121</v>
      </c>
      <c r="DM21" s="91">
        <f t="shared" si="1"/>
        <v>1153.630837929986</v>
      </c>
      <c r="DN21" s="91">
        <f t="shared" si="1"/>
        <v>1157.572615750317</v>
      </c>
      <c r="DO21" s="91">
        <f t="shared" si="1"/>
        <v>1161.5133468007316</v>
      </c>
      <c r="DP21" s="91">
        <f t="shared" si="1"/>
        <v>1165.4530452930953</v>
      </c>
      <c r="DQ21" s="91">
        <f t="shared" si="1"/>
        <v>1169.3917250778732</v>
      </c>
      <c r="DR21" s="91">
        <f>(((DR22+DR29)*$B$38)+(($B$43+DR30)*$B$10))*(44/12)</f>
        <v>1173.3293996575014</v>
      </c>
      <c r="DS21" s="125"/>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29.5" thickBot="1" x14ac:dyDescent="0.4">
      <c r="A22" s="3" t="s">
        <v>205</v>
      </c>
      <c r="B22" s="91">
        <f>SUM(B23,B25,B27)</f>
        <v>0</v>
      </c>
      <c r="C22" s="91">
        <f>SUM(C23,C25,C27)</f>
        <v>9.5277504799999999</v>
      </c>
      <c r="D22" s="91">
        <f t="shared" ref="D22:BN22" si="2">SUM(D23,D25,D27)</f>
        <v>19.05550096</v>
      </c>
      <c r="E22" s="91">
        <f t="shared" si="2"/>
        <v>28.583251439999998</v>
      </c>
      <c r="F22" s="91">
        <f t="shared" si="2"/>
        <v>38.11100192</v>
      </c>
      <c r="G22" s="91">
        <f t="shared" si="2"/>
        <v>47.638752400000001</v>
      </c>
      <c r="H22" s="91">
        <f t="shared" si="2"/>
        <v>61.45721528</v>
      </c>
      <c r="I22" s="91">
        <f t="shared" si="2"/>
        <v>75.275678159999998</v>
      </c>
      <c r="J22" s="91">
        <f t="shared" si="2"/>
        <v>89.094141039999997</v>
      </c>
      <c r="K22" s="91">
        <f t="shared" si="2"/>
        <v>102.91260392</v>
      </c>
      <c r="L22" s="91">
        <f t="shared" si="2"/>
        <v>116.73106680000001</v>
      </c>
      <c r="M22" s="91">
        <f t="shared" si="2"/>
        <v>130.37558188</v>
      </c>
      <c r="N22" s="91">
        <f t="shared" si="2"/>
        <v>144.02009695999999</v>
      </c>
      <c r="O22" s="91">
        <f t="shared" si="2"/>
        <v>157.66461203999998</v>
      </c>
      <c r="P22" s="91">
        <f t="shared" si="2"/>
        <v>171.30912712</v>
      </c>
      <c r="Q22" s="91">
        <f t="shared" si="2"/>
        <v>153.90052220000001</v>
      </c>
      <c r="R22" s="91">
        <f t="shared" si="2"/>
        <v>173.25443608</v>
      </c>
      <c r="S22" s="91">
        <f t="shared" si="2"/>
        <v>192.60834996</v>
      </c>
      <c r="T22" s="91">
        <f t="shared" si="2"/>
        <v>211.96226384000002</v>
      </c>
      <c r="U22" s="91">
        <f t="shared" si="2"/>
        <v>231.31617772000001</v>
      </c>
      <c r="V22" s="91">
        <f t="shared" si="2"/>
        <v>250.67009160000003</v>
      </c>
      <c r="W22" s="91">
        <f t="shared" si="2"/>
        <v>268.61180488000002</v>
      </c>
      <c r="X22" s="91">
        <f t="shared" si="2"/>
        <v>286.55351816000007</v>
      </c>
      <c r="Y22" s="91">
        <f t="shared" si="2"/>
        <v>304.49523144000005</v>
      </c>
      <c r="Z22" s="91">
        <f t="shared" si="2"/>
        <v>322.4369447200001</v>
      </c>
      <c r="AA22" s="91">
        <f>SUM(AA23,AA25,AA27)</f>
        <v>301.56225800000016</v>
      </c>
      <c r="AB22" s="91">
        <f t="shared" si="2"/>
        <v>144.58721328000007</v>
      </c>
      <c r="AC22" s="91">
        <f t="shared" si="2"/>
        <v>155.76170856000005</v>
      </c>
      <c r="AD22" s="91">
        <f t="shared" si="2"/>
        <v>166.93620384000008</v>
      </c>
      <c r="AE22" s="91">
        <f t="shared" si="2"/>
        <v>178.11069912000005</v>
      </c>
      <c r="AF22" s="91">
        <f t="shared" si="2"/>
        <v>177.26040240000006</v>
      </c>
      <c r="AG22" s="91">
        <f t="shared" si="2"/>
        <v>187.81383528000006</v>
      </c>
      <c r="AH22" s="91">
        <f t="shared" si="2"/>
        <v>198.36726816000007</v>
      </c>
      <c r="AI22" s="91">
        <f t="shared" si="2"/>
        <v>208.92070104000004</v>
      </c>
      <c r="AJ22" s="91">
        <f t="shared" si="2"/>
        <v>219.47413392000004</v>
      </c>
      <c r="AK22" s="91">
        <f t="shared" si="2"/>
        <v>183.44788680000005</v>
      </c>
      <c r="AL22" s="91">
        <f t="shared" si="2"/>
        <v>192.91446048000006</v>
      </c>
      <c r="AM22" s="91">
        <f t="shared" si="2"/>
        <v>202.38103416000007</v>
      </c>
      <c r="AN22" s="91">
        <f t="shared" si="2"/>
        <v>211.84760784000011</v>
      </c>
      <c r="AO22" s="91">
        <f t="shared" si="2"/>
        <v>221.31418152000009</v>
      </c>
      <c r="AP22" s="91">
        <f t="shared" si="2"/>
        <v>230.7807552000001</v>
      </c>
      <c r="AQ22" s="91">
        <f t="shared" si="2"/>
        <v>239.4710008800001</v>
      </c>
      <c r="AR22" s="91">
        <f t="shared" si="2"/>
        <v>248.16124656000014</v>
      </c>
      <c r="AS22" s="91">
        <f t="shared" si="2"/>
        <v>258.25438464000013</v>
      </c>
      <c r="AT22" s="91">
        <f t="shared" si="2"/>
        <v>268.34752272000014</v>
      </c>
      <c r="AU22" s="91">
        <f t="shared" si="2"/>
        <v>216.33442080000015</v>
      </c>
      <c r="AV22" s="91">
        <f t="shared" si="2"/>
        <v>225.65123088000016</v>
      </c>
      <c r="AW22" s="91">
        <f t="shared" si="2"/>
        <v>234.96804096000017</v>
      </c>
      <c r="AX22" s="91">
        <f t="shared" si="2"/>
        <v>244.28485104000021</v>
      </c>
      <c r="AY22" s="91">
        <f t="shared" si="2"/>
        <v>253.44133056000021</v>
      </c>
      <c r="AZ22" s="91">
        <f t="shared" si="2"/>
        <v>262.59781008000022</v>
      </c>
      <c r="BA22" s="91">
        <f t="shared" si="2"/>
        <v>270.82269600000024</v>
      </c>
      <c r="BB22" s="91">
        <f t="shared" si="2"/>
        <v>279.04758192000025</v>
      </c>
      <c r="BC22" s="91">
        <f t="shared" si="2"/>
        <v>287.27246784000027</v>
      </c>
      <c r="BD22" s="91">
        <f t="shared" si="2"/>
        <v>295.49735376000029</v>
      </c>
      <c r="BE22" s="91">
        <f t="shared" si="2"/>
        <v>303.72223968000037</v>
      </c>
      <c r="BF22" s="91">
        <f t="shared" si="2"/>
        <v>311.32606320000036</v>
      </c>
      <c r="BG22" s="91">
        <f t="shared" si="2"/>
        <v>319.29063048000035</v>
      </c>
      <c r="BH22" s="91">
        <f t="shared" si="2"/>
        <v>327.25519776000033</v>
      </c>
      <c r="BI22" s="91">
        <f t="shared" si="2"/>
        <v>335.21976504000037</v>
      </c>
      <c r="BJ22" s="91">
        <f t="shared" si="2"/>
        <v>343.18433232000035</v>
      </c>
      <c r="BK22" s="120">
        <f t="shared" si="2"/>
        <v>80.365693200000052</v>
      </c>
      <c r="BL22" s="120">
        <f t="shared" si="2"/>
        <v>83.051230080000039</v>
      </c>
      <c r="BM22" s="120">
        <f t="shared" si="2"/>
        <v>85.736766960000026</v>
      </c>
      <c r="BN22" s="120">
        <f t="shared" si="2"/>
        <v>88.422303840000026</v>
      </c>
      <c r="BO22" s="120">
        <f t="shared" ref="BO22:DQ22" si="3">SUM(BO23,BO25,BO27)</f>
        <v>50.62437432000003</v>
      </c>
      <c r="BP22" s="120">
        <f t="shared" si="3"/>
        <v>52.909084800000024</v>
      </c>
      <c r="BQ22" s="120">
        <f t="shared" si="3"/>
        <v>55.19379528000001</v>
      </c>
      <c r="BR22" s="120">
        <f t="shared" si="3"/>
        <v>57.478505760000019</v>
      </c>
      <c r="BS22" s="120">
        <f t="shared" si="3"/>
        <v>59.763216240000006</v>
      </c>
      <c r="BT22" s="120">
        <f t="shared" si="3"/>
        <v>62.04792672</v>
      </c>
      <c r="BU22" s="120">
        <f t="shared" si="3"/>
        <v>64.332637199999994</v>
      </c>
      <c r="BV22" s="120">
        <f t="shared" si="3"/>
        <v>66.617347679999995</v>
      </c>
      <c r="BW22" s="120">
        <f t="shared" si="3"/>
        <v>68.581397039999999</v>
      </c>
      <c r="BX22" s="120">
        <f t="shared" si="3"/>
        <v>70.545446400000003</v>
      </c>
      <c r="BY22" s="120">
        <f t="shared" si="3"/>
        <v>72.509495760000007</v>
      </c>
      <c r="BZ22" s="120">
        <f t="shared" si="3"/>
        <v>74.473545119999997</v>
      </c>
      <c r="CA22" s="120">
        <f t="shared" si="3"/>
        <v>76.437594480000001</v>
      </c>
      <c r="CB22" s="120">
        <f t="shared" si="3"/>
        <v>78.401643840000006</v>
      </c>
      <c r="CC22" s="120">
        <f t="shared" si="3"/>
        <v>80.36569320000001</v>
      </c>
      <c r="CD22" s="120">
        <f t="shared" si="3"/>
        <v>82.32974256</v>
      </c>
      <c r="CE22" s="120">
        <f t="shared" si="3"/>
        <v>84.293791920000004</v>
      </c>
      <c r="CF22" s="120">
        <f t="shared" si="3"/>
        <v>86.177676000000005</v>
      </c>
      <c r="CG22" s="120">
        <f t="shared" si="3"/>
        <v>88.061560080000007</v>
      </c>
      <c r="CH22" s="120">
        <f t="shared" si="3"/>
        <v>89.945444159999994</v>
      </c>
      <c r="CI22" s="120">
        <f t="shared" si="3"/>
        <v>91.829328239999995</v>
      </c>
      <c r="CJ22" s="120">
        <f t="shared" si="3"/>
        <v>93.713212319999997</v>
      </c>
      <c r="CK22" s="120">
        <f t="shared" si="3"/>
        <v>95.597096399999998</v>
      </c>
      <c r="CL22" s="120">
        <f t="shared" si="3"/>
        <v>97.480980479999971</v>
      </c>
      <c r="CM22" s="120">
        <f t="shared" si="3"/>
        <v>99.364864559999972</v>
      </c>
      <c r="CN22" s="120">
        <f t="shared" si="3"/>
        <v>101.24874863999997</v>
      </c>
      <c r="CO22" s="120">
        <f t="shared" si="3"/>
        <v>103.13263271999998</v>
      </c>
      <c r="CP22" s="120">
        <f t="shared" si="3"/>
        <v>105.01651679999996</v>
      </c>
      <c r="CQ22" s="120">
        <f t="shared" si="3"/>
        <v>106.90040087999998</v>
      </c>
      <c r="CR22" s="120">
        <f t="shared" si="3"/>
        <v>108.78428495999997</v>
      </c>
      <c r="CS22" s="120">
        <f t="shared" si="3"/>
        <v>110.66816903999997</v>
      </c>
      <c r="CT22" s="120">
        <f t="shared" si="3"/>
        <v>112.55205311999994</v>
      </c>
      <c r="CU22" s="120">
        <f t="shared" si="3"/>
        <v>114.43593719999996</v>
      </c>
      <c r="CV22" s="120">
        <f t="shared" si="3"/>
        <v>116.31982127999994</v>
      </c>
      <c r="CW22" s="120">
        <f t="shared" si="3"/>
        <v>118.20370535999994</v>
      </c>
      <c r="CX22" s="120">
        <f t="shared" si="3"/>
        <v>120.08758943999995</v>
      </c>
      <c r="CY22" s="120">
        <f t="shared" si="3"/>
        <v>121.97147351999993</v>
      </c>
      <c r="CZ22" s="120">
        <f t="shared" si="3"/>
        <v>123.85535759999992</v>
      </c>
      <c r="DA22" s="120">
        <f t="shared" si="3"/>
        <v>125.69915903999994</v>
      </c>
      <c r="DB22" s="120">
        <f t="shared" si="3"/>
        <v>127.54296047999995</v>
      </c>
      <c r="DC22" s="120">
        <f t="shared" si="3"/>
        <v>129.38676191999997</v>
      </c>
      <c r="DD22" s="120">
        <f t="shared" si="3"/>
        <v>131.23056335999996</v>
      </c>
      <c r="DE22" s="120">
        <f t="shared" si="3"/>
        <v>133.07436479999998</v>
      </c>
      <c r="DF22" s="120">
        <f t="shared" si="3"/>
        <v>134.91816624000001</v>
      </c>
      <c r="DG22" s="120">
        <f t="shared" si="3"/>
        <v>136.76196768</v>
      </c>
      <c r="DH22" s="120">
        <f t="shared" si="3"/>
        <v>138.60576911999999</v>
      </c>
      <c r="DI22" s="120">
        <f t="shared" si="3"/>
        <v>140.44957056000001</v>
      </c>
      <c r="DJ22" s="120">
        <f t="shared" si="3"/>
        <v>142.29337200000001</v>
      </c>
      <c r="DK22" s="120">
        <f t="shared" si="3"/>
        <v>144.13717344000003</v>
      </c>
      <c r="DL22" s="120">
        <f t="shared" si="3"/>
        <v>145.98097488000002</v>
      </c>
      <c r="DM22" s="120">
        <f t="shared" si="3"/>
        <v>147.82477632000004</v>
      </c>
      <c r="DN22" s="120">
        <f t="shared" si="3"/>
        <v>149.66857776000003</v>
      </c>
      <c r="DO22" s="120">
        <f t="shared" si="3"/>
        <v>151.51237920000005</v>
      </c>
      <c r="DP22" s="120">
        <f t="shared" si="3"/>
        <v>153.35618064000008</v>
      </c>
      <c r="DQ22" s="120">
        <f t="shared" si="3"/>
        <v>155.1999820800001</v>
      </c>
      <c r="DR22" s="128">
        <f>SUM(DR23,DR25,DR27)</f>
        <v>157.04378352000009</v>
      </c>
      <c r="DS22" s="125"/>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ht="29" x14ac:dyDescent="0.35">
      <c r="A23" s="3" t="s">
        <v>206</v>
      </c>
      <c r="B23" s="91">
        <f>B24*$C$40*1.3863</f>
        <v>0</v>
      </c>
      <c r="C23" s="91">
        <f t="shared" ref="C23:BI23" si="4">C24*$C$40*1.3863</f>
        <v>4.5027024000000004</v>
      </c>
      <c r="D23" s="91">
        <f t="shared" si="4"/>
        <v>9.0054048000000009</v>
      </c>
      <c r="E23" s="91">
        <f t="shared" si="4"/>
        <v>13.508107200000001</v>
      </c>
      <c r="F23" s="91">
        <f t="shared" si="4"/>
        <v>18.010809600000002</v>
      </c>
      <c r="G23" s="91">
        <f t="shared" si="4"/>
        <v>22.513512000000006</v>
      </c>
      <c r="H23" s="91">
        <f t="shared" si="4"/>
        <v>27.016214400000003</v>
      </c>
      <c r="I23" s="91">
        <f t="shared" si="4"/>
        <v>31.518916800000003</v>
      </c>
      <c r="J23" s="91">
        <f t="shared" si="4"/>
        <v>36.021619199999996</v>
      </c>
      <c r="K23" s="91">
        <f t="shared" si="4"/>
        <v>40.524321599999993</v>
      </c>
      <c r="L23" s="91">
        <f t="shared" si="4"/>
        <v>45.027023999999997</v>
      </c>
      <c r="M23" s="91">
        <f t="shared" si="4"/>
        <v>49.529726399999994</v>
      </c>
      <c r="N23" s="91">
        <f t="shared" si="4"/>
        <v>54.032428799999991</v>
      </c>
      <c r="O23" s="91">
        <f t="shared" si="4"/>
        <v>58.535131199999988</v>
      </c>
      <c r="P23" s="91">
        <f t="shared" si="4"/>
        <v>63.037833599999985</v>
      </c>
      <c r="Q23" s="91">
        <f t="shared" si="4"/>
        <v>36.487415999999982</v>
      </c>
      <c r="R23" s="91">
        <f t="shared" si="4"/>
        <v>47.511273599999988</v>
      </c>
      <c r="S23" s="91">
        <f t="shared" si="4"/>
        <v>58.535131199999988</v>
      </c>
      <c r="T23" s="91">
        <f t="shared" si="4"/>
        <v>69.558988799999995</v>
      </c>
      <c r="U23" s="91">
        <f t="shared" si="4"/>
        <v>80.582846399999994</v>
      </c>
      <c r="V23" s="91">
        <f t="shared" si="4"/>
        <v>91.606704000000008</v>
      </c>
      <c r="W23" s="91">
        <f t="shared" si="4"/>
        <v>102.32003039999999</v>
      </c>
      <c r="X23" s="91">
        <f t="shared" si="4"/>
        <v>113.03335680000001</v>
      </c>
      <c r="Y23" s="91">
        <f t="shared" si="4"/>
        <v>123.74668320000002</v>
      </c>
      <c r="Z23" s="91">
        <f t="shared" si="4"/>
        <v>134.46000960000003</v>
      </c>
      <c r="AA23" s="91">
        <f t="shared" si="4"/>
        <v>106.35693600000005</v>
      </c>
      <c r="AB23" s="91">
        <f t="shared" si="4"/>
        <v>116.44920000000005</v>
      </c>
      <c r="AC23" s="91">
        <f t="shared" si="4"/>
        <v>126.54146400000005</v>
      </c>
      <c r="AD23" s="91">
        <f t="shared" si="4"/>
        <v>136.63372800000005</v>
      </c>
      <c r="AE23" s="91">
        <f t="shared" si="4"/>
        <v>146.72599200000005</v>
      </c>
      <c r="AF23" s="91">
        <f t="shared" si="4"/>
        <v>156.81825600000005</v>
      </c>
      <c r="AG23" s="91">
        <f t="shared" si="4"/>
        <v>166.28945760000005</v>
      </c>
      <c r="AH23" s="91">
        <f t="shared" si="4"/>
        <v>175.76065920000005</v>
      </c>
      <c r="AI23" s="91">
        <f t="shared" si="4"/>
        <v>185.23186080000002</v>
      </c>
      <c r="AJ23" s="91">
        <f t="shared" si="4"/>
        <v>194.70306240000002</v>
      </c>
      <c r="AK23" s="91">
        <f t="shared" si="4"/>
        <v>157.59458400000003</v>
      </c>
      <c r="AL23" s="91">
        <f t="shared" si="4"/>
        <v>165.97892640000003</v>
      </c>
      <c r="AM23" s="91">
        <f t="shared" si="4"/>
        <v>174.36326880000004</v>
      </c>
      <c r="AN23" s="91">
        <f t="shared" si="4"/>
        <v>182.74761120000008</v>
      </c>
      <c r="AO23" s="91">
        <f t="shared" si="4"/>
        <v>191.13195360000006</v>
      </c>
      <c r="AP23" s="91">
        <f t="shared" si="4"/>
        <v>199.51629600000007</v>
      </c>
      <c r="AQ23" s="91">
        <f t="shared" si="4"/>
        <v>207.12431040000007</v>
      </c>
      <c r="AR23" s="91">
        <f t="shared" si="4"/>
        <v>214.7323248000001</v>
      </c>
      <c r="AS23" s="91">
        <f t="shared" si="4"/>
        <v>222.3403392000001</v>
      </c>
      <c r="AT23" s="91">
        <f t="shared" si="4"/>
        <v>229.9483536000001</v>
      </c>
      <c r="AU23" s="91">
        <f t="shared" si="4"/>
        <v>175.45012800000012</v>
      </c>
      <c r="AV23" s="91">
        <f t="shared" si="4"/>
        <v>182.28181440000012</v>
      </c>
      <c r="AW23" s="91">
        <f t="shared" si="4"/>
        <v>189.11350080000014</v>
      </c>
      <c r="AX23" s="91">
        <f t="shared" si="4"/>
        <v>195.94518720000016</v>
      </c>
      <c r="AY23" s="91">
        <f t="shared" si="4"/>
        <v>202.77687360000016</v>
      </c>
      <c r="AZ23" s="91">
        <f t="shared" si="4"/>
        <v>209.60856000000015</v>
      </c>
      <c r="BA23" s="91">
        <f t="shared" si="4"/>
        <v>215.50865280000019</v>
      </c>
      <c r="BB23" s="91">
        <f t="shared" si="4"/>
        <v>221.4087456000002</v>
      </c>
      <c r="BC23" s="91">
        <f t="shared" si="4"/>
        <v>227.30883840000024</v>
      </c>
      <c r="BD23" s="91">
        <f t="shared" si="4"/>
        <v>233.20893120000025</v>
      </c>
      <c r="BE23" s="91">
        <f t="shared" si="4"/>
        <v>239.10902400000029</v>
      </c>
      <c r="BF23" s="91">
        <f t="shared" si="4"/>
        <v>244.38805440000027</v>
      </c>
      <c r="BG23" s="91">
        <f t="shared" si="4"/>
        <v>249.66708480000031</v>
      </c>
      <c r="BH23" s="91">
        <f t="shared" si="4"/>
        <v>254.94611520000029</v>
      </c>
      <c r="BI23" s="91">
        <f t="shared" si="4"/>
        <v>260.2251456000003</v>
      </c>
      <c r="BJ23" s="91">
        <f>BJ24*$C$40*1.3863</f>
        <v>265.50417600000031</v>
      </c>
      <c r="BK23" s="122"/>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5" thickBot="1" x14ac:dyDescent="0.4">
      <c r="A24" s="18" t="s">
        <v>198</v>
      </c>
      <c r="B24" s="124">
        <v>0</v>
      </c>
      <c r="C24" s="124">
        <f>B24+5.8</f>
        <v>5.8</v>
      </c>
      <c r="D24" s="124">
        <f t="shared" ref="D24:P24" si="5">C24+5.8</f>
        <v>11.6</v>
      </c>
      <c r="E24" s="124">
        <f t="shared" si="5"/>
        <v>17.399999999999999</v>
      </c>
      <c r="F24" s="124">
        <f t="shared" si="5"/>
        <v>23.2</v>
      </c>
      <c r="G24" s="124">
        <f t="shared" si="5"/>
        <v>29</v>
      </c>
      <c r="H24" s="124">
        <f t="shared" si="5"/>
        <v>34.799999999999997</v>
      </c>
      <c r="I24" s="124">
        <f t="shared" si="5"/>
        <v>40.599999999999994</v>
      </c>
      <c r="J24" s="124">
        <f t="shared" si="5"/>
        <v>46.399999999999991</v>
      </c>
      <c r="K24" s="124">
        <f t="shared" si="5"/>
        <v>52.199999999999989</v>
      </c>
      <c r="L24" s="124">
        <f t="shared" si="5"/>
        <v>57.999999999999986</v>
      </c>
      <c r="M24" s="124">
        <f t="shared" si="5"/>
        <v>63.799999999999983</v>
      </c>
      <c r="N24" s="124">
        <f t="shared" si="5"/>
        <v>69.59999999999998</v>
      </c>
      <c r="O24" s="124">
        <f t="shared" si="5"/>
        <v>75.399999999999977</v>
      </c>
      <c r="P24" s="124">
        <f t="shared" si="5"/>
        <v>81.199999999999974</v>
      </c>
      <c r="Q24" s="124">
        <f>P24+5.8-40</f>
        <v>46.999999999999972</v>
      </c>
      <c r="R24" s="124">
        <f>Q24+14.2</f>
        <v>61.199999999999974</v>
      </c>
      <c r="S24" s="124">
        <f t="shared" ref="S24:V24" si="6">R24+14.2</f>
        <v>75.399999999999977</v>
      </c>
      <c r="T24" s="124">
        <f t="shared" si="6"/>
        <v>89.59999999999998</v>
      </c>
      <c r="U24" s="124">
        <f t="shared" si="6"/>
        <v>103.79999999999998</v>
      </c>
      <c r="V24" s="124">
        <f t="shared" si="6"/>
        <v>117.99999999999999</v>
      </c>
      <c r="W24" s="124">
        <f>V24+13.8</f>
        <v>131.79999999999998</v>
      </c>
      <c r="X24" s="124">
        <f t="shared" ref="X24:Z24" si="7">W24+13.8</f>
        <v>145.6</v>
      </c>
      <c r="Y24" s="124">
        <f t="shared" si="7"/>
        <v>159.4</v>
      </c>
      <c r="Z24" s="124">
        <f t="shared" si="7"/>
        <v>173.20000000000002</v>
      </c>
      <c r="AA24" s="124">
        <f>Z24+13.8-50</f>
        <v>137.00000000000003</v>
      </c>
      <c r="AB24" s="124">
        <f>AA24+13</f>
        <v>150.00000000000003</v>
      </c>
      <c r="AC24" s="124">
        <f t="shared" ref="AC24:AF24" si="8">AB24+13</f>
        <v>163.00000000000003</v>
      </c>
      <c r="AD24" s="124">
        <f t="shared" si="8"/>
        <v>176.00000000000003</v>
      </c>
      <c r="AE24" s="124">
        <f t="shared" si="8"/>
        <v>189.00000000000003</v>
      </c>
      <c r="AF24" s="124">
        <f t="shared" si="8"/>
        <v>202.00000000000003</v>
      </c>
      <c r="AG24" s="124">
        <f>AF24+12.2</f>
        <v>214.20000000000002</v>
      </c>
      <c r="AH24" s="124">
        <f t="shared" ref="AH24:AJ24" si="9">AG24+12.2</f>
        <v>226.4</v>
      </c>
      <c r="AI24" s="124">
        <f t="shared" si="9"/>
        <v>238.6</v>
      </c>
      <c r="AJ24" s="124">
        <f t="shared" si="9"/>
        <v>250.79999999999998</v>
      </c>
      <c r="AK24" s="124">
        <f>AJ24+12.2-60</f>
        <v>203</v>
      </c>
      <c r="AL24" s="124">
        <f>AK24+10.8</f>
        <v>213.8</v>
      </c>
      <c r="AM24" s="124">
        <f t="shared" ref="AM24:AP24" si="10">AL24+10.8</f>
        <v>224.60000000000002</v>
      </c>
      <c r="AN24" s="124">
        <f t="shared" si="10"/>
        <v>235.40000000000003</v>
      </c>
      <c r="AO24" s="124">
        <f t="shared" si="10"/>
        <v>246.20000000000005</v>
      </c>
      <c r="AP24" s="124">
        <f t="shared" si="10"/>
        <v>257.00000000000006</v>
      </c>
      <c r="AQ24" s="124">
        <f>AP24+9.8</f>
        <v>266.80000000000007</v>
      </c>
      <c r="AR24" s="124">
        <f t="shared" ref="AR24:AT24" si="11">AQ24+9.8</f>
        <v>276.60000000000008</v>
      </c>
      <c r="AS24" s="124">
        <f t="shared" si="11"/>
        <v>286.40000000000009</v>
      </c>
      <c r="AT24" s="124">
        <f t="shared" si="11"/>
        <v>296.2000000000001</v>
      </c>
      <c r="AU24" s="124">
        <f>AT24+9.8-80</f>
        <v>226.00000000000011</v>
      </c>
      <c r="AV24" s="124">
        <f>AU24+8.8</f>
        <v>234.80000000000013</v>
      </c>
      <c r="AW24" s="124">
        <f t="shared" ref="AW24:AZ24" si="12">AV24+8.8</f>
        <v>243.60000000000014</v>
      </c>
      <c r="AX24" s="124">
        <f t="shared" si="12"/>
        <v>252.40000000000015</v>
      </c>
      <c r="AY24" s="124">
        <f t="shared" si="12"/>
        <v>261.20000000000016</v>
      </c>
      <c r="AZ24" s="124">
        <f t="shared" si="12"/>
        <v>270.00000000000017</v>
      </c>
      <c r="BA24" s="124">
        <f>AZ24+7.6</f>
        <v>277.60000000000019</v>
      </c>
      <c r="BB24" s="124">
        <f t="shared" ref="BB24:BE24" si="13">BA24+7.6</f>
        <v>285.20000000000022</v>
      </c>
      <c r="BC24" s="124">
        <f t="shared" si="13"/>
        <v>292.80000000000024</v>
      </c>
      <c r="BD24" s="124">
        <f t="shared" si="13"/>
        <v>300.40000000000026</v>
      </c>
      <c r="BE24" s="124">
        <f t="shared" si="13"/>
        <v>308.00000000000028</v>
      </c>
      <c r="BF24" s="124">
        <f>BE24+6.8</f>
        <v>314.8000000000003</v>
      </c>
      <c r="BG24" s="124">
        <f t="shared" ref="BG24:BJ24" si="14">BF24+6.8</f>
        <v>321.60000000000031</v>
      </c>
      <c r="BH24" s="124">
        <f t="shared" si="14"/>
        <v>328.40000000000032</v>
      </c>
      <c r="BI24" s="124">
        <f t="shared" si="14"/>
        <v>335.20000000000033</v>
      </c>
      <c r="BJ24" s="124">
        <f t="shared" si="14"/>
        <v>342.00000000000034</v>
      </c>
      <c r="BK24" s="125"/>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29" x14ac:dyDescent="0.35">
      <c r="A25" s="3" t="s">
        <v>207</v>
      </c>
      <c r="B25" s="91">
        <f>B26*$E$40*0.9997</f>
        <v>0</v>
      </c>
      <c r="C25" s="91">
        <f>C26*$E$40*0.9997</f>
        <v>3.9428167999999997</v>
      </c>
      <c r="D25" s="91">
        <f t="shared" ref="D25:Z25" si="15">D26*$E$40*0.9997</f>
        <v>7.8856335999999994</v>
      </c>
      <c r="E25" s="91">
        <f t="shared" si="15"/>
        <v>11.828450399999999</v>
      </c>
      <c r="F25" s="91">
        <f t="shared" si="15"/>
        <v>15.771267199999999</v>
      </c>
      <c r="G25" s="91">
        <f t="shared" si="15"/>
        <v>19.714084</v>
      </c>
      <c r="H25" s="91">
        <f t="shared" si="15"/>
        <v>27.947613199999999</v>
      </c>
      <c r="I25" s="91">
        <f t="shared" si="15"/>
        <v>36.181142399999999</v>
      </c>
      <c r="J25" s="91">
        <f t="shared" si="15"/>
        <v>44.414671600000005</v>
      </c>
      <c r="K25" s="91">
        <f t="shared" si="15"/>
        <v>52.648200800000005</v>
      </c>
      <c r="L25" s="91">
        <f t="shared" si="15"/>
        <v>60.881730000000005</v>
      </c>
      <c r="M25" s="91">
        <f t="shared" si="15"/>
        <v>68.941311400000004</v>
      </c>
      <c r="N25" s="91">
        <f t="shared" si="15"/>
        <v>77.000892800000003</v>
      </c>
      <c r="O25" s="91">
        <f t="shared" si="15"/>
        <v>85.060474200000002</v>
      </c>
      <c r="P25" s="91">
        <f t="shared" si="15"/>
        <v>93.120055600000015</v>
      </c>
      <c r="Q25" s="91">
        <f t="shared" si="15"/>
        <v>101.17963700000001</v>
      </c>
      <c r="R25" s="91">
        <f t="shared" si="15"/>
        <v>108.42746200000001</v>
      </c>
      <c r="S25" s="91">
        <f t="shared" si="15"/>
        <v>115.67528700000001</v>
      </c>
      <c r="T25" s="91">
        <f t="shared" si="15"/>
        <v>122.92311200000002</v>
      </c>
      <c r="U25" s="91">
        <f t="shared" si="15"/>
        <v>130.17093700000001</v>
      </c>
      <c r="V25" s="91">
        <f t="shared" si="15"/>
        <v>137.41876200000002</v>
      </c>
      <c r="W25" s="91">
        <f t="shared" si="15"/>
        <v>143.5649176</v>
      </c>
      <c r="X25" s="91">
        <f t="shared" si="15"/>
        <v>149.71107320000004</v>
      </c>
      <c r="Y25" s="91">
        <f t="shared" si="15"/>
        <v>155.85722880000003</v>
      </c>
      <c r="Z25" s="91">
        <f t="shared" si="15"/>
        <v>162.00338440000004</v>
      </c>
      <c r="AA25" s="91">
        <f>AA26*$E$40*0.9997</f>
        <v>168.14954000000006</v>
      </c>
      <c r="AB25" s="122"/>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0.5" customHeight="1" thickBot="1" x14ac:dyDescent="0.4">
      <c r="A26" s="18" t="s">
        <v>199</v>
      </c>
      <c r="B26" s="124">
        <v>0</v>
      </c>
      <c r="C26" s="124">
        <f>B26+6.8</f>
        <v>6.8</v>
      </c>
      <c r="D26" s="124">
        <f t="shared" ref="D26:H26" si="16">C26+6.8</f>
        <v>13.6</v>
      </c>
      <c r="E26" s="124">
        <f t="shared" si="16"/>
        <v>20.399999999999999</v>
      </c>
      <c r="F26" s="124">
        <f t="shared" si="16"/>
        <v>27.2</v>
      </c>
      <c r="G26" s="124">
        <f t="shared" si="16"/>
        <v>34</v>
      </c>
      <c r="H26" s="124">
        <f>G26+14.2</f>
        <v>48.2</v>
      </c>
      <c r="I26" s="124">
        <f t="shared" ref="I26:M26" si="17">H26+14.2</f>
        <v>62.400000000000006</v>
      </c>
      <c r="J26" s="124">
        <f t="shared" si="17"/>
        <v>76.600000000000009</v>
      </c>
      <c r="K26" s="124">
        <f t="shared" si="17"/>
        <v>90.800000000000011</v>
      </c>
      <c r="L26" s="124">
        <f t="shared" si="17"/>
        <v>105.00000000000001</v>
      </c>
      <c r="M26" s="124">
        <f>L26+13.9</f>
        <v>118.90000000000002</v>
      </c>
      <c r="N26" s="124">
        <f t="shared" ref="N26:R26" si="18">M26+13.9</f>
        <v>132.80000000000001</v>
      </c>
      <c r="O26" s="124">
        <f t="shared" si="18"/>
        <v>146.70000000000002</v>
      </c>
      <c r="P26" s="124">
        <f t="shared" si="18"/>
        <v>160.60000000000002</v>
      </c>
      <c r="Q26" s="124">
        <f t="shared" si="18"/>
        <v>174.50000000000003</v>
      </c>
      <c r="R26" s="124">
        <f>Q26+12.5</f>
        <v>187.00000000000003</v>
      </c>
      <c r="S26" s="124">
        <f t="shared" ref="S26:W26" si="19">R26+12.5</f>
        <v>199.50000000000003</v>
      </c>
      <c r="T26" s="124">
        <f t="shared" si="19"/>
        <v>212.00000000000003</v>
      </c>
      <c r="U26" s="124">
        <f t="shared" si="19"/>
        <v>224.50000000000003</v>
      </c>
      <c r="V26" s="124">
        <f t="shared" si="19"/>
        <v>237.00000000000003</v>
      </c>
      <c r="W26" s="124">
        <f>V26+10.6</f>
        <v>247.60000000000002</v>
      </c>
      <c r="X26" s="124">
        <f t="shared" ref="X26:AA26" si="20">W26+10.6</f>
        <v>258.20000000000005</v>
      </c>
      <c r="Y26" s="124">
        <f t="shared" si="20"/>
        <v>268.80000000000007</v>
      </c>
      <c r="Z26" s="124">
        <f t="shared" si="20"/>
        <v>279.40000000000009</v>
      </c>
      <c r="AA26" s="124">
        <f t="shared" si="20"/>
        <v>290.00000000000011</v>
      </c>
      <c r="AB26" s="126"/>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27"/>
      <c r="DB26" s="127"/>
      <c r="DC26" s="127"/>
      <c r="DD26" s="127"/>
      <c r="DE26" s="127"/>
      <c r="DF26" s="127"/>
      <c r="DG26" s="127"/>
      <c r="DH26" s="127"/>
      <c r="DI26" s="127"/>
      <c r="DJ26" s="127"/>
      <c r="DK26" s="127"/>
      <c r="DL26" s="127"/>
      <c r="DM26" s="127"/>
      <c r="DN26" s="127"/>
      <c r="DO26" s="127"/>
      <c r="DP26" s="127"/>
      <c r="DQ26" s="127"/>
      <c r="DR26" s="127"/>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29" x14ac:dyDescent="0.35">
      <c r="A27" s="3" t="s">
        <v>208</v>
      </c>
      <c r="B27" s="91">
        <f>B28*$G$40*$B$39*0.443</f>
        <v>0</v>
      </c>
      <c r="C27" s="91">
        <f t="shared" ref="C27:BN27" si="21">C28*$G$40*$B$39*0.443</f>
        <v>1.08223128</v>
      </c>
      <c r="D27" s="91">
        <f t="shared" si="21"/>
        <v>2.16446256</v>
      </c>
      <c r="E27" s="91">
        <f t="shared" si="21"/>
        <v>3.2466938400000003</v>
      </c>
      <c r="F27" s="91">
        <f t="shared" si="21"/>
        <v>4.3289251200000001</v>
      </c>
      <c r="G27" s="91">
        <f t="shared" si="21"/>
        <v>5.4111563999999994</v>
      </c>
      <c r="H27" s="91">
        <f t="shared" si="21"/>
        <v>6.4933876799999997</v>
      </c>
      <c r="I27" s="91">
        <f t="shared" si="21"/>
        <v>7.5756189599999999</v>
      </c>
      <c r="J27" s="91">
        <f t="shared" si="21"/>
        <v>8.6578502400000001</v>
      </c>
      <c r="K27" s="91">
        <f t="shared" si="21"/>
        <v>9.7400815199999986</v>
      </c>
      <c r="L27" s="91">
        <f t="shared" si="21"/>
        <v>10.822312799999999</v>
      </c>
      <c r="M27" s="91">
        <f t="shared" si="21"/>
        <v>11.904544079999997</v>
      </c>
      <c r="N27" s="91">
        <f t="shared" si="21"/>
        <v>12.986775359999999</v>
      </c>
      <c r="O27" s="91">
        <f t="shared" si="21"/>
        <v>14.069006640000001</v>
      </c>
      <c r="P27" s="91">
        <f t="shared" si="21"/>
        <v>15.15123792</v>
      </c>
      <c r="Q27" s="91">
        <f t="shared" si="21"/>
        <v>16.233469200000002</v>
      </c>
      <c r="R27" s="91">
        <f t="shared" si="21"/>
        <v>17.315700480000004</v>
      </c>
      <c r="S27" s="91">
        <f t="shared" si="21"/>
        <v>18.397931760000006</v>
      </c>
      <c r="T27" s="91">
        <f t="shared" si="21"/>
        <v>19.480163040000004</v>
      </c>
      <c r="U27" s="91">
        <f t="shared" si="21"/>
        <v>20.562394320000006</v>
      </c>
      <c r="V27" s="91">
        <f t="shared" si="21"/>
        <v>21.644625600000008</v>
      </c>
      <c r="W27" s="91">
        <f t="shared" si="21"/>
        <v>22.726856880000007</v>
      </c>
      <c r="X27" s="91">
        <f t="shared" si="21"/>
        <v>23.809088160000009</v>
      </c>
      <c r="Y27" s="91">
        <f t="shared" si="21"/>
        <v>24.891319440000011</v>
      </c>
      <c r="Z27" s="91">
        <f t="shared" si="21"/>
        <v>25.973550720000009</v>
      </c>
      <c r="AA27" s="91">
        <f t="shared" si="21"/>
        <v>27.055782000000008</v>
      </c>
      <c r="AB27" s="91">
        <f t="shared" si="21"/>
        <v>28.138013280000013</v>
      </c>
      <c r="AC27" s="91">
        <f t="shared" si="21"/>
        <v>29.220244560000012</v>
      </c>
      <c r="AD27" s="91">
        <f t="shared" si="21"/>
        <v>30.302475840000017</v>
      </c>
      <c r="AE27" s="91">
        <f t="shared" si="21"/>
        <v>31.384707120000016</v>
      </c>
      <c r="AF27" s="91">
        <f t="shared" si="21"/>
        <v>20.442146400000016</v>
      </c>
      <c r="AG27" s="91">
        <f t="shared" si="21"/>
        <v>21.524377680000018</v>
      </c>
      <c r="AH27" s="91">
        <f t="shared" si="21"/>
        <v>22.606608960000017</v>
      </c>
      <c r="AI27" s="91">
        <f t="shared" si="21"/>
        <v>23.688840240000019</v>
      </c>
      <c r="AJ27" s="91">
        <f t="shared" si="21"/>
        <v>24.771071520000024</v>
      </c>
      <c r="AK27" s="91">
        <f t="shared" si="21"/>
        <v>25.853302800000023</v>
      </c>
      <c r="AL27" s="91">
        <f t="shared" si="21"/>
        <v>26.935534080000025</v>
      </c>
      <c r="AM27" s="91">
        <f t="shared" si="21"/>
        <v>28.017765360000023</v>
      </c>
      <c r="AN27" s="91">
        <f t="shared" si="21"/>
        <v>29.099996640000025</v>
      </c>
      <c r="AO27" s="91">
        <f t="shared" si="21"/>
        <v>30.182227920000024</v>
      </c>
      <c r="AP27" s="91">
        <f t="shared" si="21"/>
        <v>31.264459200000026</v>
      </c>
      <c r="AQ27" s="137">
        <f t="shared" si="21"/>
        <v>32.346690480000028</v>
      </c>
      <c r="AR27" s="137">
        <f t="shared" si="21"/>
        <v>33.42892176000003</v>
      </c>
      <c r="AS27" s="137">
        <f t="shared" si="21"/>
        <v>35.914045440000031</v>
      </c>
      <c r="AT27" s="137">
        <f t="shared" si="21"/>
        <v>38.399169120000032</v>
      </c>
      <c r="AU27" s="137">
        <f t="shared" si="21"/>
        <v>40.884292800000033</v>
      </c>
      <c r="AV27" s="137">
        <f t="shared" si="21"/>
        <v>43.369416480000041</v>
      </c>
      <c r="AW27" s="137">
        <f t="shared" si="21"/>
        <v>45.854540160000035</v>
      </c>
      <c r="AX27" s="137">
        <f t="shared" si="21"/>
        <v>48.339663840000036</v>
      </c>
      <c r="AY27" s="137">
        <f t="shared" si="21"/>
        <v>50.664456960000038</v>
      </c>
      <c r="AZ27" s="137">
        <f t="shared" si="21"/>
        <v>52.989250080000041</v>
      </c>
      <c r="BA27" s="137">
        <f t="shared" si="21"/>
        <v>55.31404320000005</v>
      </c>
      <c r="BB27" s="137">
        <f t="shared" si="21"/>
        <v>57.638836320000053</v>
      </c>
      <c r="BC27" s="137">
        <f t="shared" si="21"/>
        <v>59.963629440000048</v>
      </c>
      <c r="BD27" s="137">
        <f t="shared" si="21"/>
        <v>62.288422560000051</v>
      </c>
      <c r="BE27" s="137">
        <f t="shared" si="21"/>
        <v>64.613215680000067</v>
      </c>
      <c r="BF27" s="137">
        <f t="shared" si="21"/>
        <v>66.938008800000077</v>
      </c>
      <c r="BG27" s="137">
        <f t="shared" si="21"/>
        <v>69.623545680000063</v>
      </c>
      <c r="BH27" s="137">
        <f t="shared" si="21"/>
        <v>72.30908256000005</v>
      </c>
      <c r="BI27" s="137">
        <f t="shared" si="21"/>
        <v>74.994619440000051</v>
      </c>
      <c r="BJ27" s="137">
        <f t="shared" si="21"/>
        <v>77.680156320000052</v>
      </c>
      <c r="BK27" s="137">
        <f t="shared" si="21"/>
        <v>80.365693200000052</v>
      </c>
      <c r="BL27" s="137">
        <f t="shared" si="21"/>
        <v>83.051230080000039</v>
      </c>
      <c r="BM27" s="137">
        <f t="shared" si="21"/>
        <v>85.736766960000026</v>
      </c>
      <c r="BN27" s="137">
        <f t="shared" si="21"/>
        <v>88.422303840000026</v>
      </c>
      <c r="BO27" s="137">
        <f t="shared" ref="BO27:DQ27" si="22">BO28*$G$40*$B$39*0.443</f>
        <v>50.62437432000003</v>
      </c>
      <c r="BP27" s="137">
        <f t="shared" si="22"/>
        <v>52.909084800000024</v>
      </c>
      <c r="BQ27" s="137">
        <f t="shared" si="22"/>
        <v>55.19379528000001</v>
      </c>
      <c r="BR27" s="137">
        <f t="shared" si="22"/>
        <v>57.478505760000019</v>
      </c>
      <c r="BS27" s="137">
        <f t="shared" si="22"/>
        <v>59.763216240000006</v>
      </c>
      <c r="BT27" s="137">
        <f t="shared" si="22"/>
        <v>62.04792672</v>
      </c>
      <c r="BU27" s="137">
        <f t="shared" si="22"/>
        <v>64.332637199999994</v>
      </c>
      <c r="BV27" s="137">
        <f t="shared" si="22"/>
        <v>66.617347679999995</v>
      </c>
      <c r="BW27" s="137">
        <f t="shared" si="22"/>
        <v>68.581397039999999</v>
      </c>
      <c r="BX27" s="137">
        <f t="shared" si="22"/>
        <v>70.545446400000003</v>
      </c>
      <c r="BY27" s="137">
        <f t="shared" si="22"/>
        <v>72.509495760000007</v>
      </c>
      <c r="BZ27" s="137">
        <f t="shared" si="22"/>
        <v>74.473545119999997</v>
      </c>
      <c r="CA27" s="137">
        <f t="shared" si="22"/>
        <v>76.437594480000001</v>
      </c>
      <c r="CB27" s="137">
        <f t="shared" si="22"/>
        <v>78.401643840000006</v>
      </c>
      <c r="CC27" s="137">
        <f t="shared" si="22"/>
        <v>80.36569320000001</v>
      </c>
      <c r="CD27" s="137">
        <f t="shared" si="22"/>
        <v>82.32974256</v>
      </c>
      <c r="CE27" s="137">
        <f t="shared" si="22"/>
        <v>84.293791920000004</v>
      </c>
      <c r="CF27" s="137">
        <f t="shared" si="22"/>
        <v>86.177676000000005</v>
      </c>
      <c r="CG27" s="137">
        <f t="shared" si="22"/>
        <v>88.061560080000007</v>
      </c>
      <c r="CH27" s="137">
        <f t="shared" si="22"/>
        <v>89.945444159999994</v>
      </c>
      <c r="CI27" s="137">
        <f t="shared" si="22"/>
        <v>91.829328239999995</v>
      </c>
      <c r="CJ27" s="137">
        <f t="shared" si="22"/>
        <v>93.713212319999997</v>
      </c>
      <c r="CK27" s="137">
        <f t="shared" si="22"/>
        <v>95.597096399999998</v>
      </c>
      <c r="CL27" s="137">
        <f t="shared" si="22"/>
        <v>97.480980479999971</v>
      </c>
      <c r="CM27" s="137">
        <f t="shared" si="22"/>
        <v>99.364864559999972</v>
      </c>
      <c r="CN27" s="137">
        <f t="shared" si="22"/>
        <v>101.24874863999997</v>
      </c>
      <c r="CO27" s="137">
        <f t="shared" si="22"/>
        <v>103.13263271999998</v>
      </c>
      <c r="CP27" s="137">
        <f t="shared" si="22"/>
        <v>105.01651679999996</v>
      </c>
      <c r="CQ27" s="137">
        <f t="shared" si="22"/>
        <v>106.90040087999998</v>
      </c>
      <c r="CR27" s="137">
        <f t="shared" si="22"/>
        <v>108.78428495999997</v>
      </c>
      <c r="CS27" s="137">
        <f t="shared" si="22"/>
        <v>110.66816903999997</v>
      </c>
      <c r="CT27" s="137">
        <f t="shared" si="22"/>
        <v>112.55205311999994</v>
      </c>
      <c r="CU27" s="137">
        <f t="shared" si="22"/>
        <v>114.43593719999996</v>
      </c>
      <c r="CV27" s="137">
        <f t="shared" si="22"/>
        <v>116.31982127999994</v>
      </c>
      <c r="CW27" s="137">
        <f t="shared" si="22"/>
        <v>118.20370535999994</v>
      </c>
      <c r="CX27" s="137">
        <f t="shared" si="22"/>
        <v>120.08758943999995</v>
      </c>
      <c r="CY27" s="137">
        <f t="shared" si="22"/>
        <v>121.97147351999993</v>
      </c>
      <c r="CZ27" s="137">
        <f t="shared" si="22"/>
        <v>123.85535759999992</v>
      </c>
      <c r="DA27" s="137">
        <f t="shared" si="22"/>
        <v>125.69915903999994</v>
      </c>
      <c r="DB27" s="137">
        <f t="shared" si="22"/>
        <v>127.54296047999995</v>
      </c>
      <c r="DC27" s="137">
        <f t="shared" si="22"/>
        <v>129.38676191999997</v>
      </c>
      <c r="DD27" s="137">
        <f t="shared" si="22"/>
        <v>131.23056335999996</v>
      </c>
      <c r="DE27" s="137">
        <f t="shared" si="22"/>
        <v>133.07436479999998</v>
      </c>
      <c r="DF27" s="137">
        <f t="shared" si="22"/>
        <v>134.91816624000001</v>
      </c>
      <c r="DG27" s="137">
        <f t="shared" si="22"/>
        <v>136.76196768</v>
      </c>
      <c r="DH27" s="137">
        <f t="shared" si="22"/>
        <v>138.60576911999999</v>
      </c>
      <c r="DI27" s="137">
        <f t="shared" si="22"/>
        <v>140.44957056000001</v>
      </c>
      <c r="DJ27" s="137">
        <f t="shared" si="22"/>
        <v>142.29337200000001</v>
      </c>
      <c r="DK27" s="137">
        <f t="shared" si="22"/>
        <v>144.13717344000003</v>
      </c>
      <c r="DL27" s="137">
        <f t="shared" si="22"/>
        <v>145.98097488000002</v>
      </c>
      <c r="DM27" s="137">
        <f t="shared" si="22"/>
        <v>147.82477632000004</v>
      </c>
      <c r="DN27" s="137">
        <f t="shared" si="22"/>
        <v>149.66857776000003</v>
      </c>
      <c r="DO27" s="137">
        <f t="shared" si="22"/>
        <v>151.51237920000005</v>
      </c>
      <c r="DP27" s="137">
        <f t="shared" si="22"/>
        <v>153.35618064000008</v>
      </c>
      <c r="DQ27" s="137">
        <f t="shared" si="22"/>
        <v>155.1999820800001</v>
      </c>
      <c r="DR27" s="138">
        <f>DR28*$G$40*$B$39*0.443</f>
        <v>157.04378352000009</v>
      </c>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ht="29" x14ac:dyDescent="0.35">
      <c r="A28" s="18" t="s">
        <v>200</v>
      </c>
      <c r="B28" s="124">
        <v>0</v>
      </c>
      <c r="C28" s="124">
        <f>B28+2.7</f>
        <v>2.7</v>
      </c>
      <c r="D28" s="124">
        <f t="shared" ref="D28:AR28" si="23">C28+2.7</f>
        <v>5.4</v>
      </c>
      <c r="E28" s="124">
        <f t="shared" si="23"/>
        <v>8.1000000000000014</v>
      </c>
      <c r="F28" s="124">
        <f t="shared" si="23"/>
        <v>10.8</v>
      </c>
      <c r="G28" s="124">
        <f t="shared" si="23"/>
        <v>13.5</v>
      </c>
      <c r="H28" s="124">
        <f t="shared" si="23"/>
        <v>16.2</v>
      </c>
      <c r="I28" s="124">
        <f t="shared" si="23"/>
        <v>18.899999999999999</v>
      </c>
      <c r="J28" s="124">
        <f t="shared" si="23"/>
        <v>21.599999999999998</v>
      </c>
      <c r="K28" s="124">
        <f t="shared" si="23"/>
        <v>24.299999999999997</v>
      </c>
      <c r="L28" s="124">
        <f t="shared" si="23"/>
        <v>26.999999999999996</v>
      </c>
      <c r="M28" s="124">
        <f t="shared" si="23"/>
        <v>29.699999999999996</v>
      </c>
      <c r="N28" s="124">
        <f t="shared" si="23"/>
        <v>32.4</v>
      </c>
      <c r="O28" s="124">
        <f t="shared" si="23"/>
        <v>35.1</v>
      </c>
      <c r="P28" s="124">
        <f t="shared" si="23"/>
        <v>37.800000000000004</v>
      </c>
      <c r="Q28" s="124">
        <f t="shared" si="23"/>
        <v>40.500000000000007</v>
      </c>
      <c r="R28" s="124">
        <f t="shared" si="23"/>
        <v>43.20000000000001</v>
      </c>
      <c r="S28" s="124">
        <f t="shared" si="23"/>
        <v>45.900000000000013</v>
      </c>
      <c r="T28" s="124">
        <f t="shared" si="23"/>
        <v>48.600000000000016</v>
      </c>
      <c r="U28" s="124">
        <f t="shared" si="23"/>
        <v>51.300000000000018</v>
      </c>
      <c r="V28" s="124">
        <f t="shared" si="23"/>
        <v>54.000000000000021</v>
      </c>
      <c r="W28" s="124">
        <f t="shared" si="23"/>
        <v>56.700000000000024</v>
      </c>
      <c r="X28" s="124">
        <f t="shared" si="23"/>
        <v>59.400000000000027</v>
      </c>
      <c r="Y28" s="124">
        <f t="shared" si="23"/>
        <v>62.10000000000003</v>
      </c>
      <c r="Z28" s="124">
        <f t="shared" si="23"/>
        <v>64.800000000000026</v>
      </c>
      <c r="AA28" s="124">
        <f t="shared" si="23"/>
        <v>67.500000000000028</v>
      </c>
      <c r="AB28" s="124">
        <f t="shared" si="23"/>
        <v>70.200000000000031</v>
      </c>
      <c r="AC28" s="124">
        <f t="shared" si="23"/>
        <v>72.900000000000034</v>
      </c>
      <c r="AD28" s="124">
        <f t="shared" si="23"/>
        <v>75.600000000000037</v>
      </c>
      <c r="AE28" s="124">
        <f t="shared" si="23"/>
        <v>78.30000000000004</v>
      </c>
      <c r="AF28" s="124">
        <f>AE28+2.7-30</f>
        <v>51.000000000000043</v>
      </c>
      <c r="AG28" s="124">
        <f t="shared" si="23"/>
        <v>53.700000000000045</v>
      </c>
      <c r="AH28" s="124">
        <f t="shared" si="23"/>
        <v>56.400000000000048</v>
      </c>
      <c r="AI28" s="124">
        <f t="shared" si="23"/>
        <v>59.100000000000051</v>
      </c>
      <c r="AJ28" s="124">
        <f t="shared" si="23"/>
        <v>61.800000000000054</v>
      </c>
      <c r="AK28" s="124">
        <f t="shared" si="23"/>
        <v>64.500000000000057</v>
      </c>
      <c r="AL28" s="124">
        <f t="shared" si="23"/>
        <v>67.20000000000006</v>
      </c>
      <c r="AM28" s="124">
        <f t="shared" si="23"/>
        <v>69.900000000000063</v>
      </c>
      <c r="AN28" s="124">
        <f t="shared" si="23"/>
        <v>72.600000000000065</v>
      </c>
      <c r="AO28" s="124">
        <f t="shared" si="23"/>
        <v>75.300000000000068</v>
      </c>
      <c r="AP28" s="124">
        <f t="shared" si="23"/>
        <v>78.000000000000071</v>
      </c>
      <c r="AQ28" s="124">
        <f t="shared" si="23"/>
        <v>80.700000000000074</v>
      </c>
      <c r="AR28" s="124">
        <f t="shared" si="23"/>
        <v>83.400000000000077</v>
      </c>
      <c r="AS28" s="124">
        <f>AR28+6.2</f>
        <v>89.60000000000008</v>
      </c>
      <c r="AT28" s="124">
        <f t="shared" ref="AT28:AX28" si="24">AS28+6.2</f>
        <v>95.800000000000082</v>
      </c>
      <c r="AU28" s="124">
        <f t="shared" si="24"/>
        <v>102.00000000000009</v>
      </c>
      <c r="AV28" s="124">
        <f t="shared" si="24"/>
        <v>108.20000000000009</v>
      </c>
      <c r="AW28" s="124">
        <f t="shared" si="24"/>
        <v>114.40000000000009</v>
      </c>
      <c r="AX28" s="124">
        <f t="shared" si="24"/>
        <v>120.60000000000009</v>
      </c>
      <c r="AY28" s="124">
        <f>AX28+5.8</f>
        <v>126.40000000000009</v>
      </c>
      <c r="AZ28" s="124">
        <f t="shared" ref="AZ28:BF28" si="25">AY28+5.8</f>
        <v>132.2000000000001</v>
      </c>
      <c r="BA28" s="124">
        <f t="shared" si="25"/>
        <v>138.00000000000011</v>
      </c>
      <c r="BB28" s="124">
        <f t="shared" si="25"/>
        <v>143.80000000000013</v>
      </c>
      <c r="BC28" s="124">
        <f t="shared" si="25"/>
        <v>149.60000000000014</v>
      </c>
      <c r="BD28" s="124">
        <f t="shared" si="25"/>
        <v>155.40000000000015</v>
      </c>
      <c r="BE28" s="124">
        <f t="shared" si="25"/>
        <v>161.20000000000016</v>
      </c>
      <c r="BF28" s="124">
        <f t="shared" si="25"/>
        <v>167.00000000000017</v>
      </c>
      <c r="BG28" s="124">
        <f>BF28+6.7</f>
        <v>173.70000000000016</v>
      </c>
      <c r="BH28" s="124">
        <f t="shared" ref="BH28:BN28" si="26">BG28+6.7</f>
        <v>180.40000000000015</v>
      </c>
      <c r="BI28" s="124">
        <f t="shared" si="26"/>
        <v>187.10000000000014</v>
      </c>
      <c r="BJ28" s="124">
        <f t="shared" si="26"/>
        <v>193.80000000000013</v>
      </c>
      <c r="BK28" s="124">
        <f t="shared" si="26"/>
        <v>200.50000000000011</v>
      </c>
      <c r="BL28" s="124">
        <f t="shared" si="26"/>
        <v>207.2000000000001</v>
      </c>
      <c r="BM28" s="124">
        <f t="shared" si="26"/>
        <v>213.90000000000009</v>
      </c>
      <c r="BN28" s="124">
        <f t="shared" si="26"/>
        <v>220.60000000000008</v>
      </c>
      <c r="BO28" s="124">
        <f>BN28+5.7-100</f>
        <v>126.30000000000007</v>
      </c>
      <c r="BP28" s="124">
        <f t="shared" ref="BP28:BV28" si="27">BO28+5.7</f>
        <v>132.00000000000006</v>
      </c>
      <c r="BQ28" s="124">
        <f t="shared" si="27"/>
        <v>137.70000000000005</v>
      </c>
      <c r="BR28" s="124">
        <f t="shared" si="27"/>
        <v>143.40000000000003</v>
      </c>
      <c r="BS28" s="124">
        <f t="shared" si="27"/>
        <v>149.10000000000002</v>
      </c>
      <c r="BT28" s="124">
        <f t="shared" si="27"/>
        <v>154.80000000000001</v>
      </c>
      <c r="BU28" s="124">
        <f t="shared" si="27"/>
        <v>160.5</v>
      </c>
      <c r="BV28" s="124">
        <f t="shared" si="27"/>
        <v>166.2</v>
      </c>
      <c r="BW28" s="124">
        <f>BV28+4.9</f>
        <v>171.1</v>
      </c>
      <c r="BX28" s="124">
        <f t="shared" ref="BX28:CE28" si="28">BW28+4.9</f>
        <v>176</v>
      </c>
      <c r="BY28" s="124">
        <f t="shared" si="28"/>
        <v>180.9</v>
      </c>
      <c r="BZ28" s="124">
        <f t="shared" si="28"/>
        <v>185.8</v>
      </c>
      <c r="CA28" s="124">
        <f t="shared" si="28"/>
        <v>190.70000000000002</v>
      </c>
      <c r="CB28" s="124">
        <f t="shared" si="28"/>
        <v>195.60000000000002</v>
      </c>
      <c r="CC28" s="124">
        <f t="shared" si="28"/>
        <v>200.50000000000003</v>
      </c>
      <c r="CD28" s="124">
        <f t="shared" si="28"/>
        <v>205.40000000000003</v>
      </c>
      <c r="CE28" s="124">
        <f t="shared" si="28"/>
        <v>210.30000000000004</v>
      </c>
      <c r="CF28" s="124">
        <f>CE28+4.7</f>
        <v>215.00000000000003</v>
      </c>
      <c r="CG28" s="124">
        <f t="shared" ref="CG28:CZ28" si="29">CF28+4.7</f>
        <v>219.70000000000002</v>
      </c>
      <c r="CH28" s="124">
        <f t="shared" si="29"/>
        <v>224.4</v>
      </c>
      <c r="CI28" s="124">
        <f t="shared" si="29"/>
        <v>229.1</v>
      </c>
      <c r="CJ28" s="124">
        <f t="shared" si="29"/>
        <v>233.79999999999998</v>
      </c>
      <c r="CK28" s="124">
        <f t="shared" si="29"/>
        <v>238.49999999999997</v>
      </c>
      <c r="CL28" s="124">
        <f t="shared" si="29"/>
        <v>243.19999999999996</v>
      </c>
      <c r="CM28" s="124">
        <f t="shared" si="29"/>
        <v>247.89999999999995</v>
      </c>
      <c r="CN28" s="124">
        <f t="shared" si="29"/>
        <v>252.59999999999994</v>
      </c>
      <c r="CO28" s="124">
        <f t="shared" si="29"/>
        <v>257.29999999999995</v>
      </c>
      <c r="CP28" s="124">
        <f t="shared" si="29"/>
        <v>261.99999999999994</v>
      </c>
      <c r="CQ28" s="124">
        <f t="shared" si="29"/>
        <v>266.69999999999993</v>
      </c>
      <c r="CR28" s="124">
        <f t="shared" si="29"/>
        <v>271.39999999999992</v>
      </c>
      <c r="CS28" s="124">
        <f t="shared" si="29"/>
        <v>276.09999999999991</v>
      </c>
      <c r="CT28" s="124">
        <f t="shared" si="29"/>
        <v>280.7999999999999</v>
      </c>
      <c r="CU28" s="124">
        <f t="shared" si="29"/>
        <v>285.49999999999989</v>
      </c>
      <c r="CV28" s="124">
        <f t="shared" si="29"/>
        <v>290.19999999999987</v>
      </c>
      <c r="CW28" s="124">
        <f t="shared" si="29"/>
        <v>294.89999999999986</v>
      </c>
      <c r="CX28" s="124">
        <f t="shared" si="29"/>
        <v>299.59999999999985</v>
      </c>
      <c r="CY28" s="124">
        <f t="shared" si="29"/>
        <v>304.29999999999984</v>
      </c>
      <c r="CZ28" s="124">
        <f t="shared" si="29"/>
        <v>308.99999999999983</v>
      </c>
      <c r="DA28" s="124">
        <f>CZ28+4.6</f>
        <v>313.59999999999985</v>
      </c>
      <c r="DB28" s="124">
        <f t="shared" ref="DB28:DR28" si="30">DA28+4.6</f>
        <v>318.19999999999987</v>
      </c>
      <c r="DC28" s="124">
        <f t="shared" si="30"/>
        <v>322.7999999999999</v>
      </c>
      <c r="DD28" s="124">
        <f t="shared" si="30"/>
        <v>327.39999999999992</v>
      </c>
      <c r="DE28" s="124">
        <f t="shared" si="30"/>
        <v>331.99999999999994</v>
      </c>
      <c r="DF28" s="124">
        <f t="shared" si="30"/>
        <v>336.59999999999997</v>
      </c>
      <c r="DG28" s="124">
        <f t="shared" si="30"/>
        <v>341.2</v>
      </c>
      <c r="DH28" s="124">
        <f t="shared" si="30"/>
        <v>345.8</v>
      </c>
      <c r="DI28" s="124">
        <f t="shared" si="30"/>
        <v>350.40000000000003</v>
      </c>
      <c r="DJ28" s="124">
        <f t="shared" si="30"/>
        <v>355.00000000000006</v>
      </c>
      <c r="DK28" s="124">
        <f t="shared" si="30"/>
        <v>359.60000000000008</v>
      </c>
      <c r="DL28" s="124">
        <f t="shared" si="30"/>
        <v>364.2000000000001</v>
      </c>
      <c r="DM28" s="124">
        <f t="shared" si="30"/>
        <v>368.80000000000013</v>
      </c>
      <c r="DN28" s="124">
        <f>DM28+4.6</f>
        <v>373.40000000000015</v>
      </c>
      <c r="DO28" s="124">
        <f t="shared" si="30"/>
        <v>378.00000000000017</v>
      </c>
      <c r="DP28" s="124">
        <f t="shared" si="30"/>
        <v>382.60000000000019</v>
      </c>
      <c r="DQ28" s="124">
        <f t="shared" si="30"/>
        <v>387.20000000000022</v>
      </c>
      <c r="DR28" s="90">
        <f t="shared" si="30"/>
        <v>391.80000000000024</v>
      </c>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row>
    <row r="29" spans="1:177" ht="29" x14ac:dyDescent="0.35">
      <c r="A29" s="3" t="s">
        <v>209</v>
      </c>
      <c r="B29" s="91">
        <v>0</v>
      </c>
      <c r="C29" s="91">
        <f>EXP(-1.0587+0.8836*LN(C22)+0.284)</f>
        <v>3.377442470390057</v>
      </c>
      <c r="D29" s="91">
        <f t="shared" ref="D29:BN29" si="31">EXP(-1.0587+0.8836*LN(D22)+0.284)</f>
        <v>6.2312914474762628</v>
      </c>
      <c r="E29" s="91">
        <f t="shared" si="31"/>
        <v>8.9160460089745417</v>
      </c>
      <c r="F29" s="91">
        <f t="shared" si="31"/>
        <v>11.496566838311388</v>
      </c>
      <c r="G29" s="91">
        <f t="shared" si="31"/>
        <v>14.002250923489477</v>
      </c>
      <c r="H29" s="91">
        <f t="shared" si="31"/>
        <v>17.536182627558041</v>
      </c>
      <c r="I29" s="91">
        <f t="shared" si="31"/>
        <v>20.978002714067667</v>
      </c>
      <c r="J29" s="91">
        <f t="shared" si="31"/>
        <v>24.346625165797096</v>
      </c>
      <c r="K29" s="91">
        <f t="shared" si="31"/>
        <v>27.654721590725586</v>
      </c>
      <c r="L29" s="91">
        <f t="shared" si="31"/>
        <v>30.911353100368093</v>
      </c>
      <c r="M29" s="91">
        <f t="shared" si="31"/>
        <v>34.083130700494344</v>
      </c>
      <c r="N29" s="91">
        <f t="shared" si="31"/>
        <v>37.216430358794149</v>
      </c>
      <c r="O29" s="91">
        <f t="shared" si="31"/>
        <v>40.315312208444261</v>
      </c>
      <c r="P29" s="91">
        <f t="shared" si="31"/>
        <v>43.383093478457269</v>
      </c>
      <c r="Q29" s="91">
        <f t="shared" si="31"/>
        <v>39.463664601155244</v>
      </c>
      <c r="R29" s="91">
        <f t="shared" si="31"/>
        <v>43.818102634632275</v>
      </c>
      <c r="S29" s="91">
        <f t="shared" si="31"/>
        <v>48.116163583932362</v>
      </c>
      <c r="T29" s="91">
        <f t="shared" si="31"/>
        <v>52.3641573286964</v>
      </c>
      <c r="U29" s="91">
        <f t="shared" si="31"/>
        <v>56.567175345460072</v>
      </c>
      <c r="V29" s="91">
        <f t="shared" si="31"/>
        <v>60.729408521404203</v>
      </c>
      <c r="W29" s="91">
        <f t="shared" si="31"/>
        <v>64.554570921452409</v>
      </c>
      <c r="X29" s="91">
        <f t="shared" si="31"/>
        <v>68.35008532263781</v>
      </c>
      <c r="Y29" s="91">
        <f t="shared" si="31"/>
        <v>72.118019375809283</v>
      </c>
      <c r="Z29" s="91">
        <f t="shared" si="31"/>
        <v>75.86018330336654</v>
      </c>
      <c r="AA29" s="91">
        <f t="shared" si="31"/>
        <v>71.503873690433124</v>
      </c>
      <c r="AB29" s="91">
        <f t="shared" si="31"/>
        <v>37.345891691136195</v>
      </c>
      <c r="AC29" s="91">
        <f t="shared" si="31"/>
        <v>39.885068426376463</v>
      </c>
      <c r="AD29" s="91">
        <f t="shared" si="31"/>
        <v>42.40311054819707</v>
      </c>
      <c r="AE29" s="91">
        <f t="shared" si="31"/>
        <v>44.901593749042277</v>
      </c>
      <c r="AF29" s="91">
        <f t="shared" si="31"/>
        <v>44.712133185923641</v>
      </c>
      <c r="AG29" s="91">
        <f t="shared" si="31"/>
        <v>47.056297811703864</v>
      </c>
      <c r="AH29" s="91">
        <f t="shared" si="31"/>
        <v>49.385171677911131</v>
      </c>
      <c r="AI29" s="91">
        <f t="shared" si="31"/>
        <v>51.699661036835124</v>
      </c>
      <c r="AJ29" s="91">
        <f t="shared" si="31"/>
        <v>54.000575412029299</v>
      </c>
      <c r="AK29" s="91">
        <f t="shared" si="31"/>
        <v>46.088428324546939</v>
      </c>
      <c r="AL29" s="91">
        <f t="shared" si="31"/>
        <v>48.183726703731864</v>
      </c>
      <c r="AM29" s="91">
        <f t="shared" si="31"/>
        <v>50.267085993057847</v>
      </c>
      <c r="AN29" s="91">
        <f t="shared" si="31"/>
        <v>52.339128430123147</v>
      </c>
      <c r="AO29" s="91">
        <f t="shared" si="31"/>
        <v>54.400417498264382</v>
      </c>
      <c r="AP29" s="91">
        <f t="shared" si="31"/>
        <v>56.451465749060361</v>
      </c>
      <c r="AQ29" s="91">
        <f t="shared" si="31"/>
        <v>58.325699131923031</v>
      </c>
      <c r="AR29" s="91">
        <f t="shared" si="31"/>
        <v>60.19203046884337</v>
      </c>
      <c r="AS29" s="91">
        <f t="shared" si="31"/>
        <v>62.350137543043097</v>
      </c>
      <c r="AT29" s="91">
        <f t="shared" si="31"/>
        <v>64.498446699220779</v>
      </c>
      <c r="AU29" s="91">
        <f t="shared" si="31"/>
        <v>53.317412794051279</v>
      </c>
      <c r="AV29" s="91">
        <f t="shared" si="31"/>
        <v>55.341333880596508</v>
      </c>
      <c r="AW29" s="91">
        <f t="shared" si="31"/>
        <v>57.355548454209952</v>
      </c>
      <c r="AX29" s="91">
        <f t="shared" si="31"/>
        <v>59.360485430256716</v>
      </c>
      <c r="AY29" s="91">
        <f t="shared" si="31"/>
        <v>61.32226263116236</v>
      </c>
      <c r="AZ29" s="91">
        <f t="shared" si="31"/>
        <v>63.275805266381781</v>
      </c>
      <c r="BA29" s="91">
        <f t="shared" si="31"/>
        <v>65.023835215115355</v>
      </c>
      <c r="BB29" s="91">
        <f t="shared" si="31"/>
        <v>66.765695666041751</v>
      </c>
      <c r="BC29" s="91">
        <f t="shared" si="31"/>
        <v>68.501589342605058</v>
      </c>
      <c r="BD29" s="91">
        <f t="shared" si="31"/>
        <v>70.231706699685972</v>
      </c>
      <c r="BE29" s="91">
        <f t="shared" si="31"/>
        <v>71.956226986635585</v>
      </c>
      <c r="BF29" s="91">
        <f t="shared" si="31"/>
        <v>73.545696111175047</v>
      </c>
      <c r="BG29" s="91">
        <f t="shared" si="31"/>
        <v>75.205736480182765</v>
      </c>
      <c r="BH29" s="91">
        <f t="shared" si="31"/>
        <v>76.860963305742658</v>
      </c>
      <c r="BI29" s="91">
        <f t="shared" si="31"/>
        <v>78.511507214587098</v>
      </c>
      <c r="BJ29" s="91">
        <f t="shared" si="31"/>
        <v>80.157492272221873</v>
      </c>
      <c r="BK29" s="91">
        <f t="shared" si="31"/>
        <v>22.22657426972636</v>
      </c>
      <c r="BL29" s="91">
        <f t="shared" si="31"/>
        <v>22.881592746295066</v>
      </c>
      <c r="BM29" s="91">
        <f t="shared" si="31"/>
        <v>23.534149979919494</v>
      </c>
      <c r="BN29" s="91">
        <f t="shared" si="31"/>
        <v>24.184331909735118</v>
      </c>
      <c r="BO29" s="91">
        <f t="shared" ref="BO29:DQ29" si="32">EXP(-1.0587+0.8836*LN(BO22)+0.284)</f>
        <v>14.774890405319359</v>
      </c>
      <c r="BP29" s="91">
        <f t="shared" si="32"/>
        <v>15.362552964687891</v>
      </c>
      <c r="BQ29" s="91">
        <f t="shared" si="32"/>
        <v>15.947268162077178</v>
      </c>
      <c r="BR29" s="91">
        <f t="shared" si="32"/>
        <v>16.529171954419546</v>
      </c>
      <c r="BS29" s="91">
        <f t="shared" si="32"/>
        <v>17.108388878524352</v>
      </c>
      <c r="BT29" s="91">
        <f t="shared" si="32"/>
        <v>17.685033409990371</v>
      </c>
      <c r="BU29" s="91">
        <f t="shared" si="32"/>
        <v>18.259211116342065</v>
      </c>
      <c r="BV29" s="91">
        <f t="shared" si="32"/>
        <v>18.831019641752896</v>
      </c>
      <c r="BW29" s="91">
        <f t="shared" si="32"/>
        <v>19.320749777512759</v>
      </c>
      <c r="BX29" s="91">
        <f t="shared" si="32"/>
        <v>19.808849885684484</v>
      </c>
      <c r="BY29" s="91">
        <f t="shared" si="32"/>
        <v>20.295370561355405</v>
      </c>
      <c r="BZ29" s="91">
        <f t="shared" si="32"/>
        <v>20.780359502671978</v>
      </c>
      <c r="CA29" s="91">
        <f t="shared" si="32"/>
        <v>21.263861748677432</v>
      </c>
      <c r="CB29" s="91">
        <f t="shared" si="32"/>
        <v>21.745919892016463</v>
      </c>
      <c r="CC29" s="91">
        <f t="shared" si="32"/>
        <v>22.226574269726338</v>
      </c>
      <c r="CD29" s="91">
        <f t="shared" si="32"/>
        <v>22.705863134851835</v>
      </c>
      <c r="CE29" s="91">
        <f t="shared" si="32"/>
        <v>23.183822811222726</v>
      </c>
      <c r="CF29" s="91">
        <f t="shared" si="32"/>
        <v>23.641057035767602</v>
      </c>
      <c r="CG29" s="91">
        <f t="shared" si="32"/>
        <v>24.097129182405521</v>
      </c>
      <c r="CH29" s="91">
        <f t="shared" si="32"/>
        <v>24.552066974707301</v>
      </c>
      <c r="CI29" s="91">
        <f t="shared" si="32"/>
        <v>25.005896908555929</v>
      </c>
      <c r="CJ29" s="91">
        <f t="shared" si="32"/>
        <v>25.458644330564738</v>
      </c>
      <c r="CK29" s="91">
        <f t="shared" si="32"/>
        <v>25.910333510012084</v>
      </c>
      <c r="CL29" s="91">
        <f t="shared" si="32"/>
        <v>26.36098770494522</v>
      </c>
      <c r="CM29" s="91">
        <f t="shared" si="32"/>
        <v>26.810629223030041</v>
      </c>
      <c r="CN29" s="91">
        <f t="shared" si="32"/>
        <v>27.259279477655422</v>
      </c>
      <c r="CO29" s="91">
        <f t="shared" si="32"/>
        <v>27.706959039743964</v>
      </c>
      <c r="CP29" s="91">
        <f t="shared" si="32"/>
        <v>28.153687685669993</v>
      </c>
      <c r="CQ29" s="91">
        <f t="shared" si="32"/>
        <v>28.599484441641799</v>
      </c>
      <c r="CR29" s="91">
        <f t="shared" si="32"/>
        <v>29.044367624866869</v>
      </c>
      <c r="CS29" s="91">
        <f t="shared" si="32"/>
        <v>29.488354881784705</v>
      </c>
      <c r="CT29" s="91">
        <f t="shared" si="32"/>
        <v>29.931463223622547</v>
      </c>
      <c r="CU29" s="91">
        <f t="shared" si="32"/>
        <v>30.37370905950327</v>
      </c>
      <c r="CV29" s="91">
        <f t="shared" si="32"/>
        <v>30.815108227311331</v>
      </c>
      <c r="CW29" s="91">
        <f t="shared" si="32"/>
        <v>31.255676022502211</v>
      </c>
      <c r="CX29" s="91">
        <f t="shared" si="32"/>
        <v>31.69542722502349</v>
      </c>
      <c r="CY29" s="91">
        <f t="shared" si="32"/>
        <v>32.134376124498232</v>
      </c>
      <c r="CZ29" s="91">
        <f t="shared" si="32"/>
        <v>32.572536543809079</v>
      </c>
      <c r="DA29" s="91">
        <f t="shared" si="32"/>
        <v>33.00062377126013</v>
      </c>
      <c r="DB29" s="91">
        <f t="shared" si="32"/>
        <v>33.427980679387908</v>
      </c>
      <c r="DC29" s="91">
        <f t="shared" si="32"/>
        <v>33.854619045753992</v>
      </c>
      <c r="DD29" s="91">
        <f t="shared" si="32"/>
        <v>34.280550292974887</v>
      </c>
      <c r="DE29" s="91">
        <f t="shared" si="32"/>
        <v>34.705785504252752</v>
      </c>
      <c r="DF29" s="91">
        <f t="shared" si="32"/>
        <v>35.130335438021369</v>
      </c>
      <c r="DG29" s="91">
        <f t="shared" si="32"/>
        <v>35.554210541768001</v>
      </c>
      <c r="DH29" s="91">
        <f t="shared" si="32"/>
        <v>35.977420965089365</v>
      </c>
      <c r="DI29" s="91">
        <f t="shared" si="32"/>
        <v>36.399976572032621</v>
      </c>
      <c r="DJ29" s="91">
        <f t="shared" si="32"/>
        <v>36.821886952770193</v>
      </c>
      <c r="DK29" s="91">
        <f t="shared" si="32"/>
        <v>37.243161434652123</v>
      </c>
      <c r="DL29" s="91">
        <f t="shared" si="32"/>
        <v>37.663809092676836</v>
      </c>
      <c r="DM29" s="91">
        <f t="shared" si="32"/>
        <v>38.083838759417667</v>
      </c>
      <c r="DN29" s="91">
        <f t="shared" si="32"/>
        <v>38.503259034440369</v>
      </c>
      <c r="DO29" s="91">
        <f t="shared" si="32"/>
        <v>38.922078293243004</v>
      </c>
      <c r="DP29" s="91">
        <f t="shared" si="32"/>
        <v>39.340304695748465</v>
      </c>
      <c r="DQ29" s="91">
        <f t="shared" si="32"/>
        <v>39.757946194376821</v>
      </c>
      <c r="DR29" s="139">
        <f>EXP(-1.0587+0.8836*LN(DR22)+0.284)</f>
        <v>40.175010541723196</v>
      </c>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row>
    <row r="30" spans="1:177" ht="15" thickBot="1" x14ac:dyDescent="0.4">
      <c r="A30" s="3" t="s">
        <v>181</v>
      </c>
      <c r="B30" s="91">
        <f t="shared" ref="B30:AF30" si="33">(B19*(($B$42-$B$41)/30))</f>
        <v>0</v>
      </c>
      <c r="C30" s="91">
        <f t="shared" si="33"/>
        <v>0.33333333333333331</v>
      </c>
      <c r="D30" s="91">
        <f t="shared" si="33"/>
        <v>0.66666666666666663</v>
      </c>
      <c r="E30" s="91">
        <f t="shared" si="33"/>
        <v>1</v>
      </c>
      <c r="F30" s="91">
        <f t="shared" si="33"/>
        <v>1.3333333333333333</v>
      </c>
      <c r="G30" s="91">
        <f t="shared" si="33"/>
        <v>1.6666666666666665</v>
      </c>
      <c r="H30" s="91">
        <f t="shared" si="33"/>
        <v>2</v>
      </c>
      <c r="I30" s="91">
        <f t="shared" si="33"/>
        <v>2.333333333333333</v>
      </c>
      <c r="J30" s="91">
        <f t="shared" si="33"/>
        <v>2.6666666666666665</v>
      </c>
      <c r="K30" s="91">
        <f t="shared" si="33"/>
        <v>3</v>
      </c>
      <c r="L30" s="91">
        <f t="shared" si="33"/>
        <v>3.333333333333333</v>
      </c>
      <c r="M30" s="91">
        <f t="shared" si="33"/>
        <v>3.6666666666666665</v>
      </c>
      <c r="N30" s="91">
        <f t="shared" si="33"/>
        <v>4</v>
      </c>
      <c r="O30" s="91">
        <f t="shared" si="33"/>
        <v>4.333333333333333</v>
      </c>
      <c r="P30" s="91">
        <f t="shared" si="33"/>
        <v>4.6666666666666661</v>
      </c>
      <c r="Q30" s="91">
        <f t="shared" si="33"/>
        <v>5</v>
      </c>
      <c r="R30" s="91">
        <f t="shared" si="33"/>
        <v>5.333333333333333</v>
      </c>
      <c r="S30" s="91">
        <f t="shared" si="33"/>
        <v>5.6666666666666661</v>
      </c>
      <c r="T30" s="91">
        <f t="shared" si="33"/>
        <v>6</v>
      </c>
      <c r="U30" s="91">
        <f t="shared" si="33"/>
        <v>6.333333333333333</v>
      </c>
      <c r="V30" s="91">
        <f t="shared" si="33"/>
        <v>6.6666666666666661</v>
      </c>
      <c r="W30" s="91">
        <f t="shared" si="33"/>
        <v>7</v>
      </c>
      <c r="X30" s="91">
        <f t="shared" si="33"/>
        <v>7.333333333333333</v>
      </c>
      <c r="Y30" s="91">
        <f t="shared" si="33"/>
        <v>7.6666666666666661</v>
      </c>
      <c r="Z30" s="91">
        <f t="shared" si="33"/>
        <v>8</v>
      </c>
      <c r="AA30" s="91">
        <f t="shared" si="33"/>
        <v>8.3333333333333321</v>
      </c>
      <c r="AB30" s="91">
        <f t="shared" si="33"/>
        <v>8.6666666666666661</v>
      </c>
      <c r="AC30" s="91">
        <f t="shared" si="33"/>
        <v>9</v>
      </c>
      <c r="AD30" s="91">
        <f t="shared" si="33"/>
        <v>9.3333333333333321</v>
      </c>
      <c r="AE30" s="91">
        <f t="shared" si="33"/>
        <v>9.6666666666666661</v>
      </c>
      <c r="AF30" s="91">
        <f t="shared" si="33"/>
        <v>10</v>
      </c>
      <c r="AG30" s="91">
        <v>10</v>
      </c>
      <c r="AH30" s="91">
        <v>10</v>
      </c>
      <c r="AI30" s="91">
        <v>10</v>
      </c>
      <c r="AJ30" s="91">
        <v>10</v>
      </c>
      <c r="AK30" s="91">
        <v>10</v>
      </c>
      <c r="AL30" s="91">
        <v>10</v>
      </c>
      <c r="AM30" s="91">
        <v>10</v>
      </c>
      <c r="AN30" s="91">
        <v>10</v>
      </c>
      <c r="AO30" s="91">
        <v>10</v>
      </c>
      <c r="AP30" s="91">
        <v>10</v>
      </c>
      <c r="AQ30" s="104">
        <v>10</v>
      </c>
      <c r="AR30" s="104">
        <v>10</v>
      </c>
      <c r="AS30" s="104">
        <v>10</v>
      </c>
      <c r="AT30" s="104">
        <v>10</v>
      </c>
      <c r="AU30" s="104">
        <v>10</v>
      </c>
      <c r="AV30" s="104">
        <v>10</v>
      </c>
      <c r="AW30" s="104">
        <v>10</v>
      </c>
      <c r="AX30" s="104">
        <v>10</v>
      </c>
      <c r="AY30" s="104">
        <v>10</v>
      </c>
      <c r="AZ30" s="104">
        <v>10</v>
      </c>
      <c r="BA30" s="104">
        <v>10</v>
      </c>
      <c r="BB30" s="104">
        <v>10</v>
      </c>
      <c r="BC30" s="104">
        <v>10</v>
      </c>
      <c r="BD30" s="104">
        <v>10</v>
      </c>
      <c r="BE30" s="104">
        <v>10</v>
      </c>
      <c r="BF30" s="104">
        <v>10</v>
      </c>
      <c r="BG30" s="104">
        <v>10</v>
      </c>
      <c r="BH30" s="104">
        <v>10</v>
      </c>
      <c r="BI30" s="104">
        <v>10</v>
      </c>
      <c r="BJ30" s="104">
        <v>10</v>
      </c>
      <c r="BK30" s="104">
        <v>10</v>
      </c>
      <c r="BL30" s="104">
        <v>10</v>
      </c>
      <c r="BM30" s="104">
        <v>10</v>
      </c>
      <c r="BN30" s="104">
        <v>10</v>
      </c>
      <c r="BO30" s="104">
        <v>10</v>
      </c>
      <c r="BP30" s="104">
        <v>10</v>
      </c>
      <c r="BQ30" s="104">
        <v>10</v>
      </c>
      <c r="BR30" s="104">
        <v>10</v>
      </c>
      <c r="BS30" s="104">
        <v>10</v>
      </c>
      <c r="BT30" s="104">
        <v>10</v>
      </c>
      <c r="BU30" s="104">
        <v>10</v>
      </c>
      <c r="BV30" s="104">
        <v>10</v>
      </c>
      <c r="BW30" s="104">
        <v>10</v>
      </c>
      <c r="BX30" s="104">
        <v>10</v>
      </c>
      <c r="BY30" s="104">
        <v>10</v>
      </c>
      <c r="BZ30" s="104">
        <v>10</v>
      </c>
      <c r="CA30" s="104">
        <v>10</v>
      </c>
      <c r="CB30" s="104">
        <v>10</v>
      </c>
      <c r="CC30" s="104">
        <v>10</v>
      </c>
      <c r="CD30" s="104">
        <v>10</v>
      </c>
      <c r="CE30" s="104">
        <v>10</v>
      </c>
      <c r="CF30" s="104">
        <v>10</v>
      </c>
      <c r="CG30" s="104">
        <v>10</v>
      </c>
      <c r="CH30" s="104">
        <v>10</v>
      </c>
      <c r="CI30" s="104">
        <v>10</v>
      </c>
      <c r="CJ30" s="104">
        <v>10</v>
      </c>
      <c r="CK30" s="104">
        <v>10</v>
      </c>
      <c r="CL30" s="104">
        <v>10</v>
      </c>
      <c r="CM30" s="104">
        <v>10</v>
      </c>
      <c r="CN30" s="104">
        <v>10</v>
      </c>
      <c r="CO30" s="104">
        <v>10</v>
      </c>
      <c r="CP30" s="104">
        <v>10</v>
      </c>
      <c r="CQ30" s="104">
        <v>10</v>
      </c>
      <c r="CR30" s="104">
        <v>10</v>
      </c>
      <c r="CS30" s="104">
        <v>10</v>
      </c>
      <c r="CT30" s="104">
        <v>10</v>
      </c>
      <c r="CU30" s="104">
        <v>10</v>
      </c>
      <c r="CV30" s="104">
        <v>10</v>
      </c>
      <c r="CW30" s="104">
        <v>10</v>
      </c>
      <c r="CX30" s="104">
        <v>10</v>
      </c>
      <c r="CY30" s="104">
        <v>10</v>
      </c>
      <c r="CZ30" s="104">
        <v>10</v>
      </c>
      <c r="DA30" s="104">
        <v>10</v>
      </c>
      <c r="DB30" s="104">
        <v>10</v>
      </c>
      <c r="DC30" s="104">
        <v>10</v>
      </c>
      <c r="DD30" s="104">
        <v>10</v>
      </c>
      <c r="DE30" s="104">
        <v>10</v>
      </c>
      <c r="DF30" s="104">
        <v>10</v>
      </c>
      <c r="DG30" s="104">
        <v>10</v>
      </c>
      <c r="DH30" s="104">
        <v>10</v>
      </c>
      <c r="DI30" s="104">
        <v>10</v>
      </c>
      <c r="DJ30" s="104">
        <v>10</v>
      </c>
      <c r="DK30" s="104">
        <v>10</v>
      </c>
      <c r="DL30" s="104">
        <v>10</v>
      </c>
      <c r="DM30" s="104">
        <v>10</v>
      </c>
      <c r="DN30" s="104">
        <v>10</v>
      </c>
      <c r="DO30" s="104">
        <v>10</v>
      </c>
      <c r="DP30" s="104">
        <v>10</v>
      </c>
      <c r="DQ30" s="104">
        <v>10</v>
      </c>
      <c r="DR30" s="140">
        <v>10</v>
      </c>
    </row>
    <row r="31" spans="1:177" x14ac:dyDescent="0.35">
      <c r="A31" s="133" t="s">
        <v>2</v>
      </c>
      <c r="B31" s="134"/>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42"/>
    </row>
    <row r="32" spans="1:177" x14ac:dyDescent="0.35">
      <c r="A32" s="3" t="s">
        <v>182</v>
      </c>
      <c r="B32" s="91">
        <f t="shared" ref="B32:AF32" si="34">(((B33+B35)*$B$38)+$B$43+B36)*(44/12)</f>
        <v>256.66666666666663</v>
      </c>
      <c r="C32" s="91">
        <f t="shared" si="34"/>
        <v>259.776016317357</v>
      </c>
      <c r="D32" s="91">
        <f t="shared" si="34"/>
        <v>262.79077842425704</v>
      </c>
      <c r="E32" s="91">
        <f t="shared" si="34"/>
        <v>265.7749935025106</v>
      </c>
      <c r="F32" s="91">
        <f t="shared" si="34"/>
        <v>268.74037868155534</v>
      </c>
      <c r="G32" s="91">
        <f t="shared" si="34"/>
        <v>271.69224454856567</v>
      </c>
      <c r="H32" s="91">
        <f t="shared" si="34"/>
        <v>274.63362048418867</v>
      </c>
      <c r="I32" s="91">
        <f t="shared" si="34"/>
        <v>277.56645941299519</v>
      </c>
      <c r="J32" s="91">
        <f t="shared" si="34"/>
        <v>280.49212162404996</v>
      </c>
      <c r="K32" s="91">
        <f t="shared" si="34"/>
        <v>283.41160694711988</v>
      </c>
      <c r="L32" s="91">
        <f t="shared" si="34"/>
        <v>286.32567999310294</v>
      </c>
      <c r="M32" s="91">
        <f t="shared" si="34"/>
        <v>289.23494360151977</v>
      </c>
      <c r="N32" s="91">
        <f t="shared" si="34"/>
        <v>292.13988471799752</v>
      </c>
      <c r="O32" s="91">
        <f t="shared" si="34"/>
        <v>295.04090450261015</v>
      </c>
      <c r="P32" s="91">
        <f t="shared" si="34"/>
        <v>297.93833889257792</v>
      </c>
      <c r="Q32" s="91">
        <f t="shared" si="34"/>
        <v>300.83247311469154</v>
      </c>
      <c r="R32" s="91">
        <f t="shared" si="34"/>
        <v>303.72355221395668</v>
      </c>
      <c r="S32" s="91">
        <f t="shared" si="34"/>
        <v>306.61178887350491</v>
      </c>
      <c r="T32" s="91">
        <f t="shared" si="34"/>
        <v>309.49736934143755</v>
      </c>
      <c r="U32" s="91">
        <f t="shared" si="34"/>
        <v>312.38045800283379</v>
      </c>
      <c r="V32" s="91">
        <f t="shared" si="34"/>
        <v>315.26120096177254</v>
      </c>
      <c r="W32" s="91">
        <f t="shared" si="34"/>
        <v>318.13972888659004</v>
      </c>
      <c r="X32" s="91">
        <f t="shared" si="34"/>
        <v>321.01615929782895</v>
      </c>
      <c r="Y32" s="91">
        <f t="shared" si="34"/>
        <v>323.8905984284375</v>
      </c>
      <c r="Z32" s="91">
        <f t="shared" si="34"/>
        <v>326.76314275132648</v>
      </c>
      <c r="AA32" s="91">
        <f t="shared" si="34"/>
        <v>329.6338802451607</v>
      </c>
      <c r="AB32" s="91">
        <f t="shared" si="34"/>
        <v>332.50289145192187</v>
      </c>
      <c r="AC32" s="91">
        <f t="shared" si="34"/>
        <v>335.37025036719336</v>
      </c>
      <c r="AD32" s="91">
        <f t="shared" si="34"/>
        <v>338.23602519484371</v>
      </c>
      <c r="AE32" s="91">
        <f t="shared" si="34"/>
        <v>341.10027899086782</v>
      </c>
      <c r="AF32" s="91">
        <f t="shared" si="34"/>
        <v>343.96307021592793</v>
      </c>
      <c r="AG32" s="91">
        <f t="shared" ref="AG32:AO32" si="35">(((AG33+AG35)*$B$38)+$B$43+AG36)*(44/12)</f>
        <v>345.60223098993077</v>
      </c>
      <c r="AH32" s="91">
        <f t="shared" si="35"/>
        <v>347.24003417224236</v>
      </c>
      <c r="AI32" s="91">
        <f t="shared" si="35"/>
        <v>348.87652705542456</v>
      </c>
      <c r="AJ32" s="91">
        <f t="shared" si="35"/>
        <v>350.51175390294725</v>
      </c>
      <c r="AK32" s="91">
        <f t="shared" si="35"/>
        <v>352.14575622651876</v>
      </c>
      <c r="AL32" s="91">
        <f t="shared" si="35"/>
        <v>353.77857303083135</v>
      </c>
      <c r="AM32" s="91">
        <f t="shared" si="35"/>
        <v>355.41024103034721</v>
      </c>
      <c r="AN32" s="91">
        <f t="shared" si="35"/>
        <v>357.04079484198991</v>
      </c>
      <c r="AO32" s="91">
        <f t="shared" si="35"/>
        <v>358.67026715698137</v>
      </c>
      <c r="AP32" s="121">
        <f>(((AP33+AP35)*$B$38)+$B$43+AP36)*(44/12)</f>
        <v>360.29868889455889</v>
      </c>
      <c r="AQ32" s="143"/>
    </row>
    <row r="33" spans="1:43" x14ac:dyDescent="0.35">
      <c r="A33" s="3" t="s">
        <v>179</v>
      </c>
      <c r="B33" s="91">
        <f t="shared" ref="B33:AF33" si="36">B34*$C$39*$I$40</f>
        <v>0</v>
      </c>
      <c r="C33" s="91">
        <f t="shared" si="36"/>
        <v>0.73319999999999996</v>
      </c>
      <c r="D33" s="91">
        <f t="shared" si="36"/>
        <v>1.4663999999999999</v>
      </c>
      <c r="E33" s="91">
        <f t="shared" si="36"/>
        <v>2.1995999999999998</v>
      </c>
      <c r="F33" s="91">
        <f t="shared" si="36"/>
        <v>2.9327999999999999</v>
      </c>
      <c r="G33" s="91">
        <f t="shared" si="36"/>
        <v>3.6659999999999999</v>
      </c>
      <c r="H33" s="91">
        <f t="shared" si="36"/>
        <v>4.3991999999999996</v>
      </c>
      <c r="I33" s="91">
        <f t="shared" si="36"/>
        <v>5.1323999999999996</v>
      </c>
      <c r="J33" s="91">
        <f t="shared" si="36"/>
        <v>5.8655999999999997</v>
      </c>
      <c r="K33" s="91">
        <f t="shared" si="36"/>
        <v>6.5987999999999998</v>
      </c>
      <c r="L33" s="91">
        <f t="shared" si="36"/>
        <v>7.3319999999999999</v>
      </c>
      <c r="M33" s="91">
        <f t="shared" si="36"/>
        <v>8.065199999999999</v>
      </c>
      <c r="N33" s="91">
        <f t="shared" si="36"/>
        <v>8.7983999999999991</v>
      </c>
      <c r="O33" s="91">
        <f t="shared" si="36"/>
        <v>9.5315999999999992</v>
      </c>
      <c r="P33" s="91">
        <f t="shared" si="36"/>
        <v>10.264799999999999</v>
      </c>
      <c r="Q33" s="91">
        <f t="shared" si="36"/>
        <v>10.998000000000001</v>
      </c>
      <c r="R33" s="91">
        <f t="shared" si="36"/>
        <v>11.731199999999999</v>
      </c>
      <c r="S33" s="91">
        <f t="shared" si="36"/>
        <v>12.464399999999999</v>
      </c>
      <c r="T33" s="91">
        <f t="shared" si="36"/>
        <v>13.1976</v>
      </c>
      <c r="U33" s="91">
        <f t="shared" si="36"/>
        <v>13.9308</v>
      </c>
      <c r="V33" s="91">
        <f t="shared" si="36"/>
        <v>14.664</v>
      </c>
      <c r="W33" s="91">
        <f t="shared" si="36"/>
        <v>15.397199999999998</v>
      </c>
      <c r="X33" s="91">
        <f t="shared" si="36"/>
        <v>16.130399999999998</v>
      </c>
      <c r="Y33" s="91">
        <f t="shared" si="36"/>
        <v>16.863600000000002</v>
      </c>
      <c r="Z33" s="91">
        <f t="shared" si="36"/>
        <v>17.596799999999998</v>
      </c>
      <c r="AA33" s="91">
        <f t="shared" si="36"/>
        <v>18.329999999999998</v>
      </c>
      <c r="AB33" s="91">
        <f t="shared" si="36"/>
        <v>19.063199999999998</v>
      </c>
      <c r="AC33" s="91">
        <f t="shared" si="36"/>
        <v>19.796400000000002</v>
      </c>
      <c r="AD33" s="91">
        <f t="shared" si="36"/>
        <v>20.529599999999999</v>
      </c>
      <c r="AE33" s="91">
        <f t="shared" si="36"/>
        <v>21.262799999999999</v>
      </c>
      <c r="AF33" s="91">
        <f t="shared" si="36"/>
        <v>21.996000000000002</v>
      </c>
      <c r="AG33" s="91">
        <f t="shared" ref="AG33:AO33" si="37">AG34*$C$39*$I$40</f>
        <v>22.729199999999999</v>
      </c>
      <c r="AH33" s="91">
        <f t="shared" si="37"/>
        <v>23.462399999999999</v>
      </c>
      <c r="AI33" s="91">
        <f t="shared" si="37"/>
        <v>24.195599999999999</v>
      </c>
      <c r="AJ33" s="91">
        <f t="shared" si="37"/>
        <v>24.928799999999999</v>
      </c>
      <c r="AK33" s="91">
        <f t="shared" si="37"/>
        <v>25.661999999999999</v>
      </c>
      <c r="AL33" s="91">
        <f t="shared" si="37"/>
        <v>26.395199999999999</v>
      </c>
      <c r="AM33" s="91">
        <f t="shared" si="37"/>
        <v>27.128399999999999</v>
      </c>
      <c r="AN33" s="91">
        <f t="shared" si="37"/>
        <v>27.861599999999999</v>
      </c>
      <c r="AO33" s="91">
        <f t="shared" si="37"/>
        <v>28.594799999999999</v>
      </c>
      <c r="AP33" s="121">
        <f>AP34*$C$39*$I$40</f>
        <v>29.327999999999999</v>
      </c>
      <c r="AQ33" s="143"/>
    </row>
    <row r="34" spans="1:43" ht="28" customHeight="1" x14ac:dyDescent="0.35">
      <c r="A34" s="18" t="s">
        <v>13</v>
      </c>
      <c r="B34" s="91">
        <v>0</v>
      </c>
      <c r="C34" s="91">
        <f>IF($B$16="NON",1,0.5)</f>
        <v>1</v>
      </c>
      <c r="D34" s="91">
        <f>IF($B$16="NON",C34+1,C34+0.5)</f>
        <v>2</v>
      </c>
      <c r="E34" s="91">
        <f t="shared" ref="E34:AF34" si="38">IF($B$16="NON",D34+1,D34+0.5)</f>
        <v>3</v>
      </c>
      <c r="F34" s="91">
        <f t="shared" si="38"/>
        <v>4</v>
      </c>
      <c r="G34" s="91">
        <f t="shared" si="38"/>
        <v>5</v>
      </c>
      <c r="H34" s="91">
        <f t="shared" si="38"/>
        <v>6</v>
      </c>
      <c r="I34" s="91">
        <f t="shared" si="38"/>
        <v>7</v>
      </c>
      <c r="J34" s="91">
        <f t="shared" si="38"/>
        <v>8</v>
      </c>
      <c r="K34" s="91">
        <f t="shared" si="38"/>
        <v>9</v>
      </c>
      <c r="L34" s="91">
        <f t="shared" si="38"/>
        <v>10</v>
      </c>
      <c r="M34" s="91">
        <f t="shared" si="38"/>
        <v>11</v>
      </c>
      <c r="N34" s="91">
        <f t="shared" si="38"/>
        <v>12</v>
      </c>
      <c r="O34" s="91">
        <f t="shared" si="38"/>
        <v>13</v>
      </c>
      <c r="P34" s="91">
        <f t="shared" si="38"/>
        <v>14</v>
      </c>
      <c r="Q34" s="91">
        <f t="shared" si="38"/>
        <v>15</v>
      </c>
      <c r="R34" s="91">
        <f t="shared" si="38"/>
        <v>16</v>
      </c>
      <c r="S34" s="91">
        <f t="shared" si="38"/>
        <v>17</v>
      </c>
      <c r="T34" s="91">
        <f t="shared" si="38"/>
        <v>18</v>
      </c>
      <c r="U34" s="91">
        <f t="shared" si="38"/>
        <v>19</v>
      </c>
      <c r="V34" s="91">
        <f t="shared" si="38"/>
        <v>20</v>
      </c>
      <c r="W34" s="91">
        <f t="shared" si="38"/>
        <v>21</v>
      </c>
      <c r="X34" s="91">
        <f t="shared" si="38"/>
        <v>22</v>
      </c>
      <c r="Y34" s="91">
        <f t="shared" si="38"/>
        <v>23</v>
      </c>
      <c r="Z34" s="91">
        <f t="shared" si="38"/>
        <v>24</v>
      </c>
      <c r="AA34" s="91">
        <f t="shared" si="38"/>
        <v>25</v>
      </c>
      <c r="AB34" s="91">
        <f t="shared" si="38"/>
        <v>26</v>
      </c>
      <c r="AC34" s="91">
        <f t="shared" si="38"/>
        <v>27</v>
      </c>
      <c r="AD34" s="91">
        <f t="shared" si="38"/>
        <v>28</v>
      </c>
      <c r="AE34" s="91">
        <f t="shared" si="38"/>
        <v>29</v>
      </c>
      <c r="AF34" s="91">
        <f t="shared" si="38"/>
        <v>30</v>
      </c>
      <c r="AG34" s="91">
        <f t="shared" ref="AG34" si="39">IF($B$16="NON",AF34+1,AF34+0.5)</f>
        <v>31</v>
      </c>
      <c r="AH34" s="91">
        <f t="shared" ref="AH34" si="40">IF($B$16="NON",AG34+1,AG34+0.5)</f>
        <v>32</v>
      </c>
      <c r="AI34" s="91">
        <f t="shared" ref="AI34" si="41">IF($B$16="NON",AH34+1,AH34+0.5)</f>
        <v>33</v>
      </c>
      <c r="AJ34" s="91">
        <f t="shared" ref="AJ34" si="42">IF($B$16="NON",AI34+1,AI34+0.5)</f>
        <v>34</v>
      </c>
      <c r="AK34" s="91">
        <f t="shared" ref="AK34" si="43">IF($B$16="NON",AJ34+1,AJ34+0.5)</f>
        <v>35</v>
      </c>
      <c r="AL34" s="91">
        <f t="shared" ref="AL34" si="44">IF($B$16="NON",AK34+1,AK34+0.5)</f>
        <v>36</v>
      </c>
      <c r="AM34" s="91">
        <f t="shared" ref="AM34" si="45">IF($B$16="NON",AL34+1,AL34+0.5)</f>
        <v>37</v>
      </c>
      <c r="AN34" s="91">
        <f t="shared" ref="AN34" si="46">IF($B$16="NON",AM34+1,AM34+0.5)</f>
        <v>38</v>
      </c>
      <c r="AO34" s="91">
        <f t="shared" ref="AO34" si="47">IF($B$16="NON",AN34+1,AN34+0.5)</f>
        <v>39</v>
      </c>
      <c r="AP34" s="121">
        <f t="shared" ref="AP34" si="48">IF($B$16="NON",AO34+1,AO34+0.5)</f>
        <v>40</v>
      </c>
      <c r="AQ34" s="143"/>
    </row>
    <row r="35" spans="1:43" x14ac:dyDescent="0.35">
      <c r="A35" s="3" t="s">
        <v>180</v>
      </c>
      <c r="B35" s="91">
        <v>0</v>
      </c>
      <c r="C35" s="91">
        <f>EXP(-1.0587+0.8836*LN(C33)+0.284)</f>
        <v>0.35031814074723205</v>
      </c>
      <c r="D35" s="91">
        <f t="shared" ref="D35:AE35" si="49">EXP(-1.0587+0.8836*LN(D33)+0.284)</f>
        <v>0.64632764391155073</v>
      </c>
      <c r="E35" s="91">
        <f t="shared" si="49"/>
        <v>0.92479818325965968</v>
      </c>
      <c r="F35" s="91">
        <f t="shared" si="49"/>
        <v>1.1924572972247856</v>
      </c>
      <c r="G35" s="91">
        <f t="shared" si="49"/>
        <v>1.4523541267681601</v>
      </c>
      <c r="H35" s="91">
        <f t="shared" si="49"/>
        <v>1.7062280291992591</v>
      </c>
      <c r="I35" s="91">
        <f t="shared" si="49"/>
        <v>1.9552003009222731</v>
      </c>
      <c r="J35" s="91">
        <f t="shared" si="49"/>
        <v>2.2000519691514757</v>
      </c>
      <c r="K35" s="91">
        <f t="shared" si="49"/>
        <v>2.4413570988248194</v>
      </c>
      <c r="L35" s="91">
        <f t="shared" si="49"/>
        <v>2.6795547009841778</v>
      </c>
      <c r="M35" s="91">
        <f t="shared" si="49"/>
        <v>2.9149909035839161</v>
      </c>
      <c r="N35" s="91">
        <f t="shared" si="49"/>
        <v>3.1479452926301796</v>
      </c>
      <c r="O35" s="91">
        <f t="shared" si="49"/>
        <v>3.3786481992658062</v>
      </c>
      <c r="P35" s="91">
        <f t="shared" si="49"/>
        <v>3.6072925061053467</v>
      </c>
      <c r="Q35" s="91">
        <f t="shared" si="49"/>
        <v>3.8340419797271834</v>
      </c>
      <c r="R35" s="91">
        <f t="shared" si="49"/>
        <v>4.0590373158284008</v>
      </c>
      <c r="S35" s="91">
        <f t="shared" si="49"/>
        <v>4.2824006291256396</v>
      </c>
      <c r="T35" s="91">
        <f t="shared" si="49"/>
        <v>4.504238856327774</v>
      </c>
      <c r="U35" s="91">
        <f t="shared" si="49"/>
        <v>4.7246463812124082</v>
      </c>
      <c r="V35" s="91">
        <f t="shared" si="49"/>
        <v>4.9437070912888705</v>
      </c>
      <c r="W35" s="91">
        <f t="shared" si="49"/>
        <v>5.1614960114392687</v>
      </c>
      <c r="X35" s="91">
        <f t="shared" si="49"/>
        <v>5.3780806175732732</v>
      </c>
      <c r="Y35" s="91">
        <f t="shared" si="49"/>
        <v>5.5935219046849918</v>
      </c>
      <c r="Z35" s="91">
        <f t="shared" si="49"/>
        <v>5.8078752639195086</v>
      </c>
      <c r="AA35" s="91">
        <f t="shared" si="49"/>
        <v>6.0211912093426747</v>
      </c>
      <c r="AB35" s="91">
        <f t="shared" si="49"/>
        <v>6.2335159851544919</v>
      </c>
      <c r="AC35" s="91">
        <f t="shared" si="49"/>
        <v>6.4448920768574434</v>
      </c>
      <c r="AD35" s="91">
        <f t="shared" si="49"/>
        <v>6.6553586445673751</v>
      </c>
      <c r="AE35" s="91">
        <f t="shared" si="49"/>
        <v>6.864951892683286</v>
      </c>
      <c r="AF35" s="91">
        <f>EXP(-1.0587+0.8836*LN(AF33)+0.284)</f>
        <v>7.0737053871356732</v>
      </c>
      <c r="AG35" s="91">
        <f t="shared" ref="AG35:AP35" si="50">EXP(-1.0587+0.8836*LN(AG33)+0.284)</f>
        <v>7.2816503291468493</v>
      </c>
      <c r="AH35" s="91">
        <f t="shared" si="50"/>
        <v>7.4888157926750578</v>
      </c>
      <c r="AI35" s="91">
        <f t="shared" si="50"/>
        <v>7.6952289313442845</v>
      </c>
      <c r="AJ35" s="91">
        <f t="shared" si="50"/>
        <v>7.9009151595869396</v>
      </c>
      <c r="AK35" s="91">
        <f t="shared" si="50"/>
        <v>8.1058983118768086</v>
      </c>
      <c r="AL35" s="91">
        <f t="shared" si="50"/>
        <v>8.3102007832524443</v>
      </c>
      <c r="AM35" s="91">
        <f t="shared" si="50"/>
        <v>8.5138436537878803</v>
      </c>
      <c r="AN35" s="91">
        <f t="shared" si="50"/>
        <v>8.7168467992286693</v>
      </c>
      <c r="AO35" s="91">
        <f t="shared" si="50"/>
        <v>8.9192289896543855</v>
      </c>
      <c r="AP35" s="121">
        <f t="shared" si="50"/>
        <v>9.1210079777371842</v>
      </c>
      <c r="AQ35" s="143"/>
    </row>
    <row r="36" spans="1:43" ht="15" thickBot="1" x14ac:dyDescent="0.4">
      <c r="A36" s="3" t="s">
        <v>181</v>
      </c>
      <c r="B36" s="91">
        <f t="shared" ref="B36:AF36" si="51">(B19*(($B$42-$B$41)/30))</f>
        <v>0</v>
      </c>
      <c r="C36" s="104">
        <f t="shared" si="51"/>
        <v>0.33333333333333331</v>
      </c>
      <c r="D36" s="104">
        <f t="shared" si="51"/>
        <v>0.66666666666666663</v>
      </c>
      <c r="E36" s="104">
        <f t="shared" si="51"/>
        <v>1</v>
      </c>
      <c r="F36" s="104">
        <f t="shared" si="51"/>
        <v>1.3333333333333333</v>
      </c>
      <c r="G36" s="104">
        <f t="shared" si="51"/>
        <v>1.6666666666666665</v>
      </c>
      <c r="H36" s="104">
        <f t="shared" si="51"/>
        <v>2</v>
      </c>
      <c r="I36" s="104">
        <f t="shared" si="51"/>
        <v>2.333333333333333</v>
      </c>
      <c r="J36" s="104">
        <f t="shared" si="51"/>
        <v>2.6666666666666665</v>
      </c>
      <c r="K36" s="104">
        <f t="shared" si="51"/>
        <v>3</v>
      </c>
      <c r="L36" s="104">
        <f t="shared" si="51"/>
        <v>3.333333333333333</v>
      </c>
      <c r="M36" s="104">
        <f t="shared" si="51"/>
        <v>3.6666666666666665</v>
      </c>
      <c r="N36" s="104">
        <f t="shared" si="51"/>
        <v>4</v>
      </c>
      <c r="O36" s="104">
        <f t="shared" si="51"/>
        <v>4.333333333333333</v>
      </c>
      <c r="P36" s="104">
        <f t="shared" si="51"/>
        <v>4.6666666666666661</v>
      </c>
      <c r="Q36" s="104">
        <f t="shared" si="51"/>
        <v>5</v>
      </c>
      <c r="R36" s="104">
        <f t="shared" si="51"/>
        <v>5.333333333333333</v>
      </c>
      <c r="S36" s="104">
        <f t="shared" si="51"/>
        <v>5.6666666666666661</v>
      </c>
      <c r="T36" s="104">
        <f t="shared" si="51"/>
        <v>6</v>
      </c>
      <c r="U36" s="104">
        <f t="shared" si="51"/>
        <v>6.333333333333333</v>
      </c>
      <c r="V36" s="104">
        <f t="shared" si="51"/>
        <v>6.6666666666666661</v>
      </c>
      <c r="W36" s="104">
        <f t="shared" si="51"/>
        <v>7</v>
      </c>
      <c r="X36" s="104">
        <f t="shared" si="51"/>
        <v>7.333333333333333</v>
      </c>
      <c r="Y36" s="104">
        <f t="shared" si="51"/>
        <v>7.6666666666666661</v>
      </c>
      <c r="Z36" s="104">
        <f t="shared" si="51"/>
        <v>8</v>
      </c>
      <c r="AA36" s="104">
        <f t="shared" si="51"/>
        <v>8.3333333333333321</v>
      </c>
      <c r="AB36" s="104">
        <f t="shared" si="51"/>
        <v>8.6666666666666661</v>
      </c>
      <c r="AC36" s="104">
        <f t="shared" si="51"/>
        <v>9</v>
      </c>
      <c r="AD36" s="104">
        <f t="shared" si="51"/>
        <v>9.3333333333333321</v>
      </c>
      <c r="AE36" s="104">
        <f t="shared" si="51"/>
        <v>9.6666666666666661</v>
      </c>
      <c r="AF36" s="104">
        <f t="shared" si="51"/>
        <v>10</v>
      </c>
      <c r="AG36" s="104">
        <f>10</f>
        <v>10</v>
      </c>
      <c r="AH36" s="104">
        <f>10</f>
        <v>10</v>
      </c>
      <c r="AI36" s="104">
        <f>10</f>
        <v>10</v>
      </c>
      <c r="AJ36" s="104">
        <f>10</f>
        <v>10</v>
      </c>
      <c r="AK36" s="104">
        <f>10</f>
        <v>10</v>
      </c>
      <c r="AL36" s="104">
        <f>10</f>
        <v>10</v>
      </c>
      <c r="AM36" s="104">
        <f>10</f>
        <v>10</v>
      </c>
      <c r="AN36" s="104">
        <f>10</f>
        <v>10</v>
      </c>
      <c r="AO36" s="104">
        <f>10</f>
        <v>10</v>
      </c>
      <c r="AP36" s="141">
        <f>10</f>
        <v>10</v>
      </c>
      <c r="AQ36" s="143"/>
    </row>
    <row r="37" spans="1:43" x14ac:dyDescent="0.35">
      <c r="A37" s="166" t="s">
        <v>11</v>
      </c>
      <c r="B37" s="167"/>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43" ht="29.5" thickBot="1" x14ac:dyDescent="0.4">
      <c r="A38" s="3" t="s">
        <v>4</v>
      </c>
      <c r="B38" s="26">
        <v>0.47499999999999998</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43" ht="15" thickBot="1" x14ac:dyDescent="0.4">
      <c r="A39" s="3" t="s">
        <v>5</v>
      </c>
      <c r="B39" s="14">
        <f>IF(B12="Conifères",1.3,1.56)</f>
        <v>1.56</v>
      </c>
      <c r="C39" s="94">
        <f>IF($B$14="Conifères",1.3,1.56)</f>
        <v>1.56</v>
      </c>
      <c r="D39" s="15"/>
      <c r="E39" s="15"/>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43" ht="29.5" thickBot="1" x14ac:dyDescent="0.4">
      <c r="A40" s="11" t="s">
        <v>147</v>
      </c>
      <c r="B40" s="49" t="s">
        <v>80</v>
      </c>
      <c r="C40" s="129">
        <f>IF(B40="Alisier torminal",0.62,IF(B40="Arbousier",0.64,IF(B40="Aulne vert",0.42,IF(B40="Grands aulnes",0.42,IF(B40="Bouleaux",0.52,IF(B40="Cèdre de l’Atlas",0.36,IF(B40="Charme",0.61,IF(B40="Charme-houblon",0.66,IF(B40="Châtaignier",0.47,IF(B40="Chêne chevelu",0.67,IF(B40="Chêne-liège",0.7,IF(B40="Chêne pédonculé",0.54,IF(B40="Chêne pubescent",0.65,IF(B40="Chêne rouge d’Amérique",0.56,IF(B40="Chêne rouvre (sessile)",0.58,IF(B40="Chêne tauzin",0.64,IF(B40="Chêne vert",0.73,IF(B40="Chênes indifférenciés",0.56,IF(B40="Cornouiller mâle",0.74,IF(B40="Cyprès",0.4,IF(B40="Cytise aubour",0.6,IF(B40="Douglas",0.43,IF(B40="Epicéa commun",0.37,IF(B40="Epicéa de Sitka",0.36,IF(B40="Grands érables",0.51,IF(B40="Petits érables",0.56,IF(B40="Eucalyptus",0.56,IF(B40="Genévrier thurifère",0.48,IF(B40="Hêtre",0.55,IF(B40="Frênes",0.56,IF(B40="Fruitiers",0.58,IF(B40="If",0.58,IF(B40="Mélèze d’Europe",0.48,IF(B40="Mélèze du Japon",0.42,IF(B40="Merisier",0.5,IF(B40="Micocoulier",0.55,IF(B40="Mûrier",0.53,IF(B40="Noisetier",0.52,IF(B40="Noyer",0.52,IF(B40="Olivier",0.75,IF(B40="Ormes",0.52,IF(B40="Peupliers cultivés",0.35,IF(B40="Peupliers non cultivés",0.37,IF(B40="Pin d'Alep",0.45,IF(B40="Pin cembro",0.39,IF(B40="Pin à crochets",0.44,IF(B40="Pin laricio",0.46,IF(B40="Pin maritime",0.46,IF(B40="Pin mugho",0.44,IF(B40="Pin noir d'Autriche",0.46,IF(B40="Pin pignon",0.48,IF(B40="Pin sylvestre",0.44,IF(B40="Pin Weymouth",0.34,IF(B40="Platanes",0.5,IF(B40="Robinier faux acacia",0.58,IF(B40="Sapin méditerranéen",0.37,IF(B40="Sapin de Nordmann",0.37,IF(B40="Sapin pectiné",0.38,IF(B40="Sapin de Vancouver",0.36,IF(B40="Saules",0.37,IF(B40="Tamaris",0.53,IF(B40="Tilleuls",0.43,IF(B40="Tremble",0.38,IF(B40="Conifères (moyenne)",0.42,IF(B40="Feuillus (moyenne)",0.57,0)))))))))))))))))))))))))))))))))))))))))))))))))))))))))))))))))</f>
        <v>0.56000000000000005</v>
      </c>
      <c r="D40" s="130" t="s">
        <v>86</v>
      </c>
      <c r="E40" s="131">
        <f>IF(D40="Alisier torminal",0.62,IF(D40="Arbousier",0.64,IF(D40="Aulne vert",0.42,IF(D40="Grands aulnes",0.42,IF(D40="Bouleaux",0.52,IF(D40="Cèdre de l’Atlas",0.36,IF(D40="Charme",0.61,IF(D40="Charme-houblon",0.66,IF(D40="Châtaignier",0.47,IF(D40="Chêne chevelu",0.67,IF(D40="Chêne-liège",0.7,IF(D40="Chêne pédonculé",0.54,IF(D40="Chêne pubescent",0.65,IF(D40="Chêne rouge d’Amérique",0.56,IF(D40="Chêne rouvre (sessile)",0.58,IF(D40="Chêne tauzin",0.64,IF(D40="Chêne vert",0.73,IF(D40="Chênes indifférenciés",0.56,IF(D40="Cornouiller mâle",0.74,IF(D40="Cyprès",0.4,IF(D40="Cytise aubour",0.6,IF(D40="Douglas",0.43,IF(D40="Epicéa commun",0.37,IF(D40="Epicéa de Sitka",0.36,IF(D40="Grands érables",0.51,IF(D40="Petits érables",0.56,IF(D40="Eucalyptus",0.56,IF(D40="Genévrier thurifère",0.48,IF(D40="Hêtre",0.55,IF(D40="Frênes",0.56,IF(D40="Fruitiers",0.58,IF(D40="If",0.58,IF(D40="Mélèze d’Europe",0.48,IF(D40="Mélèze du Japon",0.42,IF(D40="Merisier",0.5,IF(D40="Micocoulier",0.55,IF(D40="Mûrier",0.53,IF(D40="Noisetier",0.52,IF(D40="Noyer",0.52,IF(D40="Olivier",0.75,IF(D40="Ormes",0.52,IF(D40="Peupliers cultivés",0.35,IF(D40="Peupliers non cultivés",0.37,IF(D40="Pin d'Alep",0.45,IF(D40="Pin cembro",0.39,IF(D40="Pin à crochets",0.44,IF(D40="Pin laricio",0.46,IF(D40="Pin maritime",0.46,IF(D40="Pin mugho",0.44,IF(D40="Pin noir d'Autriche",0.46,IF(D40="Pin pignon",0.48,IF(D40="Pin sylvestre",0.44,IF(D40="Pin Weymouth",0.34,IF(D40="Platanes",0.5,IF(D40="Robinier faux acacia",0.58,IF(D40="Sapin méditerranéen",0.37,IF(D40="Sapin de Nordmann",0.37,IF(D40="Sapin pectiné",0.38,IF(D40="Sapin de Vancouver",0.36,IF(D40="Saules",0.37,IF(D40="Tamaris",0.53,IF(D40="Tilleuls",0.43,IF(D40="Tremble",0.38,IF(D40="Conifères (moyenne)",0.42,IF(D40="Feuillus (moyenne)",0.57,0)))))))))))))))))))))))))))))))))))))))))))))))))))))))))))))))))</f>
        <v>0.57999999999999996</v>
      </c>
      <c r="F40" s="130" t="s">
        <v>31</v>
      </c>
      <c r="G40" s="131">
        <f>IF(F40="Alisier torminal",0.62,IF(F40="Arbousier",0.64,IF(F40="Aulne vert",0.42,IF(F40="Grands aulnes",0.42,IF(F40="Bouleaux",0.52,IF(F40="Cèdre de l’Atlas",0.36,IF(F40="Charme",0.61,IF(F40="Charme-houblon",0.66,IF(F40="Châtaignier",0.47,IF(F40="Chêne chevelu",0.67,IF(F40="Chêne-liège",0.7,IF(F40="Chêne pédonculé",0.54,IF(F40="Chêne pubescent",0.65,IF(F40="Chêne rouge d’Amérique",0.56,IF(F40="Chêne rouvre (sessile)",0.58,IF(F40="Chêne tauzin",0.64,IF(F40="Chêne vert",0.73,IF(F40="Chênes indifférenciés",0.56,IF(F40="Cornouiller mâle",0.74,IF(F40="Cyprès",0.4,IF(F40="Cytise aubour",0.6,IF(F40="Douglas",0.43,IF(F40="Epicéa commun",0.37,IF(F40="Epicéa de Sitka",0.36,IF(F40="Grands érables",0.51,IF(F40="Petits érables",0.56,IF(F40="Eucalyptus",0.56,IF(F40="Genévrier thurifère",0.48,IF(F40="Hêtre",0.55,IF(F40="Frênes",0.56,IF(F40="Fruitiers",0.58,IF(F40="If",0.58,IF(F40="Mélèze d’Europe",0.48,IF(F40="Mélèze du Japon",0.42,IF(F40="Merisier",0.5,IF(F40="Micocoulier",0.55,IF(F40="Mûrier",0.53,IF(F40="Noisetier",0.52,IF(F40="Noyer",0.52,IF(F40="Olivier",0.75,IF(F40="Ormes",0.52,IF(F40="Peupliers cultivés",0.35,IF(F40="Peupliers non cultivés",0.37,IF(F40="Pin d'Alep",0.45,IF(F40="Pin cembro",0.39,IF(F40="Pin à crochets",0.44,IF(F40="Pin laricio",0.46,IF(F40="Pin maritime",0.46,IF(F40="Pin mugho",0.44,IF(F40="Pin noir d'Autriche",0.46,IF(F40="Pin pignon",0.48,IF(F40="Pin sylvestre",0.44,IF(F40="Pin Weymouth",0.34,IF(F40="Platanes",0.5,IF(F40="Robinier faux acacia",0.58,IF(F40="Sapin méditerranéen",0.37,IF(F40="Sapin de Nordmann",0.37,IF(F40="Sapin pectiné",0.38,IF(F40="Sapin de Vancouver",0.36,IF(F40="Saules",0.37,IF(F40="Tamaris",0.53,IF(F40="Tilleuls",0.43,IF(F40="Tremble",0.38,IF(F40="Conifères (moyenne)",0.42,IF(F40="Feuillus (moyenne)",0.57,0)))))))))))))))))))))))))))))))))))))))))))))))))))))))))))))))))</f>
        <v>0.57999999999999996</v>
      </c>
      <c r="H40" s="132" t="s">
        <v>26</v>
      </c>
      <c r="I40" s="25">
        <f>IF(H40="Alisier torminal",0.62,IF(H40="Arbousier",0.64,IF(H40="Aulne vert",0.42,IF(H40="Grands aulnes",0.42,IF(H40="Bouleaux",0.52,IF(H40="Cèdre de l’Atlas",0.36,IF(H40="Charme",0.61,IF(H40="Charme-houblon",0.66,IF(H40="Châtaignier",0.47,IF(H40="Chêne chevelu",0.67,IF(H40="Chêne-liège",0.7,IF(H40="Chêne pédonculé",0.54,IF(H40="Chêne pubescent",0.65,IF(H40="Chêne rouge d’Amérique",0.56,IF(H40="Chêne rouvre (sessile)",0.58,IF(H40="Chêne tauzin",0.64,IF(H40="Chêne vert",0.73,IF(H40="Chênes indifférenciés",0.56,IF(H40="Cornouiller mâle",0.74,IF(H40="Cyprès",0.4,IF(H40="Cytise aubour",0.6,IF(H40="Douglas",0.43,IF(H40="Epicéa commun",0.37,IF(H40="Epicéa de Sitka",0.36,IF(H40="Grands érables",0.51,IF(H40="Petits érables",0.56,IF(H40="Eucalyptus",0.56,IF(H40="Genévrier thurifère",0.48,IF(H40="Hêtre",0.55,IF(H40="Frênes",0.56,IF(H40="Fruitiers",0.58,IF(H40="If",0.58,IF(H40="Mélèze d’Europe",0.48,IF(H40="Mélèze du Japon",0.42,IF(H40="Merisier",0.5,IF(H40="Micocoulier",0.55,IF(H40="Mûrier",0.53,IF(H40="Noisetier",0.52,IF(H40="Noyer",0.52,IF(H40="Olivier",0.75,IF(H40="Ormes",0.52,IF(H40="Peupliers cultivés",0.35,IF(H40="Peupliers non cultivés",0.37,IF(H40="Pin d'Alep",0.45,IF(H40="Pin cembro",0.39,IF(H40="Pin à crochets",0.44,IF(H40="Pin laricio",0.46,IF(H40="Pin maritime",0.46,IF(H40="Pin mugho",0.44,IF(H40="Pin noir d'Autriche",0.46,IF(H40="Pin pignon",0.48,IF(H40="Pin sylvestre",0.44,IF(H40="Pin Weymouth",0.34,IF(H40="Platanes",0.5,IF(H40="Robinier faux acacia",0.58,IF(H40="Sapin méditerranéen",0.37,IF(H40="Sapin de Nordmann",0.37,IF(H40="Sapin pectiné",0.38,IF(H40="Sapin de Vancouver",0.36,IF(H40="Saules",0.37,IF(H40="Tamaris",0.53,IF(H40="Tilleuls",0.43,IF(H40="Tremble",0.38,IF(H40="Conifères (moyenne)",0.42,IF(H40="Feuillus (moyenne)",0.57,0)))))))))))))))))))))))))))))))))))))))))))))))))))))))))))))))))</f>
        <v>0.47</v>
      </c>
      <c r="J40" s="7"/>
      <c r="K40" s="7"/>
      <c r="L40" s="7"/>
      <c r="M40" s="7"/>
      <c r="N40" s="7"/>
      <c r="O40" s="7"/>
      <c r="P40" s="7"/>
      <c r="Q40" s="7"/>
      <c r="R40" s="7"/>
      <c r="S40" s="7"/>
      <c r="T40" s="7"/>
      <c r="U40" s="7"/>
      <c r="V40" s="7"/>
      <c r="W40" s="7"/>
      <c r="X40" s="7"/>
      <c r="Y40" s="7"/>
      <c r="Z40" s="7"/>
      <c r="AA40" s="7"/>
      <c r="AB40" s="7"/>
      <c r="AC40" s="7"/>
      <c r="AD40" s="7"/>
      <c r="AE40" s="7"/>
      <c r="AF40" s="7"/>
    </row>
    <row r="41" spans="1:43" ht="29" x14ac:dyDescent="0.35">
      <c r="A41" s="3" t="s">
        <v>10</v>
      </c>
      <c r="B41" s="26">
        <v>0</v>
      </c>
      <c r="C41" s="7"/>
      <c r="D41" s="7"/>
      <c r="E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43" x14ac:dyDescent="0.35">
      <c r="A42" s="3" t="s">
        <v>8</v>
      </c>
      <c r="B42" s="26">
        <v>10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43" ht="29" x14ac:dyDescent="0.35">
      <c r="A43" s="3" t="s">
        <v>12</v>
      </c>
      <c r="B43" s="26">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43" ht="17.5" customHeight="1" thickBot="1" x14ac:dyDescent="0.4">
      <c r="A44" s="162"/>
      <c r="B44" s="163"/>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43" ht="58.5" thickBot="1" x14ac:dyDescent="0.4">
      <c r="A45" s="4" t="s">
        <v>186</v>
      </c>
      <c r="B45" s="97">
        <f>AF21-(AF32*$B$10)</f>
        <v>243.37064050462357</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43" ht="44" thickBot="1" x14ac:dyDescent="0.4">
      <c r="A46" s="4" t="s">
        <v>187</v>
      </c>
      <c r="B46" s="93">
        <f>(1/B11)*SUM(B21:DR21)</f>
        <v>1160.3866401029677</v>
      </c>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row>
    <row r="47" spans="1:43" ht="44" thickBot="1" x14ac:dyDescent="0.4">
      <c r="A47" s="4" t="s">
        <v>188</v>
      </c>
      <c r="B47" s="93">
        <f>(1/$B$13)*(SUM(B32:AP32)*$B$10)</f>
        <v>908.8673398981191</v>
      </c>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row>
    <row r="48" spans="1:43" ht="73" thickBot="1" x14ac:dyDescent="0.4">
      <c r="A48" s="4" t="s">
        <v>189</v>
      </c>
      <c r="B48" s="97">
        <f>B46-B47</f>
        <v>251.51930020484861</v>
      </c>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row>
  </sheetData>
  <mergeCells count="3">
    <mergeCell ref="A44:B44"/>
    <mergeCell ref="A9:B9"/>
    <mergeCell ref="A37:B3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showInputMessage="1" showErrorMessage="1" prompt="Information nécessaire pour le scénario de référence">
          <x14:formula1>
            <xm:f>'Listes choix'!$T$2:$T$3</xm:f>
          </x14:formula1>
          <xm:sqref>B16</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l'essence pour avoir la di pour le scénario de projet">
          <x14:formula1>
            <xm:f>'Listes choix'!$C$2:$C$66</xm:f>
          </x14:formula1>
          <xm:sqref>B40 D40 F40</xm:sqref>
        </x14:dataValidation>
        <x14:dataValidation type="list" showInputMessage="1" showErrorMessage="1" prompt="Information nécessaire pour le calcul du stock de la Biomasse Aérienne du scénario de référence">
          <x14:formula1>
            <xm:f>'Listes choix'!$B$2:$B$3</xm:f>
          </x14:formula1>
          <xm:sqref>B14</xm:sqref>
        </x14:dataValidation>
        <x14:dataValidation type="list" allowBlank="1" showInputMessage="1" showErrorMessage="1" prompt="Choisir l'essence pour avoir la di pour le scénario de référence">
          <x14:formula1>
            <xm:f>'Listes choix'!$C$2:$C$66</xm:f>
          </x14:formula1>
          <xm:sqref>H40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31"/>
  <sheetViews>
    <sheetView zoomScale="78" workbookViewId="0">
      <selection activeCell="AF22" sqref="AF22"/>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02"/>
    </row>
    <row r="4" spans="1:177" ht="16" thickBot="1" x14ac:dyDescent="0.4">
      <c r="A4" s="19"/>
      <c r="B4" s="7"/>
    </row>
    <row r="5" spans="1:177" ht="47" thickBot="1" x14ac:dyDescent="0.4">
      <c r="A5" s="20" t="s">
        <v>211</v>
      </c>
      <c r="B5" s="98">
        <f>(SUM(B14:AF14)/30)*(44/12)</f>
        <v>13.541933243729678</v>
      </c>
    </row>
    <row r="7" spans="1:177" ht="15" thickBot="1" x14ac:dyDescent="0.4"/>
    <row r="8" spans="1:177" x14ac:dyDescent="0.35">
      <c r="A8" s="164" t="s">
        <v>14</v>
      </c>
      <c r="B8" s="165"/>
    </row>
    <row r="9" spans="1:177" ht="15" thickBot="1" x14ac:dyDescent="0.4">
      <c r="A9" s="4" t="s">
        <v>15</v>
      </c>
      <c r="B9" s="21">
        <v>30</v>
      </c>
    </row>
    <row r="10" spans="1:177" ht="15" thickBot="1" x14ac:dyDescent="0.4"/>
    <row r="11" spans="1:177" s="5" customFormat="1" ht="15.5" x14ac:dyDescent="0.35">
      <c r="A11" s="172" t="s">
        <v>1</v>
      </c>
      <c r="B11" s="173"/>
      <c r="C11" s="173"/>
      <c r="D11" s="173"/>
      <c r="E11" s="173"/>
      <c r="F11" s="173"/>
      <c r="G11" s="173"/>
      <c r="H11" s="173"/>
      <c r="I11" s="173"/>
      <c r="J11" s="173"/>
      <c r="K11" s="173"/>
      <c r="L11" s="173"/>
      <c r="M11" s="173"/>
      <c r="N11" s="173"/>
      <c r="O11" s="173"/>
      <c r="P11" s="173"/>
      <c r="Q11" s="173"/>
      <c r="R11" s="173"/>
      <c r="S11" s="173"/>
      <c r="T11" s="173"/>
      <c r="U11" s="173"/>
      <c r="V11" s="173"/>
      <c r="W11" s="173"/>
      <c r="X11" s="173"/>
      <c r="Y11" s="173"/>
      <c r="Z11" s="173"/>
      <c r="AA11" s="173"/>
      <c r="AB11" s="173"/>
      <c r="AC11" s="173"/>
      <c r="AD11" s="173"/>
      <c r="AE11" s="173"/>
      <c r="AF11" s="174"/>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row>
    <row r="12" spans="1:177" ht="29" x14ac:dyDescent="0.35">
      <c r="A12" s="3" t="s">
        <v>159</v>
      </c>
      <c r="B12" s="12">
        <v>0</v>
      </c>
      <c r="C12" s="12">
        <v>1</v>
      </c>
      <c r="D12" s="12">
        <v>2</v>
      </c>
      <c r="E12" s="12">
        <v>3</v>
      </c>
      <c r="F12" s="12">
        <v>4</v>
      </c>
      <c r="G12" s="12">
        <v>5</v>
      </c>
      <c r="H12" s="12">
        <v>6</v>
      </c>
      <c r="I12" s="12">
        <v>7</v>
      </c>
      <c r="J12" s="12">
        <v>8</v>
      </c>
      <c r="K12" s="12">
        <v>9</v>
      </c>
      <c r="L12" s="12">
        <v>10</v>
      </c>
      <c r="M12" s="12">
        <v>11</v>
      </c>
      <c r="N12" s="12">
        <v>12</v>
      </c>
      <c r="O12" s="12">
        <v>13</v>
      </c>
      <c r="P12" s="12">
        <v>14</v>
      </c>
      <c r="Q12" s="12">
        <v>15</v>
      </c>
      <c r="R12" s="12">
        <v>16</v>
      </c>
      <c r="S12" s="12">
        <v>17</v>
      </c>
      <c r="T12" s="12">
        <v>18</v>
      </c>
      <c r="U12" s="12">
        <v>19</v>
      </c>
      <c r="V12" s="12">
        <v>20</v>
      </c>
      <c r="W12" s="12">
        <v>21</v>
      </c>
      <c r="X12" s="12">
        <v>22</v>
      </c>
      <c r="Y12" s="12">
        <v>23</v>
      </c>
      <c r="Z12" s="12">
        <v>24</v>
      </c>
      <c r="AA12" s="116">
        <v>25</v>
      </c>
      <c r="AB12" s="12">
        <v>26</v>
      </c>
      <c r="AC12" s="12">
        <v>27</v>
      </c>
      <c r="AD12" s="12">
        <v>28</v>
      </c>
      <c r="AE12" s="12">
        <v>29</v>
      </c>
      <c r="AF12" s="26">
        <v>30</v>
      </c>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row>
    <row r="13" spans="1:177" s="5" customFormat="1" x14ac:dyDescent="0.35">
      <c r="A13" s="175" t="s">
        <v>3</v>
      </c>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7"/>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212</v>
      </c>
      <c r="B14" s="12">
        <f>B15*0.5</f>
        <v>0</v>
      </c>
      <c r="C14" s="12">
        <f>C15*0.9997</f>
        <v>0</v>
      </c>
      <c r="D14" s="12">
        <f t="shared" ref="D14:AE14" si="0">D15*0.9997</f>
        <v>0</v>
      </c>
      <c r="E14" s="12">
        <f t="shared" si="0"/>
        <v>0</v>
      </c>
      <c r="F14" s="12">
        <f t="shared" si="0"/>
        <v>0</v>
      </c>
      <c r="G14" s="12">
        <f t="shared" si="0"/>
        <v>0</v>
      </c>
      <c r="H14" s="12">
        <f t="shared" si="0"/>
        <v>0</v>
      </c>
      <c r="I14" s="12">
        <f t="shared" si="0"/>
        <v>0</v>
      </c>
      <c r="J14" s="12">
        <f t="shared" si="0"/>
        <v>0</v>
      </c>
      <c r="K14" s="12">
        <f t="shared" si="0"/>
        <v>0</v>
      </c>
      <c r="L14" s="12">
        <f t="shared" si="0"/>
        <v>0</v>
      </c>
      <c r="M14" s="12">
        <f t="shared" si="0"/>
        <v>0</v>
      </c>
      <c r="N14" s="12">
        <f t="shared" si="0"/>
        <v>0</v>
      </c>
      <c r="O14" s="12">
        <f t="shared" si="0"/>
        <v>0</v>
      </c>
      <c r="P14" s="12">
        <f t="shared" si="0"/>
        <v>0</v>
      </c>
      <c r="Q14" s="12">
        <f t="shared" si="0"/>
        <v>0</v>
      </c>
      <c r="R14" s="12">
        <f t="shared" si="0"/>
        <v>0</v>
      </c>
      <c r="S14" s="12">
        <f t="shared" si="0"/>
        <v>0</v>
      </c>
      <c r="T14" s="12">
        <f t="shared" si="0"/>
        <v>0</v>
      </c>
      <c r="U14" s="12">
        <f t="shared" si="0"/>
        <v>0</v>
      </c>
      <c r="V14" s="12">
        <f t="shared" si="0"/>
        <v>0</v>
      </c>
      <c r="W14" s="12">
        <f t="shared" si="0"/>
        <v>0</v>
      </c>
      <c r="X14" s="12">
        <f t="shared" si="0"/>
        <v>0</v>
      </c>
      <c r="Y14" s="12">
        <f t="shared" si="0"/>
        <v>0</v>
      </c>
      <c r="Z14" s="12">
        <f t="shared" si="0"/>
        <v>0</v>
      </c>
      <c r="AA14" s="12">
        <f t="shared" si="0"/>
        <v>0</v>
      </c>
      <c r="AB14" s="12">
        <f t="shared" si="0"/>
        <v>28.685383040983048</v>
      </c>
      <c r="AC14" s="12">
        <f t="shared" si="0"/>
        <v>24.972076364692878</v>
      </c>
      <c r="AD14" s="12">
        <f t="shared" si="0"/>
        <v>21.739455145957216</v>
      </c>
      <c r="AE14" s="12">
        <f t="shared" si="0"/>
        <v>18.925294923063877</v>
      </c>
      <c r="AF14" s="12">
        <f>AF15*0.9997</f>
        <v>16.475426155818539</v>
      </c>
      <c r="AG14" s="125"/>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x14ac:dyDescent="0.35">
      <c r="A15" s="88" t="s">
        <v>183</v>
      </c>
      <c r="B15" s="12">
        <v>0</v>
      </c>
      <c r="C15" s="28">
        <f>C16+B17</f>
        <v>0</v>
      </c>
      <c r="D15" s="28">
        <f>D16+C17</f>
        <v>0</v>
      </c>
      <c r="E15" s="28">
        <f t="shared" ref="E15:AF15" si="1">E16+D17</f>
        <v>0</v>
      </c>
      <c r="F15" s="28">
        <f t="shared" si="1"/>
        <v>0</v>
      </c>
      <c r="G15" s="28">
        <f t="shared" si="1"/>
        <v>0</v>
      </c>
      <c r="H15" s="28">
        <f t="shared" si="1"/>
        <v>0</v>
      </c>
      <c r="I15" s="28">
        <f t="shared" si="1"/>
        <v>0</v>
      </c>
      <c r="J15" s="28">
        <f t="shared" si="1"/>
        <v>0</v>
      </c>
      <c r="K15" s="28">
        <f>K16+J17</f>
        <v>0</v>
      </c>
      <c r="L15" s="28">
        <f t="shared" si="1"/>
        <v>0</v>
      </c>
      <c r="M15" s="28">
        <f t="shared" si="1"/>
        <v>0</v>
      </c>
      <c r="N15" s="28">
        <f t="shared" si="1"/>
        <v>0</v>
      </c>
      <c r="O15" s="28">
        <f t="shared" si="1"/>
        <v>0</v>
      </c>
      <c r="P15" s="28">
        <f t="shared" si="1"/>
        <v>0</v>
      </c>
      <c r="Q15" s="28">
        <f t="shared" si="1"/>
        <v>0</v>
      </c>
      <c r="R15" s="28">
        <f t="shared" si="1"/>
        <v>0</v>
      </c>
      <c r="S15" s="28">
        <f t="shared" si="1"/>
        <v>0</v>
      </c>
      <c r="T15" s="28">
        <f t="shared" si="1"/>
        <v>0</v>
      </c>
      <c r="U15" s="28">
        <f t="shared" si="1"/>
        <v>0</v>
      </c>
      <c r="V15" s="28">
        <f t="shared" si="1"/>
        <v>0</v>
      </c>
      <c r="W15" s="28">
        <f t="shared" si="1"/>
        <v>0</v>
      </c>
      <c r="X15" s="28">
        <f t="shared" si="1"/>
        <v>0</v>
      </c>
      <c r="Y15" s="28">
        <f t="shared" si="1"/>
        <v>0</v>
      </c>
      <c r="Z15" s="28">
        <f t="shared" si="1"/>
        <v>0</v>
      </c>
      <c r="AA15" s="91">
        <f>AA16+Z17</f>
        <v>0</v>
      </c>
      <c r="AB15" s="91">
        <f t="shared" si="1"/>
        <v>28.693991238354553</v>
      </c>
      <c r="AC15" s="91">
        <f t="shared" si="1"/>
        <v>24.979570235763607</v>
      </c>
      <c r="AD15" s="91">
        <f t="shared" si="1"/>
        <v>21.745978939639105</v>
      </c>
      <c r="AE15" s="91">
        <f t="shared" si="1"/>
        <v>18.930974215328476</v>
      </c>
      <c r="AF15" s="139">
        <f t="shared" si="1"/>
        <v>16.480370266898607</v>
      </c>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ht="29" x14ac:dyDescent="0.35">
      <c r="A16" s="88" t="s">
        <v>184</v>
      </c>
      <c r="B16" s="12">
        <v>0</v>
      </c>
      <c r="C16" s="28">
        <f>(EXP(-$C$29))*B15</f>
        <v>0</v>
      </c>
      <c r="D16" s="28">
        <f t="shared" ref="D16:AF16" si="2">(EXP(-$C$29))*C15</f>
        <v>0</v>
      </c>
      <c r="E16" s="28">
        <f t="shared" si="2"/>
        <v>0</v>
      </c>
      <c r="F16" s="28">
        <f t="shared" si="2"/>
        <v>0</v>
      </c>
      <c r="G16" s="28">
        <f t="shared" si="2"/>
        <v>0</v>
      </c>
      <c r="H16" s="28">
        <f t="shared" si="2"/>
        <v>0</v>
      </c>
      <c r="I16" s="28">
        <f t="shared" si="2"/>
        <v>0</v>
      </c>
      <c r="J16" s="28">
        <f t="shared" si="2"/>
        <v>0</v>
      </c>
      <c r="K16" s="28">
        <f t="shared" si="2"/>
        <v>0</v>
      </c>
      <c r="L16" s="28">
        <f t="shared" si="2"/>
        <v>0</v>
      </c>
      <c r="M16" s="28">
        <f t="shared" si="2"/>
        <v>0</v>
      </c>
      <c r="N16" s="28">
        <f t="shared" si="2"/>
        <v>0</v>
      </c>
      <c r="O16" s="28">
        <f t="shared" si="2"/>
        <v>0</v>
      </c>
      <c r="P16" s="28">
        <f t="shared" si="2"/>
        <v>0</v>
      </c>
      <c r="Q16" s="28">
        <f t="shared" si="2"/>
        <v>0</v>
      </c>
      <c r="R16" s="28">
        <f t="shared" si="2"/>
        <v>0</v>
      </c>
      <c r="S16" s="28">
        <f t="shared" si="2"/>
        <v>0</v>
      </c>
      <c r="T16" s="28">
        <f t="shared" si="2"/>
        <v>0</v>
      </c>
      <c r="U16" s="28">
        <f t="shared" si="2"/>
        <v>0</v>
      </c>
      <c r="V16" s="28">
        <f t="shared" si="2"/>
        <v>0</v>
      </c>
      <c r="W16" s="28">
        <f t="shared" si="2"/>
        <v>0</v>
      </c>
      <c r="X16" s="28">
        <f t="shared" si="2"/>
        <v>0</v>
      </c>
      <c r="Y16" s="28">
        <f t="shared" si="2"/>
        <v>0</v>
      </c>
      <c r="Z16" s="28">
        <f t="shared" si="2"/>
        <v>0</v>
      </c>
      <c r="AA16" s="91">
        <f t="shared" si="2"/>
        <v>0</v>
      </c>
      <c r="AB16" s="91">
        <f t="shared" si="2"/>
        <v>0</v>
      </c>
      <c r="AC16" s="91">
        <f t="shared" si="2"/>
        <v>24.979570235763607</v>
      </c>
      <c r="AD16" s="91">
        <f t="shared" si="2"/>
        <v>21.745978939639105</v>
      </c>
      <c r="AE16" s="91">
        <f t="shared" si="2"/>
        <v>18.930974215328476</v>
      </c>
      <c r="AF16" s="139">
        <f t="shared" si="2"/>
        <v>16.480370266898607</v>
      </c>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ht="43.5" x14ac:dyDescent="0.35">
      <c r="A17" s="88" t="s">
        <v>185</v>
      </c>
      <c r="B17" s="12">
        <f>((1-EXP(-$C$29))/$C$29)*(B18*$C$21*$B$20)</f>
        <v>0</v>
      </c>
      <c r="C17" s="12">
        <f t="shared" ref="C17:AF17" si="3">((1-EXP(-$C$29))/$C$29)*(C18*$C$21*$B$20)</f>
        <v>0</v>
      </c>
      <c r="D17" s="12">
        <f t="shared" si="3"/>
        <v>0</v>
      </c>
      <c r="E17" s="12">
        <f t="shared" si="3"/>
        <v>0</v>
      </c>
      <c r="F17" s="12">
        <f t="shared" si="3"/>
        <v>0</v>
      </c>
      <c r="G17" s="12">
        <f t="shared" si="3"/>
        <v>0</v>
      </c>
      <c r="H17" s="12">
        <f t="shared" si="3"/>
        <v>0</v>
      </c>
      <c r="I17" s="12">
        <f t="shared" si="3"/>
        <v>0</v>
      </c>
      <c r="J17" s="12">
        <f t="shared" si="3"/>
        <v>0</v>
      </c>
      <c r="K17" s="12">
        <f t="shared" si="3"/>
        <v>0</v>
      </c>
      <c r="L17" s="12">
        <f t="shared" si="3"/>
        <v>0</v>
      </c>
      <c r="M17" s="12">
        <f t="shared" si="3"/>
        <v>0</v>
      </c>
      <c r="N17" s="12">
        <f t="shared" si="3"/>
        <v>0</v>
      </c>
      <c r="O17" s="12">
        <f t="shared" si="3"/>
        <v>0</v>
      </c>
      <c r="P17" s="12">
        <f t="shared" si="3"/>
        <v>0</v>
      </c>
      <c r="Q17" s="12">
        <f t="shared" si="3"/>
        <v>0</v>
      </c>
      <c r="R17" s="12">
        <f t="shared" si="3"/>
        <v>0</v>
      </c>
      <c r="S17" s="12">
        <f t="shared" si="3"/>
        <v>0</v>
      </c>
      <c r="T17" s="12">
        <f t="shared" si="3"/>
        <v>0</v>
      </c>
      <c r="U17" s="12">
        <f t="shared" si="3"/>
        <v>0</v>
      </c>
      <c r="V17" s="12">
        <f t="shared" si="3"/>
        <v>0</v>
      </c>
      <c r="W17" s="12">
        <f t="shared" si="3"/>
        <v>0</v>
      </c>
      <c r="X17" s="12">
        <f t="shared" si="3"/>
        <v>0</v>
      </c>
      <c r="Y17" s="12">
        <f t="shared" si="3"/>
        <v>0</v>
      </c>
      <c r="Z17" s="12">
        <f t="shared" si="3"/>
        <v>0</v>
      </c>
      <c r="AA17" s="91">
        <f>((1-EXP(-$C$29))/$C$29)*(AA18*$C$21*$B$20)</f>
        <v>28.693991238354553</v>
      </c>
      <c r="AB17" s="91">
        <f t="shared" si="3"/>
        <v>0</v>
      </c>
      <c r="AC17" s="91">
        <f t="shared" si="3"/>
        <v>0</v>
      </c>
      <c r="AD17" s="91">
        <f t="shared" si="3"/>
        <v>0</v>
      </c>
      <c r="AE17" s="91">
        <f t="shared" si="3"/>
        <v>0</v>
      </c>
      <c r="AF17" s="139">
        <f t="shared" si="3"/>
        <v>0</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15" thickBot="1" x14ac:dyDescent="0.4">
      <c r="A18" s="18" t="s">
        <v>210</v>
      </c>
      <c r="B18" s="17"/>
      <c r="C18" s="56"/>
      <c r="D18" s="56"/>
      <c r="E18" s="56"/>
      <c r="F18" s="56"/>
      <c r="G18" s="56"/>
      <c r="H18" s="56"/>
      <c r="I18" s="56"/>
      <c r="J18" s="56"/>
      <c r="K18" s="56"/>
      <c r="L18" s="56"/>
      <c r="M18" s="56"/>
      <c r="N18" s="56"/>
      <c r="O18" s="56"/>
      <c r="P18" s="56"/>
      <c r="Q18" s="56"/>
      <c r="R18" s="56"/>
      <c r="S18" s="56"/>
      <c r="T18" s="56"/>
      <c r="U18" s="56"/>
      <c r="V18" s="56"/>
      <c r="W18" s="56"/>
      <c r="X18" s="56"/>
      <c r="Y18" s="56"/>
      <c r="Z18" s="56"/>
      <c r="AA18" s="145">
        <f>(60*(290/1.56))/100</f>
        <v>111.53846153846152</v>
      </c>
      <c r="AB18" s="145"/>
      <c r="AC18" s="145"/>
      <c r="AD18" s="145"/>
      <c r="AE18" s="145"/>
      <c r="AF18" s="146"/>
    </row>
    <row r="19" spans="1:177" x14ac:dyDescent="0.35">
      <c r="A19" s="166" t="s">
        <v>11</v>
      </c>
      <c r="B19" s="178"/>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1:177" ht="29.5" thickBot="1" x14ac:dyDescent="0.4">
      <c r="A20" s="3" t="s">
        <v>4</v>
      </c>
      <c r="B20" s="26">
        <v>0.47499999999999998</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177" ht="29" x14ac:dyDescent="0.35">
      <c r="A21" s="3" t="s">
        <v>6</v>
      </c>
      <c r="B21" s="23" t="s">
        <v>86</v>
      </c>
      <c r="C21" s="147">
        <f>IF(B21="Alisier torminal",0.62,IF(B21="Arbousier",0.64,IF(B21="Aulne vert",0.42,IF(B21="Grands aulnes",0.42,IF(B21="Bouleaux",0.52,IF(B21="Cèdre de l’Atlas",0.36,IF(B21="Charme",0.61,IF(B21="Charme-houblon",0.66,IF(B21="Châtaignier",0.47,IF(B21="Chêne chevelu",0.67,IF(B21="Chêne-liège",0.7,IF(B21="Chêne pédonculé",0.54,IF(B21="Chêne pubescent",0.65,IF(B21="Chêne rouge d’Amérique",0.56,IF(B21="Chêne rouvre (sessile)",0.58,IF(B21="Chêne tauzin",0.64,IF(B21="Chêne vert",0.73,IF(B21="Chênes indifférenciés",0.56,IF(B21="Cornouiller mâle",0.74,IF(B21="Cyprès",0.4,IF(B21="Cytise aubour",0.6,IF(B21="Douglas",0.43,IF(B21="Epicéa commun",0.37,IF(B21="Epicéa de Sitka",0.36,IF(B21="Grands érables",0.51,IF(B21="Petits érables",0.56,IF(B21="Eucalyptus",0.56,IF(B21="Genévrier thurifère",0.48,IF(B21="Hêtre",0.55,IF(B21="Frênes",0.56,IF(B21="Fruitiers",0.58,IF(B21="If",0.58,IF(B21="Mélèze d’Europe",0.48,IF(B21="Mélèze du Japon",0.42,IF(B21="Merisier",0.5,IF(B21="Micocoulier",0.55,IF(B21="Mûrier",0.53,IF(B21="Noisetier",0.52,IF(B21="Noyer",0.52,IF(B21="Olivier",0.75,IF(B21="Ormes",0.52,IF(B21="Peupliers cultivés",0.35,IF(B21="Peupliers non cultivés",0.37,IF(B21="Pin d'Alep",0.45,IF(B21="Pin cembro",0.39,IF(B21="Pin à crochets",0.44,IF(B21="Pin laricio",0.46,IF(B21="Pin maritime",0.46,IF(B21="Pin mugho",0.44,IF(B21="Pin noir d'Autriche",0.46,IF(B21="Pin pignon",0.48,IF(B21="Pin sylvestre",0.44,IF(B21="Pin Weymouth",0.34,IF(B21="Platanes",0.5,IF(B21="Robinier faux acacia",0.58,IF(B21="Sapin méditerranéen",0.37,IF(B21="Sapin de Nordmann",0.37,IF(B21="Sapin pectiné",0.38,IF(B21="Sapin de Vancouver",0.36,IF(B21="Saules",0.37,IF(B21="Tamaris",0.53,IF(B21="Tilleuls",0.43,IF(B21="Tremble",0.38,IF(B21="Conifères (moyenne)",0.42,IF(B21="Feuillus (moyenne)",0.57,0)))))))))))))))))))))))))))))))))))))))))))))))))))))))))))))))))</f>
        <v>0.57999999999999996</v>
      </c>
      <c r="D21" s="54"/>
      <c r="E21" s="15"/>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177" ht="14.5" customHeight="1" x14ac:dyDescent="0.35">
      <c r="A22" s="168" t="s">
        <v>88</v>
      </c>
      <c r="B22" s="12" t="s">
        <v>91</v>
      </c>
      <c r="C22" s="13">
        <v>35</v>
      </c>
      <c r="D22" s="54"/>
      <c r="E22" s="15"/>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177" x14ac:dyDescent="0.35">
      <c r="A23" s="169"/>
      <c r="B23" s="12" t="s">
        <v>92</v>
      </c>
      <c r="C23" s="13">
        <v>25</v>
      </c>
      <c r="D23" s="54"/>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69"/>
      <c r="B24" s="12" t="s">
        <v>93</v>
      </c>
      <c r="C24" s="13">
        <v>2</v>
      </c>
      <c r="D24" s="125"/>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71"/>
      <c r="B25" s="27" t="s">
        <v>148</v>
      </c>
      <c r="C25" s="148">
        <v>5</v>
      </c>
      <c r="D25" s="125"/>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ht="29" customHeight="1" x14ac:dyDescent="0.35">
      <c r="A26" s="168" t="s">
        <v>94</v>
      </c>
      <c r="B26" s="27" t="s">
        <v>91</v>
      </c>
      <c r="C26" s="149">
        <f>LN(2)/C22</f>
        <v>1.980420515885558E-2</v>
      </c>
      <c r="D26" s="143"/>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row>
    <row r="27" spans="1:177" x14ac:dyDescent="0.35">
      <c r="A27" s="169"/>
      <c r="B27" s="12" t="s">
        <v>92</v>
      </c>
      <c r="C27" s="149">
        <f>LN(2)/C23</f>
        <v>2.7725887222397813E-2</v>
      </c>
      <c r="D27" s="143"/>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row>
    <row r="28" spans="1:177" x14ac:dyDescent="0.35">
      <c r="A28" s="169"/>
      <c r="B28" s="57" t="s">
        <v>93</v>
      </c>
      <c r="C28" s="150">
        <f>LN(2)/C24</f>
        <v>0.34657359027997264</v>
      </c>
      <c r="D28" s="143"/>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row>
    <row r="29" spans="1:177" ht="15" thickBot="1" x14ac:dyDescent="0.4">
      <c r="A29" s="170"/>
      <c r="B29" s="24" t="s">
        <v>148</v>
      </c>
      <c r="C29" s="151">
        <f>LN(2)/C25</f>
        <v>0.13862943611198905</v>
      </c>
      <c r="D29" s="143"/>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row>
    <row r="30" spans="1:177" x14ac:dyDescent="0.35">
      <c r="A30" s="8"/>
      <c r="B30" s="101"/>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row>
    <row r="31" spans="1:177" x14ac:dyDescent="0.35">
      <c r="A31" s="8"/>
      <c r="B31" s="101"/>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row>
  </sheetData>
  <mergeCells count="6">
    <mergeCell ref="A26:A29"/>
    <mergeCell ref="A22:A25"/>
    <mergeCell ref="A8:B8"/>
    <mergeCell ref="A11:AF11"/>
    <mergeCell ref="A13:AF13"/>
    <mergeCell ref="A19:B19"/>
  </mergeCells>
  <conditionalFormatting sqref="B18:AF18">
    <cfRule type="cellIs" dxfId="1" priority="2" operator="greaterThan">
      <formula>0</formula>
    </cfRule>
  </conditionalFormatting>
  <conditionalFormatting sqref="B14:AF17">
    <cfRule type="cellIs" dxfId="0" priority="1"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D21:D23</xm:sqref>
        </x14:dataValidation>
        <x14:dataValidation type="list" showInputMessage="1" showErrorMessage="1" prompt="Choisir l'essence pour avoir la di pour le scénario de projet">
          <x14:formula1>
            <xm:f>'Listes choix'!$C$2:$C$66</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4"/>
  <sheetViews>
    <sheetView topLeftCell="A20" zoomScale="85" workbookViewId="0">
      <selection activeCell="W15" sqref="W15"/>
    </sheetView>
  </sheetViews>
  <sheetFormatPr baseColWidth="10" defaultRowHeight="14.5" x14ac:dyDescent="0.35"/>
  <cols>
    <col min="1" max="1" width="38.08984375" style="1" customWidth="1"/>
    <col min="2" max="2" width="27.08984375" customWidth="1"/>
    <col min="4" max="4" width="13.1796875" customWidth="1"/>
  </cols>
  <sheetData>
    <row r="4" spans="1:32" ht="16" thickBot="1" x14ac:dyDescent="0.4">
      <c r="A4" s="19"/>
      <c r="B4" s="7"/>
    </row>
    <row r="5" spans="1:32" ht="16" thickBot="1" x14ac:dyDescent="0.4">
      <c r="A5" s="20" t="s">
        <v>178</v>
      </c>
      <c r="B5" s="98">
        <f>B6/B10</f>
        <v>24.665121316765006</v>
      </c>
    </row>
    <row r="6" spans="1:32" ht="16" thickBot="1" x14ac:dyDescent="0.4">
      <c r="A6" s="20" t="s">
        <v>95</v>
      </c>
      <c r="B6" s="98">
        <f>SUM(B25:AE25)</f>
        <v>69.77762820512821</v>
      </c>
    </row>
    <row r="8" spans="1:32" ht="15" thickBot="1" x14ac:dyDescent="0.4"/>
    <row r="9" spans="1:32" ht="15" thickBot="1" x14ac:dyDescent="0.4">
      <c r="A9" s="164" t="s">
        <v>14</v>
      </c>
      <c r="B9" s="165"/>
    </row>
    <row r="10" spans="1:32" x14ac:dyDescent="0.35">
      <c r="A10" s="2" t="s">
        <v>7</v>
      </c>
      <c r="B10" s="89">
        <v>2.8290000000000002</v>
      </c>
    </row>
    <row r="11" spans="1:32" x14ac:dyDescent="0.35">
      <c r="A11" s="92" t="s">
        <v>15</v>
      </c>
      <c r="B11" s="96">
        <v>30</v>
      </c>
    </row>
    <row r="12" spans="1:32" x14ac:dyDescent="0.35">
      <c r="A12" s="3" t="s">
        <v>108</v>
      </c>
      <c r="B12" s="34" t="s">
        <v>18</v>
      </c>
    </row>
    <row r="13" spans="1:32" ht="29" x14ac:dyDescent="0.35">
      <c r="A13" s="3" t="s">
        <v>195</v>
      </c>
      <c r="B13" s="34" t="s">
        <v>18</v>
      </c>
    </row>
    <row r="14" spans="1:32" ht="36" customHeight="1" x14ac:dyDescent="0.35">
      <c r="A14" s="3" t="s">
        <v>160</v>
      </c>
      <c r="B14" s="26">
        <f>IF(B12="Feuillus",C31,IF(B12="Peuplier",C32,IF(B12="Résineux",C34,IF(B12="Pin maritime en gestion dynamique (3 éclaircies durant les 30 1ères années)",C33,0))))</f>
        <v>0.25</v>
      </c>
    </row>
    <row r="15" spans="1:32" ht="29.5" thickBot="1" x14ac:dyDescent="0.4">
      <c r="A15" s="4" t="s">
        <v>111</v>
      </c>
      <c r="B15" s="38">
        <f>IF(B13="Feuillus",0,IF(B13="Résineux pionniers (PM, PA, PS…)",0.43,0))</f>
        <v>0</v>
      </c>
    </row>
    <row r="16" spans="1:32" ht="15" thickBot="1" x14ac:dyDescent="0.4">
      <c r="AF16" s="7"/>
    </row>
    <row r="17" spans="1:177" s="5" customFormat="1" ht="15.5" x14ac:dyDescent="0.35">
      <c r="A17" s="172" t="s">
        <v>96</v>
      </c>
      <c r="B17" s="173"/>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4"/>
      <c r="AF17" s="19"/>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x14ac:dyDescent="0.35">
      <c r="A18" s="3" t="s">
        <v>16</v>
      </c>
      <c r="B18" s="12">
        <v>1</v>
      </c>
      <c r="C18" s="12">
        <v>2</v>
      </c>
      <c r="D18" s="12">
        <v>3</v>
      </c>
      <c r="E18" s="12">
        <v>4</v>
      </c>
      <c r="F18" s="12">
        <v>5</v>
      </c>
      <c r="G18" s="12">
        <v>6</v>
      </c>
      <c r="H18" s="12">
        <v>7</v>
      </c>
      <c r="I18" s="12">
        <v>8</v>
      </c>
      <c r="J18" s="12">
        <v>9</v>
      </c>
      <c r="K18" s="12">
        <v>10</v>
      </c>
      <c r="L18" s="12">
        <v>11</v>
      </c>
      <c r="M18" s="12">
        <v>12</v>
      </c>
      <c r="N18" s="12">
        <v>13</v>
      </c>
      <c r="O18" s="12">
        <v>14</v>
      </c>
      <c r="P18" s="116">
        <v>15</v>
      </c>
      <c r="Q18" s="12">
        <v>16</v>
      </c>
      <c r="R18" s="12">
        <v>17</v>
      </c>
      <c r="S18" s="12">
        <v>18</v>
      </c>
      <c r="T18" s="12">
        <v>19</v>
      </c>
      <c r="U18" s="12">
        <v>20</v>
      </c>
      <c r="V18" s="12">
        <v>21</v>
      </c>
      <c r="W18" s="12">
        <v>22</v>
      </c>
      <c r="X18" s="12">
        <v>23</v>
      </c>
      <c r="Y18" s="12">
        <v>24</v>
      </c>
      <c r="Z18" s="116">
        <v>25</v>
      </c>
      <c r="AA18" s="12">
        <v>26</v>
      </c>
      <c r="AB18" s="12">
        <v>27</v>
      </c>
      <c r="AC18" s="12">
        <v>28</v>
      </c>
      <c r="AD18" s="12">
        <v>29</v>
      </c>
      <c r="AE18" s="152">
        <v>30</v>
      </c>
      <c r="AF18" s="15"/>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181" t="s">
        <v>3</v>
      </c>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3"/>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61" t="s">
        <v>214</v>
      </c>
      <c r="B20" s="60">
        <f>$B$14*B21</f>
        <v>0</v>
      </c>
      <c r="C20" s="60">
        <f>$B$14*C21</f>
        <v>0</v>
      </c>
      <c r="D20" s="60">
        <f>$B$14*D21</f>
        <v>0</v>
      </c>
      <c r="E20" s="60">
        <f>$B$14*E21</f>
        <v>0</v>
      </c>
      <c r="F20" s="60">
        <f t="shared" ref="F20:AD20" si="0">$B$14*F21</f>
        <v>0</v>
      </c>
      <c r="G20" s="60">
        <f t="shared" si="0"/>
        <v>0</v>
      </c>
      <c r="H20" s="60">
        <f t="shared" si="0"/>
        <v>0</v>
      </c>
      <c r="I20" s="60">
        <f t="shared" si="0"/>
        <v>0</v>
      </c>
      <c r="J20" s="60">
        <f t="shared" si="0"/>
        <v>0</v>
      </c>
      <c r="K20" s="60">
        <f t="shared" si="0"/>
        <v>0</v>
      </c>
      <c r="L20" s="60">
        <f t="shared" si="0"/>
        <v>0</v>
      </c>
      <c r="M20" s="60">
        <f t="shared" si="0"/>
        <v>0</v>
      </c>
      <c r="N20" s="60">
        <f t="shared" si="0"/>
        <v>0</v>
      </c>
      <c r="O20" s="60">
        <f t="shared" si="0"/>
        <v>0</v>
      </c>
      <c r="P20" s="154">
        <f t="shared" si="0"/>
        <v>8.8865384615384606</v>
      </c>
      <c r="Q20" s="60">
        <f t="shared" si="0"/>
        <v>0</v>
      </c>
      <c r="R20" s="60">
        <f t="shared" si="0"/>
        <v>0</v>
      </c>
      <c r="S20" s="60">
        <f t="shared" si="0"/>
        <v>0</v>
      </c>
      <c r="T20" s="60">
        <f t="shared" si="0"/>
        <v>0</v>
      </c>
      <c r="U20" s="60">
        <f t="shared" si="0"/>
        <v>0</v>
      </c>
      <c r="V20" s="60">
        <f t="shared" si="0"/>
        <v>0</v>
      </c>
      <c r="W20" s="60">
        <f t="shared" si="0"/>
        <v>0</v>
      </c>
      <c r="X20" s="60">
        <f t="shared" si="0"/>
        <v>0</v>
      </c>
      <c r="Y20" s="60">
        <f t="shared" si="0"/>
        <v>0</v>
      </c>
      <c r="Z20" s="154">
        <f t="shared" si="0"/>
        <v>57.568589743589747</v>
      </c>
      <c r="AA20" s="60">
        <f t="shared" si="0"/>
        <v>0</v>
      </c>
      <c r="AB20" s="60">
        <f t="shared" si="0"/>
        <v>0</v>
      </c>
      <c r="AC20" s="60">
        <f t="shared" si="0"/>
        <v>0</v>
      </c>
      <c r="AD20" s="60">
        <f t="shared" si="0"/>
        <v>0</v>
      </c>
      <c r="AE20" s="155">
        <f>$B$14*AE21</f>
        <v>3.3225000000000002</v>
      </c>
      <c r="AF20" s="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213</v>
      </c>
      <c r="B21" s="17"/>
      <c r="C21" s="17"/>
      <c r="D21" s="33"/>
      <c r="E21" s="33"/>
      <c r="F21" s="33"/>
      <c r="G21" s="33"/>
      <c r="H21" s="33"/>
      <c r="I21" s="33"/>
      <c r="J21" s="33"/>
      <c r="K21" s="33"/>
      <c r="L21" s="33"/>
      <c r="M21" s="33"/>
      <c r="N21" s="33"/>
      <c r="O21" s="33"/>
      <c r="P21" s="153">
        <f>(40/1.56)*1.3863</f>
        <v>35.546153846153842</v>
      </c>
      <c r="Q21" s="33"/>
      <c r="R21" s="33"/>
      <c r="S21" s="33"/>
      <c r="T21" s="33"/>
      <c r="U21" s="33"/>
      <c r="V21" s="33"/>
      <c r="W21" s="33"/>
      <c r="X21" s="33"/>
      <c r="Y21" s="33"/>
      <c r="Z21" s="153">
        <f>((50/1.56)*1.3863)+((290/1.56)*0.9997)</f>
        <v>230.27435897435899</v>
      </c>
      <c r="AA21" s="33"/>
      <c r="AB21" s="33"/>
      <c r="AC21" s="33"/>
      <c r="AD21" s="33"/>
      <c r="AE21" s="156">
        <f>30*0.443</f>
        <v>13.290000000000001</v>
      </c>
      <c r="AF21" s="37"/>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181" t="s">
        <v>2</v>
      </c>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182"/>
      <c r="AE22" s="183"/>
      <c r="AF22" s="6"/>
    </row>
    <row r="23" spans="1:177" x14ac:dyDescent="0.35">
      <c r="A23" s="61" t="s">
        <v>215</v>
      </c>
      <c r="B23" s="60">
        <f>$B$15*B24</f>
        <v>0</v>
      </c>
      <c r="C23" s="60">
        <f>$B$15*C24</f>
        <v>0</v>
      </c>
      <c r="D23" s="60">
        <f t="shared" ref="D23:AD23" si="1">$B$15*D24</f>
        <v>0</v>
      </c>
      <c r="E23" s="60">
        <f t="shared" si="1"/>
        <v>0</v>
      </c>
      <c r="F23" s="60">
        <f t="shared" si="1"/>
        <v>0</v>
      </c>
      <c r="G23" s="60">
        <f t="shared" si="1"/>
        <v>0</v>
      </c>
      <c r="H23" s="60">
        <f t="shared" si="1"/>
        <v>0</v>
      </c>
      <c r="I23" s="60">
        <f t="shared" si="1"/>
        <v>0</v>
      </c>
      <c r="J23" s="60">
        <f t="shared" si="1"/>
        <v>0</v>
      </c>
      <c r="K23" s="60">
        <f t="shared" si="1"/>
        <v>0</v>
      </c>
      <c r="L23" s="60">
        <f t="shared" si="1"/>
        <v>0</v>
      </c>
      <c r="M23" s="60">
        <f t="shared" si="1"/>
        <v>0</v>
      </c>
      <c r="N23" s="60">
        <f t="shared" si="1"/>
        <v>0</v>
      </c>
      <c r="O23" s="60">
        <f t="shared" si="1"/>
        <v>0</v>
      </c>
      <c r="P23" s="60">
        <f t="shared" si="1"/>
        <v>0</v>
      </c>
      <c r="Q23" s="60">
        <f t="shared" si="1"/>
        <v>0</v>
      </c>
      <c r="R23" s="60">
        <f t="shared" si="1"/>
        <v>0</v>
      </c>
      <c r="S23" s="60">
        <f t="shared" si="1"/>
        <v>0</v>
      </c>
      <c r="T23" s="60">
        <f t="shared" si="1"/>
        <v>0</v>
      </c>
      <c r="U23" s="60">
        <f t="shared" si="1"/>
        <v>0</v>
      </c>
      <c r="V23" s="60">
        <f t="shared" si="1"/>
        <v>0</v>
      </c>
      <c r="W23" s="60">
        <f t="shared" si="1"/>
        <v>0</v>
      </c>
      <c r="X23" s="60">
        <f t="shared" si="1"/>
        <v>0</v>
      </c>
      <c r="Y23" s="60">
        <f t="shared" si="1"/>
        <v>0</v>
      </c>
      <c r="Z23" s="60">
        <f t="shared" si="1"/>
        <v>0</v>
      </c>
      <c r="AA23" s="60">
        <f t="shared" si="1"/>
        <v>0</v>
      </c>
      <c r="AB23" s="60">
        <f t="shared" si="1"/>
        <v>0</v>
      </c>
      <c r="AC23" s="60">
        <f t="shared" si="1"/>
        <v>0</v>
      </c>
      <c r="AD23" s="60">
        <f t="shared" si="1"/>
        <v>0</v>
      </c>
      <c r="AE23" s="62">
        <f>$B$15*AE24</f>
        <v>0</v>
      </c>
      <c r="AF23" s="6"/>
    </row>
    <row r="24" spans="1:177" x14ac:dyDescent="0.35">
      <c r="A24" s="3" t="s">
        <v>216</v>
      </c>
      <c r="B24" s="17"/>
      <c r="C24" s="17"/>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55"/>
      <c r="AF24" s="37"/>
    </row>
    <row r="25" spans="1:177" ht="29.5" thickBot="1" x14ac:dyDescent="0.4">
      <c r="A25" s="39" t="s">
        <v>217</v>
      </c>
      <c r="B25" s="12">
        <f>B20-B23</f>
        <v>0</v>
      </c>
      <c r="C25" s="24">
        <f>C20-C23</f>
        <v>0</v>
      </c>
      <c r="D25" s="24">
        <f t="shared" ref="D25:AD25" si="2">D20-D23</f>
        <v>0</v>
      </c>
      <c r="E25" s="24">
        <f t="shared" si="2"/>
        <v>0</v>
      </c>
      <c r="F25" s="24">
        <f t="shared" si="2"/>
        <v>0</v>
      </c>
      <c r="G25" s="24">
        <f t="shared" si="2"/>
        <v>0</v>
      </c>
      <c r="H25" s="24">
        <f t="shared" si="2"/>
        <v>0</v>
      </c>
      <c r="I25" s="24">
        <f t="shared" si="2"/>
        <v>0</v>
      </c>
      <c r="J25" s="24">
        <f t="shared" si="2"/>
        <v>0</v>
      </c>
      <c r="K25" s="24">
        <f t="shared" si="2"/>
        <v>0</v>
      </c>
      <c r="L25" s="24">
        <f t="shared" si="2"/>
        <v>0</v>
      </c>
      <c r="M25" s="24">
        <f t="shared" si="2"/>
        <v>0</v>
      </c>
      <c r="N25" s="24">
        <f t="shared" si="2"/>
        <v>0</v>
      </c>
      <c r="O25" s="24">
        <f t="shared" si="2"/>
        <v>0</v>
      </c>
      <c r="P25" s="104">
        <f t="shared" si="2"/>
        <v>8.8865384615384606</v>
      </c>
      <c r="Q25" s="24">
        <f t="shared" si="2"/>
        <v>0</v>
      </c>
      <c r="R25" s="24">
        <f t="shared" si="2"/>
        <v>0</v>
      </c>
      <c r="S25" s="24">
        <f t="shared" si="2"/>
        <v>0</v>
      </c>
      <c r="T25" s="24">
        <f t="shared" si="2"/>
        <v>0</v>
      </c>
      <c r="U25" s="24">
        <f t="shared" si="2"/>
        <v>0</v>
      </c>
      <c r="V25" s="24">
        <f t="shared" si="2"/>
        <v>0</v>
      </c>
      <c r="W25" s="24">
        <f t="shared" si="2"/>
        <v>0</v>
      </c>
      <c r="X25" s="24">
        <f t="shared" si="2"/>
        <v>0</v>
      </c>
      <c r="Y25" s="24">
        <f t="shared" si="2"/>
        <v>0</v>
      </c>
      <c r="Z25" s="104">
        <f t="shared" si="2"/>
        <v>57.568589743589747</v>
      </c>
      <c r="AA25" s="24">
        <f t="shared" si="2"/>
        <v>0</v>
      </c>
      <c r="AB25" s="24">
        <f t="shared" si="2"/>
        <v>0</v>
      </c>
      <c r="AC25" s="24">
        <f t="shared" si="2"/>
        <v>0</v>
      </c>
      <c r="AD25" s="24">
        <f t="shared" si="2"/>
        <v>0</v>
      </c>
      <c r="AE25" s="140">
        <f>AE20-AE23</f>
        <v>3.3225000000000002</v>
      </c>
      <c r="AF25" s="15"/>
    </row>
    <row r="26" spans="1:177" ht="15" thickBot="1" x14ac:dyDescent="0.4">
      <c r="A26" s="166" t="s">
        <v>11</v>
      </c>
      <c r="B26" s="17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177" x14ac:dyDescent="0.35">
      <c r="A27" s="168" t="s">
        <v>98</v>
      </c>
      <c r="B27" s="12" t="s">
        <v>99</v>
      </c>
      <c r="C27" s="31">
        <v>1.52</v>
      </c>
      <c r="D27" s="15"/>
      <c r="E27" s="15"/>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177" x14ac:dyDescent="0.35">
      <c r="A28" s="169"/>
      <c r="B28" s="12" t="s">
        <v>101</v>
      </c>
      <c r="C28" s="26">
        <v>0</v>
      </c>
      <c r="D28" s="15"/>
      <c r="E28" s="15"/>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177" x14ac:dyDescent="0.35">
      <c r="A29" s="169"/>
      <c r="B29" s="12" t="s">
        <v>102</v>
      </c>
      <c r="C29" s="26">
        <v>0.77</v>
      </c>
      <c r="D29" s="15"/>
      <c r="E29" s="15"/>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177" x14ac:dyDescent="0.35">
      <c r="A30" s="169"/>
      <c r="B30" s="12" t="s">
        <v>100</v>
      </c>
      <c r="C30" s="26">
        <v>0.25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177" x14ac:dyDescent="0.35">
      <c r="A31" s="179" t="s">
        <v>103</v>
      </c>
      <c r="B31" s="27" t="s">
        <v>104</v>
      </c>
      <c r="C31" s="35">
        <v>0.25</v>
      </c>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row>
    <row r="32" spans="1:177" x14ac:dyDescent="0.35">
      <c r="A32" s="179"/>
      <c r="B32" s="27" t="s">
        <v>105</v>
      </c>
      <c r="C32" s="35">
        <v>1.03</v>
      </c>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row>
    <row r="33" spans="1:31" ht="29" x14ac:dyDescent="0.35">
      <c r="A33" s="179"/>
      <c r="B33" s="32" t="s">
        <v>106</v>
      </c>
      <c r="C33" s="35">
        <v>0.59</v>
      </c>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row>
    <row r="34" spans="1:31" ht="15" thickBot="1" x14ac:dyDescent="0.4">
      <c r="A34" s="180"/>
      <c r="B34" s="24" t="s">
        <v>107</v>
      </c>
      <c r="C34" s="36">
        <v>0.43</v>
      </c>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row>
  </sheetData>
  <mergeCells count="7">
    <mergeCell ref="A31:A34"/>
    <mergeCell ref="A9:B9"/>
    <mergeCell ref="A26:B26"/>
    <mergeCell ref="A27:A30"/>
    <mergeCell ref="A17:AE17"/>
    <mergeCell ref="A19:AE19"/>
    <mergeCell ref="A22:AE22"/>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Choisir l'essence pour avoir la di pour le scénario de référence">
          <x14:formula1>
            <xm:f>'Listes choix'!$C$2:$C$66</xm:f>
          </x14:formula1>
          <xm:sqref>D27:D29</xm:sqref>
        </x14:dataValidation>
        <x14:dataValidation type="list" showInputMessage="1" showErrorMessage="1" prompt="Choisir un type de reboisement pour le calcul du CS projet">
          <x14:formula1>
            <xm:f>'Listes choix'!$G$2:$G$5</xm:f>
          </x14:formula1>
          <xm:sqref>B12</xm:sqref>
        </x14:dataValidation>
        <x14:dataValidation type="list" showInputMessage="1" showErrorMessage="1" prompt="Choisir un type de friche pour le calcul du CS référence">
          <x14:formula1>
            <xm:f>'Listes choix'!$H$2:$H$3</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C26" sqref="C26"/>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row r="2" spans="1:4" ht="16" thickBot="1" x14ac:dyDescent="0.4">
      <c r="A2" s="40" t="s">
        <v>115</v>
      </c>
      <c r="B2" s="109" t="s">
        <v>114</v>
      </c>
      <c r="C2" s="111"/>
      <c r="D2" s="110"/>
    </row>
    <row r="3" spans="1:4" ht="15.5" x14ac:dyDescent="0.35">
      <c r="A3" s="29" t="s">
        <v>116</v>
      </c>
      <c r="B3" s="157">
        <f>SUM(B4,B6)</f>
        <v>256.91257374835322</v>
      </c>
      <c r="C3" s="111"/>
      <c r="D3" s="110"/>
    </row>
    <row r="4" spans="1:4" ht="15.5" x14ac:dyDescent="0.35">
      <c r="A4" s="41" t="s">
        <v>117</v>
      </c>
      <c r="B4" s="158">
        <f>REAforêtReboisement!B6</f>
        <v>243.37064050462357</v>
      </c>
      <c r="C4" s="111"/>
      <c r="D4" s="110"/>
    </row>
    <row r="5" spans="1:4" ht="15.5" x14ac:dyDescent="0.35">
      <c r="A5" s="99" t="s">
        <v>121</v>
      </c>
      <c r="B5" s="158">
        <f>B4*(1-C15)*(1-C16)*(1-C17)*(1-C18)</f>
        <v>219.03357645416122</v>
      </c>
      <c r="C5" s="111"/>
      <c r="D5" s="110"/>
    </row>
    <row r="6" spans="1:4" ht="15.5" x14ac:dyDescent="0.35">
      <c r="A6" s="41" t="s">
        <v>118</v>
      </c>
      <c r="B6" s="158">
        <f>REAproduitsReboisement!B5</f>
        <v>13.541933243729678</v>
      </c>
      <c r="C6" s="111"/>
      <c r="D6" s="110"/>
    </row>
    <row r="7" spans="1:4" ht="15.5" x14ac:dyDescent="0.35">
      <c r="A7" s="99" t="s">
        <v>122</v>
      </c>
      <c r="B7" s="158">
        <f>B6*(1-C15)*(1-C16)*(1-C17)*(1-C18)</f>
        <v>12.18773991935671</v>
      </c>
      <c r="C7" s="111"/>
      <c r="D7" s="110"/>
    </row>
    <row r="8" spans="1:4" ht="15.5" x14ac:dyDescent="0.35">
      <c r="A8" s="41" t="s">
        <v>119</v>
      </c>
      <c r="B8" s="158">
        <f>REEsubsReboisement!B6</f>
        <v>69.77762820512821</v>
      </c>
      <c r="C8" s="111"/>
      <c r="D8" s="110"/>
    </row>
    <row r="9" spans="1:4" ht="16" thickBot="1" x14ac:dyDescent="0.4">
      <c r="A9" s="100" t="s">
        <v>123</v>
      </c>
      <c r="B9" s="159">
        <f>B8*(1-C15)*(1-C16)*(1-C17)*(1-C18)</f>
        <v>62.799865384615387</v>
      </c>
      <c r="C9" s="111"/>
      <c r="D9" s="110"/>
    </row>
    <row r="10" spans="1:4" ht="15.5" x14ac:dyDescent="0.35">
      <c r="A10" s="42" t="s">
        <v>120</v>
      </c>
      <c r="B10" s="160">
        <f>SUM(B3,B8)</f>
        <v>326.69020195348145</v>
      </c>
      <c r="C10" s="54"/>
      <c r="D10" s="15"/>
    </row>
    <row r="11" spans="1:4" ht="16" thickBot="1" x14ac:dyDescent="0.4">
      <c r="A11" s="43" t="s">
        <v>124</v>
      </c>
      <c r="B11" s="161">
        <f>SUM(B5,B7,B9)</f>
        <v>294.02118175813331</v>
      </c>
      <c r="C11" s="54"/>
      <c r="D11" s="15"/>
    </row>
    <row r="13" spans="1:4" ht="15" thickBot="1" x14ac:dyDescent="0.4"/>
    <row r="14" spans="1:4" ht="16" thickBot="1" x14ac:dyDescent="0.4">
      <c r="A14" s="45" t="s">
        <v>125</v>
      </c>
      <c r="B14" s="63" t="s">
        <v>126</v>
      </c>
      <c r="C14" s="87" t="s">
        <v>133</v>
      </c>
    </row>
    <row r="15" spans="1:4" x14ac:dyDescent="0.35">
      <c r="A15" s="107" t="s">
        <v>196</v>
      </c>
      <c r="B15" s="48" t="s">
        <v>134</v>
      </c>
      <c r="C15" s="50">
        <f>IF(B15="Réalisée",0,IF(B15="Pas réalisée",0.2,""))</f>
        <v>0</v>
      </c>
    </row>
    <row r="16" spans="1:4" x14ac:dyDescent="0.35">
      <c r="A16" s="22" t="s">
        <v>197</v>
      </c>
      <c r="B16" s="47" t="s">
        <v>130</v>
      </c>
      <c r="C16" s="51">
        <v>0.1</v>
      </c>
      <c r="D16" s="44"/>
    </row>
    <row r="17" spans="1:5" ht="29" x14ac:dyDescent="0.35">
      <c r="A17" s="108" t="s">
        <v>152</v>
      </c>
      <c r="B17" s="49" t="s">
        <v>141</v>
      </c>
      <c r="C17" s="51">
        <f>IF(B17="Départements sans risque ou risque négligeable",0,IF(B17="Départements avec risque très faible ou faible",0.05,IF(B17="Départements avec risque moyen",0.1,IF(B17="Départements avec risque fort ou très fort", 0.15,""))))</f>
        <v>0</v>
      </c>
      <c r="D17" s="44"/>
    </row>
    <row r="18" spans="1:5" ht="15" thickBot="1" x14ac:dyDescent="0.4">
      <c r="A18" s="112" t="s">
        <v>132</v>
      </c>
      <c r="B18" s="189" t="s">
        <v>139</v>
      </c>
      <c r="C18" s="190">
        <f>IF(B18="Démontrée",0,IF(B18="Non démontrée",0.1,""))</f>
        <v>0</v>
      </c>
    </row>
    <row r="19" spans="1:5" x14ac:dyDescent="0.35">
      <c r="A19" s="52"/>
      <c r="B19" s="15"/>
      <c r="C19" s="15"/>
      <c r="D19" s="52"/>
      <c r="E19" s="85"/>
    </row>
    <row r="20" spans="1:5" x14ac:dyDescent="0.35">
      <c r="A20" s="52"/>
      <c r="B20" s="15"/>
      <c r="C20" s="15"/>
      <c r="D20" s="52"/>
      <c r="E20" s="85"/>
    </row>
    <row r="21" spans="1:5" x14ac:dyDescent="0.35">
      <c r="A21" s="52"/>
      <c r="B21" s="15"/>
      <c r="C21" s="15"/>
      <c r="D21" s="52"/>
      <c r="E21" s="85"/>
    </row>
    <row r="22" spans="1:5" x14ac:dyDescent="0.35">
      <c r="A22" s="52"/>
      <c r="B22" s="15"/>
      <c r="C22" s="53"/>
      <c r="D22" s="52"/>
    </row>
    <row r="23" spans="1:5" x14ac:dyDescent="0.35">
      <c r="A23" s="52"/>
      <c r="B23" s="52"/>
      <c r="C23" s="52"/>
      <c r="D23" s="52"/>
    </row>
    <row r="24" spans="1:5" x14ac:dyDescent="0.35">
      <c r="A24" s="52"/>
      <c r="B24" s="52"/>
      <c r="C24" s="52"/>
      <c r="D24" s="52"/>
    </row>
    <row r="25" spans="1:5" x14ac:dyDescent="0.35">
      <c r="A25" s="52"/>
      <c r="B25" s="52"/>
      <c r="C25" s="52"/>
      <c r="D25" s="52"/>
    </row>
    <row r="26" spans="1:5" x14ac:dyDescent="0.35">
      <c r="A26" s="52"/>
      <c r="B26" s="52"/>
      <c r="C26" s="52"/>
      <c r="D26" s="52"/>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4" customWidth="1"/>
    <col min="2" max="2" width="10.90625" style="44"/>
    <col min="3" max="3" width="22.08984375" style="44" customWidth="1"/>
    <col min="4" max="6" width="10.90625" style="44"/>
    <col min="7" max="7" width="14.90625" style="44" customWidth="1"/>
    <col min="8" max="8" width="16.7265625" style="44" customWidth="1"/>
    <col min="9" max="9" width="22.26953125" style="44" customWidth="1"/>
    <col min="10" max="10" width="25" style="44" customWidth="1"/>
    <col min="11" max="11" width="26.90625" style="44" customWidth="1"/>
    <col min="12" max="15" width="10.90625" style="44"/>
    <col min="16" max="16" width="13.6328125" style="44" customWidth="1"/>
    <col min="17" max="16384" width="10.90625" style="44"/>
  </cols>
  <sheetData>
    <row r="1" spans="1:20" ht="44" thickBot="1" x14ac:dyDescent="0.4">
      <c r="A1" s="67" t="s">
        <v>9</v>
      </c>
      <c r="B1" s="67" t="s">
        <v>17</v>
      </c>
      <c r="C1" s="71" t="s">
        <v>55</v>
      </c>
      <c r="D1" s="72" t="s">
        <v>20</v>
      </c>
      <c r="E1" s="71" t="s">
        <v>89</v>
      </c>
      <c r="F1" s="71" t="s">
        <v>90</v>
      </c>
      <c r="G1" s="71" t="s">
        <v>109</v>
      </c>
      <c r="H1" s="71" t="s">
        <v>112</v>
      </c>
      <c r="I1" s="80" t="s">
        <v>125</v>
      </c>
      <c r="J1" s="184" t="s">
        <v>126</v>
      </c>
      <c r="K1" s="185"/>
      <c r="L1" s="10"/>
      <c r="M1" s="10"/>
      <c r="N1" s="71" t="s">
        <v>55</v>
      </c>
      <c r="O1" s="71" t="s">
        <v>149</v>
      </c>
      <c r="P1" s="72" t="s">
        <v>152</v>
      </c>
      <c r="Q1" s="186" t="s">
        <v>162</v>
      </c>
      <c r="R1" s="187"/>
      <c r="S1" s="188"/>
      <c r="T1" s="71" t="s">
        <v>192</v>
      </c>
    </row>
    <row r="2" spans="1:20" ht="87.5" thickBot="1" x14ac:dyDescent="0.4">
      <c r="A2" s="64" t="s">
        <v>155</v>
      </c>
      <c r="B2" s="69" t="s">
        <v>19</v>
      </c>
      <c r="C2" s="73" t="s">
        <v>21</v>
      </c>
      <c r="D2" s="76">
        <v>0.62</v>
      </c>
      <c r="E2" s="73" t="s">
        <v>91</v>
      </c>
      <c r="F2" s="76">
        <v>35</v>
      </c>
      <c r="G2" s="69" t="s">
        <v>18</v>
      </c>
      <c r="H2" s="69" t="s">
        <v>18</v>
      </c>
      <c r="I2" s="73" t="s">
        <v>127</v>
      </c>
      <c r="J2" s="81" t="s">
        <v>134</v>
      </c>
      <c r="K2" s="81" t="s">
        <v>176</v>
      </c>
      <c r="L2" s="84" t="s">
        <v>134</v>
      </c>
      <c r="M2" s="83" t="s">
        <v>176</v>
      </c>
      <c r="N2" s="69" t="s">
        <v>21</v>
      </c>
      <c r="O2" s="69" t="s">
        <v>150</v>
      </c>
      <c r="P2" s="68" t="s">
        <v>153</v>
      </c>
      <c r="Q2" s="71" t="s">
        <v>161</v>
      </c>
      <c r="R2" s="71" t="s">
        <v>163</v>
      </c>
      <c r="S2" s="106" t="s">
        <v>164</v>
      </c>
      <c r="T2" s="46" t="s">
        <v>193</v>
      </c>
    </row>
    <row r="3" spans="1:20" ht="102" thickBot="1" x14ac:dyDescent="0.4">
      <c r="A3" s="65" t="s">
        <v>156</v>
      </c>
      <c r="B3" s="70" t="s">
        <v>18</v>
      </c>
      <c r="C3" s="58" t="s">
        <v>77</v>
      </c>
      <c r="D3" s="77">
        <v>0.64</v>
      </c>
      <c r="E3" s="58" t="s">
        <v>92</v>
      </c>
      <c r="F3" s="77">
        <v>25</v>
      </c>
      <c r="G3" s="79" t="s">
        <v>105</v>
      </c>
      <c r="H3" s="70" t="s">
        <v>113</v>
      </c>
      <c r="I3" s="58" t="s">
        <v>128</v>
      </c>
      <c r="J3" s="46" t="s">
        <v>140</v>
      </c>
      <c r="K3" s="74" t="s">
        <v>142</v>
      </c>
      <c r="L3" s="10"/>
      <c r="M3" s="10"/>
      <c r="N3" s="79" t="s">
        <v>22</v>
      </c>
      <c r="O3" s="79" t="s">
        <v>26</v>
      </c>
      <c r="P3" s="70" t="s">
        <v>137</v>
      </c>
      <c r="Q3" s="69" t="s">
        <v>165</v>
      </c>
      <c r="R3" s="69" t="s">
        <v>174</v>
      </c>
      <c r="S3" s="69" t="s">
        <v>168</v>
      </c>
      <c r="T3" s="46" t="s">
        <v>194</v>
      </c>
    </row>
    <row r="4" spans="1:20" ht="87.5" thickBot="1" x14ac:dyDescent="0.4">
      <c r="A4" s="65" t="s">
        <v>157</v>
      </c>
      <c r="B4" s="10"/>
      <c r="C4" s="58" t="s">
        <v>22</v>
      </c>
      <c r="D4" s="77">
        <v>0.42</v>
      </c>
      <c r="E4" s="59" t="s">
        <v>93</v>
      </c>
      <c r="F4" s="78">
        <v>2</v>
      </c>
      <c r="G4" s="65" t="s">
        <v>107</v>
      </c>
      <c r="H4" s="10"/>
      <c r="I4" s="58" t="s">
        <v>129</v>
      </c>
      <c r="J4" s="46" t="s">
        <v>130</v>
      </c>
      <c r="K4" s="74" t="s">
        <v>130</v>
      </c>
      <c r="L4" s="10"/>
      <c r="M4" s="10"/>
      <c r="N4" s="79" t="s">
        <v>78</v>
      </c>
      <c r="O4" s="66" t="s">
        <v>151</v>
      </c>
      <c r="P4" s="10"/>
      <c r="Q4" s="79" t="s">
        <v>166</v>
      </c>
      <c r="R4" s="70" t="s">
        <v>167</v>
      </c>
      <c r="S4" s="65" t="s">
        <v>169</v>
      </c>
    </row>
    <row r="5" spans="1:20" ht="87.5" thickBot="1" x14ac:dyDescent="0.4">
      <c r="A5" s="66" t="s">
        <v>158</v>
      </c>
      <c r="B5" s="10"/>
      <c r="C5" s="58" t="s">
        <v>78</v>
      </c>
      <c r="D5" s="74">
        <v>0.42</v>
      </c>
      <c r="E5" s="10"/>
      <c r="F5" s="10"/>
      <c r="G5" s="66" t="s">
        <v>110</v>
      </c>
      <c r="H5" s="10"/>
      <c r="I5" s="168" t="s">
        <v>131</v>
      </c>
      <c r="J5" s="46"/>
      <c r="K5" s="74" t="s">
        <v>141</v>
      </c>
      <c r="L5" s="10"/>
      <c r="M5" s="10"/>
      <c r="N5" s="65" t="s">
        <v>24</v>
      </c>
      <c r="O5" s="10"/>
      <c r="P5" s="10"/>
      <c r="Q5" s="66" t="s">
        <v>173</v>
      </c>
      <c r="S5" s="65" t="s">
        <v>170</v>
      </c>
    </row>
    <row r="6" spans="1:20" ht="72.5" x14ac:dyDescent="0.35">
      <c r="A6" s="10"/>
      <c r="B6" s="10"/>
      <c r="C6" s="58" t="s">
        <v>79</v>
      </c>
      <c r="D6" s="74">
        <v>0.52</v>
      </c>
      <c r="E6" s="10"/>
      <c r="F6" s="10"/>
      <c r="G6" s="10"/>
      <c r="H6" s="10"/>
      <c r="I6" s="169"/>
      <c r="J6" s="46"/>
      <c r="K6" s="74" t="s">
        <v>135</v>
      </c>
      <c r="L6" s="10"/>
      <c r="M6" s="10"/>
      <c r="N6" s="65" t="s">
        <v>25</v>
      </c>
      <c r="O6" s="10"/>
      <c r="P6" s="10"/>
      <c r="S6" s="65" t="s">
        <v>171</v>
      </c>
    </row>
    <row r="7" spans="1:20" ht="101.5" x14ac:dyDescent="0.35">
      <c r="A7" s="10"/>
      <c r="B7" s="10"/>
      <c r="C7" s="58" t="s">
        <v>23</v>
      </c>
      <c r="D7" s="74">
        <v>0.36</v>
      </c>
      <c r="E7" s="10"/>
      <c r="F7" s="10"/>
      <c r="G7" s="10"/>
      <c r="H7" s="10"/>
      <c r="I7" s="169"/>
      <c r="J7" s="46"/>
      <c r="K7" s="74" t="s">
        <v>136</v>
      </c>
      <c r="L7" s="10"/>
      <c r="M7" s="10"/>
      <c r="N7" s="65" t="s">
        <v>26</v>
      </c>
      <c r="O7" s="10"/>
      <c r="P7" s="10"/>
      <c r="S7" s="86" t="s">
        <v>172</v>
      </c>
    </row>
    <row r="8" spans="1:20" ht="29.5" thickBot="1" x14ac:dyDescent="0.4">
      <c r="A8" s="10"/>
      <c r="B8" s="10"/>
      <c r="C8" s="58" t="s">
        <v>24</v>
      </c>
      <c r="D8" s="74">
        <v>0.61</v>
      </c>
      <c r="E8" s="10"/>
      <c r="F8" s="10"/>
      <c r="G8" s="10"/>
      <c r="H8" s="10"/>
      <c r="I8" s="171"/>
      <c r="J8" s="46"/>
      <c r="K8" s="74" t="s">
        <v>137</v>
      </c>
      <c r="L8" s="10"/>
      <c r="M8" s="10"/>
      <c r="N8" s="65" t="s">
        <v>27</v>
      </c>
      <c r="O8" s="10"/>
      <c r="P8" s="10"/>
      <c r="S8" s="66" t="s">
        <v>175</v>
      </c>
    </row>
    <row r="9" spans="1:20" ht="29.5" thickBot="1" x14ac:dyDescent="0.4">
      <c r="A9" s="10"/>
      <c r="B9" s="10"/>
      <c r="C9" s="58" t="s">
        <v>25</v>
      </c>
      <c r="D9" s="74">
        <v>0.66</v>
      </c>
      <c r="E9" s="10"/>
      <c r="F9" s="10"/>
      <c r="G9" s="10"/>
      <c r="H9" s="10"/>
      <c r="I9" s="59" t="s">
        <v>132</v>
      </c>
      <c r="J9" s="82" t="s">
        <v>139</v>
      </c>
      <c r="K9" s="75" t="s">
        <v>138</v>
      </c>
      <c r="L9" s="10"/>
      <c r="M9" s="10"/>
      <c r="N9" s="65" t="s">
        <v>28</v>
      </c>
      <c r="O9" s="10"/>
      <c r="P9" s="10"/>
    </row>
    <row r="10" spans="1:20" ht="29" x14ac:dyDescent="0.35">
      <c r="A10" s="10"/>
      <c r="B10" s="10"/>
      <c r="C10" s="58" t="s">
        <v>26</v>
      </c>
      <c r="D10" s="74">
        <v>0.47</v>
      </c>
      <c r="E10" s="10"/>
      <c r="F10" s="10"/>
      <c r="G10" s="10"/>
      <c r="H10" s="10"/>
      <c r="I10" s="10"/>
      <c r="J10" s="10"/>
      <c r="K10" s="10"/>
      <c r="L10" s="10"/>
      <c r="M10" s="10"/>
      <c r="N10" s="65" t="s">
        <v>29</v>
      </c>
      <c r="O10" s="10"/>
      <c r="P10" s="10"/>
    </row>
    <row r="11" spans="1:20" ht="29" x14ac:dyDescent="0.35">
      <c r="A11" s="10"/>
      <c r="B11" s="10"/>
      <c r="C11" s="58" t="s">
        <v>27</v>
      </c>
      <c r="D11" s="74">
        <v>0.67</v>
      </c>
      <c r="E11" s="10"/>
      <c r="F11" s="10"/>
      <c r="G11" s="10"/>
      <c r="H11" s="10"/>
      <c r="I11" s="10"/>
      <c r="J11" s="10"/>
      <c r="K11" s="10"/>
      <c r="L11" s="10"/>
      <c r="M11" s="10"/>
      <c r="N11" s="65" t="s">
        <v>30</v>
      </c>
      <c r="O11" s="10"/>
      <c r="P11" s="10"/>
    </row>
    <row r="12" spans="1:20" ht="43.5" x14ac:dyDescent="0.35">
      <c r="A12" s="10"/>
      <c r="B12" s="10"/>
      <c r="C12" s="58" t="s">
        <v>28</v>
      </c>
      <c r="D12" s="74">
        <v>0.7</v>
      </c>
      <c r="E12" s="10"/>
      <c r="F12" s="10"/>
      <c r="G12" s="10"/>
      <c r="H12" s="10"/>
      <c r="I12" s="10"/>
      <c r="J12" s="10"/>
      <c r="K12" s="10"/>
      <c r="L12" s="10"/>
      <c r="M12" s="10"/>
      <c r="N12" s="65" t="s">
        <v>31</v>
      </c>
      <c r="O12" s="10"/>
      <c r="P12" s="10"/>
    </row>
    <row r="13" spans="1:20" ht="29" x14ac:dyDescent="0.35">
      <c r="A13" s="10"/>
      <c r="B13" s="10"/>
      <c r="C13" s="58" t="s">
        <v>29</v>
      </c>
      <c r="D13" s="74">
        <v>0.54</v>
      </c>
      <c r="E13" s="10"/>
      <c r="F13" s="10"/>
      <c r="G13" s="10"/>
      <c r="H13" s="10"/>
      <c r="I13" s="10"/>
      <c r="J13" s="10"/>
      <c r="K13" s="10"/>
      <c r="L13" s="10"/>
      <c r="M13" s="10"/>
      <c r="N13" s="65" t="s">
        <v>32</v>
      </c>
      <c r="O13" s="10"/>
      <c r="P13" s="10"/>
    </row>
    <row r="14" spans="1:20" x14ac:dyDescent="0.35">
      <c r="A14" s="10"/>
      <c r="B14" s="10"/>
      <c r="C14" s="58" t="s">
        <v>30</v>
      </c>
      <c r="D14" s="74">
        <v>0.65</v>
      </c>
      <c r="E14" s="10"/>
      <c r="F14" s="10"/>
      <c r="G14" s="10"/>
      <c r="H14" s="10"/>
      <c r="I14" s="10"/>
      <c r="J14" s="10"/>
      <c r="K14" s="10"/>
      <c r="L14" s="10"/>
      <c r="M14" s="10"/>
      <c r="N14" s="65" t="s">
        <v>33</v>
      </c>
      <c r="O14" s="10"/>
      <c r="P14" s="10"/>
    </row>
    <row r="15" spans="1:20" ht="43.5" x14ac:dyDescent="0.35">
      <c r="A15" s="10"/>
      <c r="B15" s="10"/>
      <c r="C15" s="58" t="s">
        <v>80</v>
      </c>
      <c r="D15" s="74">
        <v>0.56000000000000005</v>
      </c>
      <c r="E15" s="10"/>
      <c r="F15" s="10"/>
      <c r="G15" s="10"/>
      <c r="H15" s="10"/>
      <c r="I15" s="10"/>
      <c r="J15" s="10"/>
      <c r="K15" s="10"/>
      <c r="L15" s="10"/>
      <c r="M15" s="10"/>
      <c r="N15" s="65" t="s">
        <v>34</v>
      </c>
      <c r="O15" s="10"/>
      <c r="P15" s="10"/>
    </row>
    <row r="16" spans="1:20" ht="29" x14ac:dyDescent="0.35">
      <c r="A16" s="10"/>
      <c r="B16" s="10"/>
      <c r="C16" s="58" t="s">
        <v>31</v>
      </c>
      <c r="D16" s="74">
        <v>0.57999999999999996</v>
      </c>
      <c r="E16" s="10"/>
      <c r="F16" s="10"/>
      <c r="G16" s="10"/>
      <c r="H16" s="10"/>
      <c r="I16" s="10"/>
      <c r="J16" s="10"/>
      <c r="K16" s="10"/>
      <c r="L16" s="10"/>
      <c r="M16" s="10"/>
      <c r="N16" s="65" t="s">
        <v>41</v>
      </c>
      <c r="O16" s="10"/>
      <c r="P16" s="10"/>
    </row>
    <row r="17" spans="1:16" ht="29" x14ac:dyDescent="0.35">
      <c r="A17" s="10"/>
      <c r="B17" s="10"/>
      <c r="C17" s="58" t="s">
        <v>32</v>
      </c>
      <c r="D17" s="74">
        <v>0.64</v>
      </c>
      <c r="E17" s="10"/>
      <c r="F17" s="10"/>
      <c r="G17" s="10"/>
      <c r="H17" s="10"/>
      <c r="I17" s="10"/>
      <c r="J17" s="10"/>
      <c r="K17" s="10"/>
      <c r="L17" s="10"/>
      <c r="M17" s="10"/>
      <c r="N17" s="65" t="s">
        <v>42</v>
      </c>
      <c r="O17" s="10"/>
      <c r="P17" s="10"/>
    </row>
    <row r="18" spans="1:16" x14ac:dyDescent="0.35">
      <c r="A18" s="10"/>
      <c r="B18" s="10"/>
      <c r="C18" s="58" t="s">
        <v>33</v>
      </c>
      <c r="D18" s="74">
        <v>0.73</v>
      </c>
      <c r="E18" s="10"/>
      <c r="F18" s="10"/>
      <c r="G18" s="10"/>
      <c r="H18" s="10"/>
      <c r="I18" s="10"/>
      <c r="J18" s="10"/>
      <c r="K18" s="10"/>
      <c r="L18" s="10"/>
      <c r="M18" s="10"/>
      <c r="N18" s="65" t="s">
        <v>44</v>
      </c>
      <c r="O18" s="10"/>
      <c r="P18" s="10"/>
    </row>
    <row r="19" spans="1:16" x14ac:dyDescent="0.35">
      <c r="A19" s="10"/>
      <c r="B19" s="10"/>
      <c r="C19" s="58" t="s">
        <v>34</v>
      </c>
      <c r="D19" s="74">
        <v>0.56000000000000005</v>
      </c>
      <c r="E19" s="10"/>
      <c r="F19" s="10"/>
      <c r="G19" s="10"/>
      <c r="H19" s="10"/>
      <c r="I19" s="10"/>
      <c r="J19" s="10"/>
      <c r="K19" s="10"/>
      <c r="L19" s="10"/>
      <c r="M19" s="10"/>
      <c r="N19" s="65" t="s">
        <v>82</v>
      </c>
      <c r="O19" s="10"/>
      <c r="P19" s="10"/>
    </row>
    <row r="20" spans="1:16" x14ac:dyDescent="0.35">
      <c r="A20" s="10"/>
      <c r="B20" s="10"/>
      <c r="C20" s="58" t="s">
        <v>35</v>
      </c>
      <c r="D20" s="74">
        <v>0.74</v>
      </c>
      <c r="E20" s="10"/>
      <c r="F20" s="10"/>
      <c r="G20" s="10"/>
      <c r="H20" s="10"/>
      <c r="I20" s="10"/>
      <c r="J20" s="10"/>
      <c r="K20" s="10"/>
      <c r="L20" s="10"/>
      <c r="M20" s="10"/>
      <c r="N20" s="65" t="s">
        <v>85</v>
      </c>
      <c r="O20" s="10"/>
      <c r="P20" s="10"/>
    </row>
    <row r="21" spans="1:16" x14ac:dyDescent="0.35">
      <c r="A21" s="10"/>
      <c r="B21" s="10"/>
      <c r="C21" s="58" t="s">
        <v>36</v>
      </c>
      <c r="D21" s="74">
        <v>0.4</v>
      </c>
      <c r="E21" s="10"/>
      <c r="F21" s="10"/>
      <c r="G21" s="10"/>
      <c r="H21" s="10"/>
      <c r="I21" s="10"/>
      <c r="J21" s="10"/>
      <c r="K21" s="10"/>
      <c r="L21" s="10"/>
      <c r="M21" s="10"/>
      <c r="N21" s="65" t="s">
        <v>52</v>
      </c>
      <c r="O21" s="10"/>
      <c r="P21" s="10"/>
    </row>
    <row r="22" spans="1:16" x14ac:dyDescent="0.35">
      <c r="A22" s="10"/>
      <c r="B22" s="10"/>
      <c r="C22" s="58" t="s">
        <v>37</v>
      </c>
      <c r="D22" s="74">
        <v>0.6</v>
      </c>
      <c r="E22" s="10"/>
      <c r="F22" s="10"/>
      <c r="G22" s="10"/>
      <c r="H22" s="10"/>
      <c r="I22" s="10"/>
      <c r="J22" s="10"/>
      <c r="K22" s="10"/>
      <c r="L22" s="10"/>
      <c r="M22" s="10"/>
      <c r="N22" s="65" t="s">
        <v>65</v>
      </c>
      <c r="O22" s="10"/>
      <c r="P22" s="10"/>
    </row>
    <row r="23" spans="1:16" ht="29" x14ac:dyDescent="0.35">
      <c r="A23" s="10"/>
      <c r="B23" s="10"/>
      <c r="C23" s="58" t="s">
        <v>38</v>
      </c>
      <c r="D23" s="74">
        <v>0.43</v>
      </c>
      <c r="E23" s="10"/>
      <c r="F23" s="10"/>
      <c r="G23" s="10"/>
      <c r="H23" s="10"/>
      <c r="I23" s="10"/>
      <c r="J23" s="10"/>
      <c r="K23" s="10"/>
      <c r="L23" s="10"/>
      <c r="M23" s="10"/>
      <c r="N23" s="65" t="s">
        <v>86</v>
      </c>
      <c r="O23" s="10"/>
      <c r="P23" s="10"/>
    </row>
    <row r="24" spans="1:16" x14ac:dyDescent="0.35">
      <c r="A24" s="10"/>
      <c r="B24" s="10"/>
      <c r="C24" s="58" t="s">
        <v>39</v>
      </c>
      <c r="D24" s="74">
        <v>0.37</v>
      </c>
      <c r="E24" s="10"/>
      <c r="F24" s="10"/>
      <c r="G24" s="10"/>
      <c r="H24" s="10"/>
      <c r="I24" s="10"/>
      <c r="J24" s="10"/>
      <c r="K24" s="10"/>
      <c r="L24" s="10"/>
      <c r="M24" s="10"/>
      <c r="N24" s="65" t="s">
        <v>72</v>
      </c>
      <c r="O24" s="10"/>
      <c r="P24" s="10"/>
    </row>
    <row r="25" spans="1:16" ht="29.5" thickBot="1" x14ac:dyDescent="0.4">
      <c r="A25" s="10"/>
      <c r="B25" s="10"/>
      <c r="C25" s="58" t="s">
        <v>40</v>
      </c>
      <c r="D25" s="74">
        <v>0.36</v>
      </c>
      <c r="E25" s="10"/>
      <c r="F25" s="10"/>
      <c r="G25" s="10"/>
      <c r="H25" s="10"/>
      <c r="I25" s="10"/>
      <c r="J25" s="10"/>
      <c r="K25" s="10"/>
      <c r="L25" s="10"/>
      <c r="M25" s="10"/>
      <c r="N25" s="66" t="s">
        <v>75</v>
      </c>
      <c r="O25" s="10"/>
      <c r="P25" s="10"/>
    </row>
    <row r="26" spans="1:16" x14ac:dyDescent="0.35">
      <c r="A26" s="10"/>
      <c r="B26" s="10"/>
      <c r="C26" s="58" t="s">
        <v>41</v>
      </c>
      <c r="D26" s="74">
        <v>0.51</v>
      </c>
      <c r="E26" s="10"/>
      <c r="F26" s="10"/>
      <c r="G26" s="10"/>
      <c r="H26" s="10"/>
      <c r="I26" s="10"/>
      <c r="J26" s="10"/>
      <c r="K26" s="10"/>
      <c r="L26" s="10"/>
      <c r="M26" s="10"/>
      <c r="N26" s="10"/>
      <c r="O26" s="10"/>
      <c r="P26" s="10"/>
    </row>
    <row r="27" spans="1:16" x14ac:dyDescent="0.35">
      <c r="A27" s="10"/>
      <c r="B27" s="10"/>
      <c r="C27" s="58" t="s">
        <v>42</v>
      </c>
      <c r="D27" s="74">
        <v>0.56000000000000005</v>
      </c>
      <c r="E27" s="10"/>
      <c r="F27" s="10"/>
      <c r="G27" s="10"/>
      <c r="H27" s="10"/>
      <c r="I27" s="10"/>
      <c r="J27" s="10"/>
      <c r="K27" s="10"/>
      <c r="L27" s="10"/>
      <c r="M27" s="10"/>
      <c r="N27" s="10"/>
      <c r="O27" s="10"/>
      <c r="P27" s="10"/>
    </row>
    <row r="28" spans="1:16" x14ac:dyDescent="0.35">
      <c r="A28" s="10"/>
      <c r="B28" s="10"/>
      <c r="C28" s="58" t="s">
        <v>43</v>
      </c>
      <c r="D28" s="74">
        <v>0.56000000000000005</v>
      </c>
      <c r="E28" s="10"/>
      <c r="F28" s="10"/>
      <c r="G28" s="10"/>
      <c r="H28" s="10"/>
      <c r="I28" s="10"/>
      <c r="J28" s="10"/>
      <c r="K28" s="10"/>
      <c r="L28" s="10"/>
      <c r="M28" s="10"/>
      <c r="N28" s="10"/>
      <c r="O28" s="10"/>
      <c r="P28" s="10"/>
    </row>
    <row r="29" spans="1:16" x14ac:dyDescent="0.35">
      <c r="A29" s="10"/>
      <c r="B29" s="10"/>
      <c r="C29" s="58" t="s">
        <v>81</v>
      </c>
      <c r="D29" s="74">
        <v>0.48</v>
      </c>
      <c r="E29" s="10"/>
      <c r="F29" s="10"/>
      <c r="G29" s="10"/>
      <c r="H29" s="10"/>
      <c r="I29" s="10"/>
      <c r="J29" s="10"/>
      <c r="K29" s="10"/>
      <c r="L29" s="10"/>
      <c r="M29" s="10"/>
      <c r="N29" s="10"/>
      <c r="O29" s="10"/>
      <c r="P29" s="10"/>
    </row>
    <row r="30" spans="1:16" x14ac:dyDescent="0.35">
      <c r="A30" s="10"/>
      <c r="B30" s="10"/>
      <c r="C30" s="58" t="s">
        <v>44</v>
      </c>
      <c r="D30" s="74">
        <v>0.55000000000000004</v>
      </c>
      <c r="E30" s="10"/>
      <c r="F30" s="10"/>
      <c r="G30" s="10"/>
      <c r="H30" s="10"/>
      <c r="I30" s="10"/>
      <c r="J30" s="10"/>
      <c r="K30" s="10"/>
      <c r="L30" s="10"/>
      <c r="M30" s="10"/>
      <c r="N30" s="10"/>
      <c r="O30" s="10"/>
      <c r="P30" s="10"/>
    </row>
    <row r="31" spans="1:16" x14ac:dyDescent="0.35">
      <c r="A31" s="10"/>
      <c r="B31" s="10"/>
      <c r="C31" s="58" t="s">
        <v>82</v>
      </c>
      <c r="D31" s="74">
        <v>0.56000000000000005</v>
      </c>
      <c r="E31" s="10"/>
      <c r="F31" s="10"/>
      <c r="G31" s="10"/>
      <c r="H31" s="10"/>
      <c r="I31" s="10"/>
      <c r="J31" s="10"/>
      <c r="K31" s="10"/>
      <c r="L31" s="10"/>
      <c r="M31" s="10"/>
      <c r="N31" s="10"/>
      <c r="O31" s="10"/>
      <c r="P31" s="10"/>
    </row>
    <row r="32" spans="1:16" x14ac:dyDescent="0.35">
      <c r="A32" s="10"/>
      <c r="B32" s="10"/>
      <c r="C32" s="58" t="s">
        <v>45</v>
      </c>
      <c r="D32" s="74">
        <v>0.57999999999999996</v>
      </c>
      <c r="E32" s="10"/>
      <c r="F32" s="10"/>
      <c r="G32" s="10"/>
      <c r="H32" s="10"/>
      <c r="I32" s="10"/>
      <c r="J32" s="10"/>
      <c r="K32" s="10"/>
      <c r="L32" s="10"/>
      <c r="M32" s="10"/>
      <c r="N32" s="10"/>
      <c r="O32" s="10"/>
      <c r="P32" s="10"/>
    </row>
    <row r="33" spans="1:16" x14ac:dyDescent="0.35">
      <c r="A33" s="10"/>
      <c r="B33" s="10"/>
      <c r="C33" s="58" t="s">
        <v>46</v>
      </c>
      <c r="D33" s="74">
        <v>0.57999999999999996</v>
      </c>
      <c r="E33" s="10"/>
      <c r="F33" s="10"/>
      <c r="G33" s="10"/>
      <c r="H33" s="10"/>
      <c r="I33" s="10"/>
      <c r="J33" s="10"/>
      <c r="K33" s="10"/>
      <c r="L33" s="10"/>
      <c r="M33" s="10"/>
      <c r="N33" s="10"/>
      <c r="O33" s="10"/>
      <c r="P33" s="10"/>
    </row>
    <row r="34" spans="1:16" x14ac:dyDescent="0.35">
      <c r="A34" s="10"/>
      <c r="B34" s="10"/>
      <c r="C34" s="58" t="s">
        <v>47</v>
      </c>
      <c r="D34" s="74">
        <v>0.48</v>
      </c>
      <c r="E34" s="10"/>
      <c r="F34" s="10"/>
      <c r="G34" s="10"/>
      <c r="H34" s="10"/>
      <c r="I34" s="10"/>
      <c r="J34" s="10"/>
      <c r="K34" s="10"/>
      <c r="L34" s="10"/>
      <c r="M34" s="10"/>
      <c r="N34" s="10"/>
      <c r="O34" s="10"/>
      <c r="P34" s="10"/>
    </row>
    <row r="35" spans="1:16" x14ac:dyDescent="0.35">
      <c r="A35" s="10"/>
      <c r="B35" s="10"/>
      <c r="C35" s="58" t="s">
        <v>48</v>
      </c>
      <c r="D35" s="74">
        <v>0.42</v>
      </c>
      <c r="E35" s="10"/>
      <c r="F35" s="10"/>
      <c r="G35" s="10"/>
      <c r="H35" s="10"/>
      <c r="I35" s="10"/>
      <c r="J35" s="10"/>
      <c r="K35" s="10"/>
      <c r="L35" s="10"/>
      <c r="M35" s="10"/>
      <c r="N35" s="10"/>
      <c r="O35" s="10"/>
      <c r="P35" s="10"/>
    </row>
    <row r="36" spans="1:16" x14ac:dyDescent="0.35">
      <c r="A36" s="10"/>
      <c r="B36" s="10"/>
      <c r="C36" s="58" t="s">
        <v>83</v>
      </c>
      <c r="D36" s="74">
        <v>0.5</v>
      </c>
      <c r="E36" s="10"/>
      <c r="F36" s="10"/>
      <c r="G36" s="10"/>
      <c r="H36" s="10"/>
      <c r="I36" s="10"/>
      <c r="J36" s="10"/>
      <c r="K36" s="10"/>
      <c r="L36" s="10"/>
      <c r="M36" s="10"/>
      <c r="N36" s="10"/>
      <c r="O36" s="10"/>
      <c r="P36" s="10"/>
    </row>
    <row r="37" spans="1:16" x14ac:dyDescent="0.35">
      <c r="A37" s="10"/>
      <c r="B37" s="10"/>
      <c r="C37" s="58" t="s">
        <v>49</v>
      </c>
      <c r="D37" s="74">
        <v>0.55000000000000004</v>
      </c>
      <c r="E37" s="10"/>
      <c r="F37" s="10"/>
      <c r="G37" s="10"/>
      <c r="H37" s="10"/>
      <c r="I37" s="10"/>
      <c r="J37" s="10"/>
      <c r="K37" s="10"/>
      <c r="L37" s="10"/>
      <c r="M37" s="10"/>
      <c r="N37" s="10"/>
      <c r="O37" s="10"/>
      <c r="P37" s="10"/>
    </row>
    <row r="38" spans="1:16" x14ac:dyDescent="0.35">
      <c r="A38" s="10"/>
      <c r="B38" s="10"/>
      <c r="C38" s="58" t="s">
        <v>84</v>
      </c>
      <c r="D38" s="74">
        <v>0.53</v>
      </c>
      <c r="E38" s="10"/>
      <c r="F38" s="10"/>
      <c r="G38" s="10"/>
      <c r="H38" s="10"/>
      <c r="I38" s="10"/>
      <c r="J38" s="10"/>
      <c r="K38" s="10"/>
      <c r="L38" s="10"/>
      <c r="M38" s="10"/>
      <c r="N38" s="10"/>
      <c r="O38" s="10"/>
      <c r="P38" s="10"/>
    </row>
    <row r="39" spans="1:16" x14ac:dyDescent="0.35">
      <c r="A39" s="10"/>
      <c r="B39" s="10"/>
      <c r="C39" s="58" t="s">
        <v>85</v>
      </c>
      <c r="D39" s="74">
        <v>0.52</v>
      </c>
      <c r="E39" s="10"/>
      <c r="F39" s="10"/>
      <c r="G39" s="10"/>
      <c r="H39" s="10"/>
      <c r="I39" s="10"/>
      <c r="J39" s="10"/>
      <c r="K39" s="10"/>
      <c r="L39" s="10"/>
      <c r="M39" s="10"/>
      <c r="N39" s="10"/>
      <c r="O39" s="10"/>
      <c r="P39" s="10"/>
    </row>
    <row r="40" spans="1:16" x14ac:dyDescent="0.35">
      <c r="A40" s="10"/>
      <c r="B40" s="10"/>
      <c r="C40" s="58" t="s">
        <v>50</v>
      </c>
      <c r="D40" s="74">
        <v>0.52</v>
      </c>
      <c r="E40" s="10"/>
      <c r="F40" s="10"/>
      <c r="G40" s="10"/>
      <c r="H40" s="10"/>
      <c r="I40" s="10"/>
      <c r="J40" s="10"/>
      <c r="K40" s="10"/>
      <c r="L40" s="10"/>
      <c r="M40" s="10"/>
      <c r="N40" s="10"/>
      <c r="O40" s="10"/>
      <c r="P40" s="10"/>
    </row>
    <row r="41" spans="1:16" x14ac:dyDescent="0.35">
      <c r="A41" s="10"/>
      <c r="B41" s="10"/>
      <c r="C41" s="58" t="s">
        <v>51</v>
      </c>
      <c r="D41" s="74">
        <v>0.75</v>
      </c>
      <c r="E41" s="10"/>
      <c r="F41" s="10"/>
      <c r="G41" s="10"/>
      <c r="H41" s="10"/>
      <c r="I41" s="10"/>
      <c r="J41" s="10"/>
      <c r="K41" s="10"/>
      <c r="L41" s="10"/>
      <c r="M41" s="10"/>
      <c r="N41" s="10"/>
      <c r="O41" s="10"/>
      <c r="P41" s="10"/>
    </row>
    <row r="42" spans="1:16" x14ac:dyDescent="0.35">
      <c r="A42" s="10"/>
      <c r="B42" s="10"/>
      <c r="C42" s="58" t="s">
        <v>52</v>
      </c>
      <c r="D42" s="74">
        <v>0.52</v>
      </c>
      <c r="E42" s="10"/>
      <c r="F42" s="10"/>
      <c r="G42" s="10"/>
      <c r="H42" s="10"/>
      <c r="I42" s="10"/>
      <c r="J42" s="10"/>
      <c r="K42" s="10"/>
      <c r="L42" s="10"/>
      <c r="M42" s="10"/>
      <c r="N42" s="10"/>
      <c r="O42" s="10"/>
      <c r="P42" s="10"/>
    </row>
    <row r="43" spans="1:16" x14ac:dyDescent="0.35">
      <c r="A43" s="10"/>
      <c r="B43" s="10"/>
      <c r="C43" s="58" t="s">
        <v>53</v>
      </c>
      <c r="D43" s="74">
        <v>0.35</v>
      </c>
      <c r="E43" s="10"/>
      <c r="F43" s="10"/>
      <c r="G43" s="10"/>
      <c r="H43" s="10"/>
      <c r="I43" s="10"/>
      <c r="J43" s="10"/>
      <c r="K43" s="10"/>
      <c r="L43" s="10"/>
      <c r="M43" s="10"/>
      <c r="N43" s="10"/>
      <c r="O43" s="10"/>
      <c r="P43" s="10"/>
    </row>
    <row r="44" spans="1:16" x14ac:dyDescent="0.35">
      <c r="A44" s="10"/>
      <c r="B44" s="10"/>
      <c r="C44" s="58" t="s">
        <v>54</v>
      </c>
      <c r="D44" s="74">
        <v>0.37</v>
      </c>
      <c r="E44" s="10"/>
      <c r="F44" s="10"/>
      <c r="G44" s="10"/>
      <c r="H44" s="10"/>
      <c r="I44" s="10"/>
      <c r="J44" s="10"/>
      <c r="K44" s="10"/>
      <c r="L44" s="10"/>
      <c r="M44" s="10"/>
      <c r="N44" s="10"/>
      <c r="O44" s="10"/>
      <c r="P44" s="10"/>
    </row>
    <row r="45" spans="1:16" x14ac:dyDescent="0.35">
      <c r="A45" s="10"/>
      <c r="B45" s="10"/>
      <c r="C45" s="58" t="s">
        <v>56</v>
      </c>
      <c r="D45" s="74">
        <v>0.45</v>
      </c>
      <c r="E45" s="10"/>
      <c r="F45" s="10"/>
      <c r="G45" s="10"/>
      <c r="H45" s="10"/>
      <c r="I45" s="10"/>
      <c r="J45" s="10"/>
      <c r="K45" s="10"/>
      <c r="L45" s="10"/>
      <c r="M45" s="10"/>
      <c r="N45" s="10"/>
      <c r="O45" s="10"/>
      <c r="P45" s="10"/>
    </row>
    <row r="46" spans="1:16" x14ac:dyDescent="0.35">
      <c r="A46" s="10"/>
      <c r="B46" s="10"/>
      <c r="C46" s="58" t="s">
        <v>57</v>
      </c>
      <c r="D46" s="74">
        <v>0.39</v>
      </c>
      <c r="E46" s="10"/>
      <c r="F46" s="10"/>
      <c r="G46" s="10"/>
      <c r="H46" s="10"/>
      <c r="I46" s="10"/>
      <c r="J46" s="10"/>
      <c r="K46" s="10"/>
      <c r="L46" s="10"/>
      <c r="M46" s="10"/>
      <c r="N46" s="10"/>
      <c r="O46" s="10"/>
      <c r="P46" s="10"/>
    </row>
    <row r="47" spans="1:16" x14ac:dyDescent="0.35">
      <c r="A47" s="10"/>
      <c r="B47" s="10"/>
      <c r="C47" s="58" t="s">
        <v>58</v>
      </c>
      <c r="D47" s="74">
        <v>0.44</v>
      </c>
      <c r="E47" s="10"/>
      <c r="F47" s="10"/>
      <c r="G47" s="10"/>
      <c r="H47" s="10"/>
      <c r="I47" s="10"/>
      <c r="J47" s="10"/>
      <c r="K47" s="10"/>
      <c r="L47" s="10"/>
      <c r="M47" s="10"/>
      <c r="N47" s="10"/>
      <c r="O47" s="10"/>
      <c r="P47" s="10"/>
    </row>
    <row r="48" spans="1:16" x14ac:dyDescent="0.35">
      <c r="A48" s="10"/>
      <c r="B48" s="10"/>
      <c r="C48" s="58" t="s">
        <v>59</v>
      </c>
      <c r="D48" s="74">
        <v>0.46</v>
      </c>
      <c r="E48" s="10"/>
      <c r="F48" s="10"/>
      <c r="G48" s="10"/>
      <c r="H48" s="10"/>
      <c r="I48" s="10"/>
      <c r="J48" s="10"/>
      <c r="K48" s="10"/>
      <c r="L48" s="10"/>
      <c r="M48" s="10"/>
      <c r="N48" s="10"/>
      <c r="O48" s="10"/>
      <c r="P48" s="10"/>
    </row>
    <row r="49" spans="1:16" x14ac:dyDescent="0.35">
      <c r="A49" s="10"/>
      <c r="B49" s="10"/>
      <c r="C49" s="58" t="s">
        <v>60</v>
      </c>
      <c r="D49" s="74">
        <v>0.46</v>
      </c>
      <c r="E49" s="10"/>
      <c r="F49" s="10"/>
      <c r="G49" s="10"/>
      <c r="H49" s="10"/>
      <c r="I49" s="10"/>
      <c r="J49" s="10"/>
      <c r="K49" s="10"/>
      <c r="L49" s="10"/>
      <c r="M49" s="10"/>
      <c r="N49" s="10"/>
      <c r="O49" s="10"/>
      <c r="P49" s="10"/>
    </row>
    <row r="50" spans="1:16" x14ac:dyDescent="0.35">
      <c r="A50" s="10"/>
      <c r="B50" s="10"/>
      <c r="C50" s="58" t="s">
        <v>61</v>
      </c>
      <c r="D50" s="74">
        <v>0.44</v>
      </c>
      <c r="E50" s="10"/>
      <c r="F50" s="10"/>
      <c r="G50" s="10"/>
      <c r="H50" s="10"/>
      <c r="I50" s="10"/>
      <c r="J50" s="10"/>
      <c r="K50" s="10"/>
      <c r="L50" s="10"/>
      <c r="M50" s="10"/>
      <c r="N50" s="10"/>
      <c r="O50" s="10"/>
      <c r="P50" s="10"/>
    </row>
    <row r="51" spans="1:16" x14ac:dyDescent="0.35">
      <c r="A51" s="10"/>
      <c r="B51" s="10"/>
      <c r="C51" s="58" t="s">
        <v>62</v>
      </c>
      <c r="D51" s="74">
        <v>0.46</v>
      </c>
      <c r="E51" s="10"/>
      <c r="F51" s="10"/>
      <c r="G51" s="10"/>
      <c r="H51" s="10"/>
      <c r="I51" s="10"/>
      <c r="J51" s="10"/>
      <c r="K51" s="10"/>
      <c r="L51" s="10"/>
      <c r="M51" s="10"/>
      <c r="N51" s="10"/>
      <c r="O51" s="10"/>
      <c r="P51" s="10"/>
    </row>
    <row r="52" spans="1:16" x14ac:dyDescent="0.35">
      <c r="A52" s="10"/>
      <c r="B52" s="10"/>
      <c r="C52" s="58" t="s">
        <v>76</v>
      </c>
      <c r="D52" s="74">
        <v>0.48</v>
      </c>
      <c r="E52" s="10"/>
      <c r="F52" s="10"/>
      <c r="G52" s="10"/>
      <c r="H52" s="10"/>
      <c r="I52" s="10"/>
      <c r="J52" s="10"/>
      <c r="K52" s="10"/>
      <c r="L52" s="10"/>
      <c r="M52" s="10"/>
      <c r="N52" s="10"/>
      <c r="O52" s="10"/>
      <c r="P52" s="10"/>
    </row>
    <row r="53" spans="1:16" x14ac:dyDescent="0.35">
      <c r="A53" s="10"/>
      <c r="B53" s="10"/>
      <c r="C53" s="58" t="s">
        <v>63</v>
      </c>
      <c r="D53" s="74">
        <v>0.44</v>
      </c>
      <c r="E53" s="10"/>
      <c r="F53" s="10"/>
      <c r="G53" s="10"/>
      <c r="H53" s="10"/>
      <c r="I53" s="10"/>
      <c r="J53" s="10"/>
      <c r="K53" s="10"/>
      <c r="L53" s="10"/>
      <c r="M53" s="10"/>
      <c r="N53" s="10"/>
      <c r="O53" s="10"/>
      <c r="P53" s="10"/>
    </row>
    <row r="54" spans="1:16" x14ac:dyDescent="0.35">
      <c r="A54" s="10"/>
      <c r="B54" s="10"/>
      <c r="C54" s="58" t="s">
        <v>64</v>
      </c>
      <c r="D54" s="74">
        <v>0.34</v>
      </c>
      <c r="E54" s="10"/>
      <c r="F54" s="10"/>
      <c r="G54" s="10"/>
      <c r="H54" s="10"/>
      <c r="I54" s="10"/>
      <c r="J54" s="10"/>
      <c r="K54" s="10"/>
      <c r="L54" s="10"/>
      <c r="M54" s="10"/>
      <c r="N54" s="10"/>
      <c r="O54" s="10"/>
      <c r="P54" s="10"/>
    </row>
    <row r="55" spans="1:16" x14ac:dyDescent="0.35">
      <c r="A55" s="10"/>
      <c r="B55" s="10"/>
      <c r="C55" s="58" t="s">
        <v>65</v>
      </c>
      <c r="D55" s="74">
        <v>0.5</v>
      </c>
      <c r="E55" s="10"/>
      <c r="F55" s="10"/>
      <c r="G55" s="10"/>
      <c r="H55" s="10"/>
      <c r="I55" s="10"/>
      <c r="J55" s="10"/>
      <c r="K55" s="10"/>
      <c r="L55" s="10"/>
      <c r="M55" s="10"/>
      <c r="N55" s="10"/>
      <c r="O55" s="10"/>
      <c r="P55" s="10"/>
    </row>
    <row r="56" spans="1:16" x14ac:dyDescent="0.35">
      <c r="A56" s="10"/>
      <c r="B56" s="10"/>
      <c r="C56" s="58" t="s">
        <v>86</v>
      </c>
      <c r="D56" s="74">
        <v>0.57999999999999996</v>
      </c>
      <c r="E56" s="10"/>
      <c r="F56" s="10"/>
      <c r="G56" s="10"/>
      <c r="H56" s="10"/>
      <c r="I56" s="10"/>
      <c r="J56" s="10"/>
      <c r="K56" s="10"/>
      <c r="L56" s="10"/>
      <c r="M56" s="10"/>
      <c r="N56" s="10"/>
      <c r="O56" s="10"/>
      <c r="P56" s="10"/>
    </row>
    <row r="57" spans="1:16" x14ac:dyDescent="0.35">
      <c r="A57" s="10"/>
      <c r="B57" s="10"/>
      <c r="C57" s="58" t="s">
        <v>66</v>
      </c>
      <c r="D57" s="74">
        <v>0.37</v>
      </c>
      <c r="E57" s="10"/>
      <c r="F57" s="10"/>
      <c r="G57" s="10"/>
      <c r="H57" s="10"/>
      <c r="I57" s="10"/>
      <c r="J57" s="10"/>
      <c r="K57" s="10"/>
      <c r="L57" s="10"/>
      <c r="M57" s="10"/>
      <c r="N57" s="10"/>
      <c r="O57" s="10"/>
      <c r="P57" s="10"/>
    </row>
    <row r="58" spans="1:16" x14ac:dyDescent="0.35">
      <c r="A58" s="10"/>
      <c r="B58" s="10"/>
      <c r="C58" s="58" t="s">
        <v>67</v>
      </c>
      <c r="D58" s="74">
        <v>0.37</v>
      </c>
      <c r="E58" s="10"/>
      <c r="F58" s="10"/>
      <c r="G58" s="10"/>
      <c r="H58" s="10"/>
      <c r="I58" s="10"/>
      <c r="J58" s="10"/>
      <c r="K58" s="10"/>
      <c r="L58" s="10"/>
      <c r="M58" s="10"/>
      <c r="N58" s="10"/>
      <c r="O58" s="10"/>
      <c r="P58" s="10"/>
    </row>
    <row r="59" spans="1:16" x14ac:dyDescent="0.35">
      <c r="A59" s="10"/>
      <c r="B59" s="10"/>
      <c r="C59" s="58" t="s">
        <v>68</v>
      </c>
      <c r="D59" s="74">
        <v>0.38</v>
      </c>
      <c r="E59" s="10"/>
      <c r="F59" s="10"/>
      <c r="G59" s="10"/>
      <c r="H59" s="10"/>
      <c r="I59" s="10"/>
      <c r="J59" s="10"/>
      <c r="K59" s="10"/>
      <c r="L59" s="10"/>
      <c r="M59" s="10"/>
      <c r="N59" s="10"/>
      <c r="O59" s="10"/>
      <c r="P59" s="10"/>
    </row>
    <row r="60" spans="1:16" x14ac:dyDescent="0.35">
      <c r="A60" s="10"/>
      <c r="B60" s="10"/>
      <c r="C60" s="58" t="s">
        <v>69</v>
      </c>
      <c r="D60" s="74">
        <v>0.36</v>
      </c>
      <c r="E60" s="10"/>
      <c r="F60" s="10"/>
      <c r="G60" s="10"/>
      <c r="H60" s="10"/>
      <c r="I60" s="10"/>
      <c r="J60" s="10"/>
      <c r="K60" s="10"/>
      <c r="L60" s="10"/>
      <c r="M60" s="10"/>
      <c r="N60" s="10"/>
      <c r="O60" s="10"/>
      <c r="P60" s="10"/>
    </row>
    <row r="61" spans="1:16" x14ac:dyDescent="0.35">
      <c r="A61" s="10"/>
      <c r="B61" s="10"/>
      <c r="C61" s="58" t="s">
        <v>70</v>
      </c>
      <c r="D61" s="74">
        <v>0.37</v>
      </c>
      <c r="E61" s="10"/>
      <c r="F61" s="10"/>
      <c r="G61" s="10"/>
      <c r="H61" s="10"/>
      <c r="I61" s="10"/>
      <c r="J61" s="10"/>
      <c r="K61" s="10"/>
      <c r="L61" s="10"/>
      <c r="M61" s="10"/>
      <c r="N61" s="10"/>
      <c r="O61" s="10"/>
      <c r="P61" s="10"/>
    </row>
    <row r="62" spans="1:16" x14ac:dyDescent="0.35">
      <c r="A62" s="10"/>
      <c r="B62" s="10"/>
      <c r="C62" s="58" t="s">
        <v>71</v>
      </c>
      <c r="D62" s="74">
        <v>0.53</v>
      </c>
      <c r="E62" s="10"/>
      <c r="F62" s="10"/>
      <c r="G62" s="10"/>
      <c r="H62" s="10"/>
      <c r="I62" s="10"/>
      <c r="J62" s="10"/>
      <c r="K62" s="10"/>
      <c r="L62" s="10"/>
      <c r="M62" s="10"/>
      <c r="N62" s="10"/>
      <c r="O62" s="10"/>
      <c r="P62" s="10"/>
    </row>
    <row r="63" spans="1:16" x14ac:dyDescent="0.35">
      <c r="A63" s="10"/>
      <c r="B63" s="10"/>
      <c r="C63" s="58" t="s">
        <v>72</v>
      </c>
      <c r="D63" s="74">
        <v>0.43</v>
      </c>
      <c r="E63" s="10"/>
      <c r="F63" s="10"/>
      <c r="G63" s="10"/>
      <c r="H63" s="10"/>
      <c r="I63" s="10"/>
      <c r="J63" s="10"/>
      <c r="K63" s="10"/>
      <c r="L63" s="10"/>
      <c r="M63" s="10"/>
      <c r="N63" s="10"/>
      <c r="O63" s="10"/>
      <c r="P63" s="10"/>
    </row>
    <row r="64" spans="1:16" x14ac:dyDescent="0.35">
      <c r="A64" s="10"/>
      <c r="B64" s="10"/>
      <c r="C64" s="58" t="s">
        <v>73</v>
      </c>
      <c r="D64" s="74">
        <v>0.38</v>
      </c>
      <c r="E64" s="10"/>
      <c r="F64" s="10"/>
      <c r="G64" s="10"/>
      <c r="H64" s="10"/>
      <c r="I64" s="10"/>
      <c r="J64" s="10"/>
      <c r="K64" s="10"/>
      <c r="L64" s="10"/>
      <c r="M64" s="10"/>
      <c r="N64" s="10"/>
      <c r="O64" s="10"/>
      <c r="P64" s="10"/>
    </row>
    <row r="65" spans="1:16" x14ac:dyDescent="0.35">
      <c r="A65" s="10"/>
      <c r="B65" s="10"/>
      <c r="C65" s="58" t="s">
        <v>74</v>
      </c>
      <c r="D65" s="74">
        <v>0.42</v>
      </c>
      <c r="E65" s="10"/>
      <c r="F65" s="10"/>
      <c r="G65" s="10"/>
      <c r="H65" s="10"/>
      <c r="I65" s="10"/>
      <c r="J65" s="10"/>
      <c r="K65" s="10"/>
      <c r="L65" s="10"/>
      <c r="M65" s="10"/>
      <c r="N65" s="10"/>
      <c r="O65" s="10"/>
      <c r="P65" s="10"/>
    </row>
    <row r="66" spans="1:16" ht="15" thickBot="1" x14ac:dyDescent="0.4">
      <c r="A66" s="10"/>
      <c r="B66" s="10"/>
      <c r="C66" s="59" t="s">
        <v>75</v>
      </c>
      <c r="D66" s="75">
        <v>0.56999999999999995</v>
      </c>
      <c r="E66" s="10"/>
      <c r="F66" s="10"/>
      <c r="G66" s="10"/>
      <c r="H66" s="10"/>
      <c r="I66" s="10"/>
      <c r="J66" s="10"/>
      <c r="K66" s="10"/>
      <c r="L66" s="10"/>
      <c r="M66" s="10"/>
      <c r="N66" s="10"/>
      <c r="O66" s="10"/>
      <c r="P66" s="10"/>
    </row>
    <row r="67" spans="1:16" ht="15" thickBot="1" x14ac:dyDescent="0.4">
      <c r="A67" s="10"/>
      <c r="B67" s="10"/>
      <c r="C67" s="103" t="s">
        <v>190</v>
      </c>
      <c r="D67" s="75">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1" t="s">
        <v>143</v>
      </c>
      <c r="B70" s="10"/>
      <c r="C70" s="10"/>
      <c r="D70" s="10"/>
      <c r="E70" s="10"/>
      <c r="F70" s="10"/>
      <c r="G70" s="10"/>
      <c r="H70" s="10"/>
      <c r="I70" s="10"/>
      <c r="J70" s="10"/>
      <c r="K70" s="10"/>
      <c r="L70" s="10"/>
      <c r="M70" s="10"/>
      <c r="N70" s="10"/>
      <c r="O70" s="10"/>
      <c r="P70" s="10"/>
    </row>
    <row r="71" spans="1:16" x14ac:dyDescent="0.35">
      <c r="A71" s="68" t="s">
        <v>144</v>
      </c>
      <c r="B71" s="10"/>
      <c r="C71" s="10"/>
      <c r="D71" s="10"/>
      <c r="E71" s="10"/>
      <c r="F71" s="10"/>
      <c r="G71" s="10"/>
      <c r="H71" s="10"/>
      <c r="I71" s="10"/>
      <c r="J71" s="10"/>
      <c r="K71" s="10"/>
      <c r="L71" s="10"/>
      <c r="M71" s="10"/>
      <c r="N71" s="10"/>
      <c r="O71" s="10"/>
      <c r="P71" s="10"/>
    </row>
    <row r="72" spans="1:16" x14ac:dyDescent="0.35">
      <c r="A72" s="65" t="s">
        <v>145</v>
      </c>
      <c r="B72" s="10"/>
      <c r="C72" s="10"/>
      <c r="D72" s="10"/>
      <c r="E72" s="10"/>
      <c r="F72" s="10"/>
      <c r="G72" s="10"/>
      <c r="H72" s="10"/>
      <c r="I72" s="10"/>
      <c r="J72" s="10"/>
      <c r="K72" s="10"/>
      <c r="L72" s="10"/>
      <c r="M72" s="10"/>
      <c r="N72" s="10"/>
      <c r="O72" s="10"/>
      <c r="P72" s="10"/>
    </row>
    <row r="73" spans="1:16" ht="29.5" thickBot="1" x14ac:dyDescent="0.4">
      <c r="A73" s="66" t="s">
        <v>146</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REAforêtReboisement</vt:lpstr>
      <vt:lpstr>REAproduitsReboisement</vt:lpstr>
      <vt:lpstr>REEsubsReboisement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2021-01-12T13:00:51Z</dcterms:modified>
</cp:coreProperties>
</file>