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73 - Savoie\Dossier labellisation\"/>
    </mc:Choice>
  </mc:AlternateContent>
  <bookViews>
    <workbookView xWindow="0" yWindow="0" windowWidth="17970" windowHeight="8280"/>
  </bookViews>
  <sheets>
    <sheet name="Quantification C" sheetId="2" r:id="rId1"/>
    <sheet name="Table de productio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2" i="2"/>
  <c r="G14" i="2" l="1"/>
  <c r="G15" i="2" s="1"/>
  <c r="G16" i="2" s="1"/>
  <c r="G13" i="2"/>
  <c r="G4" i="2"/>
  <c r="G5" i="2"/>
  <c r="G6" i="2"/>
  <c r="G7" i="2"/>
  <c r="G8" i="2"/>
  <c r="G9" i="2"/>
  <c r="G10" i="2"/>
  <c r="G11" i="2"/>
  <c r="G3" i="2"/>
  <c r="L82" i="2"/>
  <c r="G88" i="2"/>
  <c r="G83" i="2"/>
  <c r="L72" i="2"/>
  <c r="G72" i="2"/>
  <c r="G66" i="2"/>
  <c r="L62" i="2"/>
  <c r="G61" i="2"/>
  <c r="L52" i="2"/>
  <c r="G50" i="2"/>
  <c r="L42" i="2"/>
  <c r="G39" i="2"/>
  <c r="L32" i="2"/>
  <c r="G28" i="2"/>
  <c r="G18" i="2"/>
  <c r="L22" i="2"/>
  <c r="G22" i="2"/>
  <c r="H3" i="2" l="1"/>
  <c r="H4" i="2"/>
  <c r="H5" i="2"/>
  <c r="H6" i="2"/>
  <c r="H7" i="2"/>
  <c r="H8" i="2"/>
  <c r="H9" i="2"/>
  <c r="H10" i="2"/>
  <c r="H11" i="2"/>
  <c r="H12" i="2"/>
  <c r="H14" i="2"/>
  <c r="H17" i="2"/>
  <c r="H22" i="2"/>
  <c r="H23" i="2"/>
  <c r="H28" i="2"/>
  <c r="H34" i="2"/>
  <c r="H39" i="2"/>
  <c r="H45" i="2"/>
  <c r="H50" i="2"/>
  <c r="H56" i="2"/>
  <c r="H61" i="2"/>
  <c r="H67" i="2"/>
  <c r="H72" i="2"/>
  <c r="H78" i="2"/>
  <c r="H83" i="2"/>
  <c r="H88" i="2"/>
  <c r="H89" i="2"/>
  <c r="H2" i="2"/>
  <c r="I82" i="2" l="1"/>
  <c r="G86" i="2"/>
  <c r="H86" i="2" s="1"/>
  <c r="G77" i="2"/>
  <c r="H77" i="2" s="1"/>
  <c r="H66" i="2"/>
  <c r="G55" i="2"/>
  <c r="H55" i="2" s="1"/>
  <c r="D74" i="2"/>
  <c r="E74" i="2" s="1"/>
  <c r="D75" i="2"/>
  <c r="E75" i="2" s="1"/>
  <c r="D77" i="2"/>
  <c r="E77" i="2" s="1"/>
  <c r="D82" i="2"/>
  <c r="E82" i="2" s="1"/>
  <c r="D76" i="2"/>
  <c r="E76" i="2" s="1"/>
  <c r="B73" i="2"/>
  <c r="B74" i="2" s="1"/>
  <c r="B75" i="2" s="1"/>
  <c r="B76" i="2" s="1"/>
  <c r="B77" i="2" s="1"/>
  <c r="B78" i="2" s="1"/>
  <c r="B79" i="2" s="1"/>
  <c r="B80" i="2" s="1"/>
  <c r="B81" i="2" s="1"/>
  <c r="B82" i="2" s="1"/>
  <c r="I83" i="2"/>
  <c r="J83" i="2" s="1"/>
  <c r="G80" i="2"/>
  <c r="H80" i="2" s="1"/>
  <c r="I80" i="2" s="1"/>
  <c r="J80" i="2" s="1"/>
  <c r="G81" i="2"/>
  <c r="H81" i="2" s="1"/>
  <c r="I81" i="2" s="1"/>
  <c r="J81" i="2" s="1"/>
  <c r="G82" i="2"/>
  <c r="H82" i="2" s="1"/>
  <c r="G79" i="2"/>
  <c r="H79" i="2" s="1"/>
  <c r="G74" i="2"/>
  <c r="H74" i="2" s="1"/>
  <c r="G75" i="2"/>
  <c r="H75" i="2" s="1"/>
  <c r="G69" i="2"/>
  <c r="H69" i="2" s="1"/>
  <c r="G70" i="2"/>
  <c r="H70" i="2" s="1"/>
  <c r="G71" i="2"/>
  <c r="H71" i="2" s="1"/>
  <c r="G68" i="2"/>
  <c r="H68" i="2" s="1"/>
  <c r="G58" i="2"/>
  <c r="H58" i="2" s="1"/>
  <c r="G59" i="2"/>
  <c r="H59" i="2" s="1"/>
  <c r="G60" i="2"/>
  <c r="H60" i="2" s="1"/>
  <c r="G57" i="2"/>
  <c r="H57" i="2" s="1"/>
  <c r="G47" i="2"/>
  <c r="H47" i="2" s="1"/>
  <c r="G48" i="2"/>
  <c r="H48" i="2" s="1"/>
  <c r="G49" i="2"/>
  <c r="H49" i="2" s="1"/>
  <c r="G46" i="2"/>
  <c r="H46" i="2" s="1"/>
  <c r="G41" i="2"/>
  <c r="H41" i="2" s="1"/>
  <c r="G42" i="2"/>
  <c r="H42" i="2" s="1"/>
  <c r="G36" i="2"/>
  <c r="H36" i="2" s="1"/>
  <c r="G37" i="2"/>
  <c r="H37" i="2" s="1"/>
  <c r="G38" i="2"/>
  <c r="H38" i="2" s="1"/>
  <c r="G35" i="2"/>
  <c r="H35" i="2" s="1"/>
  <c r="G25" i="2"/>
  <c r="H25" i="2" s="1"/>
  <c r="G26" i="2"/>
  <c r="H26" i="2" s="1"/>
  <c r="G27" i="2"/>
  <c r="H27" i="2" s="1"/>
  <c r="G24" i="2"/>
  <c r="H24" i="2" s="1"/>
  <c r="G19" i="2"/>
  <c r="H19" i="2" s="1"/>
  <c r="G20" i="2"/>
  <c r="H20" i="2" s="1"/>
  <c r="G21" i="2"/>
  <c r="H21" i="2" s="1"/>
  <c r="H18" i="2"/>
  <c r="K82" i="2"/>
  <c r="K73" i="2"/>
  <c r="K74" i="2" s="1"/>
  <c r="K75" i="2" s="1"/>
  <c r="K76" i="2" s="1"/>
  <c r="K77" i="2" s="1"/>
  <c r="K78" i="2" s="1"/>
  <c r="K79" i="2" s="1"/>
  <c r="K80" i="2" s="1"/>
  <c r="K81" i="2" s="1"/>
  <c r="G44" i="2"/>
  <c r="H44" i="2" s="1"/>
  <c r="G33" i="2"/>
  <c r="H33" i="2" s="1"/>
  <c r="F80" i="2"/>
  <c r="F81" i="2" s="1"/>
  <c r="F82" i="2" s="1"/>
  <c r="F83" i="2" s="1"/>
  <c r="F84" i="2" s="1"/>
  <c r="F85" i="2" s="1"/>
  <c r="F86" i="2" s="1"/>
  <c r="F87" i="2" s="1"/>
  <c r="F88" i="2" s="1"/>
  <c r="F24" i="2"/>
  <c r="F25" i="2" s="1"/>
  <c r="F26" i="2" s="1"/>
  <c r="F27" i="2" s="1"/>
  <c r="F28" i="2" s="1"/>
  <c r="F29" i="2" s="1"/>
  <c r="F30" i="2" s="1"/>
  <c r="F31" i="2" s="1"/>
  <c r="F32" i="2" s="1"/>
  <c r="F33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9" i="2" s="1"/>
  <c r="F18" i="2"/>
  <c r="F19" i="2" s="1"/>
  <c r="F20" i="2" s="1"/>
  <c r="F21" i="2" s="1"/>
  <c r="F22" i="2" s="1"/>
  <c r="F4" i="2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G64" i="2" l="1"/>
  <c r="H64" i="2" s="1"/>
  <c r="G53" i="2"/>
  <c r="H53" i="2" s="1"/>
  <c r="G62" i="2"/>
  <c r="H62" i="2" s="1"/>
  <c r="G73" i="2"/>
  <c r="H73" i="2" s="1"/>
  <c r="G63" i="2"/>
  <c r="H63" i="2" s="1"/>
  <c r="G65" i="2"/>
  <c r="H65" i="2" s="1"/>
  <c r="G76" i="2"/>
  <c r="H76" i="2" s="1"/>
  <c r="G40" i="2"/>
  <c r="H40" i="2" s="1"/>
  <c r="G51" i="2"/>
  <c r="H51" i="2" s="1"/>
  <c r="G52" i="2"/>
  <c r="H52" i="2" s="1"/>
  <c r="G43" i="2"/>
  <c r="H43" i="2" s="1"/>
  <c r="G54" i="2"/>
  <c r="H54" i="2" s="1"/>
  <c r="G30" i="2"/>
  <c r="H30" i="2" s="1"/>
  <c r="G29" i="2"/>
  <c r="H29" i="2" s="1"/>
  <c r="G32" i="2"/>
  <c r="H32" i="2" s="1"/>
  <c r="G31" i="2"/>
  <c r="H31" i="2" s="1"/>
  <c r="H13" i="2"/>
  <c r="D81" i="2"/>
  <c r="E81" i="2" s="1"/>
  <c r="D73" i="2"/>
  <c r="E73" i="2" s="1"/>
  <c r="D80" i="2"/>
  <c r="E80" i="2" s="1"/>
  <c r="D79" i="2"/>
  <c r="E79" i="2" s="1"/>
  <c r="D78" i="2"/>
  <c r="E78" i="2" s="1"/>
  <c r="J82" i="2"/>
  <c r="I86" i="2"/>
  <c r="J86" i="2" s="1"/>
  <c r="G85" i="2"/>
  <c r="H85" i="2" s="1"/>
  <c r="G87" i="2"/>
  <c r="H87" i="2" s="1"/>
  <c r="G84" i="2"/>
  <c r="H84" i="2" s="1"/>
  <c r="J89" i="2"/>
  <c r="D64" i="2"/>
  <c r="E64" i="2" s="1"/>
  <c r="D69" i="2"/>
  <c r="E69" i="2" s="1"/>
  <c r="D70" i="2"/>
  <c r="E70" i="2" s="1"/>
  <c r="D72" i="2"/>
  <c r="E72" i="2" s="1"/>
  <c r="D63" i="2"/>
  <c r="E63" i="2" s="1"/>
  <c r="D66" i="2"/>
  <c r="E66" i="2" s="1"/>
  <c r="D71" i="2"/>
  <c r="E71" i="2" s="1"/>
  <c r="B63" i="2"/>
  <c r="B64" i="2" s="1"/>
  <c r="B65" i="2" s="1"/>
  <c r="B66" i="2" s="1"/>
  <c r="B67" i="2" s="1"/>
  <c r="B68" i="2" s="1"/>
  <c r="B69" i="2" s="1"/>
  <c r="B70" i="2" s="1"/>
  <c r="B71" i="2" s="1"/>
  <c r="B72" i="2" s="1"/>
  <c r="H16" i="2" l="1"/>
  <c r="H15" i="2"/>
  <c r="D67" i="2"/>
  <c r="E67" i="2" s="1"/>
  <c r="D68" i="2"/>
  <c r="E68" i="2" s="1"/>
  <c r="D65" i="2"/>
  <c r="E65" i="2" s="1"/>
  <c r="I84" i="2"/>
  <c r="J84" i="2" s="1"/>
  <c r="I87" i="2"/>
  <c r="J87" i="2" s="1"/>
  <c r="I88" i="2"/>
  <c r="J88" i="2" s="1"/>
  <c r="I85" i="2"/>
  <c r="J85" i="2" s="1"/>
  <c r="I79" i="2"/>
  <c r="J79" i="2" s="1"/>
  <c r="K63" i="2"/>
  <c r="K64" i="2" s="1"/>
  <c r="K65" i="2" s="1"/>
  <c r="K66" i="2" s="1"/>
  <c r="K67" i="2" s="1"/>
  <c r="K68" i="2" s="1"/>
  <c r="K69" i="2" s="1"/>
  <c r="K70" i="2" s="1"/>
  <c r="K71" i="2" s="1"/>
  <c r="K72" i="2" s="1"/>
  <c r="I78" i="2" l="1"/>
  <c r="J78" i="2" s="1"/>
  <c r="I71" i="2"/>
  <c r="J71" i="2" s="1"/>
  <c r="W11" i="2"/>
  <c r="W13" i="2" s="1"/>
  <c r="R20" i="2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Q20" i="2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P20" i="2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K21" i="2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D3" i="2"/>
  <c r="D9" i="2"/>
  <c r="E9" i="2" s="1"/>
  <c r="D17" i="2"/>
  <c r="D18" i="2"/>
  <c r="E18" i="2" s="1"/>
  <c r="D19" i="2"/>
  <c r="D26" i="2"/>
  <c r="D27" i="2"/>
  <c r="E27" i="2" s="1"/>
  <c r="E31" i="2"/>
  <c r="D34" i="2"/>
  <c r="E34" i="2" s="1"/>
  <c r="D42" i="2"/>
  <c r="E42" i="2" s="1"/>
  <c r="D43" i="2"/>
  <c r="D46" i="2"/>
  <c r="E46" i="2" s="1"/>
  <c r="D50" i="2"/>
  <c r="E50" i="2" s="1"/>
  <c r="D51" i="2"/>
  <c r="E51" i="2" s="1"/>
  <c r="D58" i="2"/>
  <c r="E58" i="2" s="1"/>
  <c r="D59" i="2"/>
  <c r="E2" i="2"/>
  <c r="D4" i="2"/>
  <c r="E4" i="2" s="1"/>
  <c r="D5" i="2"/>
  <c r="E5" i="2" s="1"/>
  <c r="D6" i="2"/>
  <c r="E6" i="2" s="1"/>
  <c r="D7" i="2"/>
  <c r="E7" i="2" s="1"/>
  <c r="D8" i="2"/>
  <c r="E8" i="2" s="1"/>
  <c r="D12" i="2"/>
  <c r="E12" i="2" s="1"/>
  <c r="D13" i="2"/>
  <c r="E13" i="2" s="1"/>
  <c r="D14" i="2"/>
  <c r="E14" i="2" s="1"/>
  <c r="D15" i="2"/>
  <c r="E15" i="2" s="1"/>
  <c r="D16" i="2"/>
  <c r="E16" i="2" s="1"/>
  <c r="D20" i="2"/>
  <c r="E20" i="2" s="1"/>
  <c r="D21" i="2"/>
  <c r="E21" i="2" s="1"/>
  <c r="D23" i="2"/>
  <c r="E23" i="2" s="1"/>
  <c r="D24" i="2"/>
  <c r="E24" i="2" s="1"/>
  <c r="D25" i="2"/>
  <c r="E25" i="2" s="1"/>
  <c r="D28" i="2"/>
  <c r="E28" i="2" s="1"/>
  <c r="D29" i="2"/>
  <c r="E29" i="2" s="1"/>
  <c r="D31" i="2"/>
  <c r="D32" i="2"/>
  <c r="E32" i="2" s="1"/>
  <c r="W5" i="2" s="1"/>
  <c r="D33" i="2"/>
  <c r="D36" i="2"/>
  <c r="E36" i="2" s="1"/>
  <c r="D37" i="2"/>
  <c r="E37" i="2" s="1"/>
  <c r="D39" i="2"/>
  <c r="E39" i="2" s="1"/>
  <c r="D40" i="2"/>
  <c r="E40" i="2" s="1"/>
  <c r="D41" i="2"/>
  <c r="D44" i="2"/>
  <c r="E44" i="2" s="1"/>
  <c r="D45" i="2"/>
  <c r="E45" i="2" s="1"/>
  <c r="D47" i="2"/>
  <c r="E47" i="2" s="1"/>
  <c r="D48" i="2"/>
  <c r="E48" i="2" s="1"/>
  <c r="D49" i="2"/>
  <c r="E49" i="2" s="1"/>
  <c r="D52" i="2"/>
  <c r="E52" i="2" s="1"/>
  <c r="D53" i="2"/>
  <c r="E53" i="2" s="1"/>
  <c r="D55" i="2"/>
  <c r="E55" i="2" s="1"/>
  <c r="D56" i="2"/>
  <c r="E56" i="2" s="1"/>
  <c r="D57" i="2"/>
  <c r="D60" i="2"/>
  <c r="E60" i="2" s="1"/>
  <c r="D61" i="2"/>
  <c r="E61" i="2" s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3" i="2"/>
  <c r="E57" i="2" l="1"/>
  <c r="E41" i="2"/>
  <c r="E33" i="2"/>
  <c r="E3" i="2"/>
  <c r="W3" i="2" s="1"/>
  <c r="P32" i="2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E30" i="2"/>
  <c r="D62" i="2"/>
  <c r="E62" i="2" s="1"/>
  <c r="D54" i="2"/>
  <c r="E54" i="2" s="1"/>
  <c r="D38" i="2"/>
  <c r="E38" i="2" s="1"/>
  <c r="D30" i="2"/>
  <c r="E43" i="2"/>
  <c r="E19" i="2"/>
  <c r="E17" i="2"/>
  <c r="E59" i="2"/>
  <c r="D35" i="2"/>
  <c r="E35" i="2" s="1"/>
  <c r="D10" i="2"/>
  <c r="E10" i="2" s="1"/>
  <c r="E26" i="2"/>
  <c r="D11" i="2"/>
  <c r="E11" i="2" s="1"/>
  <c r="D22" i="2"/>
  <c r="E22" i="2" s="1"/>
  <c r="I55" i="2" l="1"/>
  <c r="J55" i="2" s="1"/>
  <c r="I48" i="2"/>
  <c r="I56" i="2"/>
  <c r="J56" i="2" s="1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I64" i="2" l="1"/>
  <c r="J64" i="2" s="1"/>
  <c r="I63" i="2"/>
  <c r="J63" i="2" s="1"/>
  <c r="I47" i="2"/>
  <c r="J48" i="2"/>
  <c r="F3" i="2"/>
  <c r="I28" i="2" l="1"/>
  <c r="J28" i="2" s="1"/>
  <c r="I29" i="2"/>
  <c r="J29" i="2" s="1"/>
  <c r="I76" i="2"/>
  <c r="J76" i="2" s="1"/>
  <c r="J47" i="2"/>
  <c r="I72" i="2" l="1"/>
  <c r="J72" i="2" s="1"/>
  <c r="I75" i="2"/>
  <c r="J75" i="2" s="1"/>
  <c r="I77" i="2"/>
  <c r="J77" i="2" s="1"/>
  <c r="I74" i="2"/>
  <c r="J74" i="2" s="1"/>
  <c r="I73" i="2"/>
  <c r="J73" i="2" s="1"/>
  <c r="R3" i="2" l="1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P3" i="2"/>
  <c r="P4" i="2" s="1"/>
  <c r="Q3" i="2"/>
  <c r="P5" i="2" l="1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S4" i="2" l="1"/>
  <c r="P6" i="2"/>
  <c r="S5" i="2"/>
  <c r="S2" i="2"/>
  <c r="I5" i="2"/>
  <c r="J5" i="2" s="1"/>
  <c r="I8" i="2"/>
  <c r="J8" i="2" s="1"/>
  <c r="I9" i="2"/>
  <c r="J9" i="2" s="1"/>
  <c r="I10" i="2"/>
  <c r="J10" i="2" s="1"/>
  <c r="I14" i="2"/>
  <c r="J14" i="2" s="1"/>
  <c r="I18" i="2"/>
  <c r="J18" i="2" s="1"/>
  <c r="P7" i="2" l="1"/>
  <c r="S6" i="2"/>
  <c r="I19" i="2"/>
  <c r="J19" i="2" s="1"/>
  <c r="I17" i="2"/>
  <c r="J17" i="2" s="1"/>
  <c r="I16" i="2"/>
  <c r="J16" i="2" s="1"/>
  <c r="I15" i="2"/>
  <c r="J15" i="2" s="1"/>
  <c r="I13" i="2"/>
  <c r="J13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W2" i="2" l="1"/>
  <c r="W4" i="2" s="1"/>
  <c r="P8" i="2"/>
  <c r="S7" i="2"/>
  <c r="I21" i="2"/>
  <c r="J21" i="2" s="1"/>
  <c r="I22" i="2"/>
  <c r="J22" i="2" s="1"/>
  <c r="I23" i="2" l="1"/>
  <c r="J23" i="2" s="1"/>
  <c r="I24" i="2"/>
  <c r="J24" i="2" s="1"/>
  <c r="I25" i="2"/>
  <c r="J25" i="2" s="1"/>
  <c r="I26" i="2"/>
  <c r="J26" i="2" s="1"/>
  <c r="P9" i="2"/>
  <c r="S8" i="2"/>
  <c r="I20" i="2"/>
  <c r="J20" i="2" s="1"/>
  <c r="I27" i="2"/>
  <c r="J27" i="2" s="1"/>
  <c r="I35" i="2" l="1"/>
  <c r="J35" i="2" s="1"/>
  <c r="I34" i="2"/>
  <c r="J34" i="2" s="1"/>
  <c r="P10" i="2"/>
  <c r="S9" i="2"/>
  <c r="P11" i="2" l="1"/>
  <c r="S10" i="2"/>
  <c r="P12" i="2" l="1"/>
  <c r="S11" i="2"/>
  <c r="P13" i="2" l="1"/>
  <c r="S12" i="2"/>
  <c r="I33" i="2" l="1"/>
  <c r="J33" i="2" s="1"/>
  <c r="I30" i="2"/>
  <c r="J30" i="2" s="1"/>
  <c r="I31" i="2"/>
  <c r="J31" i="2" s="1"/>
  <c r="I32" i="2"/>
  <c r="J32" i="2" s="1"/>
  <c r="P14" i="2"/>
  <c r="S13" i="2"/>
  <c r="P15" i="2" l="1"/>
  <c r="S14" i="2"/>
  <c r="P16" i="2" l="1"/>
  <c r="S15" i="2"/>
  <c r="P17" i="2" l="1"/>
  <c r="S16" i="2"/>
  <c r="P18" i="2" l="1"/>
  <c r="S17" i="2"/>
  <c r="P19" i="2" l="1"/>
  <c r="S18" i="2"/>
  <c r="S19" i="2" l="1"/>
  <c r="S20" i="2" l="1"/>
  <c r="S21" i="2" l="1"/>
  <c r="I49" i="2" l="1"/>
  <c r="J49" i="2" s="1"/>
  <c r="I50" i="2"/>
  <c r="J50" i="2" s="1"/>
  <c r="I51" i="2"/>
  <c r="J51" i="2" s="1"/>
  <c r="I52" i="2"/>
  <c r="J52" i="2" s="1"/>
  <c r="I53" i="2"/>
  <c r="J53" i="2" s="1"/>
  <c r="I54" i="2"/>
  <c r="J54" i="2" s="1"/>
  <c r="S22" i="2"/>
  <c r="S23" i="2" l="1"/>
  <c r="I46" i="2" l="1"/>
  <c r="J46" i="2" s="1"/>
  <c r="S24" i="2"/>
  <c r="I36" i="2" l="1"/>
  <c r="J36" i="2" s="1"/>
  <c r="I37" i="2"/>
  <c r="J37" i="2" s="1"/>
  <c r="I38" i="2"/>
  <c r="J38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S25" i="2"/>
  <c r="I39" i="2" l="1"/>
  <c r="J39" i="2" s="1"/>
  <c r="S26" i="2"/>
  <c r="S27" i="2" l="1"/>
  <c r="S28" i="2" l="1"/>
  <c r="I58" i="2" l="1"/>
  <c r="J58" i="2" s="1"/>
  <c r="I59" i="2"/>
  <c r="J59" i="2" s="1"/>
  <c r="I60" i="2"/>
  <c r="J60" i="2" s="1"/>
  <c r="I61" i="2"/>
  <c r="J61" i="2" s="1"/>
  <c r="I62" i="2"/>
  <c r="J62" i="2" s="1"/>
  <c r="S29" i="2"/>
  <c r="I65" i="2" l="1"/>
  <c r="J65" i="2" s="1"/>
  <c r="S30" i="2"/>
  <c r="I66" i="2" l="1"/>
  <c r="J66" i="2" s="1"/>
  <c r="S31" i="2"/>
  <c r="I67" i="2" l="1"/>
  <c r="J67" i="2" s="1"/>
  <c r="S32" i="2"/>
  <c r="W14" i="2" s="1"/>
  <c r="I68" i="2" l="1"/>
  <c r="J68" i="2" s="1"/>
  <c r="S33" i="2"/>
  <c r="S34" i="2" l="1"/>
  <c r="I70" i="2" l="1"/>
  <c r="J70" i="2" s="1"/>
  <c r="S35" i="2"/>
  <c r="S36" i="2" l="1"/>
  <c r="S37" i="2" l="1"/>
  <c r="S38" i="2" l="1"/>
  <c r="S39" i="2" l="1"/>
  <c r="S40" i="2" l="1"/>
  <c r="S41" i="2" l="1"/>
  <c r="S42" i="2" l="1"/>
  <c r="S43" i="2" l="1"/>
  <c r="S44" i="2" l="1"/>
  <c r="S45" i="2" l="1"/>
  <c r="S46" i="2" l="1"/>
  <c r="S47" i="2" l="1"/>
  <c r="S48" i="2" l="1"/>
  <c r="S49" i="2" l="1"/>
  <c r="I57" i="2" l="1"/>
  <c r="J57" i="2" s="1"/>
  <c r="I69" i="2" l="1"/>
  <c r="J69" i="2" s="1"/>
  <c r="W6" i="2" l="1"/>
  <c r="W10" i="2" l="1"/>
  <c r="W16" i="2" s="1"/>
</calcChain>
</file>

<file path=xl/sharedStrings.xml><?xml version="1.0" encoding="utf-8"?>
<sst xmlns="http://schemas.openxmlformats.org/spreadsheetml/2006/main" count="77" uniqueCount="63">
  <si>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</si>
  <si>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</si>
  <si>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</si>
  <si>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</si>
  <si>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</si>
  <si>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</si>
  <si>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</si>
  <si>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</si>
  <si>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</si>
  <si>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</si>
  <si>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</si>
  <si>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</si>
  <si>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</si>
  <si>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</si>
  <si>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</si>
  <si>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</si>
  <si>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</si>
  <si>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</si>
  <si>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</si>
  <si>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</si>
  <si>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</si>
  <si>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</si>
  <si>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</si>
  <si>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</si>
  <si>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Biomasse 
totale accrus (tCO₂/ha)</t>
  </si>
  <si>
    <t>REE</t>
  </si>
  <si>
    <t>Infradensité érable sycomore</t>
  </si>
  <si>
    <t>Stock moyen de long terme érable</t>
  </si>
  <si>
    <r>
      <t>Biomasse totale érable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</si>
  <si>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Accrus feuillus</t>
  </si>
  <si>
    <t>Species</t>
  </si>
  <si>
    <t>Yield class</t>
  </si>
  <si>
    <t>Thinning treatment</t>
  </si>
  <si>
    <t>Initial spacing</t>
  </si>
  <si>
    <t>Stand area</t>
  </si>
  <si>
    <t>Sycamore</t>
  </si>
  <si>
    <t>Intermediate</t>
  </si>
  <si>
    <t>1st thin delay</t>
  </si>
  <si>
    <t>1st thin type</t>
  </si>
  <si>
    <t>1st thin age</t>
  </si>
  <si>
    <t>2nd thin age</t>
  </si>
  <si>
    <t>Max MAI age</t>
  </si>
  <si>
    <t>Sub thin type</t>
  </si>
  <si>
    <t>Late thin age</t>
  </si>
  <si>
    <t>Late thin cycle</t>
  </si>
  <si>
    <t>0 years</t>
  </si>
  <si>
    <t>INTERMEDIATE</t>
  </si>
  <si>
    <t>15 years</t>
  </si>
  <si>
    <t>20 years</t>
  </si>
  <si>
    <t>40 years</t>
  </si>
  <si>
    <t>N/A</t>
  </si>
  <si>
    <t>MAIN CROP after thinning</t>
  </si>
  <si>
    <t>Yield from THINNINGS</t>
  </si>
  <si>
    <t>CUMULATIVE PRODUCTION</t>
  </si>
  <si>
    <t>MAI</t>
  </si>
  <si>
    <t>Age yrs</t>
  </si>
  <si>
    <t>Top ht m</t>
  </si>
  <si>
    <t>Trees /ha</t>
  </si>
  <si>
    <t>Mean dbh cm</t>
  </si>
  <si>
    <t>BA m²/ha</t>
  </si>
  <si>
    <t>Mean vol m³</t>
  </si>
  <si>
    <t>Vol m³/ha</t>
  </si>
  <si>
    <t>Vol m³/ha 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</si>
</sst>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8.25"/>
      <color indexed="8"/>
      <name val="Verdana"/>
      <family val="2"/>
    </font>
    <font>
      <sz val="8.25"/>
      <color indexed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0" xfId="0" applyFill="1"/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164" fontId="0" fillId="6" borderId="0" xfId="0" applyNumberFormat="1" applyFill="1" applyAlignment="1">
      <alignment horizontal="center" vertical="center"/>
    </xf>
    <xf numFmtId="164" fontId="0" fillId="8" borderId="0" xfId="0" applyNumberFormat="1" applyFill="1" applyAlignment="1">
      <alignment horizont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de l'érable sycomore</a:t>
            </a:r>
            <a:endParaRPr lang="fr-FR" b="1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érable
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C'!$F$2:$F$89</c:f>
              <c:numCache>
                <c:formatCode>General</c:formatCode>
                <c:ptCount val="8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30</c:v>
                </c:pt>
                <c:pt idx="33">
                  <c:v>31</c:v>
                </c:pt>
                <c:pt idx="34">
                  <c:v>32</c:v>
                </c:pt>
                <c:pt idx="35">
                  <c:v>33</c:v>
                </c:pt>
                <c:pt idx="36">
                  <c:v>34</c:v>
                </c:pt>
                <c:pt idx="37">
                  <c:v>35</c:v>
                </c:pt>
                <c:pt idx="38">
                  <c:v>36</c:v>
                </c:pt>
                <c:pt idx="39">
                  <c:v>37</c:v>
                </c:pt>
                <c:pt idx="40">
                  <c:v>38</c:v>
                </c:pt>
                <c:pt idx="41">
                  <c:v>39</c:v>
                </c:pt>
                <c:pt idx="42">
                  <c:v>40</c:v>
                </c:pt>
                <c:pt idx="43">
                  <c:v>40</c:v>
                </c:pt>
                <c:pt idx="44">
                  <c:v>41</c:v>
                </c:pt>
                <c:pt idx="45">
                  <c:v>42</c:v>
                </c:pt>
                <c:pt idx="46">
                  <c:v>43</c:v>
                </c:pt>
                <c:pt idx="47">
                  <c:v>44</c:v>
                </c:pt>
                <c:pt idx="48">
                  <c:v>45</c:v>
                </c:pt>
                <c:pt idx="49">
                  <c:v>46</c:v>
                </c:pt>
                <c:pt idx="50">
                  <c:v>47</c:v>
                </c:pt>
                <c:pt idx="51">
                  <c:v>48</c:v>
                </c:pt>
                <c:pt idx="52">
                  <c:v>49</c:v>
                </c:pt>
                <c:pt idx="53">
                  <c:v>50</c:v>
                </c:pt>
                <c:pt idx="54">
                  <c:v>50</c:v>
                </c:pt>
                <c:pt idx="55">
                  <c:v>51</c:v>
                </c:pt>
                <c:pt idx="56">
                  <c:v>52</c:v>
                </c:pt>
                <c:pt idx="57">
                  <c:v>53</c:v>
                </c:pt>
                <c:pt idx="58">
                  <c:v>54</c:v>
                </c:pt>
                <c:pt idx="59">
                  <c:v>55</c:v>
                </c:pt>
                <c:pt idx="60">
                  <c:v>56</c:v>
                </c:pt>
                <c:pt idx="61">
                  <c:v>57</c:v>
                </c:pt>
                <c:pt idx="62">
                  <c:v>58</c:v>
                </c:pt>
                <c:pt idx="63">
                  <c:v>59</c:v>
                </c:pt>
                <c:pt idx="64">
                  <c:v>60</c:v>
                </c:pt>
                <c:pt idx="65">
                  <c:v>60</c:v>
                </c:pt>
                <c:pt idx="66">
                  <c:v>61</c:v>
                </c:pt>
                <c:pt idx="67">
                  <c:v>62</c:v>
                </c:pt>
                <c:pt idx="68">
                  <c:v>63</c:v>
                </c:pt>
                <c:pt idx="69">
                  <c:v>64</c:v>
                </c:pt>
                <c:pt idx="70">
                  <c:v>65</c:v>
                </c:pt>
                <c:pt idx="71">
                  <c:v>66</c:v>
                </c:pt>
                <c:pt idx="72">
                  <c:v>67</c:v>
                </c:pt>
                <c:pt idx="73">
                  <c:v>68</c:v>
                </c:pt>
                <c:pt idx="74">
                  <c:v>69</c:v>
                </c:pt>
                <c:pt idx="75">
                  <c:v>70</c:v>
                </c:pt>
                <c:pt idx="76">
                  <c:v>70</c:v>
                </c:pt>
                <c:pt idx="77">
                  <c:v>71</c:v>
                </c:pt>
                <c:pt idx="78">
                  <c:v>72</c:v>
                </c:pt>
                <c:pt idx="79">
                  <c:v>73</c:v>
                </c:pt>
                <c:pt idx="80">
                  <c:v>74</c:v>
                </c:pt>
                <c:pt idx="81">
                  <c:v>75</c:v>
                </c:pt>
                <c:pt idx="82">
                  <c:v>76</c:v>
                </c:pt>
                <c:pt idx="83">
                  <c:v>77</c:v>
                </c:pt>
                <c:pt idx="84">
                  <c:v>78</c:v>
                </c:pt>
                <c:pt idx="85">
                  <c:v>79</c:v>
                </c:pt>
                <c:pt idx="86">
                  <c:v>80</c:v>
                </c:pt>
                <c:pt idx="87">
                  <c:v>80</c:v>
                </c:pt>
              </c:numCache>
            </c:numRef>
          </c:xVal>
          <c:yVal>
            <c:numRef>
              <c:f>'Quantification C'!$J$2:$J$89</c:f>
              <c:numCache>
                <c:formatCode>0.0</c:formatCode>
                <c:ptCount val="88"/>
                <c:pt idx="0" formatCode="General">
                  <c:v>0</c:v>
                </c:pt>
                <c:pt idx="1">
                  <c:v>2.2572418899436215</c:v>
                </c:pt>
                <c:pt idx="2">
                  <c:v>4.4029966661090372</c:v>
                </c:pt>
                <c:pt idx="3">
                  <c:v>6.5127467008271216</c:v>
                </c:pt>
                <c:pt idx="4">
                  <c:v>8.6003025751791498</c:v>
                </c:pt>
                <c:pt idx="5">
                  <c:v>10.671923697251939</c:v>
                </c:pt>
                <c:pt idx="6">
                  <c:v>12.7311806947558</c:v>
                </c:pt>
                <c:pt idx="7">
                  <c:v>14.780375413315232</c:v>
                </c:pt>
                <c:pt idx="8">
                  <c:v>16.821111179284514</c:v>
                </c:pt>
                <c:pt idx="9">
                  <c:v>18.854566457929991</c:v>
                </c:pt>
                <c:pt idx="10">
                  <c:v>20.881642470054704</c:v>
                </c:pt>
                <c:pt idx="11">
                  <c:v>24.719760915672925</c:v>
                </c:pt>
                <c:pt idx="12">
                  <c:v>30.346823264431048</c:v>
                </c:pt>
                <c:pt idx="13">
                  <c:v>37.739508297718437</c:v>
                </c:pt>
                <c:pt idx="14">
                  <c:v>46.8766089122146</c:v>
                </c:pt>
                <c:pt idx="15">
                  <c:v>60.132662678029448</c:v>
                </c:pt>
                <c:pt idx="16">
                  <c:v>95.440359431407103</c:v>
                </c:pt>
                <c:pt idx="17">
                  <c:v>130.4161964731197</c:v>
                </c:pt>
                <c:pt idx="18">
                  <c:v>165.16335080632018</c:v>
                </c:pt>
                <c:pt idx="19">
                  <c:v>199.73707893031425</c:v>
                </c:pt>
                <c:pt idx="20">
                  <c:v>234.17172610021262</c:v>
                </c:pt>
                <c:pt idx="21">
                  <c:v>119.42507423777393</c:v>
                </c:pt>
                <c:pt idx="22">
                  <c:v>145.02499825387514</c:v>
                </c:pt>
                <c:pt idx="23">
                  <c:v>170.51654323504022</c:v>
                </c:pt>
                <c:pt idx="24">
                  <c:v>195.91822647250351</c:v>
                </c:pt>
                <c:pt idx="25">
                  <c:v>221.24334918385941</c:v>
                </c:pt>
                <c:pt idx="26">
                  <c:v>246.5019100362974</c:v>
                </c:pt>
                <c:pt idx="27">
                  <c:v>270.8819290827189</c:v>
                </c:pt>
                <c:pt idx="28">
                  <c:v>295.21258396391971</c:v>
                </c:pt>
                <c:pt idx="29">
                  <c:v>319.49851297916717</c:v>
                </c:pt>
                <c:pt idx="30">
                  <c:v>343.74359164723916</c:v>
                </c:pt>
                <c:pt idx="31">
                  <c:v>367.95110424042531</c:v>
                </c:pt>
                <c:pt idx="32">
                  <c:v>248.72667768085878</c:v>
                </c:pt>
                <c:pt idx="33">
                  <c:v>270.81361334976538</c:v>
                </c:pt>
                <c:pt idx="34">
                  <c:v>292.86002684671399</c:v>
                </c:pt>
                <c:pt idx="35">
                  <c:v>314.8693962970604</c:v>
                </c:pt>
                <c:pt idx="36">
                  <c:v>336.84467386393652</c:v>
                </c:pt>
                <c:pt idx="37">
                  <c:v>358.78839513118533</c:v>
                </c:pt>
                <c:pt idx="38">
                  <c:v>378.02433866846087</c:v>
                </c:pt>
                <c:pt idx="39">
                  <c:v>397.23898298465002</c:v>
                </c:pt>
                <c:pt idx="40">
                  <c:v>416.4335027667525</c:v>
                </c:pt>
                <c:pt idx="41">
                  <c:v>435.60895562573023</c:v>
                </c:pt>
                <c:pt idx="42">
                  <c:v>454.76629851080344</c:v>
                </c:pt>
                <c:pt idx="43">
                  <c:v>336.19880412590317</c:v>
                </c:pt>
                <c:pt idx="44">
                  <c:v>352.88083208106309</c:v>
                </c:pt>
                <c:pt idx="45">
                  <c:v>369.54558155288464</c:v>
                </c:pt>
                <c:pt idx="46">
                  <c:v>386.1939412040706</c:v>
                </c:pt>
                <c:pt idx="47">
                  <c:v>402.82671684246185</c:v>
                </c:pt>
                <c:pt idx="48">
                  <c:v>419.44464231919136</c:v>
                </c:pt>
                <c:pt idx="49">
                  <c:v>433.88493422762105</c:v>
                </c:pt>
                <c:pt idx="50">
                  <c:v>448.31491037156962</c:v>
                </c:pt>
                <c:pt idx="51">
                  <c:v>462.73494948769149</c:v>
                </c:pt>
                <c:pt idx="52">
                  <c:v>477.1454047875232</c:v>
                </c:pt>
                <c:pt idx="53">
                  <c:v>491.54660641278366</c:v>
                </c:pt>
                <c:pt idx="54">
                  <c:v>418.76802245127971</c:v>
                </c:pt>
                <c:pt idx="55">
                  <c:v>431.21410057407815</c:v>
                </c:pt>
                <c:pt idx="56">
                  <c:v>443.65246288624525</c:v>
                </c:pt>
                <c:pt idx="57">
                  <c:v>456.0833561926575</c:v>
                </c:pt>
                <c:pt idx="58">
                  <c:v>468.5070127473432</c:v>
                </c:pt>
                <c:pt idx="59">
                  <c:v>480.92365148260524</c:v>
                </c:pt>
                <c:pt idx="60">
                  <c:v>491.47917456055035</c:v>
                </c:pt>
                <c:pt idx="61">
                  <c:v>502.02989124757113</c:v>
                </c:pt>
                <c:pt idx="62">
                  <c:v>512.57591680016355</c:v>
                </c:pt>
                <c:pt idx="63">
                  <c:v>523.11736134514501</c:v>
                </c:pt>
                <c:pt idx="64">
                  <c:v>533.65433020893227</c:v>
                </c:pt>
                <c:pt idx="65">
                  <c:v>482.94745236402736</c:v>
                </c:pt>
                <c:pt idx="66">
                  <c:v>491.78261635079139</c:v>
                </c:pt>
                <c:pt idx="67">
                  <c:v>500.61441511086269</c:v>
                </c:pt>
                <c:pt idx="68">
                  <c:v>509.44291639898387</c:v>
                </c:pt>
                <c:pt idx="69">
                  <c:v>518.26818542949843</c:v>
                </c:pt>
                <c:pt idx="70">
                  <c:v>527.09028501417208</c:v>
                </c:pt>
                <c:pt idx="71">
                  <c:v>534.6640320143656</c:v>
                </c:pt>
                <c:pt idx="72">
                  <c:v>542.23552329497886</c:v>
                </c:pt>
                <c:pt idx="73">
                  <c:v>549.8047948040836</c:v>
                </c:pt>
                <c:pt idx="74">
                  <c:v>557.37188141896729</c:v>
                </c:pt>
                <c:pt idx="75">
                  <c:v>564.93681699244905</c:v>
                </c:pt>
                <c:pt idx="76">
                  <c:v>521.36637983870946</c:v>
                </c:pt>
                <c:pt idx="77">
                  <c:v>528.40323103965079</c:v>
                </c:pt>
                <c:pt idx="78">
                  <c:v>535.43810957066478</c:v>
                </c:pt>
                <c:pt idx="79">
                  <c:v>542.47104501409694</c:v>
                </c:pt>
                <c:pt idx="80">
                  <c:v>549.50206612243039</c:v>
                </c:pt>
                <c:pt idx="81">
                  <c:v>556.53120085211901</c:v>
                </c:pt>
                <c:pt idx="82">
                  <c:v>562.51626962014586</c:v>
                </c:pt>
                <c:pt idx="83">
                  <c:v>568.50000621784159</c:v>
                </c:pt>
                <c:pt idx="84">
                  <c:v>574.48242664981979</c:v>
                </c:pt>
                <c:pt idx="85">
                  <c:v>580.46354656005872</c:v>
                </c:pt>
                <c:pt idx="86">
                  <c:v>586.44338124374281</c:v>
                </c:pt>
                <c:pt idx="8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C'!$A$2:$A$82</c:f>
              <c:numCache>
                <c:formatCode>General</c:formatCode>
                <c:ptCount val="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</c:numCache>
            </c:numRef>
          </c:xVal>
          <c:yVal>
            <c:numRef>
              <c:f>'Quantification C'!$E$2:$E$82</c:f>
              <c:numCache>
                <c:formatCode>0.0</c:formatCode>
                <c:ptCount val="81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12.816071577640272</c:v>
                </c:pt>
                <c:pt idx="7">
                  <c:v>14.878972594730007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35.172319671970534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55.125487819385434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76.853424242090881</c:v>
                </c:pt>
                <c:pt idx="39">
                  <c:v>78.820101157900652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96.467953961397697</c:v>
                </c:pt>
                <c:pt idx="49">
                  <c:v>98.423545555293359</c:v>
                </c:pt>
                <c:pt idx="50">
                  <c:v>100.37817162662895</c:v>
                </c:pt>
                <c:pt idx="51">
                  <c:v>102.33185371141566</c:v>
                </c:pt>
                <c:pt idx="52">
                  <c:v>104.28461245280987</c:v>
                </c:pt>
                <c:pt idx="53">
                  <c:v>106.23646765457615</c:v>
                </c:pt>
                <c:pt idx="54">
                  <c:v>108.18743833040098</c:v>
                </c:pt>
                <c:pt idx="55">
                  <c:v>110.13754274945018</c:v>
                </c:pt>
                <c:pt idx="56">
                  <c:v>112.08679847851975</c:v>
                </c:pt>
                <c:pt idx="57">
                  <c:v>114.03522242109018</c:v>
                </c:pt>
                <c:pt idx="58">
                  <c:v>115.98283085356285</c:v>
                </c:pt>
                <c:pt idx="59">
                  <c:v>117.92963945892645</c:v>
                </c:pt>
                <c:pt idx="60">
                  <c:v>119.87566335807644</c:v>
                </c:pt>
                <c:pt idx="61">
                  <c:v>121.82091713898711</c:v>
                </c:pt>
                <c:pt idx="62">
                  <c:v>123.7654148839167</c:v>
                </c:pt>
                <c:pt idx="63">
                  <c:v>125.70917019480748</c:v>
                </c:pt>
                <c:pt idx="64">
                  <c:v>127.65219621702742</c:v>
                </c:pt>
                <c:pt idx="65">
                  <c:v>129.59450566158588</c:v>
                </c:pt>
                <c:pt idx="66">
                  <c:v>131.53611082594338</c:v>
                </c:pt>
                <c:pt idx="67">
                  <c:v>133.47702361352444</c:v>
                </c:pt>
                <c:pt idx="68">
                  <c:v>135.41725555203226</c:v>
                </c:pt>
                <c:pt idx="69">
                  <c:v>137.35681781065566</c:v>
                </c:pt>
                <c:pt idx="70">
                  <c:v>139.29572121624977</c:v>
                </c:pt>
                <c:pt idx="71">
                  <c:v>141.23397626856661</c:v>
                </c:pt>
                <c:pt idx="72">
                  <c:v>143.17159315460216</c:v>
                </c:pt>
                <c:pt idx="73">
                  <c:v>145.10858176212469</c:v>
                </c:pt>
                <c:pt idx="74">
                  <c:v>147.04495169244021</c:v>
                </c:pt>
                <c:pt idx="75">
                  <c:v>148.98071227244827</c:v>
                </c:pt>
                <c:pt idx="76">
                  <c:v>150.91587256603668</c:v>
                </c:pt>
                <c:pt idx="77">
                  <c:v>152.85044138485935</c:v>
                </c:pt>
                <c:pt idx="78">
                  <c:v>154.78442729853825</c:v>
                </c:pt>
                <c:pt idx="79">
                  <c:v>156.7178386443274</c:v>
                </c:pt>
                <c:pt idx="80">
                  <c:v>158.65068353627368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7355248"/>
        <c:axId val="977355792"/>
      </c:scatterChart>
      <c:valAx>
        <c:axId val="977355248"/>
        <c:scaling>
          <c:orientation val="minMax"/>
          <c:max val="8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7355792"/>
        <c:crosses val="autoZero"/>
        <c:crossBetween val="midCat"/>
      </c:valAx>
      <c:valAx>
        <c:axId val="977355792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7355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7"/>
  <sheetViews>
    <sheetView tabSelected="1" zoomScaleNormal="100" workbookViewId="0">
      <selection activeCell="K18" sqref="K18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3" max="3" width="9.42578125" bestFit="1" customWidth="1"/>
    <col min="4" max="4" width="10.5703125" bestFit="1" customWidth="1"/>
    <col min="6" max="6" width="6.85546875" bestFit="1" customWidth="1"/>
    <col min="7" max="7" width="9.5703125" bestFit="1" customWidth="1"/>
    <col min="8" max="10" width="9.42578125" bestFit="1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31.85546875" bestFit="1" customWidth="1"/>
    <col min="23" max="23" width="10.5703125" bestFit="1" customWidth="1"/>
    <col min="24" max="24" width="26.140625" bestFit="1" customWidth="1"/>
    <col min="25" max="25" width="12.28515625" bestFit="1" customWidth="1"/>
  </cols>
  <sheetData>
    <row r="1" spans="1:25" ht="60" x14ac:dyDescent="0.25">
      <c r="A1" s="9" t="s">
        <v>2</v>
      </c>
      <c r="B1" s="38" t="s">
        <v>3</v>
      </c>
      <c r="C1" s="7" t="s">
        <v>6</v>
      </c>
      <c r="D1" s="7" t="s">
        <v>7</v>
      </c>
      <c r="E1" s="7" t="s">
        <v>24</v>
      </c>
      <c r="F1" s="12" t="s">
        <v>2</v>
      </c>
      <c r="G1" s="13" t="s">
        <v>3</v>
      </c>
      <c r="H1" s="6" t="s">
        <v>6</v>
      </c>
      <c r="I1" s="6" t="s">
        <v>7</v>
      </c>
      <c r="J1" s="6" t="s">
        <v>28</v>
      </c>
      <c r="K1" s="18" t="s">
        <v>2</v>
      </c>
      <c r="L1" s="19" t="s">
        <v>4</v>
      </c>
      <c r="M1" s="20" t="s">
        <v>1</v>
      </c>
      <c r="N1" s="20" t="s">
        <v>0</v>
      </c>
      <c r="O1" s="19" t="s">
        <v>5</v>
      </c>
      <c r="P1" s="19" t="s">
        <v>8</v>
      </c>
      <c r="Q1" s="19" t="s">
        <v>9</v>
      </c>
      <c r="R1" s="19" t="s">
        <v>10</v>
      </c>
      <c r="S1" s="19" t="s">
        <v>11</v>
      </c>
      <c r="V1" s="6" t="s">
        <v>26</v>
      </c>
      <c r="W1" s="13">
        <v>0.51</v>
      </c>
      <c r="X1" s="38" t="s">
        <v>29</v>
      </c>
      <c r="Y1" s="38">
        <v>0.56999999999999995</v>
      </c>
    </row>
    <row r="2" spans="1:25" x14ac:dyDescent="0.25">
      <c r="A2" s="10">
        <v>0</v>
      </c>
      <c r="B2" s="10">
        <v>0</v>
      </c>
      <c r="C2" s="39">
        <f>B2*1.56*$Y$1</f>
        <v>0</v>
      </c>
      <c r="D2" s="10">
        <v>0</v>
      </c>
      <c r="E2" s="11">
        <f>(C2+D2)*0.475*44/12</f>
        <v>0</v>
      </c>
      <c r="F2" s="14">
        <v>0</v>
      </c>
      <c r="G2" s="15">
        <v>0</v>
      </c>
      <c r="H2" s="16">
        <f>G2*1.56*$W$1</f>
        <v>0</v>
      </c>
      <c r="I2" s="15">
        <v>0</v>
      </c>
      <c r="J2" s="15">
        <v>0</v>
      </c>
      <c r="K2" s="31">
        <v>0</v>
      </c>
      <c r="L2" s="21"/>
      <c r="M2" s="21"/>
      <c r="N2" s="21"/>
      <c r="O2" s="21"/>
      <c r="P2" s="21">
        <v>0</v>
      </c>
      <c r="Q2" s="21">
        <v>0</v>
      </c>
      <c r="R2" s="21">
        <v>0</v>
      </c>
      <c r="S2" s="21">
        <f>SUM(P2:R2)</f>
        <v>0</v>
      </c>
      <c r="U2" s="2"/>
      <c r="V2" s="2" t="s">
        <v>27</v>
      </c>
      <c r="W2" s="3">
        <f>AVERAGE(J2:J88)</f>
        <v>338.73735671775421</v>
      </c>
      <c r="X2" s="2"/>
      <c r="Y2" s="2"/>
    </row>
    <row r="3" spans="1:25" x14ac:dyDescent="0.25">
      <c r="A3" s="10">
        <v>1</v>
      </c>
      <c r="B3" s="10">
        <f>+B2+1</f>
        <v>1</v>
      </c>
      <c r="C3" s="39">
        <f t="shared" ref="C3:C66" si="0">B3*1.56*$Y$1</f>
        <v>0.88919999999999999</v>
      </c>
      <c r="D3" s="39">
        <f>EXP(-1.0587+0.8836*LN(C3)+0.284)</f>
        <v>0.41542055579923082</v>
      </c>
      <c r="E3" s="11">
        <f t="shared" ref="E3:E66" si="1">(C3+D3)*0.475*44/12</f>
        <v>2.2722141346836602</v>
      </c>
      <c r="F3" s="14">
        <f>F2+1</f>
        <v>1</v>
      </c>
      <c r="G3" s="16">
        <f>$G$2+(F3-$F$2)*($G$12-$G$2)/($F$12-$F$2)</f>
        <v>1.1099999999999999</v>
      </c>
      <c r="H3" s="16">
        <f t="shared" ref="H3:H66" si="2">G3*1.56*$W$1</f>
        <v>0.8831159999999999</v>
      </c>
      <c r="I3" s="16">
        <f t="shared" ref="I3:I20" si="3">EXP(-1.0587+0.8836*LN(H3)+0.284)</f>
        <v>0.4129080516422709</v>
      </c>
      <c r="J3" s="16">
        <f t="shared" ref="J3:J20" si="4">(H3+I3)*0.475*44/12</f>
        <v>2.2572418899436215</v>
      </c>
      <c r="K3" s="31">
        <f>K2+1</f>
        <v>1</v>
      </c>
      <c r="L3" s="21"/>
      <c r="M3" s="21"/>
      <c r="N3" s="21"/>
      <c r="O3" s="21"/>
      <c r="P3" s="22">
        <f>EXP(-LN(2)/35)*P2+(1-EXP(-LN(2)/35))/(LN(2)/35)*M3*L3*0.43*0.475*44/12</f>
        <v>0</v>
      </c>
      <c r="Q3" s="22">
        <f>EXP(-LN(2)/25)*Q2+(1-EXP(-LN(2)/25))/(LN(2)/25)*N3*L3*0.43*0.475*44/12</f>
        <v>0</v>
      </c>
      <c r="R3" s="22">
        <f>EXP(-LN(2)/2)*R2+(1-EXP(-LN(2)/2))/(LN(2)/2)*O3*L3*0.43*0.475*44/12</f>
        <v>0</v>
      </c>
      <c r="S3" s="22">
        <f>SUM(P3:R3)</f>
        <v>0</v>
      </c>
      <c r="U3" s="2"/>
      <c r="V3" s="2" t="s">
        <v>12</v>
      </c>
      <c r="W3" s="3">
        <f>AVERAGE(E2:E82)</f>
        <v>80.385431070433455</v>
      </c>
      <c r="X3" s="2"/>
      <c r="Y3" s="2"/>
    </row>
    <row r="4" spans="1:25" x14ac:dyDescent="0.25">
      <c r="A4" s="10">
        <v>2</v>
      </c>
      <c r="B4" s="10">
        <f t="shared" ref="B4:B67" si="5">+B3+1</f>
        <v>2</v>
      </c>
      <c r="C4" s="39">
        <f t="shared" si="0"/>
        <v>1.7784</v>
      </c>
      <c r="D4" s="39">
        <f t="shared" ref="D4:D67" si="6">EXP(-1.0587+0.8836*LN(C4)+0.284)</f>
        <v>0.76643986660078545</v>
      </c>
      <c r="E4" s="11">
        <f t="shared" si="1"/>
        <v>4.4322627676630342</v>
      </c>
      <c r="F4" s="14">
        <f t="shared" ref="F4:F66" si="7">F3+1</f>
        <v>2</v>
      </c>
      <c r="G4" s="16">
        <f t="shared" ref="G4:G11" si="8">$G$2+(F4-$F$2)*($G$12-$G$2)/($F$12-$F$2)</f>
        <v>2.2199999999999998</v>
      </c>
      <c r="H4" s="16">
        <f t="shared" si="2"/>
        <v>1.7662319999999998</v>
      </c>
      <c r="I4" s="16">
        <f t="shared" si="3"/>
        <v>0.76180436331619383</v>
      </c>
      <c r="J4" s="16">
        <f t="shared" si="4"/>
        <v>4.4029966661090372</v>
      </c>
      <c r="K4" s="31">
        <f t="shared" ref="K4:K67" si="9">K3+1</f>
        <v>2</v>
      </c>
      <c r="L4" s="21"/>
      <c r="M4" s="21"/>
      <c r="N4" s="21"/>
      <c r="O4" s="21"/>
      <c r="P4" s="22">
        <f t="shared" ref="P4:P49" si="10">EXP(-LN(2)/35)*P3+(1-EXP(-LN(2)/35))/(LN(2)/35)*M4*L4*0.43*0.475*44/12</f>
        <v>0</v>
      </c>
      <c r="Q4" s="22">
        <f t="shared" ref="Q4:Q49" si="11">EXP(-LN(2)/25)*Q3+(1-EXP(-LN(2)/25))/(LN(2)/25)*N4*L4*0.43*0.475*44/12</f>
        <v>0</v>
      </c>
      <c r="R4" s="22">
        <f t="shared" ref="R4:R49" si="12">EXP(-LN(2)/2)*R3+(1-EXP(-LN(2)/2))/(LN(2)/2)*O4*L4*0.43*0.475*44/12</f>
        <v>0</v>
      </c>
      <c r="S4" s="22">
        <f>SUM(P4:R4)</f>
        <v>0</v>
      </c>
      <c r="U4" s="2"/>
      <c r="V4" s="1" t="s">
        <v>15</v>
      </c>
      <c r="W4" s="3">
        <f>W2-W3</f>
        <v>258.35192564732074</v>
      </c>
      <c r="X4" s="2"/>
      <c r="Y4" s="2"/>
    </row>
    <row r="5" spans="1:25" x14ac:dyDescent="0.25">
      <c r="A5" s="10">
        <v>3</v>
      </c>
      <c r="B5" s="10">
        <f t="shared" si="5"/>
        <v>3</v>
      </c>
      <c r="C5" s="39">
        <f t="shared" si="0"/>
        <v>2.6675999999999997</v>
      </c>
      <c r="D5" s="39">
        <f t="shared" si="6"/>
        <v>1.0966608080083624</v>
      </c>
      <c r="E5" s="11">
        <f t="shared" si="1"/>
        <v>6.5560875739478979</v>
      </c>
      <c r="F5" s="14">
        <f t="shared" si="7"/>
        <v>3</v>
      </c>
      <c r="G5" s="16">
        <f t="shared" si="8"/>
        <v>3.3299999999999996</v>
      </c>
      <c r="H5" s="16">
        <f t="shared" si="2"/>
        <v>2.6493479999999998</v>
      </c>
      <c r="I5" s="16">
        <f t="shared" si="3"/>
        <v>1.0900280961686826</v>
      </c>
      <c r="J5" s="16">
        <f t="shared" si="4"/>
        <v>6.5127467008271216</v>
      </c>
      <c r="K5" s="31">
        <f t="shared" si="9"/>
        <v>3</v>
      </c>
      <c r="L5" s="21"/>
      <c r="M5" s="21"/>
      <c r="N5" s="21"/>
      <c r="O5" s="21"/>
      <c r="P5" s="22">
        <f t="shared" si="10"/>
        <v>0</v>
      </c>
      <c r="Q5" s="22">
        <f t="shared" si="11"/>
        <v>0</v>
      </c>
      <c r="R5" s="22">
        <f t="shared" si="12"/>
        <v>0</v>
      </c>
      <c r="S5" s="22">
        <f t="shared" ref="S5:S49" si="13">SUM(P5:R5)</f>
        <v>0</v>
      </c>
      <c r="U5" s="2"/>
      <c r="V5" s="2" t="s">
        <v>14</v>
      </c>
      <c r="W5" s="3">
        <f>J33-E32</f>
        <v>306.88083661050541</v>
      </c>
      <c r="X5" s="2"/>
      <c r="Y5" s="2"/>
    </row>
    <row r="6" spans="1:25" x14ac:dyDescent="0.25">
      <c r="A6" s="10">
        <v>4</v>
      </c>
      <c r="B6" s="10">
        <f t="shared" si="5"/>
        <v>4</v>
      </c>
      <c r="C6" s="39">
        <f t="shared" si="0"/>
        <v>3.5568</v>
      </c>
      <c r="D6" s="39">
        <f t="shared" si="6"/>
        <v>1.4140611505968179</v>
      </c>
      <c r="E6" s="11">
        <f t="shared" si="1"/>
        <v>8.6575831706227913</v>
      </c>
      <c r="F6" s="14">
        <f t="shared" si="7"/>
        <v>4</v>
      </c>
      <c r="G6" s="16">
        <f t="shared" si="8"/>
        <v>4.4399999999999995</v>
      </c>
      <c r="H6" s="16">
        <f t="shared" si="2"/>
        <v>3.5324639999999996</v>
      </c>
      <c r="I6" s="16">
        <f t="shared" si="3"/>
        <v>1.4055087704377895</v>
      </c>
      <c r="J6" s="16">
        <f t="shared" si="4"/>
        <v>8.6003025751791498</v>
      </c>
      <c r="K6" s="31">
        <f t="shared" si="9"/>
        <v>4</v>
      </c>
      <c r="L6" s="21"/>
      <c r="M6" s="21"/>
      <c r="N6" s="21"/>
      <c r="O6" s="21"/>
      <c r="P6" s="22">
        <f t="shared" si="10"/>
        <v>0</v>
      </c>
      <c r="Q6" s="22">
        <f t="shared" si="11"/>
        <v>0</v>
      </c>
      <c r="R6" s="22">
        <f t="shared" si="12"/>
        <v>0</v>
      </c>
      <c r="S6" s="22">
        <f t="shared" si="13"/>
        <v>0</v>
      </c>
      <c r="U6" s="2"/>
      <c r="V6" s="28" t="s">
        <v>19</v>
      </c>
      <c r="W6" s="29">
        <f>W4</f>
        <v>258.35192564732074</v>
      </c>
      <c r="X6" s="2"/>
      <c r="Y6" s="2"/>
    </row>
    <row r="7" spans="1:25" x14ac:dyDescent="0.25">
      <c r="A7" s="10">
        <v>5</v>
      </c>
      <c r="B7" s="10">
        <f t="shared" si="5"/>
        <v>5</v>
      </c>
      <c r="C7" s="39">
        <f t="shared" si="0"/>
        <v>4.4459999999999997</v>
      </c>
      <c r="D7" s="39">
        <f t="shared" si="6"/>
        <v>1.7222566815192897</v>
      </c>
      <c r="E7" s="11">
        <f t="shared" si="1"/>
        <v>10.743047053646096</v>
      </c>
      <c r="F7" s="14">
        <f t="shared" si="7"/>
        <v>5</v>
      </c>
      <c r="G7" s="16">
        <f t="shared" si="8"/>
        <v>5.55</v>
      </c>
      <c r="H7" s="16">
        <f t="shared" si="2"/>
        <v>4.4155799999999994</v>
      </c>
      <c r="I7" s="16">
        <f t="shared" si="3"/>
        <v>1.7118403046422626</v>
      </c>
      <c r="J7" s="16">
        <f t="shared" si="4"/>
        <v>10.671923697251939</v>
      </c>
      <c r="K7" s="31">
        <f t="shared" si="9"/>
        <v>5</v>
      </c>
      <c r="L7" s="21"/>
      <c r="M7" s="21"/>
      <c r="N7" s="21"/>
      <c r="O7" s="21"/>
      <c r="P7" s="22">
        <f t="shared" si="10"/>
        <v>0</v>
      </c>
      <c r="Q7" s="22">
        <f t="shared" si="11"/>
        <v>0</v>
      </c>
      <c r="R7" s="22">
        <f t="shared" si="12"/>
        <v>0</v>
      </c>
      <c r="S7" s="22">
        <f t="shared" si="13"/>
        <v>0</v>
      </c>
      <c r="U7" s="2"/>
      <c r="V7" s="2" t="s">
        <v>16</v>
      </c>
      <c r="W7" s="34">
        <v>0</v>
      </c>
    </row>
    <row r="8" spans="1:25" x14ac:dyDescent="0.25">
      <c r="A8" s="10">
        <v>6</v>
      </c>
      <c r="B8" s="10">
        <f t="shared" si="5"/>
        <v>6</v>
      </c>
      <c r="C8" s="39">
        <f t="shared" si="0"/>
        <v>5.3351999999999995</v>
      </c>
      <c r="D8" s="39">
        <f t="shared" si="6"/>
        <v>2.0233099967312578</v>
      </c>
      <c r="E8" s="11">
        <f t="shared" si="1"/>
        <v>12.816071577640272</v>
      </c>
      <c r="F8" s="14">
        <f t="shared" si="7"/>
        <v>6</v>
      </c>
      <c r="G8" s="16">
        <f t="shared" si="8"/>
        <v>6.6599999999999993</v>
      </c>
      <c r="H8" s="16">
        <f t="shared" si="2"/>
        <v>5.2986959999999996</v>
      </c>
      <c r="I8" s="16">
        <f t="shared" si="3"/>
        <v>2.0110728199554835</v>
      </c>
      <c r="J8" s="16">
        <f t="shared" si="4"/>
        <v>12.7311806947558</v>
      </c>
      <c r="K8" s="31">
        <f t="shared" si="9"/>
        <v>6</v>
      </c>
      <c r="L8" s="21"/>
      <c r="M8" s="21"/>
      <c r="N8" s="21"/>
      <c r="O8" s="21"/>
      <c r="P8" s="22">
        <f t="shared" si="10"/>
        <v>0</v>
      </c>
      <c r="Q8" s="22">
        <f t="shared" si="11"/>
        <v>0</v>
      </c>
      <c r="R8" s="22">
        <f t="shared" si="12"/>
        <v>0</v>
      </c>
      <c r="S8" s="22">
        <f t="shared" si="13"/>
        <v>0</v>
      </c>
      <c r="U8" s="2"/>
      <c r="V8" s="2" t="s">
        <v>17</v>
      </c>
      <c r="W8" s="1">
        <v>0</v>
      </c>
    </row>
    <row r="9" spans="1:25" x14ac:dyDescent="0.25">
      <c r="A9" s="10">
        <v>7</v>
      </c>
      <c r="B9" s="10">
        <f t="shared" si="5"/>
        <v>7</v>
      </c>
      <c r="C9" s="39">
        <f t="shared" si="0"/>
        <v>6.2243999999999993</v>
      </c>
      <c r="D9" s="39">
        <f t="shared" si="6"/>
        <v>2.3185507720937846</v>
      </c>
      <c r="E9" s="11">
        <f t="shared" si="1"/>
        <v>14.878972594730007</v>
      </c>
      <c r="F9" s="14">
        <f t="shared" si="7"/>
        <v>7</v>
      </c>
      <c r="G9" s="16">
        <f t="shared" si="8"/>
        <v>7.7700000000000005</v>
      </c>
      <c r="H9" s="16">
        <f t="shared" si="2"/>
        <v>6.1818120000000008</v>
      </c>
      <c r="I9" s="16">
        <f t="shared" si="3"/>
        <v>2.3045279502288425</v>
      </c>
      <c r="J9" s="16">
        <f t="shared" si="4"/>
        <v>14.780375413315232</v>
      </c>
      <c r="K9" s="31">
        <f t="shared" si="9"/>
        <v>7</v>
      </c>
      <c r="L9" s="21"/>
      <c r="M9" s="21"/>
      <c r="N9" s="21"/>
      <c r="O9" s="21"/>
      <c r="P9" s="22">
        <f t="shared" si="10"/>
        <v>0</v>
      </c>
      <c r="Q9" s="22">
        <f t="shared" si="11"/>
        <v>0</v>
      </c>
      <c r="R9" s="22">
        <f t="shared" si="12"/>
        <v>0</v>
      </c>
      <c r="S9" s="22">
        <f t="shared" si="13"/>
        <v>0</v>
      </c>
      <c r="U9" s="2"/>
      <c r="V9" s="2" t="s">
        <v>18</v>
      </c>
      <c r="W9" s="34">
        <v>0</v>
      </c>
      <c r="X9" s="2"/>
      <c r="Y9" s="2"/>
    </row>
    <row r="10" spans="1:25" x14ac:dyDescent="0.25">
      <c r="A10" s="10">
        <v>8</v>
      </c>
      <c r="B10" s="10">
        <f t="shared" si="5"/>
        <v>8</v>
      </c>
      <c r="C10" s="39">
        <f t="shared" si="0"/>
        <v>7.1135999999999999</v>
      </c>
      <c r="D10" s="39">
        <f t="shared" si="6"/>
        <v>2.6089051793396725</v>
      </c>
      <c r="E10" s="11">
        <f t="shared" si="1"/>
        <v>16.933363187349929</v>
      </c>
      <c r="F10" s="14">
        <f t="shared" si="7"/>
        <v>8</v>
      </c>
      <c r="G10" s="16">
        <f t="shared" si="8"/>
        <v>8.879999999999999</v>
      </c>
      <c r="H10" s="16">
        <f t="shared" si="2"/>
        <v>7.0649279999999992</v>
      </c>
      <c r="I10" s="16">
        <f t="shared" si="3"/>
        <v>2.5931262656179044</v>
      </c>
      <c r="J10" s="16">
        <f t="shared" si="4"/>
        <v>16.821111179284514</v>
      </c>
      <c r="K10" s="31">
        <f t="shared" si="9"/>
        <v>8</v>
      </c>
      <c r="L10" s="21"/>
      <c r="M10" s="21"/>
      <c r="N10" s="21"/>
      <c r="O10" s="21"/>
      <c r="P10" s="22">
        <f t="shared" si="10"/>
        <v>0</v>
      </c>
      <c r="Q10" s="22">
        <f t="shared" si="11"/>
        <v>0</v>
      </c>
      <c r="R10" s="22">
        <f t="shared" si="12"/>
        <v>0</v>
      </c>
      <c r="S10" s="22">
        <f t="shared" si="13"/>
        <v>0</v>
      </c>
      <c r="U10" s="2"/>
      <c r="V10" s="5" t="s">
        <v>20</v>
      </c>
      <c r="W10" s="35">
        <f>SUM(W6:W9)</f>
        <v>258.35192564732074</v>
      </c>
      <c r="X10" s="2"/>
      <c r="Y10" s="2"/>
    </row>
    <row r="11" spans="1:25" x14ac:dyDescent="0.25">
      <c r="A11" s="10">
        <v>9</v>
      </c>
      <c r="B11" s="10">
        <f t="shared" si="5"/>
        <v>9</v>
      </c>
      <c r="C11" s="39">
        <f t="shared" si="0"/>
        <v>8.0028000000000006</v>
      </c>
      <c r="D11" s="39">
        <f t="shared" si="6"/>
        <v>2.8950539664743791</v>
      </c>
      <c r="E11" s="11">
        <f t="shared" si="1"/>
        <v>18.980428991609543</v>
      </c>
      <c r="F11" s="14">
        <f t="shared" si="7"/>
        <v>9</v>
      </c>
      <c r="G11" s="16">
        <f t="shared" si="8"/>
        <v>9.9899999999999984</v>
      </c>
      <c r="H11" s="16">
        <f t="shared" si="2"/>
        <v>7.9480439999999994</v>
      </c>
      <c r="I11" s="16">
        <f t="shared" si="3"/>
        <v>2.8775443968976031</v>
      </c>
      <c r="J11" s="16">
        <f t="shared" si="4"/>
        <v>18.854566457929991</v>
      </c>
      <c r="K11" s="31">
        <f t="shared" si="9"/>
        <v>9</v>
      </c>
      <c r="L11" s="21"/>
      <c r="M11" s="21"/>
      <c r="N11" s="21"/>
      <c r="O11" s="21"/>
      <c r="P11" s="22">
        <f t="shared" si="10"/>
        <v>0</v>
      </c>
      <c r="Q11" s="22">
        <f t="shared" si="11"/>
        <v>0</v>
      </c>
      <c r="R11" s="22">
        <f t="shared" si="12"/>
        <v>0</v>
      </c>
      <c r="S11" s="22">
        <f t="shared" si="13"/>
        <v>0</v>
      </c>
      <c r="U11" s="2"/>
      <c r="V11" s="2" t="s">
        <v>21</v>
      </c>
      <c r="W11" s="3">
        <f>SUM(L3:L32)</f>
        <v>136.5</v>
      </c>
      <c r="X11" s="2"/>
      <c r="Y11" s="2"/>
    </row>
    <row r="12" spans="1:25" x14ac:dyDescent="0.25">
      <c r="A12" s="10">
        <v>10</v>
      </c>
      <c r="B12" s="10">
        <f t="shared" si="5"/>
        <v>10</v>
      </c>
      <c r="C12" s="39">
        <f t="shared" si="0"/>
        <v>8.8919999999999995</v>
      </c>
      <c r="D12" s="39">
        <f t="shared" si="6"/>
        <v>3.177517729464268</v>
      </c>
      <c r="E12" s="11">
        <f t="shared" si="1"/>
        <v>21.021076712150265</v>
      </c>
      <c r="F12" s="14">
        <f t="shared" si="7"/>
        <v>10</v>
      </c>
      <c r="G12" s="16">
        <v>11.1</v>
      </c>
      <c r="H12" s="16">
        <f t="shared" si="2"/>
        <v>8.8311599999999988</v>
      </c>
      <c r="I12" s="16">
        <f t="shared" si="3"/>
        <v>3.1582997914189717</v>
      </c>
      <c r="J12" s="16">
        <f t="shared" si="4"/>
        <v>20.881642470054704</v>
      </c>
      <c r="K12" s="31">
        <f t="shared" si="9"/>
        <v>10</v>
      </c>
      <c r="L12" s="21"/>
      <c r="M12" s="21"/>
      <c r="N12" s="21"/>
      <c r="O12" s="21"/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>
        <f t="shared" si="13"/>
        <v>0</v>
      </c>
      <c r="U12" s="2"/>
      <c r="V12" s="2" t="s">
        <v>13</v>
      </c>
      <c r="W12" s="2">
        <v>0.25</v>
      </c>
      <c r="X12" s="2"/>
      <c r="Y12" s="2"/>
    </row>
    <row r="13" spans="1:25" x14ac:dyDescent="0.25">
      <c r="A13" s="10">
        <v>11</v>
      </c>
      <c r="B13" s="10">
        <f t="shared" si="5"/>
        <v>11</v>
      </c>
      <c r="C13" s="39">
        <f t="shared" si="0"/>
        <v>9.7812000000000001</v>
      </c>
      <c r="D13" s="39">
        <f t="shared" si="6"/>
        <v>3.4567069199829903</v>
      </c>
      <c r="E13" s="11">
        <f t="shared" si="1"/>
        <v>23.056021218970372</v>
      </c>
      <c r="F13" s="14">
        <f t="shared" si="7"/>
        <v>11</v>
      </c>
      <c r="G13" s="16">
        <f>G12+G12-G11+1</f>
        <v>13.21</v>
      </c>
      <c r="H13" s="16">
        <f t="shared" si="2"/>
        <v>10.509876</v>
      </c>
      <c r="I13" s="16">
        <f t="shared" si="3"/>
        <v>3.6832881621088571</v>
      </c>
      <c r="J13" s="16">
        <f>(H13+I13)*0.475*44/12</f>
        <v>24.719760915672925</v>
      </c>
      <c r="K13" s="31">
        <f t="shared" si="9"/>
        <v>11</v>
      </c>
      <c r="L13" s="21"/>
      <c r="M13" s="21"/>
      <c r="N13" s="21"/>
      <c r="O13" s="21"/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>
        <f t="shared" si="13"/>
        <v>0</v>
      </c>
      <c r="U13" s="2"/>
      <c r="V13" s="5" t="s">
        <v>22</v>
      </c>
      <c r="W13" s="30">
        <f>W11*W12</f>
        <v>34.125</v>
      </c>
      <c r="X13" s="2"/>
      <c r="Y13" s="2"/>
    </row>
    <row r="14" spans="1:25" x14ac:dyDescent="0.25">
      <c r="A14" s="10">
        <v>12</v>
      </c>
      <c r="B14" s="10">
        <f t="shared" si="5"/>
        <v>12</v>
      </c>
      <c r="C14" s="39">
        <f t="shared" si="0"/>
        <v>10.670399999999999</v>
      </c>
      <c r="D14" s="39">
        <f t="shared" si="6"/>
        <v>3.7329530817348457</v>
      </c>
      <c r="E14" s="11">
        <f t="shared" si="1"/>
        <v>25.085839950688193</v>
      </c>
      <c r="F14" s="14">
        <f t="shared" si="7"/>
        <v>12</v>
      </c>
      <c r="G14" s="16">
        <f t="shared" ref="G14:G16" si="14">G13+G13-G12+1</f>
        <v>16.32</v>
      </c>
      <c r="H14" s="16">
        <f t="shared" si="2"/>
        <v>12.984192000000002</v>
      </c>
      <c r="I14" s="16">
        <f t="shared" si="3"/>
        <v>4.4398213575680652</v>
      </c>
      <c r="J14" s="16">
        <f t="shared" si="4"/>
        <v>30.346823264431048</v>
      </c>
      <c r="K14" s="31">
        <f t="shared" si="9"/>
        <v>12</v>
      </c>
      <c r="L14" s="21"/>
      <c r="M14" s="21"/>
      <c r="N14" s="21"/>
      <c r="O14" s="21"/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>
        <f t="shared" si="13"/>
        <v>0</v>
      </c>
      <c r="U14" s="2"/>
      <c r="V14" s="5" t="s">
        <v>23</v>
      </c>
      <c r="W14" s="35">
        <f>AVERAGE(S2:S32)</f>
        <v>0</v>
      </c>
      <c r="X14" s="2"/>
      <c r="Y14" s="2"/>
    </row>
    <row r="15" spans="1:25" x14ac:dyDescent="0.25">
      <c r="A15" s="10">
        <v>13</v>
      </c>
      <c r="B15" s="10">
        <f t="shared" si="5"/>
        <v>13</v>
      </c>
      <c r="C15" s="39">
        <f t="shared" si="0"/>
        <v>11.5596</v>
      </c>
      <c r="D15" s="39">
        <f t="shared" si="6"/>
        <v>4.0065293501366055</v>
      </c>
      <c r="E15" s="11">
        <f t="shared" si="1"/>
        <v>27.111008618154589</v>
      </c>
      <c r="F15" s="14">
        <f t="shared" si="7"/>
        <v>13</v>
      </c>
      <c r="G15" s="16">
        <f t="shared" si="14"/>
        <v>20.43</v>
      </c>
      <c r="H15" s="16">
        <f t="shared" si="2"/>
        <v>16.254107999999999</v>
      </c>
      <c r="I15" s="16">
        <f t="shared" si="3"/>
        <v>5.4145092044316412</v>
      </c>
      <c r="J15" s="16">
        <f t="shared" si="4"/>
        <v>37.739508297718437</v>
      </c>
      <c r="K15" s="31">
        <f t="shared" si="9"/>
        <v>13</v>
      </c>
      <c r="L15" s="21"/>
      <c r="M15" s="21"/>
      <c r="N15" s="21"/>
      <c r="O15" s="21"/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>
        <f t="shared" si="13"/>
        <v>0</v>
      </c>
      <c r="U15" s="2"/>
      <c r="X15" s="2"/>
      <c r="Y15" s="2"/>
    </row>
    <row r="16" spans="1:25" x14ac:dyDescent="0.25">
      <c r="A16" s="10">
        <v>14</v>
      </c>
      <c r="B16" s="10">
        <f t="shared" si="5"/>
        <v>14</v>
      </c>
      <c r="C16" s="39">
        <f t="shared" si="0"/>
        <v>12.448799999999999</v>
      </c>
      <c r="D16" s="39">
        <f t="shared" si="6"/>
        <v>4.2776644527179633</v>
      </c>
      <c r="E16" s="11">
        <f t="shared" si="1"/>
        <v>29.131925588483782</v>
      </c>
      <c r="F16" s="14">
        <f t="shared" si="7"/>
        <v>14</v>
      </c>
      <c r="G16" s="16">
        <f t="shared" si="14"/>
        <v>25.54</v>
      </c>
      <c r="H16" s="16">
        <f t="shared" si="2"/>
        <v>20.319623999999997</v>
      </c>
      <c r="I16" s="16">
        <f t="shared" si="3"/>
        <v>6.5951753754342226</v>
      </c>
      <c r="J16" s="16">
        <f t="shared" si="4"/>
        <v>46.8766089122146</v>
      </c>
      <c r="K16" s="31">
        <f t="shared" si="9"/>
        <v>14</v>
      </c>
      <c r="L16" s="21"/>
      <c r="M16" s="23"/>
      <c r="N16" s="23"/>
      <c r="O16" s="23"/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>
        <f t="shared" si="13"/>
        <v>0</v>
      </c>
      <c r="U16" s="2"/>
      <c r="V16" s="37" t="s">
        <v>25</v>
      </c>
      <c r="W16" s="35">
        <f>W10+W13+W14</f>
        <v>292.47692564732074</v>
      </c>
      <c r="X16" s="2"/>
      <c r="Y16" s="2"/>
    </row>
    <row r="17" spans="1:25" x14ac:dyDescent="0.25">
      <c r="A17" s="10">
        <v>15</v>
      </c>
      <c r="B17" s="10">
        <f t="shared" si="5"/>
        <v>15</v>
      </c>
      <c r="C17" s="39">
        <f t="shared" si="0"/>
        <v>13.337999999999999</v>
      </c>
      <c r="D17" s="39">
        <f t="shared" si="6"/>
        <v>4.5465525901071517</v>
      </c>
      <c r="E17" s="11">
        <f t="shared" si="1"/>
        <v>31.148929094436621</v>
      </c>
      <c r="F17" s="14">
        <f t="shared" si="7"/>
        <v>15</v>
      </c>
      <c r="G17" s="16">
        <v>33</v>
      </c>
      <c r="H17" s="16">
        <f t="shared" si="2"/>
        <v>26.254800000000003</v>
      </c>
      <c r="I17" s="16">
        <f t="shared" si="3"/>
        <v>8.2711307242274366</v>
      </c>
      <c r="J17" s="16">
        <f t="shared" si="4"/>
        <v>60.132662678029448</v>
      </c>
      <c r="K17" s="31">
        <f t="shared" si="9"/>
        <v>15</v>
      </c>
      <c r="L17" s="21"/>
      <c r="M17" s="21"/>
      <c r="N17" s="21"/>
      <c r="O17" s="21"/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>
        <f t="shared" si="13"/>
        <v>0</v>
      </c>
    </row>
    <row r="18" spans="1:25" x14ac:dyDescent="0.25">
      <c r="A18" s="10">
        <v>16</v>
      </c>
      <c r="B18" s="10">
        <f t="shared" si="5"/>
        <v>16</v>
      </c>
      <c r="C18" s="39">
        <f t="shared" si="0"/>
        <v>14.2272</v>
      </c>
      <c r="D18" s="39">
        <f t="shared" si="6"/>
        <v>4.81336060460516</v>
      </c>
      <c r="E18" s="11">
        <f t="shared" si="1"/>
        <v>33.162309719687322</v>
      </c>
      <c r="F18" s="14">
        <f t="shared" si="7"/>
        <v>16</v>
      </c>
      <c r="G18" s="16">
        <f>$G$17+(F18-$F$17)*($G$22-$G$17)/($F$22-$F$17)</f>
        <v>53.06</v>
      </c>
      <c r="H18" s="16">
        <f t="shared" si="2"/>
        <v>42.214536000000003</v>
      </c>
      <c r="I18" s="16">
        <f t="shared" si="3"/>
        <v>12.58375649650168</v>
      </c>
      <c r="J18" s="16">
        <f t="shared" si="4"/>
        <v>95.440359431407103</v>
      </c>
      <c r="K18" s="31">
        <f t="shared" si="9"/>
        <v>16</v>
      </c>
      <c r="L18" s="21"/>
      <c r="M18" s="21"/>
      <c r="N18" s="23"/>
      <c r="O18" s="23"/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>
        <f t="shared" si="13"/>
        <v>0</v>
      </c>
      <c r="X18" s="2"/>
      <c r="Y18" s="2"/>
    </row>
    <row r="19" spans="1:25" x14ac:dyDescent="0.25">
      <c r="A19" s="10">
        <v>17</v>
      </c>
      <c r="B19" s="10">
        <f t="shared" si="5"/>
        <v>17</v>
      </c>
      <c r="C19" s="39">
        <f t="shared" si="0"/>
        <v>15.116399999999999</v>
      </c>
      <c r="D19" s="39">
        <f t="shared" si="6"/>
        <v>5.0782333044806913</v>
      </c>
      <c r="E19" s="11">
        <f t="shared" si="1"/>
        <v>35.172319671970534</v>
      </c>
      <c r="F19" s="14">
        <f t="shared" si="7"/>
        <v>17</v>
      </c>
      <c r="G19" s="16">
        <f t="shared" ref="G19:G21" si="15">$G$17+(F19-$F$17)*($G$22-$G$17)/($F$22-$F$17)</f>
        <v>73.12</v>
      </c>
      <c r="H19" s="16">
        <f t="shared" si="2"/>
        <v>58.174272000000009</v>
      </c>
      <c r="I19" s="16">
        <f t="shared" si="3"/>
        <v>16.705840807532823</v>
      </c>
      <c r="J19" s="16">
        <f t="shared" si="4"/>
        <v>130.4161964731197</v>
      </c>
      <c r="K19" s="31">
        <f t="shared" si="9"/>
        <v>17</v>
      </c>
      <c r="L19" s="21"/>
      <c r="M19" s="21"/>
      <c r="N19" s="21"/>
      <c r="O19" s="21"/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>
        <f t="shared" si="13"/>
        <v>0</v>
      </c>
      <c r="X19" s="2"/>
      <c r="Y19" s="2"/>
    </row>
    <row r="20" spans="1:25" x14ac:dyDescent="0.25">
      <c r="A20" s="10">
        <v>18</v>
      </c>
      <c r="B20" s="10">
        <f t="shared" si="5"/>
        <v>18</v>
      </c>
      <c r="C20" s="39">
        <f t="shared" si="0"/>
        <v>16.005600000000001</v>
      </c>
      <c r="D20" s="39">
        <f t="shared" si="6"/>
        <v>5.3412974993444156</v>
      </c>
      <c r="E20" s="11">
        <f t="shared" si="1"/>
        <v>37.179179811358189</v>
      </c>
      <c r="F20" s="14">
        <f t="shared" si="7"/>
        <v>18</v>
      </c>
      <c r="G20" s="16">
        <f t="shared" si="15"/>
        <v>93.18</v>
      </c>
      <c r="H20" s="16">
        <f t="shared" si="2"/>
        <v>74.134008000000009</v>
      </c>
      <c r="I20" s="16">
        <f t="shared" si="3"/>
        <v>20.696624041906315</v>
      </c>
      <c r="J20" s="16">
        <f t="shared" si="4"/>
        <v>165.16335080632018</v>
      </c>
      <c r="K20" s="31">
        <f t="shared" si="9"/>
        <v>18</v>
      </c>
      <c r="L20" s="21"/>
      <c r="M20" s="23"/>
      <c r="N20" s="23"/>
      <c r="O20" s="23"/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>
        <f t="shared" si="13"/>
        <v>0</v>
      </c>
      <c r="V20" s="4"/>
      <c r="W20" s="27"/>
    </row>
    <row r="21" spans="1:25" x14ac:dyDescent="0.25">
      <c r="A21" s="10">
        <v>19</v>
      </c>
      <c r="B21" s="10">
        <f t="shared" si="5"/>
        <v>19</v>
      </c>
      <c r="C21" s="39">
        <f t="shared" si="0"/>
        <v>16.8948</v>
      </c>
      <c r="D21" s="39">
        <f t="shared" si="6"/>
        <v>5.6026651130643454</v>
      </c>
      <c r="E21" s="11">
        <f t="shared" si="1"/>
        <v>39.183085071920395</v>
      </c>
      <c r="F21" s="14">
        <f t="shared" si="7"/>
        <v>19</v>
      </c>
      <c r="G21" s="16">
        <f t="shared" si="15"/>
        <v>113.24000000000001</v>
      </c>
      <c r="H21" s="16">
        <f t="shared" si="2"/>
        <v>90.093744000000001</v>
      </c>
      <c r="I21" s="16">
        <f t="shared" ref="I21:I65" si="16">EXP(-1.0587+0.8836*LN(H21)+0.284)</f>
        <v>24.587832419319188</v>
      </c>
      <c r="J21" s="16">
        <f t="shared" ref="J21:J65" si="17">(H21+I21)*0.475*44/12</f>
        <v>199.73707893031425</v>
      </c>
      <c r="K21" s="31">
        <f t="shared" si="9"/>
        <v>19</v>
      </c>
      <c r="L21" s="24"/>
      <c r="M21" s="32"/>
      <c r="N21" s="32"/>
      <c r="O21" s="32"/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>
        <f t="shared" si="13"/>
        <v>0</v>
      </c>
      <c r="W21" s="2"/>
    </row>
    <row r="22" spans="1:25" x14ac:dyDescent="0.25">
      <c r="A22" s="10">
        <v>20</v>
      </c>
      <c r="B22" s="10">
        <f t="shared" si="5"/>
        <v>20</v>
      </c>
      <c r="C22" s="39">
        <f t="shared" si="0"/>
        <v>17.783999999999999</v>
      </c>
      <c r="D22" s="39">
        <f t="shared" si="6"/>
        <v>5.862435622634961</v>
      </c>
      <c r="E22" s="11">
        <f t="shared" si="1"/>
        <v>41.184208709422556</v>
      </c>
      <c r="F22" s="14">
        <f t="shared" si="7"/>
        <v>20</v>
      </c>
      <c r="G22" s="16">
        <f>G23+L22</f>
        <v>133.30000000000001</v>
      </c>
      <c r="H22" s="16">
        <f t="shared" si="2"/>
        <v>106.05348000000002</v>
      </c>
      <c r="I22" s="16">
        <f t="shared" si="16"/>
        <v>28.39918570347135</v>
      </c>
      <c r="J22" s="16">
        <f t="shared" si="17"/>
        <v>234.17172610021262</v>
      </c>
      <c r="K22" s="31">
        <f t="shared" si="9"/>
        <v>20</v>
      </c>
      <c r="L22" s="21">
        <f>31.5+35</f>
        <v>66.5</v>
      </c>
      <c r="M22" s="23">
        <v>0</v>
      </c>
      <c r="N22" s="36">
        <v>0</v>
      </c>
      <c r="O22" s="36"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>
        <f t="shared" si="13"/>
        <v>0</v>
      </c>
      <c r="W22" s="2"/>
    </row>
    <row r="23" spans="1:25" x14ac:dyDescent="0.25">
      <c r="A23" s="10">
        <v>21</v>
      </c>
      <c r="B23" s="10">
        <f t="shared" si="5"/>
        <v>21</v>
      </c>
      <c r="C23" s="39">
        <f t="shared" si="0"/>
        <v>18.673199999999998</v>
      </c>
      <c r="D23" s="39">
        <f t="shared" si="6"/>
        <v>6.120697995410775</v>
      </c>
      <c r="E23" s="11">
        <f t="shared" si="1"/>
        <v>43.182705675340429</v>
      </c>
      <c r="F23" s="14">
        <v>20</v>
      </c>
      <c r="G23" s="16">
        <v>66.8</v>
      </c>
      <c r="H23" s="16">
        <f t="shared" si="2"/>
        <v>53.146079999999998</v>
      </c>
      <c r="I23" s="16">
        <f t="shared" si="16"/>
        <v>15.42334061498982</v>
      </c>
      <c r="J23" s="16">
        <f t="shared" si="17"/>
        <v>119.42507423777393</v>
      </c>
      <c r="K23" s="31">
        <f t="shared" si="9"/>
        <v>21</v>
      </c>
      <c r="L23" s="41"/>
      <c r="M23" s="23"/>
      <c r="N23" s="23"/>
      <c r="O23" s="23"/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>
        <f t="shared" si="13"/>
        <v>0</v>
      </c>
      <c r="W23" s="2"/>
    </row>
    <row r="24" spans="1:25" x14ac:dyDescent="0.25">
      <c r="A24" s="10">
        <v>22</v>
      </c>
      <c r="B24" s="10">
        <f t="shared" si="5"/>
        <v>22</v>
      </c>
      <c r="C24" s="39">
        <f t="shared" si="0"/>
        <v>19.5624</v>
      </c>
      <c r="D24" s="39">
        <f t="shared" si="6"/>
        <v>6.3775322468881095</v>
      </c>
      <c r="E24" s="11">
        <f t="shared" si="1"/>
        <v>45.178715329996784</v>
      </c>
      <c r="F24" s="14">
        <f t="shared" si="7"/>
        <v>21</v>
      </c>
      <c r="G24" s="16">
        <f>$G$23+(F24-$F$23)*($G$28-$G$23)/($F$28-$F$23)</f>
        <v>81.539999999999992</v>
      </c>
      <c r="H24" s="16">
        <f t="shared" si="2"/>
        <v>64.873223999999993</v>
      </c>
      <c r="I24" s="16">
        <f t="shared" si="16"/>
        <v>18.39471758117234</v>
      </c>
      <c r="J24" s="16">
        <f t="shared" si="17"/>
        <v>145.02499825387514</v>
      </c>
      <c r="K24" s="31">
        <f t="shared" si="9"/>
        <v>22</v>
      </c>
      <c r="L24" s="21"/>
      <c r="M24" s="21"/>
      <c r="N24" s="23"/>
      <c r="O24" s="23"/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>
        <f t="shared" si="13"/>
        <v>0</v>
      </c>
      <c r="W24" s="2"/>
    </row>
    <row r="25" spans="1:25" x14ac:dyDescent="0.25">
      <c r="A25" s="10">
        <v>23</v>
      </c>
      <c r="B25" s="10">
        <f t="shared" si="5"/>
        <v>23</v>
      </c>
      <c r="C25" s="39">
        <f t="shared" si="0"/>
        <v>20.451599999999999</v>
      </c>
      <c r="D25" s="39">
        <f t="shared" si="6"/>
        <v>6.6330107072474558</v>
      </c>
      <c r="E25" s="11">
        <f t="shared" si="1"/>
        <v>47.172363648455985</v>
      </c>
      <c r="F25" s="14">
        <f t="shared" si="7"/>
        <v>22</v>
      </c>
      <c r="G25" s="16">
        <f t="shared" ref="G25:G27" si="18">$G$23+(F25-$F$23)*($G$28-$G$23)/($F$28-$F$23)</f>
        <v>96.28</v>
      </c>
      <c r="H25" s="16">
        <f t="shared" si="2"/>
        <v>76.600368000000003</v>
      </c>
      <c r="I25" s="16">
        <f t="shared" si="16"/>
        <v>21.30386735026233</v>
      </c>
      <c r="J25" s="16">
        <f t="shared" si="17"/>
        <v>170.51654323504022</v>
      </c>
      <c r="K25" s="31">
        <f t="shared" si="9"/>
        <v>23</v>
      </c>
      <c r="L25" s="21"/>
      <c r="M25" s="23"/>
      <c r="N25" s="23"/>
      <c r="O25" s="36"/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>
        <f t="shared" si="13"/>
        <v>0</v>
      </c>
      <c r="W25" s="2"/>
    </row>
    <row r="26" spans="1:25" x14ac:dyDescent="0.25">
      <c r="A26" s="10">
        <v>24</v>
      </c>
      <c r="B26" s="10">
        <f t="shared" si="5"/>
        <v>24</v>
      </c>
      <c r="C26" s="39">
        <f t="shared" si="0"/>
        <v>21.340799999999998</v>
      </c>
      <c r="D26" s="39">
        <f t="shared" si="6"/>
        <v>6.8871990614123195</v>
      </c>
      <c r="E26" s="11">
        <f t="shared" si="1"/>
        <v>49.163765031959791</v>
      </c>
      <c r="F26" s="14">
        <f t="shared" si="7"/>
        <v>23</v>
      </c>
      <c r="G26" s="16">
        <f t="shared" si="18"/>
        <v>111.02000000000001</v>
      </c>
      <c r="H26" s="16">
        <f t="shared" si="2"/>
        <v>88.327512000000013</v>
      </c>
      <c r="I26" s="16">
        <f t="shared" si="16"/>
        <v>24.161421859810599</v>
      </c>
      <c r="J26" s="16">
        <f t="shared" si="17"/>
        <v>195.91822647250351</v>
      </c>
      <c r="K26" s="31">
        <f t="shared" si="9"/>
        <v>24</v>
      </c>
      <c r="L26" s="25"/>
      <c r="M26" s="26"/>
      <c r="N26" s="23"/>
      <c r="O26" s="23"/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>
        <f t="shared" si="13"/>
        <v>0</v>
      </c>
      <c r="W26" s="2"/>
    </row>
    <row r="27" spans="1:25" x14ac:dyDescent="0.25">
      <c r="A27" s="10">
        <v>25</v>
      </c>
      <c r="B27" s="10">
        <f t="shared" si="5"/>
        <v>25</v>
      </c>
      <c r="C27" s="39">
        <f t="shared" si="0"/>
        <v>22.229999999999997</v>
      </c>
      <c r="D27" s="39">
        <f t="shared" si="6"/>
        <v>7.140157210880437</v>
      </c>
      <c r="E27" s="11">
        <f t="shared" si="1"/>
        <v>51.153023808950088</v>
      </c>
      <c r="F27" s="14">
        <f t="shared" si="7"/>
        <v>24</v>
      </c>
      <c r="G27" s="16">
        <f t="shared" si="18"/>
        <v>125.75999999999999</v>
      </c>
      <c r="H27" s="16">
        <f t="shared" si="2"/>
        <v>100.05465599999999</v>
      </c>
      <c r="I27" s="16">
        <f t="shared" si="16"/>
        <v>26.975018172550865</v>
      </c>
      <c r="J27" s="16">
        <f t="shared" si="17"/>
        <v>221.24334918385941</v>
      </c>
      <c r="K27" s="31">
        <f t="shared" si="9"/>
        <v>25</v>
      </c>
      <c r="L27" s="32"/>
      <c r="M27" s="33"/>
      <c r="N27" s="33"/>
      <c r="O27" s="33"/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>
        <f t="shared" si="13"/>
        <v>0</v>
      </c>
      <c r="W27" s="2"/>
    </row>
    <row r="28" spans="1:25" x14ac:dyDescent="0.25">
      <c r="A28" s="10">
        <v>26</v>
      </c>
      <c r="B28" s="10">
        <f t="shared" si="5"/>
        <v>26</v>
      </c>
      <c r="C28" s="39">
        <f t="shared" si="0"/>
        <v>23.119199999999999</v>
      </c>
      <c r="D28" s="39">
        <f t="shared" si="6"/>
        <v>7.3919399937804329</v>
      </c>
      <c r="E28" s="11">
        <f t="shared" si="1"/>
        <v>53.140235489167587</v>
      </c>
      <c r="F28" s="14">
        <f t="shared" si="7"/>
        <v>25</v>
      </c>
      <c r="G28" s="16">
        <f>105.5+35</f>
        <v>140.5</v>
      </c>
      <c r="H28" s="16">
        <f t="shared" si="2"/>
        <v>111.7818</v>
      </c>
      <c r="I28" s="16">
        <f t="shared" si="16"/>
        <v>29.750397150027219</v>
      </c>
      <c r="J28" s="16">
        <f t="shared" si="17"/>
        <v>246.5019100362974</v>
      </c>
      <c r="K28" s="31">
        <f t="shared" si="9"/>
        <v>26</v>
      </c>
      <c r="L28" s="25"/>
      <c r="M28" s="25"/>
      <c r="N28" s="23"/>
      <c r="O28" s="23"/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>
        <f t="shared" si="13"/>
        <v>0</v>
      </c>
      <c r="W28" s="2"/>
    </row>
    <row r="29" spans="1:25" x14ac:dyDescent="0.25">
      <c r="A29" s="10">
        <v>27</v>
      </c>
      <c r="B29" s="10">
        <f t="shared" si="5"/>
        <v>27</v>
      </c>
      <c r="C29" s="39">
        <f t="shared" si="0"/>
        <v>24.008400000000002</v>
      </c>
      <c r="D29" s="39">
        <f t="shared" si="6"/>
        <v>7.6425977910346994</v>
      </c>
      <c r="E29" s="11">
        <f t="shared" si="1"/>
        <v>55.125487819385434</v>
      </c>
      <c r="F29" s="14">
        <f t="shared" si="7"/>
        <v>26</v>
      </c>
      <c r="G29" s="16">
        <f>$G$28+(F29-$F$28)*($G$33-$G$28)/($F$33-$F$28)</f>
        <v>154.76</v>
      </c>
      <c r="H29" s="16">
        <f t="shared" si="2"/>
        <v>123.12705600000001</v>
      </c>
      <c r="I29" s="16">
        <f t="shared" si="16"/>
        <v>32.403238210173519</v>
      </c>
      <c r="J29" s="16">
        <f t="shared" si="17"/>
        <v>270.8819290827189</v>
      </c>
      <c r="K29" s="31">
        <f t="shared" si="9"/>
        <v>27</v>
      </c>
      <c r="L29" s="25"/>
      <c r="M29" s="26"/>
      <c r="N29" s="23"/>
      <c r="O29" s="23"/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>
        <f t="shared" si="13"/>
        <v>0</v>
      </c>
      <c r="W29" s="2"/>
    </row>
    <row r="30" spans="1:25" x14ac:dyDescent="0.25">
      <c r="A30" s="10">
        <v>28</v>
      </c>
      <c r="B30" s="10">
        <f t="shared" si="5"/>
        <v>28</v>
      </c>
      <c r="C30" s="39">
        <f t="shared" si="0"/>
        <v>24.897599999999997</v>
      </c>
      <c r="D30" s="39">
        <f t="shared" si="6"/>
        <v>7.8921770401958238</v>
      </c>
      <c r="E30" s="11">
        <f t="shared" si="1"/>
        <v>57.10886167834105</v>
      </c>
      <c r="F30" s="14">
        <f t="shared" si="7"/>
        <v>27</v>
      </c>
      <c r="G30" s="16">
        <f t="shared" ref="G30:G32" si="19">$G$28+(F30-$F$28)*($G$33-$G$28)/($F$33-$F$28)</f>
        <v>169.02</v>
      </c>
      <c r="H30" s="16">
        <f t="shared" si="2"/>
        <v>134.47231199999999</v>
      </c>
      <c r="I30" s="16">
        <f t="shared" si="16"/>
        <v>35.027736208949172</v>
      </c>
      <c r="J30" s="16">
        <f t="shared" si="17"/>
        <v>295.21258396391971</v>
      </c>
      <c r="K30" s="31">
        <f t="shared" si="9"/>
        <v>28</v>
      </c>
      <c r="L30" s="42"/>
      <c r="M30" s="26"/>
      <c r="N30" s="23"/>
      <c r="O30" s="23"/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>
        <f t="shared" si="13"/>
        <v>0</v>
      </c>
      <c r="W30" s="2"/>
    </row>
    <row r="31" spans="1:25" x14ac:dyDescent="0.25">
      <c r="A31" s="10">
        <v>29</v>
      </c>
      <c r="B31" s="10">
        <f t="shared" si="5"/>
        <v>29</v>
      </c>
      <c r="C31" s="39">
        <f t="shared" si="0"/>
        <v>25.786799999999999</v>
      </c>
      <c r="D31" s="39">
        <f t="shared" si="6"/>
        <v>8.1407206738151334</v>
      </c>
      <c r="E31" s="11">
        <f t="shared" si="1"/>
        <v>59.090431840228007</v>
      </c>
      <c r="F31" s="14">
        <f t="shared" si="7"/>
        <v>28</v>
      </c>
      <c r="G31" s="16">
        <f t="shared" si="19"/>
        <v>183.28</v>
      </c>
      <c r="H31" s="16">
        <f t="shared" si="2"/>
        <v>145.81756800000002</v>
      </c>
      <c r="I31" s="16">
        <f t="shared" si="16"/>
        <v>37.626554284689291</v>
      </c>
      <c r="J31" s="16">
        <f t="shared" si="17"/>
        <v>319.49851297916717</v>
      </c>
      <c r="K31" s="31">
        <f t="shared" si="9"/>
        <v>29</v>
      </c>
      <c r="L31" s="25"/>
      <c r="M31" s="26"/>
      <c r="N31" s="23"/>
      <c r="O31" s="23"/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>
        <f t="shared" si="13"/>
        <v>0</v>
      </c>
      <c r="W31" s="2"/>
    </row>
    <row r="32" spans="1:25" x14ac:dyDescent="0.25">
      <c r="A32" s="10">
        <v>30</v>
      </c>
      <c r="B32" s="10">
        <f t="shared" si="5"/>
        <v>30</v>
      </c>
      <c r="C32" s="39">
        <f t="shared" si="0"/>
        <v>26.675999999999998</v>
      </c>
      <c r="D32" s="39">
        <f t="shared" si="6"/>
        <v>8.388268495647786</v>
      </c>
      <c r="E32" s="11">
        <f t="shared" si="1"/>
        <v>61.07026762991989</v>
      </c>
      <c r="F32" s="14">
        <f t="shared" si="7"/>
        <v>29</v>
      </c>
      <c r="G32" s="16">
        <f t="shared" si="19"/>
        <v>197.54000000000002</v>
      </c>
      <c r="H32" s="16">
        <f t="shared" si="2"/>
        <v>157.16282400000003</v>
      </c>
      <c r="I32" s="16">
        <f t="shared" si="16"/>
        <v>40.201917615639708</v>
      </c>
      <c r="J32" s="16">
        <f t="shared" si="17"/>
        <v>343.74359164723916</v>
      </c>
      <c r="K32" s="31">
        <f t="shared" si="9"/>
        <v>30</v>
      </c>
      <c r="L32" s="25">
        <f>35+35</f>
        <v>70</v>
      </c>
      <c r="M32" s="26">
        <v>0</v>
      </c>
      <c r="N32" s="23">
        <v>0</v>
      </c>
      <c r="O32" s="23">
        <v>0</v>
      </c>
      <c r="P32" s="22">
        <f>EXP(-LN(2)/35)*P31+(1-EXP(-LN(2)/35))/(LN(2)/35)*M32*L32*0.43*0.475*44/12</f>
        <v>0</v>
      </c>
      <c r="Q32" s="22">
        <f t="shared" si="11"/>
        <v>0</v>
      </c>
      <c r="R32" s="22">
        <f t="shared" si="12"/>
        <v>0</v>
      </c>
      <c r="S32" s="22">
        <f t="shared" si="13"/>
        <v>0</v>
      </c>
      <c r="W32" s="2"/>
    </row>
    <row r="33" spans="1:25" x14ac:dyDescent="0.25">
      <c r="A33" s="10">
        <v>31</v>
      </c>
      <c r="B33" s="10">
        <f t="shared" si="5"/>
        <v>31</v>
      </c>
      <c r="C33" s="39">
        <f t="shared" si="0"/>
        <v>27.565199999999997</v>
      </c>
      <c r="D33" s="39">
        <f t="shared" si="6"/>
        <v>8.6348575052881742</v>
      </c>
      <c r="E33" s="11">
        <f t="shared" si="1"/>
        <v>63.048433488376901</v>
      </c>
      <c r="F33" s="14">
        <f t="shared" si="7"/>
        <v>30</v>
      </c>
      <c r="G33" s="16">
        <f>G34+L32</f>
        <v>211.8</v>
      </c>
      <c r="H33" s="16">
        <f t="shared" si="2"/>
        <v>168.50808000000001</v>
      </c>
      <c r="I33" s="16">
        <f t="shared" si="16"/>
        <v>42.755711908378153</v>
      </c>
      <c r="J33" s="16">
        <f t="shared" si="17"/>
        <v>367.95110424042531</v>
      </c>
      <c r="K33" s="31">
        <f t="shared" si="9"/>
        <v>31</v>
      </c>
      <c r="L33" s="25"/>
      <c r="M33" s="26"/>
      <c r="N33" s="23"/>
      <c r="O33" s="23"/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>
        <f t="shared" si="13"/>
        <v>0</v>
      </c>
      <c r="W33" s="2"/>
    </row>
    <row r="34" spans="1:25" x14ac:dyDescent="0.25">
      <c r="A34" s="10">
        <v>32</v>
      </c>
      <c r="B34" s="10">
        <f t="shared" si="5"/>
        <v>32</v>
      </c>
      <c r="C34" s="39">
        <f t="shared" si="0"/>
        <v>28.4544</v>
      </c>
      <c r="D34" s="39">
        <f t="shared" si="6"/>
        <v>8.8805221797401614</v>
      </c>
      <c r="E34" s="11">
        <f t="shared" si="1"/>
        <v>65.024989463047447</v>
      </c>
      <c r="F34" s="14">
        <v>30</v>
      </c>
      <c r="G34" s="16">
        <v>141.80000000000001</v>
      </c>
      <c r="H34" s="16">
        <f t="shared" si="2"/>
        <v>112.81608000000001</v>
      </c>
      <c r="I34" s="16">
        <f t="shared" si="16"/>
        <v>29.993495701928506</v>
      </c>
      <c r="J34" s="16">
        <f t="shared" si="17"/>
        <v>248.72667768085878</v>
      </c>
      <c r="K34" s="31">
        <f t="shared" si="9"/>
        <v>32</v>
      </c>
      <c r="L34" s="32"/>
      <c r="M34" s="33"/>
      <c r="N34" s="33"/>
      <c r="O34" s="33"/>
      <c r="P34" s="22">
        <f t="shared" si="10"/>
        <v>0</v>
      </c>
      <c r="Q34" s="22">
        <f t="shared" si="11"/>
        <v>0</v>
      </c>
      <c r="R34" s="22">
        <f t="shared" si="12"/>
        <v>0</v>
      </c>
      <c r="S34" s="22">
        <f t="shared" si="13"/>
        <v>0</v>
      </c>
      <c r="W34" s="2"/>
    </row>
    <row r="35" spans="1:25" x14ac:dyDescent="0.25">
      <c r="A35" s="10">
        <v>33</v>
      </c>
      <c r="B35" s="10">
        <f t="shared" si="5"/>
        <v>33</v>
      </c>
      <c r="C35" s="39">
        <f t="shared" si="0"/>
        <v>29.343599999999999</v>
      </c>
      <c r="D35" s="39">
        <f t="shared" si="6"/>
        <v>9.1252947188023139</v>
      </c>
      <c r="E35" s="11">
        <f t="shared" si="1"/>
        <v>66.999991635247355</v>
      </c>
      <c r="F35" s="14">
        <f t="shared" si="7"/>
        <v>31</v>
      </c>
      <c r="G35" s="16">
        <f>$G$34+(F35-$F$34)*($G$39-$G$34)/($F$39-$F$34)</f>
        <v>154.72</v>
      </c>
      <c r="H35" s="16">
        <f t="shared" si="2"/>
        <v>123.09523200000001</v>
      </c>
      <c r="I35" s="16">
        <f t="shared" si="16"/>
        <v>32.395837865894002</v>
      </c>
      <c r="J35" s="16">
        <f t="shared" si="17"/>
        <v>270.81361334976538</v>
      </c>
      <c r="K35" s="31">
        <f t="shared" si="9"/>
        <v>33</v>
      </c>
      <c r="L35" s="25"/>
      <c r="M35" s="26"/>
      <c r="N35" s="23"/>
      <c r="O35" s="23"/>
      <c r="P35" s="22">
        <f t="shared" si="10"/>
        <v>0</v>
      </c>
      <c r="Q35" s="22">
        <f t="shared" si="11"/>
        <v>0</v>
      </c>
      <c r="R35" s="22">
        <f t="shared" si="12"/>
        <v>0</v>
      </c>
      <c r="S35" s="22">
        <f t="shared" si="13"/>
        <v>0</v>
      </c>
      <c r="W35" s="2"/>
      <c r="X35" s="2"/>
      <c r="Y35" s="2"/>
    </row>
    <row r="36" spans="1:25" x14ac:dyDescent="0.25">
      <c r="A36" s="10">
        <v>34</v>
      </c>
      <c r="B36" s="10">
        <f t="shared" si="5"/>
        <v>34</v>
      </c>
      <c r="C36" s="39">
        <f t="shared" si="0"/>
        <v>30.232799999999997</v>
      </c>
      <c r="D36" s="39">
        <f t="shared" si="6"/>
        <v>9.3692052598737945</v>
      </c>
      <c r="E36" s="11">
        <f t="shared" si="1"/>
        <v>68.97349249428018</v>
      </c>
      <c r="F36" s="14">
        <f t="shared" si="7"/>
        <v>32</v>
      </c>
      <c r="G36" s="16">
        <f t="shared" ref="G36:G38" si="20">$G$34+(F36-$F$34)*($G$39-$G$34)/($F$39-$F$34)</f>
        <v>167.64000000000001</v>
      </c>
      <c r="H36" s="16">
        <f t="shared" si="2"/>
        <v>133.37438400000002</v>
      </c>
      <c r="I36" s="16">
        <f t="shared" si="16"/>
        <v>34.774913711031964</v>
      </c>
      <c r="J36" s="16">
        <f t="shared" si="17"/>
        <v>292.86002684671399</v>
      </c>
      <c r="K36" s="31">
        <f t="shared" si="9"/>
        <v>34</v>
      </c>
      <c r="L36" s="25"/>
      <c r="M36" s="25"/>
      <c r="N36" s="21"/>
      <c r="O36" s="21"/>
      <c r="P36" s="22">
        <f t="shared" si="10"/>
        <v>0</v>
      </c>
      <c r="Q36" s="22">
        <f t="shared" si="11"/>
        <v>0</v>
      </c>
      <c r="R36" s="22">
        <f t="shared" si="12"/>
        <v>0</v>
      </c>
      <c r="S36" s="22">
        <f t="shared" si="13"/>
        <v>0</v>
      </c>
      <c r="W36" s="2"/>
      <c r="X36" s="2"/>
      <c r="Y36" s="2"/>
    </row>
    <row r="37" spans="1:25" x14ac:dyDescent="0.25">
      <c r="A37" s="10">
        <v>35</v>
      </c>
      <c r="B37" s="10">
        <f t="shared" si="5"/>
        <v>35</v>
      </c>
      <c r="C37" s="39">
        <f t="shared" si="0"/>
        <v>31.122</v>
      </c>
      <c r="D37" s="39">
        <f t="shared" si="6"/>
        <v>9.6122820667788016</v>
      </c>
      <c r="E37" s="11">
        <f t="shared" si="1"/>
        <v>70.945541266306407</v>
      </c>
      <c r="F37" s="14">
        <f t="shared" si="7"/>
        <v>33</v>
      </c>
      <c r="G37" s="16">
        <f t="shared" si="20"/>
        <v>180.56</v>
      </c>
      <c r="H37" s="16">
        <f t="shared" si="2"/>
        <v>143.653536</v>
      </c>
      <c r="I37" s="16">
        <f t="shared" si="16"/>
        <v>37.132720247116019</v>
      </c>
      <c r="J37" s="16">
        <f t="shared" si="17"/>
        <v>314.8693962970604</v>
      </c>
      <c r="K37" s="31">
        <f t="shared" si="9"/>
        <v>35</v>
      </c>
      <c r="L37" s="42"/>
      <c r="M37" s="25"/>
      <c r="N37" s="21"/>
      <c r="O37" s="21"/>
      <c r="P37" s="22">
        <f t="shared" si="10"/>
        <v>0</v>
      </c>
      <c r="Q37" s="22">
        <f t="shared" si="11"/>
        <v>0</v>
      </c>
      <c r="R37" s="22">
        <f t="shared" si="12"/>
        <v>0</v>
      </c>
      <c r="S37" s="22">
        <f t="shared" si="13"/>
        <v>0</v>
      </c>
      <c r="W37" s="2"/>
      <c r="X37" s="2"/>
      <c r="Y37" s="2"/>
    </row>
    <row r="38" spans="1:25" x14ac:dyDescent="0.25">
      <c r="A38" s="10">
        <v>36</v>
      </c>
      <c r="B38" s="10">
        <f t="shared" si="5"/>
        <v>36</v>
      </c>
      <c r="C38" s="39">
        <f t="shared" si="0"/>
        <v>32.011200000000002</v>
      </c>
      <c r="D38" s="39">
        <f t="shared" si="6"/>
        <v>9.8545516964045792</v>
      </c>
      <c r="E38" s="11">
        <f t="shared" si="1"/>
        <v>72.916184204571309</v>
      </c>
      <c r="F38" s="14">
        <f t="shared" si="7"/>
        <v>34</v>
      </c>
      <c r="G38" s="16">
        <f t="shared" si="20"/>
        <v>193.48000000000002</v>
      </c>
      <c r="H38" s="16">
        <f t="shared" si="2"/>
        <v>153.93268800000004</v>
      </c>
      <c r="I38" s="16">
        <f t="shared" si="16"/>
        <v>39.470952496040077</v>
      </c>
      <c r="J38" s="16">
        <f t="shared" si="17"/>
        <v>336.84467386393652</v>
      </c>
      <c r="K38" s="31">
        <f t="shared" si="9"/>
        <v>36</v>
      </c>
      <c r="L38" s="25"/>
      <c r="M38" s="26"/>
      <c r="N38" s="23"/>
      <c r="O38" s="23"/>
      <c r="P38" s="22">
        <f t="shared" si="10"/>
        <v>0</v>
      </c>
      <c r="Q38" s="22">
        <f t="shared" si="11"/>
        <v>0</v>
      </c>
      <c r="R38" s="22">
        <f t="shared" si="12"/>
        <v>0</v>
      </c>
      <c r="S38" s="22">
        <f t="shared" si="13"/>
        <v>0</v>
      </c>
      <c r="W38" s="2"/>
      <c r="X38" s="2"/>
      <c r="Y38" s="2"/>
    </row>
    <row r="39" spans="1:25" x14ac:dyDescent="0.25">
      <c r="A39" s="10">
        <v>37</v>
      </c>
      <c r="B39" s="10">
        <f t="shared" si="5"/>
        <v>37</v>
      </c>
      <c r="C39" s="39">
        <f t="shared" si="0"/>
        <v>32.900399999999998</v>
      </c>
      <c r="D39" s="39">
        <f t="shared" si="6"/>
        <v>10.096039146303504</v>
      </c>
      <c r="E39" s="11">
        <f t="shared" si="1"/>
        <v>74.885464846478598</v>
      </c>
      <c r="F39" s="14">
        <f t="shared" si="7"/>
        <v>35</v>
      </c>
      <c r="G39" s="45">
        <f>171.4+35</f>
        <v>206.4</v>
      </c>
      <c r="H39" s="16">
        <f t="shared" si="2"/>
        <v>164.21184000000002</v>
      </c>
      <c r="I39" s="16">
        <f t="shared" si="16"/>
        <v>41.791066295417416</v>
      </c>
      <c r="J39" s="16">
        <f t="shared" si="17"/>
        <v>358.78839513118533</v>
      </c>
      <c r="K39" s="31">
        <f t="shared" si="9"/>
        <v>37</v>
      </c>
      <c r="L39" s="25"/>
      <c r="M39" s="25"/>
      <c r="N39" s="21"/>
      <c r="O39" s="21"/>
      <c r="P39" s="22">
        <f t="shared" si="10"/>
        <v>0</v>
      </c>
      <c r="Q39" s="22">
        <f t="shared" si="11"/>
        <v>0</v>
      </c>
      <c r="R39" s="22">
        <f t="shared" si="12"/>
        <v>0</v>
      </c>
      <c r="S39" s="22">
        <f t="shared" si="13"/>
        <v>0</v>
      </c>
      <c r="W39" s="2"/>
      <c r="X39" s="2"/>
      <c r="Y39" s="2"/>
    </row>
    <row r="40" spans="1:25" x14ac:dyDescent="0.25">
      <c r="A40" s="10">
        <v>38</v>
      </c>
      <c r="B40" s="10">
        <f t="shared" si="5"/>
        <v>38</v>
      </c>
      <c r="C40" s="39">
        <f t="shared" si="0"/>
        <v>33.7896</v>
      </c>
      <c r="D40" s="39">
        <f t="shared" si="6"/>
        <v>10.3367679858895</v>
      </c>
      <c r="E40" s="11">
        <f t="shared" si="1"/>
        <v>76.853424242090881</v>
      </c>
      <c r="F40" s="14">
        <f t="shared" si="7"/>
        <v>36</v>
      </c>
      <c r="G40" s="45">
        <f>$G$39+(F40-$F$39)*($G$44-$G$39)/($F$44-$F$39)</f>
        <v>217.74</v>
      </c>
      <c r="H40" s="16">
        <f t="shared" si="2"/>
        <v>173.23394400000004</v>
      </c>
      <c r="I40" s="16">
        <f t="shared" si="16"/>
        <v>43.813523178063626</v>
      </c>
      <c r="J40" s="16">
        <f t="shared" si="17"/>
        <v>378.02433866846087</v>
      </c>
      <c r="K40" s="31">
        <f t="shared" si="9"/>
        <v>38</v>
      </c>
      <c r="L40" s="25"/>
      <c r="M40" s="25"/>
      <c r="N40" s="21"/>
      <c r="O40" s="21"/>
      <c r="P40" s="22">
        <f t="shared" si="10"/>
        <v>0</v>
      </c>
      <c r="Q40" s="22">
        <f t="shared" si="11"/>
        <v>0</v>
      </c>
      <c r="R40" s="22">
        <f t="shared" si="12"/>
        <v>0</v>
      </c>
      <c r="S40" s="22">
        <f t="shared" si="13"/>
        <v>0</v>
      </c>
      <c r="W40" s="2"/>
      <c r="X40" s="2"/>
      <c r="Y40" s="2"/>
    </row>
    <row r="41" spans="1:25" x14ac:dyDescent="0.25">
      <c r="A41" s="10">
        <v>39</v>
      </c>
      <c r="B41" s="10">
        <f t="shared" si="5"/>
        <v>39</v>
      </c>
      <c r="C41" s="39">
        <f t="shared" si="0"/>
        <v>34.678800000000003</v>
      </c>
      <c r="D41" s="39">
        <f t="shared" si="6"/>
        <v>10.576760473435781</v>
      </c>
      <c r="E41" s="11">
        <f t="shared" si="1"/>
        <v>78.820101157900652</v>
      </c>
      <c r="F41" s="14">
        <f t="shared" si="7"/>
        <v>37</v>
      </c>
      <c r="G41" s="45">
        <f t="shared" ref="G41:G43" si="21">$G$39+(F41-$F$39)*($G$44-$G$39)/($F$44-$F$39)</f>
        <v>229.08</v>
      </c>
      <c r="H41" s="16">
        <f t="shared" si="2"/>
        <v>182.25604800000002</v>
      </c>
      <c r="I41" s="16">
        <f t="shared" si="16"/>
        <v>45.823750842861273</v>
      </c>
      <c r="J41" s="16">
        <f t="shared" si="17"/>
        <v>397.23898298465002</v>
      </c>
      <c r="K41" s="31">
        <f t="shared" si="9"/>
        <v>39</v>
      </c>
      <c r="L41" s="32"/>
      <c r="M41" s="33"/>
      <c r="N41" s="33"/>
      <c r="O41" s="33"/>
      <c r="P41" s="22">
        <f t="shared" si="10"/>
        <v>0</v>
      </c>
      <c r="Q41" s="22">
        <f t="shared" si="11"/>
        <v>0</v>
      </c>
      <c r="R41" s="22">
        <f t="shared" si="12"/>
        <v>0</v>
      </c>
      <c r="S41" s="22">
        <f t="shared" si="13"/>
        <v>0</v>
      </c>
      <c r="W41" s="2"/>
      <c r="X41" s="2"/>
      <c r="Y41" s="2"/>
    </row>
    <row r="42" spans="1:25" x14ac:dyDescent="0.25">
      <c r="A42" s="10">
        <v>40</v>
      </c>
      <c r="B42" s="10">
        <f t="shared" si="5"/>
        <v>40</v>
      </c>
      <c r="C42" s="39">
        <f t="shared" si="0"/>
        <v>35.567999999999998</v>
      </c>
      <c r="D42" s="39">
        <f t="shared" si="6"/>
        <v>10.816037660735208</v>
      </c>
      <c r="E42" s="11">
        <f t="shared" si="1"/>
        <v>80.785532259113808</v>
      </c>
      <c r="F42" s="14">
        <f t="shared" si="7"/>
        <v>38</v>
      </c>
      <c r="G42" s="45">
        <f t="shared" si="21"/>
        <v>240.42000000000002</v>
      </c>
      <c r="H42" s="16">
        <f t="shared" si="2"/>
        <v>191.27815200000001</v>
      </c>
      <c r="I42" s="16">
        <f t="shared" si="16"/>
        <v>47.822423751245466</v>
      </c>
      <c r="J42" s="16">
        <f t="shared" si="17"/>
        <v>416.4335027667525</v>
      </c>
      <c r="K42" s="31">
        <f t="shared" si="9"/>
        <v>40</v>
      </c>
      <c r="L42" s="25">
        <f>35+35</f>
        <v>70</v>
      </c>
      <c r="M42" s="25"/>
      <c r="N42" s="21"/>
      <c r="O42" s="21"/>
      <c r="P42" s="22">
        <f t="shared" si="10"/>
        <v>0</v>
      </c>
      <c r="Q42" s="22">
        <f t="shared" si="11"/>
        <v>0</v>
      </c>
      <c r="R42" s="22">
        <f t="shared" si="12"/>
        <v>0</v>
      </c>
      <c r="S42" s="22">
        <f t="shared" si="13"/>
        <v>0</v>
      </c>
      <c r="W42" s="2"/>
      <c r="X42" s="2"/>
      <c r="Y42" s="2"/>
    </row>
    <row r="43" spans="1:25" x14ac:dyDescent="0.25">
      <c r="A43" s="10">
        <v>41</v>
      </c>
      <c r="B43" s="10">
        <f t="shared" si="5"/>
        <v>41</v>
      </c>
      <c r="C43" s="39">
        <f t="shared" si="0"/>
        <v>36.4572</v>
      </c>
      <c r="D43" s="39">
        <f t="shared" si="6"/>
        <v>11.054619486999963</v>
      </c>
      <c r="E43" s="11">
        <f t="shared" si="1"/>
        <v>82.749752273191604</v>
      </c>
      <c r="F43" s="14">
        <f t="shared" si="7"/>
        <v>39</v>
      </c>
      <c r="G43" s="45">
        <f t="shared" si="21"/>
        <v>251.76000000000002</v>
      </c>
      <c r="H43" s="16">
        <f t="shared" si="2"/>
        <v>200.30025600000002</v>
      </c>
      <c r="I43" s="16">
        <f t="shared" si="16"/>
        <v>49.810149143959919</v>
      </c>
      <c r="J43" s="16">
        <f t="shared" si="17"/>
        <v>435.60895562573023</v>
      </c>
      <c r="K43" s="31">
        <f t="shared" si="9"/>
        <v>41</v>
      </c>
      <c r="L43" s="25"/>
      <c r="M43" s="25"/>
      <c r="N43" s="21"/>
      <c r="O43" s="21"/>
      <c r="P43" s="22">
        <f t="shared" si="10"/>
        <v>0</v>
      </c>
      <c r="Q43" s="22">
        <f t="shared" si="11"/>
        <v>0</v>
      </c>
      <c r="R43" s="22">
        <f t="shared" si="12"/>
        <v>0</v>
      </c>
      <c r="S43" s="22">
        <f t="shared" si="13"/>
        <v>0</v>
      </c>
      <c r="W43" s="2"/>
      <c r="X43" s="2"/>
      <c r="Y43" s="2"/>
    </row>
    <row r="44" spans="1:25" x14ac:dyDescent="0.25">
      <c r="A44" s="10">
        <v>42</v>
      </c>
      <c r="B44" s="10">
        <f t="shared" si="5"/>
        <v>42</v>
      </c>
      <c r="C44" s="39">
        <f t="shared" si="0"/>
        <v>37.346399999999996</v>
      </c>
      <c r="D44" s="39">
        <f t="shared" si="6"/>
        <v>11.292524863342392</v>
      </c>
      <c r="E44" s="11">
        <f t="shared" si="1"/>
        <v>84.712794136987995</v>
      </c>
      <c r="F44" s="14">
        <f t="shared" si="7"/>
        <v>40</v>
      </c>
      <c r="G44" s="45">
        <f>G45+L42</f>
        <v>263.10000000000002</v>
      </c>
      <c r="H44" s="16">
        <f t="shared" si="2"/>
        <v>209.32236000000003</v>
      </c>
      <c r="I44" s="16">
        <f t="shared" si="16"/>
        <v>51.78747646553304</v>
      </c>
      <c r="J44" s="16">
        <f t="shared" si="17"/>
        <v>454.76629851080344</v>
      </c>
      <c r="K44" s="31">
        <f t="shared" si="9"/>
        <v>42</v>
      </c>
      <c r="L44" s="42"/>
      <c r="M44" s="26"/>
      <c r="N44" s="23"/>
      <c r="O44" s="23"/>
      <c r="P44" s="22">
        <f t="shared" si="10"/>
        <v>0</v>
      </c>
      <c r="Q44" s="22">
        <f t="shared" si="11"/>
        <v>0</v>
      </c>
      <c r="R44" s="22">
        <f t="shared" si="12"/>
        <v>0</v>
      </c>
      <c r="S44" s="22">
        <f t="shared" si="13"/>
        <v>0</v>
      </c>
      <c r="W44" s="2"/>
      <c r="X44" s="2"/>
      <c r="Y44" s="2"/>
    </row>
    <row r="45" spans="1:25" x14ac:dyDescent="0.25">
      <c r="A45" s="10">
        <v>43</v>
      </c>
      <c r="B45" s="10">
        <f t="shared" si="5"/>
        <v>43</v>
      </c>
      <c r="C45" s="39">
        <f t="shared" si="0"/>
        <v>38.235599999999998</v>
      </c>
      <c r="D45" s="39">
        <f t="shared" si="6"/>
        <v>11.529771748983352</v>
      </c>
      <c r="E45" s="11">
        <f t="shared" si="1"/>
        <v>86.674689129479319</v>
      </c>
      <c r="F45" s="14">
        <v>40</v>
      </c>
      <c r="G45" s="45">
        <v>193.1</v>
      </c>
      <c r="H45" s="16">
        <f t="shared" si="2"/>
        <v>153.63036</v>
      </c>
      <c r="I45" s="16">
        <f t="shared" si="16"/>
        <v>39.402446196690853</v>
      </c>
      <c r="J45" s="16">
        <f t="shared" si="17"/>
        <v>336.19880412590317</v>
      </c>
      <c r="K45" s="31">
        <f t="shared" si="9"/>
        <v>43</v>
      </c>
      <c r="L45" s="25"/>
      <c r="M45" s="25"/>
      <c r="N45" s="21"/>
      <c r="O45" s="21"/>
      <c r="P45" s="22">
        <f t="shared" si="10"/>
        <v>0</v>
      </c>
      <c r="Q45" s="22">
        <f t="shared" si="11"/>
        <v>0</v>
      </c>
      <c r="R45" s="22">
        <f t="shared" si="12"/>
        <v>0</v>
      </c>
      <c r="S45" s="22">
        <f t="shared" si="13"/>
        <v>0</v>
      </c>
      <c r="W45" s="2"/>
      <c r="X45" s="2"/>
      <c r="Y45" s="2"/>
    </row>
    <row r="46" spans="1:25" x14ac:dyDescent="0.25">
      <c r="A46" s="10">
        <v>44</v>
      </c>
      <c r="B46" s="10">
        <f t="shared" si="5"/>
        <v>44</v>
      </c>
      <c r="C46" s="39">
        <f t="shared" si="0"/>
        <v>39.1248</v>
      </c>
      <c r="D46" s="39">
        <f t="shared" si="6"/>
        <v>11.766377220171686</v>
      </c>
      <c r="E46" s="11">
        <f t="shared" si="1"/>
        <v>88.635466991799021</v>
      </c>
      <c r="F46" s="14">
        <f t="shared" si="7"/>
        <v>41</v>
      </c>
      <c r="G46" s="45">
        <f>$G$45+(F46-$F$45)*($G$50-$G$45)/($F$50-$F$45)</f>
        <v>202.92</v>
      </c>
      <c r="H46" s="16">
        <f t="shared" si="2"/>
        <v>161.443152</v>
      </c>
      <c r="I46" s="16">
        <f t="shared" si="16"/>
        <v>41.167852065682155</v>
      </c>
      <c r="J46" s="16">
        <f t="shared" si="17"/>
        <v>352.88083208106309</v>
      </c>
      <c r="K46" s="31">
        <f t="shared" si="9"/>
        <v>44</v>
      </c>
      <c r="L46" s="25"/>
      <c r="M46" s="25"/>
      <c r="N46" s="21"/>
      <c r="O46" s="21"/>
      <c r="P46" s="22">
        <f t="shared" si="10"/>
        <v>0</v>
      </c>
      <c r="Q46" s="22">
        <f t="shared" si="11"/>
        <v>0</v>
      </c>
      <c r="R46" s="22">
        <f t="shared" si="12"/>
        <v>0</v>
      </c>
      <c r="S46" s="22">
        <f t="shared" si="13"/>
        <v>0</v>
      </c>
      <c r="W46" s="2"/>
      <c r="X46" s="2"/>
      <c r="Y46" s="2"/>
    </row>
    <row r="47" spans="1:25" x14ac:dyDescent="0.25">
      <c r="A47" s="10">
        <v>45</v>
      </c>
      <c r="B47" s="10">
        <f t="shared" si="5"/>
        <v>45</v>
      </c>
      <c r="C47" s="39">
        <f t="shared" si="0"/>
        <v>40.013999999999996</v>
      </c>
      <c r="D47" s="39">
        <f t="shared" si="6"/>
        <v>12.002357532661732</v>
      </c>
      <c r="E47" s="11">
        <f t="shared" si="1"/>
        <v>90.595156036052515</v>
      </c>
      <c r="F47" s="14">
        <f t="shared" si="7"/>
        <v>42</v>
      </c>
      <c r="G47" s="45">
        <f t="shared" ref="G47:G49" si="22">$G$45+(F47-$F$45)*($G$50-$G$45)/($F$50-$F$45)</f>
        <v>212.73999999999998</v>
      </c>
      <c r="H47" s="16">
        <f t="shared" si="2"/>
        <v>169.255944</v>
      </c>
      <c r="I47" s="16">
        <f t="shared" si="16"/>
        <v>42.92333727438352</v>
      </c>
      <c r="J47" s="16">
        <f t="shared" si="17"/>
        <v>369.54558155288464</v>
      </c>
      <c r="K47" s="31">
        <f t="shared" si="9"/>
        <v>45</v>
      </c>
      <c r="L47" s="32"/>
      <c r="M47" s="32"/>
      <c r="N47" s="32"/>
      <c r="O47" s="32"/>
      <c r="P47" s="22">
        <f t="shared" si="10"/>
        <v>0</v>
      </c>
      <c r="Q47" s="22">
        <f t="shared" si="11"/>
        <v>0</v>
      </c>
      <c r="R47" s="22">
        <f t="shared" si="12"/>
        <v>0</v>
      </c>
      <c r="S47" s="22">
        <f t="shared" si="13"/>
        <v>0</v>
      </c>
      <c r="W47" s="2"/>
      <c r="X47" s="2"/>
      <c r="Y47" s="2"/>
    </row>
    <row r="48" spans="1:25" x14ac:dyDescent="0.25">
      <c r="A48" s="10">
        <v>46</v>
      </c>
      <c r="B48" s="10">
        <f t="shared" si="5"/>
        <v>46</v>
      </c>
      <c r="C48" s="39">
        <f t="shared" si="0"/>
        <v>40.903199999999998</v>
      </c>
      <c r="D48" s="39">
        <f t="shared" si="6"/>
        <v>12.2377281784806</v>
      </c>
      <c r="E48" s="11">
        <f t="shared" si="1"/>
        <v>92.553783244187045</v>
      </c>
      <c r="F48" s="14">
        <f t="shared" si="7"/>
        <v>43</v>
      </c>
      <c r="G48" s="45">
        <f t="shared" si="22"/>
        <v>222.56</v>
      </c>
      <c r="H48" s="16">
        <f t="shared" si="2"/>
        <v>177.068736</v>
      </c>
      <c r="I48" s="16">
        <f t="shared" si="16"/>
        <v>44.66941205975349</v>
      </c>
      <c r="J48" s="16">
        <f t="shared" si="17"/>
        <v>386.1939412040706</v>
      </c>
      <c r="K48" s="31">
        <f t="shared" si="9"/>
        <v>46</v>
      </c>
      <c r="L48" s="25"/>
      <c r="M48" s="26"/>
      <c r="N48" s="23"/>
      <c r="O48" s="23"/>
      <c r="P48" s="22">
        <f t="shared" si="10"/>
        <v>0</v>
      </c>
      <c r="Q48" s="22">
        <f t="shared" si="11"/>
        <v>0</v>
      </c>
      <c r="R48" s="22">
        <f t="shared" si="12"/>
        <v>0</v>
      </c>
      <c r="S48" s="22">
        <f t="shared" si="13"/>
        <v>0</v>
      </c>
      <c r="W48" s="2"/>
      <c r="X48" s="2"/>
      <c r="Y48" s="2"/>
    </row>
    <row r="49" spans="1:25" x14ac:dyDescent="0.25">
      <c r="A49" s="10">
        <v>47</v>
      </c>
      <c r="B49" s="10">
        <f t="shared" si="5"/>
        <v>47</v>
      </c>
      <c r="C49" s="39">
        <f t="shared" si="0"/>
        <v>41.792400000000001</v>
      </c>
      <c r="D49" s="39">
        <f t="shared" si="6"/>
        <v>12.472503937619972</v>
      </c>
      <c r="E49" s="11">
        <f t="shared" si="1"/>
        <v>94.511374358021442</v>
      </c>
      <c r="F49" s="14">
        <f t="shared" si="7"/>
        <v>44</v>
      </c>
      <c r="G49" s="45">
        <f t="shared" si="22"/>
        <v>232.38</v>
      </c>
      <c r="H49" s="16">
        <f t="shared" si="2"/>
        <v>184.881528</v>
      </c>
      <c r="I49" s="16">
        <f t="shared" si="16"/>
        <v>46.406539086581006</v>
      </c>
      <c r="J49" s="16">
        <f t="shared" si="17"/>
        <v>402.82671684246185</v>
      </c>
      <c r="K49" s="31">
        <f t="shared" si="9"/>
        <v>47</v>
      </c>
      <c r="L49" s="25"/>
      <c r="M49" s="25"/>
      <c r="N49" s="21"/>
      <c r="O49" s="21"/>
      <c r="P49" s="22">
        <f t="shared" si="10"/>
        <v>0</v>
      </c>
      <c r="Q49" s="22">
        <f t="shared" si="11"/>
        <v>0</v>
      </c>
      <c r="R49" s="22">
        <f t="shared" si="12"/>
        <v>0</v>
      </c>
      <c r="S49" s="22">
        <f t="shared" si="13"/>
        <v>0</v>
      </c>
      <c r="W49" s="2"/>
      <c r="X49" s="2"/>
      <c r="Y49" s="2"/>
    </row>
    <row r="50" spans="1:25" x14ac:dyDescent="0.25">
      <c r="A50" s="10">
        <v>48</v>
      </c>
      <c r="B50" s="10">
        <f t="shared" si="5"/>
        <v>48</v>
      </c>
      <c r="C50" s="39">
        <f t="shared" si="0"/>
        <v>42.681599999999996</v>
      </c>
      <c r="D50" s="39">
        <f t="shared" si="6"/>
        <v>12.70669892520443</v>
      </c>
      <c r="E50" s="11">
        <f t="shared" si="1"/>
        <v>96.467953961397697</v>
      </c>
      <c r="F50" s="14">
        <f t="shared" si="7"/>
        <v>45</v>
      </c>
      <c r="G50" s="46">
        <f>218+24.2</f>
        <v>242.2</v>
      </c>
      <c r="H50" s="16">
        <f t="shared" si="2"/>
        <v>192.69432</v>
      </c>
      <c r="I50" s="16">
        <f t="shared" si="16"/>
        <v>48.13513970479886</v>
      </c>
      <c r="J50" s="16">
        <f t="shared" si="17"/>
        <v>419.44464231919136</v>
      </c>
      <c r="K50" s="31">
        <f t="shared" si="9"/>
        <v>48</v>
      </c>
      <c r="L50" s="25"/>
      <c r="M50" s="26"/>
      <c r="N50" s="23"/>
      <c r="O50" s="23"/>
      <c r="P50" s="22"/>
      <c r="Q50" s="22"/>
      <c r="R50" s="22"/>
      <c r="S50" s="22"/>
      <c r="W50" s="2"/>
      <c r="X50" s="2"/>
      <c r="Y50" s="2"/>
    </row>
    <row r="51" spans="1:25" x14ac:dyDescent="0.25">
      <c r="A51" s="10">
        <v>49</v>
      </c>
      <c r="B51" s="10">
        <f t="shared" si="5"/>
        <v>49</v>
      </c>
      <c r="C51" s="39">
        <f t="shared" si="0"/>
        <v>43.570799999999998</v>
      </c>
      <c r="D51" s="39">
        <f t="shared" si="6"/>
        <v>12.940326634618202</v>
      </c>
      <c r="E51" s="11">
        <f t="shared" si="1"/>
        <v>98.423545555293359</v>
      </c>
      <c r="F51" s="14">
        <f t="shared" si="7"/>
        <v>46</v>
      </c>
      <c r="G51" s="46">
        <f>$G$50+(F51-$F$50)*($G$55-$G$50)/($F$55-$F$50)</f>
        <v>250.73999999999998</v>
      </c>
      <c r="H51" s="16">
        <f t="shared" si="2"/>
        <v>199.488744</v>
      </c>
      <c r="I51" s="16">
        <f t="shared" si="16"/>
        <v>49.631792398634111</v>
      </c>
      <c r="J51" s="16">
        <f t="shared" si="17"/>
        <v>433.88493422762105</v>
      </c>
      <c r="K51" s="31">
        <f t="shared" si="9"/>
        <v>49</v>
      </c>
      <c r="L51" s="42"/>
      <c r="M51" s="25"/>
      <c r="N51" s="21"/>
      <c r="O51" s="21"/>
      <c r="P51" s="22"/>
      <c r="Q51" s="22"/>
      <c r="R51" s="22"/>
      <c r="S51" s="22"/>
      <c r="W51" s="2"/>
      <c r="X51" s="2"/>
      <c r="Y51" s="2"/>
    </row>
    <row r="52" spans="1:25" x14ac:dyDescent="0.25">
      <c r="A52" s="10">
        <v>50</v>
      </c>
      <c r="B52" s="10">
        <f t="shared" si="5"/>
        <v>50</v>
      </c>
      <c r="C52" s="39">
        <f t="shared" si="0"/>
        <v>44.459999999999994</v>
      </c>
      <c r="D52" s="39">
        <f t="shared" si="6"/>
        <v>13.173399977011854</v>
      </c>
      <c r="E52" s="11">
        <f t="shared" si="1"/>
        <v>100.37817162662895</v>
      </c>
      <c r="F52" s="14">
        <f t="shared" si="7"/>
        <v>47</v>
      </c>
      <c r="G52" s="46">
        <f t="shared" ref="G52:G54" si="23">$G$50+(F52-$F$50)*($G$55-$G$50)/($F$55-$F$50)</f>
        <v>259.27999999999997</v>
      </c>
      <c r="H52" s="16">
        <f t="shared" si="2"/>
        <v>206.28316799999999</v>
      </c>
      <c r="I52" s="16">
        <f t="shared" si="16"/>
        <v>51.122522165494573</v>
      </c>
      <c r="J52" s="16">
        <f t="shared" si="17"/>
        <v>448.31491037156962</v>
      </c>
      <c r="K52" s="31">
        <f t="shared" si="9"/>
        <v>50</v>
      </c>
      <c r="L52" s="25">
        <f>18.9+24.2</f>
        <v>43.099999999999994</v>
      </c>
      <c r="M52" s="25"/>
      <c r="N52" s="21"/>
      <c r="O52" s="21"/>
      <c r="P52" s="22"/>
      <c r="Q52" s="22"/>
      <c r="R52" s="22"/>
      <c r="S52" s="22"/>
      <c r="W52" s="2"/>
      <c r="X52" s="2"/>
      <c r="Y52" s="2"/>
    </row>
    <row r="53" spans="1:25" x14ac:dyDescent="0.25">
      <c r="A53" s="10">
        <v>51</v>
      </c>
      <c r="B53" s="10">
        <f t="shared" si="5"/>
        <v>51</v>
      </c>
      <c r="C53" s="39">
        <f t="shared" si="0"/>
        <v>45.349199999999996</v>
      </c>
      <c r="D53" s="39">
        <f t="shared" si="6"/>
        <v>13.405931317559235</v>
      </c>
      <c r="E53" s="11">
        <f t="shared" si="1"/>
        <v>102.33185371141566</v>
      </c>
      <c r="F53" s="14">
        <f t="shared" si="7"/>
        <v>48</v>
      </c>
      <c r="G53" s="46">
        <f t="shared" si="23"/>
        <v>267.82</v>
      </c>
      <c r="H53" s="16">
        <f t="shared" si="2"/>
        <v>213.07759200000001</v>
      </c>
      <c r="I53" s="16">
        <f t="shared" si="16"/>
        <v>52.607546461832492</v>
      </c>
      <c r="J53" s="16">
        <f t="shared" si="17"/>
        <v>462.73494948769149</v>
      </c>
      <c r="K53" s="31">
        <f t="shared" si="9"/>
        <v>51</v>
      </c>
      <c r="L53" s="25"/>
      <c r="M53" s="25"/>
      <c r="N53" s="21"/>
      <c r="O53" s="21"/>
      <c r="P53" s="22"/>
      <c r="Q53" s="22"/>
      <c r="R53" s="22"/>
      <c r="S53" s="22"/>
      <c r="W53" s="2"/>
      <c r="X53" s="2"/>
      <c r="Y53" s="2"/>
    </row>
    <row r="54" spans="1:25" x14ac:dyDescent="0.25">
      <c r="A54" s="10">
        <v>52</v>
      </c>
      <c r="B54" s="10">
        <f t="shared" si="5"/>
        <v>52</v>
      </c>
      <c r="C54" s="39">
        <f t="shared" si="0"/>
        <v>46.238399999999999</v>
      </c>
      <c r="D54" s="39">
        <f t="shared" si="6"/>
        <v>13.637932508790355</v>
      </c>
      <c r="E54" s="11">
        <f t="shared" si="1"/>
        <v>104.28461245280987</v>
      </c>
      <c r="F54" s="14">
        <f t="shared" si="7"/>
        <v>49</v>
      </c>
      <c r="G54" s="46">
        <f t="shared" si="23"/>
        <v>276.35999999999996</v>
      </c>
      <c r="H54" s="16">
        <f t="shared" si="2"/>
        <v>219.87201599999997</v>
      </c>
      <c r="I54" s="16">
        <f t="shared" si="16"/>
        <v>54.087068088530145</v>
      </c>
      <c r="J54" s="16">
        <f t="shared" si="17"/>
        <v>477.1454047875232</v>
      </c>
      <c r="K54" s="31">
        <f t="shared" si="9"/>
        <v>52</v>
      </c>
      <c r="L54" s="32"/>
      <c r="M54" s="32"/>
      <c r="N54" s="32"/>
      <c r="O54" s="32"/>
      <c r="P54" s="22"/>
      <c r="Q54" s="22"/>
      <c r="R54" s="22"/>
      <c r="S54" s="22"/>
      <c r="W54" s="2"/>
      <c r="X54" s="2"/>
      <c r="Y54" s="2"/>
    </row>
    <row r="55" spans="1:25" x14ac:dyDescent="0.25">
      <c r="A55" s="10">
        <v>53</v>
      </c>
      <c r="B55" s="10">
        <f t="shared" si="5"/>
        <v>53</v>
      </c>
      <c r="C55" s="39">
        <f t="shared" si="0"/>
        <v>47.127600000000001</v>
      </c>
      <c r="D55" s="39">
        <f t="shared" si="6"/>
        <v>13.869414921287742</v>
      </c>
      <c r="E55" s="11">
        <f t="shared" si="1"/>
        <v>106.23646765457615</v>
      </c>
      <c r="F55" s="14">
        <f t="shared" si="7"/>
        <v>50</v>
      </c>
      <c r="G55" s="46">
        <f>G56+L52</f>
        <v>284.89999999999998</v>
      </c>
      <c r="H55" s="16">
        <f t="shared" si="2"/>
        <v>226.66643999999999</v>
      </c>
      <c r="I55" s="16">
        <f t="shared" si="16"/>
        <v>55.561276600641385</v>
      </c>
      <c r="J55" s="16">
        <f t="shared" si="17"/>
        <v>491.54660641278366</v>
      </c>
      <c r="K55" s="31">
        <f t="shared" si="9"/>
        <v>53</v>
      </c>
      <c r="L55" s="25"/>
      <c r="M55" s="26"/>
      <c r="N55" s="23"/>
      <c r="O55" s="23"/>
      <c r="P55" s="22"/>
      <c r="Q55" s="22"/>
      <c r="R55" s="22"/>
      <c r="S55" s="22"/>
      <c r="W55" s="2"/>
      <c r="X55" s="2"/>
      <c r="Y55" s="2"/>
    </row>
    <row r="56" spans="1:25" x14ac:dyDescent="0.25">
      <c r="A56" s="10">
        <v>54</v>
      </c>
      <c r="B56" s="10">
        <f t="shared" si="5"/>
        <v>54</v>
      </c>
      <c r="C56" s="39">
        <f t="shared" si="0"/>
        <v>48.016800000000003</v>
      </c>
      <c r="D56" s="39">
        <f t="shared" si="6"/>
        <v>14.10038947200055</v>
      </c>
      <c r="E56" s="11">
        <f t="shared" si="1"/>
        <v>108.18743833040098</v>
      </c>
      <c r="F56" s="14">
        <v>50</v>
      </c>
      <c r="G56" s="46">
        <v>241.8</v>
      </c>
      <c r="H56" s="16">
        <f t="shared" si="2"/>
        <v>192.37608000000003</v>
      </c>
      <c r="I56" s="16">
        <f t="shared" si="16"/>
        <v>48.064889828485938</v>
      </c>
      <c r="J56" s="16">
        <f t="shared" si="17"/>
        <v>418.76802245127971</v>
      </c>
      <c r="K56" s="31">
        <f t="shared" si="9"/>
        <v>54</v>
      </c>
      <c r="L56" s="21"/>
      <c r="M56" s="23"/>
      <c r="N56" s="23"/>
      <c r="O56" s="23"/>
      <c r="P56" s="22"/>
      <c r="Q56" s="22"/>
      <c r="R56" s="22"/>
      <c r="S56" s="22"/>
      <c r="W56" s="2"/>
      <c r="X56" s="2"/>
      <c r="Y56" s="2"/>
    </row>
    <row r="57" spans="1:25" x14ac:dyDescent="0.25">
      <c r="A57" s="10">
        <v>55</v>
      </c>
      <c r="B57" s="10">
        <f t="shared" si="5"/>
        <v>55</v>
      </c>
      <c r="C57" s="39">
        <f t="shared" si="0"/>
        <v>48.905999999999992</v>
      </c>
      <c r="D57" s="39">
        <f t="shared" si="6"/>
        <v>14.330866650402026</v>
      </c>
      <c r="E57" s="11">
        <f t="shared" si="1"/>
        <v>110.13754274945018</v>
      </c>
      <c r="F57" s="14">
        <f t="shared" si="7"/>
        <v>51</v>
      </c>
      <c r="G57" s="46">
        <f>$G$56+(F57-$F$56)*($G$61-$G$56)/($F$61-$F$56)</f>
        <v>249.16000000000003</v>
      </c>
      <c r="H57" s="16">
        <f t="shared" si="2"/>
        <v>198.23169600000003</v>
      </c>
      <c r="I57" s="16">
        <f t="shared" si="16"/>
        <v>49.355347391815158</v>
      </c>
      <c r="J57" s="16">
        <f t="shared" si="17"/>
        <v>431.21410057407815</v>
      </c>
      <c r="K57" s="31">
        <f t="shared" si="9"/>
        <v>55</v>
      </c>
      <c r="L57" s="21"/>
      <c r="M57" s="21"/>
      <c r="N57" s="21"/>
      <c r="O57" s="21"/>
      <c r="P57" s="22"/>
      <c r="Q57" s="22"/>
      <c r="R57" s="22"/>
      <c r="S57" s="22"/>
      <c r="W57" s="2"/>
      <c r="X57" s="2"/>
      <c r="Y57" s="2"/>
    </row>
    <row r="58" spans="1:25" x14ac:dyDescent="0.25">
      <c r="A58" s="10">
        <v>56</v>
      </c>
      <c r="B58" s="10">
        <f t="shared" si="5"/>
        <v>56</v>
      </c>
      <c r="C58" s="39">
        <f t="shared" si="0"/>
        <v>49.795199999999994</v>
      </c>
      <c r="D58" s="39">
        <f t="shared" si="6"/>
        <v>14.560856542690773</v>
      </c>
      <c r="E58" s="11">
        <f t="shared" si="1"/>
        <v>112.08679847851975</v>
      </c>
      <c r="F58" s="14">
        <f t="shared" si="7"/>
        <v>52</v>
      </c>
      <c r="G58" s="46">
        <f t="shared" ref="G58:G60" si="24">$G$56+(F58-$F$56)*($G$61-$G$56)/($F$61-$F$56)</f>
        <v>256.52000000000004</v>
      </c>
      <c r="H58" s="16">
        <f t="shared" si="2"/>
        <v>204.08731200000003</v>
      </c>
      <c r="I58" s="16">
        <f t="shared" si="16"/>
        <v>50.641374824638383</v>
      </c>
      <c r="J58" s="16">
        <f t="shared" si="17"/>
        <v>443.65246288624525</v>
      </c>
      <c r="K58" s="31">
        <f t="shared" si="9"/>
        <v>56</v>
      </c>
      <c r="L58" s="41"/>
      <c r="M58" s="21"/>
      <c r="N58" s="21"/>
      <c r="O58" s="21"/>
      <c r="P58" s="22"/>
      <c r="Q58" s="22"/>
      <c r="R58" s="22"/>
      <c r="S58" s="22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0">
        <f t="shared" si="5"/>
        <v>57</v>
      </c>
      <c r="C59" s="39">
        <f t="shared" si="0"/>
        <v>50.684399999999997</v>
      </c>
      <c r="D59" s="39">
        <f t="shared" si="6"/>
        <v>14.790368854214469</v>
      </c>
      <c r="E59" s="11">
        <f t="shared" si="1"/>
        <v>114.03522242109018</v>
      </c>
      <c r="F59" s="14">
        <f t="shared" si="7"/>
        <v>53</v>
      </c>
      <c r="G59" s="46">
        <f t="shared" si="24"/>
        <v>263.88</v>
      </c>
      <c r="H59" s="16">
        <f t="shared" si="2"/>
        <v>209.94292800000002</v>
      </c>
      <c r="I59" s="16">
        <f t="shared" si="16"/>
        <v>51.9231138331048</v>
      </c>
      <c r="J59" s="16">
        <f t="shared" si="17"/>
        <v>456.0833561926575</v>
      </c>
      <c r="K59" s="31">
        <f t="shared" si="9"/>
        <v>57</v>
      </c>
      <c r="L59" s="21"/>
      <c r="M59" s="21"/>
      <c r="N59" s="21"/>
      <c r="O59" s="21"/>
      <c r="P59" s="22"/>
      <c r="Q59" s="22"/>
      <c r="R59" s="22"/>
      <c r="S59" s="22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0">
        <f t="shared" si="5"/>
        <v>58</v>
      </c>
      <c r="C60" s="39">
        <f t="shared" si="0"/>
        <v>51.573599999999999</v>
      </c>
      <c r="D60" s="39">
        <f t="shared" si="6"/>
        <v>15.019412930275323</v>
      </c>
      <c r="E60" s="11">
        <f t="shared" si="1"/>
        <v>115.98283085356285</v>
      </c>
      <c r="F60" s="14">
        <f t="shared" si="7"/>
        <v>54</v>
      </c>
      <c r="G60" s="46">
        <f t="shared" si="24"/>
        <v>271.24</v>
      </c>
      <c r="H60" s="16">
        <f t="shared" si="2"/>
        <v>215.79854400000002</v>
      </c>
      <c r="I60" s="16">
        <f t="shared" si="16"/>
        <v>53.200697768809484</v>
      </c>
      <c r="J60" s="16">
        <f t="shared" si="17"/>
        <v>468.5070127473432</v>
      </c>
      <c r="K60" s="31">
        <f t="shared" si="9"/>
        <v>58</v>
      </c>
      <c r="L60" s="21"/>
      <c r="M60" s="21"/>
      <c r="N60" s="21"/>
      <c r="O60" s="21"/>
      <c r="P60" s="22"/>
      <c r="Q60" s="22"/>
      <c r="R60" s="22"/>
      <c r="S60" s="22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0">
        <f t="shared" si="5"/>
        <v>59</v>
      </c>
      <c r="C61" s="39">
        <f t="shared" si="0"/>
        <v>52.462800000000001</v>
      </c>
      <c r="D61" s="39">
        <f t="shared" si="6"/>
        <v>15.247997775460169</v>
      </c>
      <c r="E61" s="11">
        <f t="shared" si="1"/>
        <v>117.92963945892645</v>
      </c>
      <c r="F61" s="14">
        <f t="shared" si="7"/>
        <v>55</v>
      </c>
      <c r="G61" s="46">
        <f>262.6+16</f>
        <v>278.60000000000002</v>
      </c>
      <c r="H61" s="16">
        <f t="shared" si="2"/>
        <v>221.65416000000002</v>
      </c>
      <c r="I61" s="16">
        <f t="shared" si="16"/>
        <v>54.474252334510162</v>
      </c>
      <c r="J61" s="16">
        <f t="shared" si="17"/>
        <v>480.92365148260524</v>
      </c>
      <c r="K61" s="31">
        <f t="shared" si="9"/>
        <v>59</v>
      </c>
      <c r="L61" s="32"/>
      <c r="M61" s="32"/>
      <c r="N61" s="32"/>
      <c r="O61" s="32"/>
      <c r="P61" s="22"/>
      <c r="Q61" s="22"/>
      <c r="R61" s="22"/>
      <c r="S61" s="22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0">
        <f t="shared" si="5"/>
        <v>60</v>
      </c>
      <c r="C62" s="39">
        <f t="shared" si="0"/>
        <v>53.351999999999997</v>
      </c>
      <c r="D62" s="39">
        <f t="shared" si="6"/>
        <v>15.476132071622843</v>
      </c>
      <c r="E62" s="11">
        <f t="shared" si="1"/>
        <v>119.87566335807644</v>
      </c>
      <c r="F62" s="14">
        <f t="shared" si="7"/>
        <v>56</v>
      </c>
      <c r="G62" s="46">
        <f>$G$61+(F62-$F$61)*($G$66-$G$61)/($F$66-$F$61)</f>
        <v>284.86</v>
      </c>
      <c r="H62" s="16">
        <f t="shared" si="2"/>
        <v>226.63461600000002</v>
      </c>
      <c r="I62" s="16">
        <f t="shared" si="16"/>
        <v>55.55438374768439</v>
      </c>
      <c r="J62" s="16">
        <f t="shared" si="17"/>
        <v>491.47917456055035</v>
      </c>
      <c r="K62" s="31">
        <f t="shared" si="9"/>
        <v>60</v>
      </c>
      <c r="L62" s="32">
        <f>16+14.1</f>
        <v>30.1</v>
      </c>
      <c r="M62" s="33"/>
      <c r="N62" s="33"/>
      <c r="O62" s="33"/>
      <c r="P62" s="22"/>
      <c r="Q62" s="22"/>
      <c r="R62" s="22"/>
      <c r="S62" s="22"/>
      <c r="T62" s="2"/>
      <c r="U62" s="2"/>
      <c r="V62" s="2"/>
    </row>
    <row r="63" spans="1:25" x14ac:dyDescent="0.25">
      <c r="A63" s="10">
        <v>61</v>
      </c>
      <c r="B63" s="10">
        <f t="shared" si="5"/>
        <v>61</v>
      </c>
      <c r="C63" s="39">
        <f t="shared" si="0"/>
        <v>54.241199999999992</v>
      </c>
      <c r="D63" s="39">
        <f t="shared" si="6"/>
        <v>15.703824194633755</v>
      </c>
      <c r="E63" s="11">
        <f t="shared" si="1"/>
        <v>121.82091713898711</v>
      </c>
      <c r="F63" s="14">
        <f t="shared" si="7"/>
        <v>57</v>
      </c>
      <c r="G63" s="46">
        <f t="shared" ref="G63:G65" si="25">$G$61+(F63-$F$61)*($G$66-$G$61)/($F$66-$F$61)</f>
        <v>291.12</v>
      </c>
      <c r="H63" s="16">
        <f t="shared" si="2"/>
        <v>231.615072</v>
      </c>
      <c r="I63" s="16">
        <f t="shared" si="16"/>
        <v>56.631755510567181</v>
      </c>
      <c r="J63" s="16">
        <f t="shared" si="17"/>
        <v>502.02989124757113</v>
      </c>
      <c r="K63" s="31">
        <f t="shared" si="9"/>
        <v>61</v>
      </c>
      <c r="L63" s="32"/>
      <c r="M63" s="32"/>
      <c r="N63" s="32"/>
      <c r="O63" s="32"/>
      <c r="P63" s="22"/>
      <c r="Q63" s="22"/>
      <c r="R63" s="22"/>
      <c r="S63" s="22"/>
      <c r="T63" s="2"/>
      <c r="U63" s="2"/>
      <c r="V63" s="2"/>
    </row>
    <row r="64" spans="1:25" x14ac:dyDescent="0.25">
      <c r="A64" s="10">
        <v>62</v>
      </c>
      <c r="B64" s="10">
        <f t="shared" si="5"/>
        <v>62</v>
      </c>
      <c r="C64" s="39">
        <f t="shared" si="0"/>
        <v>55.130399999999995</v>
      </c>
      <c r="D64" s="39">
        <f t="shared" si="6"/>
        <v>15.931082230000035</v>
      </c>
      <c r="E64" s="11">
        <f t="shared" si="1"/>
        <v>123.7654148839167</v>
      </c>
      <c r="F64" s="14">
        <f t="shared" si="7"/>
        <v>58</v>
      </c>
      <c r="G64" s="46">
        <f t="shared" si="25"/>
        <v>297.38000000000005</v>
      </c>
      <c r="H64" s="16">
        <f t="shared" si="2"/>
        <v>236.59552800000006</v>
      </c>
      <c r="I64" s="16">
        <f t="shared" si="16"/>
        <v>57.706433799136896</v>
      </c>
      <c r="J64" s="16">
        <f t="shared" si="17"/>
        <v>512.57591680016355</v>
      </c>
      <c r="K64" s="31">
        <f t="shared" si="9"/>
        <v>62</v>
      </c>
      <c r="L64" s="32"/>
      <c r="M64" s="32"/>
      <c r="N64" s="32"/>
      <c r="O64" s="32"/>
      <c r="P64" s="22"/>
      <c r="Q64" s="22"/>
      <c r="R64" s="22"/>
      <c r="S64" s="22"/>
    </row>
    <row r="65" spans="1:19" x14ac:dyDescent="0.25">
      <c r="A65" s="10">
        <v>63</v>
      </c>
      <c r="B65" s="10">
        <f t="shared" si="5"/>
        <v>63</v>
      </c>
      <c r="C65" s="39">
        <f t="shared" si="0"/>
        <v>56.019599999999997</v>
      </c>
      <c r="D65" s="39">
        <f t="shared" si="6"/>
        <v>16.15791398744928</v>
      </c>
      <c r="E65" s="11">
        <f t="shared" si="1"/>
        <v>125.70917019480748</v>
      </c>
      <c r="F65" s="14">
        <f t="shared" si="7"/>
        <v>59</v>
      </c>
      <c r="G65" s="46">
        <f t="shared" si="25"/>
        <v>303.64000000000004</v>
      </c>
      <c r="H65" s="16">
        <f t="shared" si="2"/>
        <v>241.57598400000003</v>
      </c>
      <c r="I65" s="16">
        <f t="shared" si="16"/>
        <v>58.77848184410238</v>
      </c>
      <c r="J65" s="16">
        <f t="shared" si="17"/>
        <v>523.11736134514501</v>
      </c>
      <c r="K65" s="31">
        <f t="shared" si="9"/>
        <v>63</v>
      </c>
      <c r="L65" s="32"/>
      <c r="M65" s="32"/>
      <c r="N65" s="32"/>
      <c r="O65" s="32"/>
      <c r="P65" s="22"/>
      <c r="Q65" s="22"/>
      <c r="R65" s="22"/>
      <c r="S65" s="22"/>
    </row>
    <row r="66" spans="1:19" x14ac:dyDescent="0.25">
      <c r="A66" s="10">
        <v>64</v>
      </c>
      <c r="B66" s="10">
        <f t="shared" si="5"/>
        <v>64</v>
      </c>
      <c r="C66" s="39">
        <f t="shared" si="0"/>
        <v>56.908799999999999</v>
      </c>
      <c r="D66" s="39">
        <f t="shared" si="6"/>
        <v>16.384327014561205</v>
      </c>
      <c r="E66" s="11">
        <f t="shared" si="1"/>
        <v>127.65219621702742</v>
      </c>
      <c r="F66" s="14">
        <f t="shared" si="7"/>
        <v>60</v>
      </c>
      <c r="G66" s="46">
        <f>G67+L62</f>
        <v>309.90000000000003</v>
      </c>
      <c r="H66" s="16">
        <f t="shared" si="2"/>
        <v>246.55644000000004</v>
      </c>
      <c r="I66" s="16">
        <f t="shared" ref="I66:I88" si="26">EXP(-1.0587+0.8836*LN(H66)+0.284)</f>
        <v>59.847960119961094</v>
      </c>
      <c r="J66" s="16">
        <f t="shared" ref="J66:J89" si="27">(H66+I66)*0.475*44/12</f>
        <v>533.65433020893227</v>
      </c>
      <c r="K66" s="31">
        <f t="shared" si="9"/>
        <v>64</v>
      </c>
      <c r="L66" s="32"/>
      <c r="M66" s="32"/>
      <c r="N66" s="32"/>
      <c r="O66" s="32"/>
      <c r="P66" s="22"/>
      <c r="Q66" s="22"/>
      <c r="R66" s="22"/>
      <c r="S66" s="22"/>
    </row>
    <row r="67" spans="1:19" x14ac:dyDescent="0.25">
      <c r="A67" s="10">
        <v>65</v>
      </c>
      <c r="B67" s="10">
        <f t="shared" si="5"/>
        <v>65</v>
      </c>
      <c r="C67" s="39">
        <f t="shared" ref="C67:C82" si="28">B67*1.56*$Y$1</f>
        <v>57.798000000000002</v>
      </c>
      <c r="D67" s="39">
        <f t="shared" si="6"/>
        <v>16.610328609522991</v>
      </c>
      <c r="E67" s="11">
        <f t="shared" ref="E67:E82" si="29">(C67+D67)*0.475*44/12</f>
        <v>129.59450566158588</v>
      </c>
      <c r="F67" s="14">
        <v>60</v>
      </c>
      <c r="G67" s="46">
        <v>279.8</v>
      </c>
      <c r="H67" s="16">
        <f t="shared" ref="H67:H89" si="30">G67*1.56*$W$1</f>
        <v>222.60888000000003</v>
      </c>
      <c r="I67" s="16">
        <f t="shared" si="26"/>
        <v>54.681523271211802</v>
      </c>
      <c r="J67" s="16">
        <f t="shared" si="27"/>
        <v>482.94745236402736</v>
      </c>
      <c r="K67" s="31">
        <f t="shared" si="9"/>
        <v>65</v>
      </c>
      <c r="L67" s="32"/>
      <c r="M67" s="32"/>
      <c r="N67" s="32"/>
      <c r="O67" s="32"/>
      <c r="P67" s="22"/>
      <c r="Q67" s="22"/>
      <c r="R67" s="22"/>
      <c r="S67" s="22"/>
    </row>
    <row r="68" spans="1:19" x14ac:dyDescent="0.25">
      <c r="A68" s="10">
        <v>66</v>
      </c>
      <c r="B68" s="10">
        <f t="shared" ref="B68:B82" si="31">+B67+1</f>
        <v>66</v>
      </c>
      <c r="C68" s="39">
        <f t="shared" si="28"/>
        <v>58.687199999999997</v>
      </c>
      <c r="D68" s="39">
        <f t="shared" ref="D68:D82" si="32">EXP(-1.0587+0.8836*LN(C68)+0.284)</f>
        <v>16.835925833077539</v>
      </c>
      <c r="E68" s="11">
        <f t="shared" si="29"/>
        <v>131.53611082594338</v>
      </c>
      <c r="F68" s="14">
        <f t="shared" ref="F68:F88" si="33">F67+1</f>
        <v>61</v>
      </c>
      <c r="G68" s="46">
        <f>$G$67+(F68-$F$67)*($G$72-$G$67)/($F$72-$F$67)</f>
        <v>285.04000000000002</v>
      </c>
      <c r="H68" s="16">
        <f t="shared" si="30"/>
        <v>226.77782400000004</v>
      </c>
      <c r="I68" s="16">
        <f t="shared" si="26"/>
        <v>55.585400699018933</v>
      </c>
      <c r="J68" s="16">
        <f t="shared" si="27"/>
        <v>491.78261635079139</v>
      </c>
      <c r="K68" s="31">
        <f t="shared" ref="K68:K83" si="34">K67+1</f>
        <v>66</v>
      </c>
      <c r="L68" s="32"/>
      <c r="M68" s="32"/>
      <c r="N68" s="32"/>
      <c r="O68" s="32"/>
      <c r="P68" s="22"/>
      <c r="Q68" s="22"/>
      <c r="R68" s="22"/>
      <c r="S68" s="22"/>
    </row>
    <row r="69" spans="1:19" x14ac:dyDescent="0.25">
      <c r="A69" s="10">
        <v>67</v>
      </c>
      <c r="B69" s="10">
        <f t="shared" si="31"/>
        <v>67</v>
      </c>
      <c r="C69" s="39">
        <f t="shared" si="28"/>
        <v>59.5764</v>
      </c>
      <c r="D69" s="39">
        <f t="shared" si="32"/>
        <v>17.06112551972695</v>
      </c>
      <c r="E69" s="11">
        <f t="shared" si="29"/>
        <v>133.47702361352444</v>
      </c>
      <c r="F69" s="14">
        <f t="shared" si="33"/>
        <v>62</v>
      </c>
      <c r="G69" s="46">
        <f t="shared" ref="G69:G71" si="35">$G$67+(F69-$F$67)*($G$72-$G$67)/($F$72-$F$67)</f>
        <v>290.28000000000003</v>
      </c>
      <c r="H69" s="16">
        <f t="shared" si="30"/>
        <v>230.94676800000002</v>
      </c>
      <c r="I69" s="16">
        <f t="shared" si="26"/>
        <v>56.487345939251334</v>
      </c>
      <c r="J69" s="16">
        <f t="shared" si="27"/>
        <v>500.61441511086269</v>
      </c>
      <c r="K69" s="31">
        <f t="shared" si="34"/>
        <v>67</v>
      </c>
      <c r="L69" s="32"/>
      <c r="M69" s="32"/>
      <c r="N69" s="32"/>
      <c r="O69" s="32"/>
      <c r="P69" s="22"/>
      <c r="Q69" s="22"/>
      <c r="R69" s="22"/>
      <c r="S69" s="22"/>
    </row>
    <row r="70" spans="1:19" x14ac:dyDescent="0.25">
      <c r="A70" s="10">
        <v>68</v>
      </c>
      <c r="B70" s="10">
        <f t="shared" si="31"/>
        <v>68</v>
      </c>
      <c r="C70" s="39">
        <f t="shared" si="28"/>
        <v>60.465599999999995</v>
      </c>
      <c r="D70" s="39">
        <f t="shared" si="32"/>
        <v>17.285934288248196</v>
      </c>
      <c r="E70" s="11">
        <f t="shared" si="29"/>
        <v>135.41725555203226</v>
      </c>
      <c r="F70" s="14">
        <f t="shared" si="33"/>
        <v>63</v>
      </c>
      <c r="G70" s="46">
        <f t="shared" si="35"/>
        <v>295.52</v>
      </c>
      <c r="H70" s="16">
        <f t="shared" si="30"/>
        <v>235.115712</v>
      </c>
      <c r="I70" s="16">
        <f t="shared" si="26"/>
        <v>57.387397894153423</v>
      </c>
      <c r="J70" s="16">
        <f t="shared" si="27"/>
        <v>509.44291639898387</v>
      </c>
      <c r="K70" s="31">
        <f t="shared" si="34"/>
        <v>68</v>
      </c>
      <c r="L70" s="32"/>
      <c r="M70" s="32"/>
      <c r="N70" s="32"/>
      <c r="O70" s="32"/>
      <c r="P70" s="22"/>
      <c r="Q70" s="22"/>
      <c r="R70" s="22"/>
      <c r="S70" s="22"/>
    </row>
    <row r="71" spans="1:19" x14ac:dyDescent="0.25">
      <c r="A71" s="10">
        <v>69</v>
      </c>
      <c r="B71" s="10">
        <f t="shared" si="31"/>
        <v>69</v>
      </c>
      <c r="C71" s="39">
        <f t="shared" si="28"/>
        <v>61.354799999999997</v>
      </c>
      <c r="D71" s="39">
        <f t="shared" si="32"/>
        <v>17.510358551572615</v>
      </c>
      <c r="E71" s="11">
        <f t="shared" si="29"/>
        <v>137.35681781065566</v>
      </c>
      <c r="F71" s="14">
        <f t="shared" si="33"/>
        <v>64</v>
      </c>
      <c r="G71" s="46">
        <f t="shared" si="35"/>
        <v>300.76</v>
      </c>
      <c r="H71" s="16">
        <f t="shared" si="30"/>
        <v>239.28465600000001</v>
      </c>
      <c r="I71" s="16">
        <f t="shared" si="26"/>
        <v>58.285594007367536</v>
      </c>
      <c r="J71" s="16">
        <f t="shared" si="27"/>
        <v>518.26818542949843</v>
      </c>
      <c r="K71" s="31">
        <f t="shared" si="34"/>
        <v>69</v>
      </c>
      <c r="L71" s="32"/>
      <c r="M71" s="32"/>
      <c r="N71" s="32"/>
      <c r="O71" s="32"/>
      <c r="P71" s="22"/>
      <c r="Q71" s="22"/>
      <c r="R71" s="22"/>
      <c r="S71" s="22"/>
    </row>
    <row r="72" spans="1:19" x14ac:dyDescent="0.25">
      <c r="A72" s="10">
        <v>70</v>
      </c>
      <c r="B72" s="10">
        <f t="shared" si="31"/>
        <v>70</v>
      </c>
      <c r="C72" s="39">
        <f t="shared" si="28"/>
        <v>62.244</v>
      </c>
      <c r="D72" s="39">
        <f t="shared" si="32"/>
        <v>17.734404526076432</v>
      </c>
      <c r="E72" s="11">
        <f t="shared" si="29"/>
        <v>139.29572121624977</v>
      </c>
      <c r="F72" s="14">
        <f t="shared" si="33"/>
        <v>65</v>
      </c>
      <c r="G72" s="44">
        <f>292.6+13.4</f>
        <v>306</v>
      </c>
      <c r="H72" s="16">
        <f t="shared" si="30"/>
        <v>243.45360000000002</v>
      </c>
      <c r="I72" s="16">
        <f t="shared" si="26"/>
        <v>59.181970343065316</v>
      </c>
      <c r="J72" s="16">
        <f t="shared" si="27"/>
        <v>527.09028501417208</v>
      </c>
      <c r="K72" s="31">
        <f t="shared" si="34"/>
        <v>70</v>
      </c>
      <c r="L72" s="43">
        <f>13.4+12.5</f>
        <v>25.9</v>
      </c>
      <c r="M72" s="32"/>
      <c r="N72" s="32"/>
      <c r="O72" s="32"/>
      <c r="P72" s="22"/>
      <c r="Q72" s="22"/>
      <c r="R72" s="22"/>
      <c r="S72" s="22"/>
    </row>
    <row r="73" spans="1:19" x14ac:dyDescent="0.25">
      <c r="A73" s="10">
        <v>71</v>
      </c>
      <c r="B73" s="10">
        <f t="shared" si="31"/>
        <v>71</v>
      </c>
      <c r="C73" s="39">
        <f t="shared" si="28"/>
        <v>63.133199999999995</v>
      </c>
      <c r="D73" s="39">
        <f t="shared" si="32"/>
        <v>17.958078240325325</v>
      </c>
      <c r="E73" s="11">
        <f t="shared" si="29"/>
        <v>141.23397626856661</v>
      </c>
      <c r="F73" s="14">
        <f t="shared" si="33"/>
        <v>66</v>
      </c>
      <c r="G73" s="44">
        <f>$G$72+(F73-$F$72)*($G$77-$G$72)/($F$77-$F$72)</f>
        <v>310.5</v>
      </c>
      <c r="H73" s="16">
        <f t="shared" si="30"/>
        <v>247.03380000000001</v>
      </c>
      <c r="I73" s="16">
        <f t="shared" si="26"/>
        <v>59.950333213989779</v>
      </c>
      <c r="J73" s="16">
        <f t="shared" si="27"/>
        <v>534.6640320143656</v>
      </c>
      <c r="K73" s="31">
        <f t="shared" si="34"/>
        <v>71</v>
      </c>
      <c r="L73" s="32"/>
      <c r="M73" s="32"/>
      <c r="N73" s="32"/>
      <c r="O73" s="32"/>
      <c r="P73" s="32"/>
      <c r="Q73" s="32"/>
      <c r="R73" s="32"/>
      <c r="S73" s="32"/>
    </row>
    <row r="74" spans="1:19" x14ac:dyDescent="0.25">
      <c r="A74" s="10">
        <v>72</v>
      </c>
      <c r="B74" s="10">
        <f t="shared" si="31"/>
        <v>72</v>
      </c>
      <c r="C74" s="39">
        <f t="shared" si="28"/>
        <v>64.022400000000005</v>
      </c>
      <c r="D74" s="39">
        <f t="shared" si="32"/>
        <v>18.181385543312242</v>
      </c>
      <c r="E74" s="11">
        <f t="shared" si="29"/>
        <v>143.17159315460216</v>
      </c>
      <c r="F74" s="14">
        <f t="shared" si="33"/>
        <v>67</v>
      </c>
      <c r="G74" s="44">
        <f t="shared" ref="G74:G76" si="36">$G$72+(F74-$F$72)*($G$77-$G$72)/($F$77-$F$72)</f>
        <v>315</v>
      </c>
      <c r="H74" s="16">
        <f t="shared" si="30"/>
        <v>250.61400000000003</v>
      </c>
      <c r="I74" s="16">
        <f t="shared" si="26"/>
        <v>60.717400934916093</v>
      </c>
      <c r="J74" s="16">
        <f t="shared" si="27"/>
        <v>542.23552329497886</v>
      </c>
      <c r="K74" s="31">
        <f t="shared" si="34"/>
        <v>72</v>
      </c>
      <c r="L74" s="32"/>
      <c r="M74" s="32"/>
      <c r="N74" s="32"/>
      <c r="O74" s="32"/>
      <c r="P74" s="32"/>
      <c r="Q74" s="32"/>
      <c r="R74" s="32"/>
      <c r="S74" s="32"/>
    </row>
    <row r="75" spans="1:19" x14ac:dyDescent="0.25">
      <c r="A75" s="10">
        <v>73</v>
      </c>
      <c r="B75" s="10">
        <f t="shared" si="31"/>
        <v>73</v>
      </c>
      <c r="C75" s="39">
        <f t="shared" si="28"/>
        <v>64.911599999999993</v>
      </c>
      <c r="D75" s="39">
        <f t="shared" si="32"/>
        <v>18.404332112224708</v>
      </c>
      <c r="E75" s="11">
        <f t="shared" si="29"/>
        <v>145.10858176212469</v>
      </c>
      <c r="F75" s="14">
        <f t="shared" si="33"/>
        <v>68</v>
      </c>
      <c r="G75" s="44">
        <f t="shared" si="36"/>
        <v>319.5</v>
      </c>
      <c r="H75" s="16">
        <f t="shared" si="30"/>
        <v>254.19420000000002</v>
      </c>
      <c r="I75" s="16">
        <f t="shared" si="26"/>
        <v>61.4831941458853</v>
      </c>
      <c r="J75" s="16">
        <f t="shared" si="27"/>
        <v>549.8047948040836</v>
      </c>
      <c r="K75" s="31">
        <f t="shared" si="34"/>
        <v>73</v>
      </c>
      <c r="L75" s="32"/>
      <c r="M75" s="32"/>
      <c r="N75" s="32"/>
      <c r="O75" s="32"/>
      <c r="P75" s="32"/>
      <c r="Q75" s="32"/>
      <c r="R75" s="32"/>
      <c r="S75" s="32"/>
    </row>
    <row r="76" spans="1:19" x14ac:dyDescent="0.25">
      <c r="A76" s="10">
        <v>74</v>
      </c>
      <c r="B76" s="10">
        <f t="shared" si="31"/>
        <v>74</v>
      </c>
      <c r="C76" s="39">
        <f t="shared" si="28"/>
        <v>65.800799999999995</v>
      </c>
      <c r="D76" s="39">
        <f t="shared" si="32"/>
        <v>18.626923459774289</v>
      </c>
      <c r="E76" s="11">
        <f t="shared" si="29"/>
        <v>147.04495169244021</v>
      </c>
      <c r="F76" s="14">
        <f t="shared" si="33"/>
        <v>69</v>
      </c>
      <c r="G76" s="44">
        <f t="shared" si="36"/>
        <v>324</v>
      </c>
      <c r="H76" s="16">
        <f t="shared" si="30"/>
        <v>257.77440000000001</v>
      </c>
      <c r="I76" s="16">
        <f t="shared" si="26"/>
        <v>62.247732872134293</v>
      </c>
      <c r="J76" s="16">
        <f t="shared" si="27"/>
        <v>557.37188141896729</v>
      </c>
      <c r="K76" s="31">
        <f t="shared" si="34"/>
        <v>74</v>
      </c>
      <c r="L76" s="32"/>
      <c r="M76" s="32"/>
      <c r="N76" s="32"/>
      <c r="O76" s="32"/>
      <c r="P76" s="32"/>
      <c r="Q76" s="32"/>
      <c r="R76" s="32"/>
      <c r="S76" s="32"/>
    </row>
    <row r="77" spans="1:19" x14ac:dyDescent="0.25">
      <c r="A77" s="10">
        <v>75</v>
      </c>
      <c r="B77" s="10">
        <f t="shared" si="31"/>
        <v>75</v>
      </c>
      <c r="C77" s="39">
        <f t="shared" si="28"/>
        <v>66.69</v>
      </c>
      <c r="D77" s="39">
        <f t="shared" si="32"/>
        <v>18.849164941118623</v>
      </c>
      <c r="E77" s="11">
        <f t="shared" si="29"/>
        <v>148.98071227244827</v>
      </c>
      <c r="F77" s="14">
        <f t="shared" si="33"/>
        <v>70</v>
      </c>
      <c r="G77" s="44">
        <f>G78+L72</f>
        <v>328.5</v>
      </c>
      <c r="H77" s="16">
        <f t="shared" si="30"/>
        <v>261.3546</v>
      </c>
      <c r="I77" s="16">
        <f t="shared" si="26"/>
        <v>63.01103655068848</v>
      </c>
      <c r="J77" s="16">
        <f t="shared" si="27"/>
        <v>564.93681699244905</v>
      </c>
      <c r="K77" s="31">
        <f t="shared" si="34"/>
        <v>75</v>
      </c>
      <c r="L77" s="32"/>
      <c r="M77" s="32"/>
      <c r="N77" s="32"/>
      <c r="O77" s="32"/>
      <c r="P77" s="32"/>
      <c r="Q77" s="32"/>
      <c r="R77" s="32"/>
      <c r="S77" s="32"/>
    </row>
    <row r="78" spans="1:19" x14ac:dyDescent="0.25">
      <c r="A78" s="10">
        <v>76</v>
      </c>
      <c r="B78" s="10">
        <f t="shared" si="31"/>
        <v>76</v>
      </c>
      <c r="C78" s="39">
        <f t="shared" si="28"/>
        <v>67.5792</v>
      </c>
      <c r="D78" s="39">
        <f t="shared" si="32"/>
        <v>19.07106176040384</v>
      </c>
      <c r="E78" s="11">
        <f t="shared" si="29"/>
        <v>150.91587256603668</v>
      </c>
      <c r="F78" s="14">
        <v>70</v>
      </c>
      <c r="G78" s="44">
        <v>302.60000000000002</v>
      </c>
      <c r="H78" s="16">
        <f t="shared" si="30"/>
        <v>240.74856000000003</v>
      </c>
      <c r="I78" s="16">
        <f t="shared" si="26"/>
        <v>58.600557610742214</v>
      </c>
      <c r="J78" s="16">
        <f t="shared" si="27"/>
        <v>521.36637983870946</v>
      </c>
      <c r="K78" s="31">
        <f t="shared" si="34"/>
        <v>76</v>
      </c>
      <c r="L78" s="32"/>
      <c r="M78" s="32"/>
      <c r="N78" s="32"/>
      <c r="O78" s="32"/>
      <c r="P78" s="32"/>
      <c r="Q78" s="32"/>
      <c r="R78" s="32"/>
      <c r="S78" s="32"/>
    </row>
    <row r="79" spans="1:19" x14ac:dyDescent="0.25">
      <c r="A79" s="10">
        <v>77</v>
      </c>
      <c r="B79" s="10">
        <f t="shared" si="31"/>
        <v>77</v>
      </c>
      <c r="C79" s="39">
        <f t="shared" si="28"/>
        <v>68.468400000000003</v>
      </c>
      <c r="D79" s="39">
        <f t="shared" si="32"/>
        <v>19.292618976952735</v>
      </c>
      <c r="E79" s="11">
        <f t="shared" si="29"/>
        <v>152.85044138485935</v>
      </c>
      <c r="F79" s="14">
        <f t="shared" si="33"/>
        <v>71</v>
      </c>
      <c r="G79" s="44">
        <f>$G$78+(F79-$F$78)*($G$83-$G$78)/($F$83-$F$78)</f>
        <v>306.78000000000003</v>
      </c>
      <c r="H79" s="16">
        <f t="shared" si="30"/>
        <v>244.07416800000004</v>
      </c>
      <c r="I79" s="16">
        <f t="shared" si="26"/>
        <v>59.315246950995629</v>
      </c>
      <c r="J79" s="16">
        <f t="shared" si="27"/>
        <v>528.40323103965079</v>
      </c>
      <c r="K79" s="31">
        <f t="shared" si="34"/>
        <v>77</v>
      </c>
      <c r="L79" s="32"/>
      <c r="M79" s="32"/>
      <c r="N79" s="32"/>
      <c r="O79" s="32"/>
      <c r="P79" s="32"/>
      <c r="Q79" s="32"/>
      <c r="R79" s="32"/>
      <c r="S79" s="32"/>
    </row>
    <row r="80" spans="1:19" x14ac:dyDescent="0.25">
      <c r="A80" s="10">
        <v>78</v>
      </c>
      <c r="B80" s="10">
        <f t="shared" si="31"/>
        <v>78</v>
      </c>
      <c r="C80" s="39">
        <f t="shared" si="28"/>
        <v>69.357600000000005</v>
      </c>
      <c r="D80" s="39">
        <f t="shared" si="32"/>
        <v>19.513841511122433</v>
      </c>
      <c r="E80" s="11">
        <f t="shared" si="29"/>
        <v>154.78442729853825</v>
      </c>
      <c r="F80" s="14">
        <f t="shared" si="33"/>
        <v>72</v>
      </c>
      <c r="G80" s="44">
        <f t="shared" ref="G80:G82" si="37">$G$78+(F80-$F$78)*($G$83-$G$78)/($F$83-$F$78)</f>
        <v>310.96000000000004</v>
      </c>
      <c r="H80" s="16">
        <f t="shared" si="30"/>
        <v>247.39977600000003</v>
      </c>
      <c r="I80" s="16">
        <f t="shared" si="26"/>
        <v>60.028803657797958</v>
      </c>
      <c r="J80" s="16">
        <f t="shared" si="27"/>
        <v>535.43810957066478</v>
      </c>
      <c r="K80" s="31">
        <f t="shared" si="34"/>
        <v>78</v>
      </c>
      <c r="L80" s="32"/>
      <c r="M80" s="32"/>
      <c r="N80" s="32"/>
      <c r="O80" s="32"/>
      <c r="P80" s="32"/>
      <c r="Q80" s="32"/>
      <c r="R80" s="32"/>
      <c r="S80" s="32"/>
    </row>
    <row r="81" spans="1:19" x14ac:dyDescent="0.25">
      <c r="A81" s="10">
        <v>79</v>
      </c>
      <c r="B81" s="10">
        <f t="shared" si="31"/>
        <v>79</v>
      </c>
      <c r="C81" s="39">
        <f t="shared" si="28"/>
        <v>70.246799999999993</v>
      </c>
      <c r="D81" s="39">
        <f t="shared" si="32"/>
        <v>19.734734149853068</v>
      </c>
      <c r="E81" s="11">
        <f t="shared" si="29"/>
        <v>156.7178386443274</v>
      </c>
      <c r="F81" s="14">
        <f t="shared" si="33"/>
        <v>73</v>
      </c>
      <c r="G81" s="44">
        <f t="shared" si="37"/>
        <v>315.14</v>
      </c>
      <c r="H81" s="16">
        <f t="shared" si="30"/>
        <v>250.72538400000002</v>
      </c>
      <c r="I81" s="16">
        <f t="shared" si="26"/>
        <v>60.741244716227889</v>
      </c>
      <c r="J81" s="16">
        <f t="shared" si="27"/>
        <v>542.47104501409694</v>
      </c>
      <c r="K81" s="31">
        <f t="shared" si="34"/>
        <v>79</v>
      </c>
      <c r="L81" s="24"/>
      <c r="M81" s="24"/>
      <c r="N81" s="24"/>
      <c r="O81" s="24"/>
      <c r="P81" s="24"/>
      <c r="Q81" s="24"/>
      <c r="R81" s="24"/>
      <c r="S81" s="24"/>
    </row>
    <row r="82" spans="1:19" x14ac:dyDescent="0.25">
      <c r="A82" s="10">
        <v>80</v>
      </c>
      <c r="B82" s="10">
        <f t="shared" si="31"/>
        <v>80</v>
      </c>
      <c r="C82" s="39">
        <f t="shared" si="28"/>
        <v>71.135999999999996</v>
      </c>
      <c r="D82" s="39">
        <f t="shared" si="32"/>
        <v>19.955301551927469</v>
      </c>
      <c r="E82" s="11">
        <f t="shared" si="29"/>
        <v>158.65068353627368</v>
      </c>
      <c r="F82" s="14">
        <f t="shared" si="33"/>
        <v>74</v>
      </c>
      <c r="G82" s="44">
        <f t="shared" si="37"/>
        <v>319.32</v>
      </c>
      <c r="H82" s="16">
        <f t="shared" si="30"/>
        <v>254.05099200000001</v>
      </c>
      <c r="I82" s="16">
        <f t="shared" si="26"/>
        <v>61.45258663488832</v>
      </c>
      <c r="J82" s="16">
        <f t="shared" si="27"/>
        <v>549.50206612243039</v>
      </c>
      <c r="K82" s="31">
        <f t="shared" si="34"/>
        <v>80</v>
      </c>
      <c r="L82" s="47">
        <f>G88</f>
        <v>341.3</v>
      </c>
      <c r="M82" s="24"/>
      <c r="N82" s="24"/>
      <c r="O82" s="24"/>
      <c r="P82" s="24"/>
      <c r="Q82" s="24"/>
      <c r="R82" s="24"/>
      <c r="S82" s="24"/>
    </row>
    <row r="83" spans="1:19" x14ac:dyDescent="0.25">
      <c r="A83" s="8"/>
      <c r="B83" s="8"/>
      <c r="C83" s="40"/>
      <c r="D83" s="40"/>
      <c r="E83" s="40"/>
      <c r="F83" s="14">
        <f t="shared" si="33"/>
        <v>75</v>
      </c>
      <c r="G83" s="44">
        <f>311.9+11.6</f>
        <v>323.5</v>
      </c>
      <c r="H83" s="16">
        <f t="shared" si="30"/>
        <v>257.3766</v>
      </c>
      <c r="I83" s="16">
        <f t="shared" si="26"/>
        <v>62.162845465331493</v>
      </c>
      <c r="J83" s="16">
        <f t="shared" si="27"/>
        <v>556.53120085211901</v>
      </c>
      <c r="K83" s="8"/>
    </row>
    <row r="84" spans="1:19" x14ac:dyDescent="0.25">
      <c r="A84" s="8"/>
      <c r="B84" s="8"/>
      <c r="C84" s="40"/>
      <c r="D84" s="40"/>
      <c r="E84" s="40"/>
      <c r="F84" s="14">
        <f t="shared" si="33"/>
        <v>76</v>
      </c>
      <c r="G84" s="44">
        <f>$G$83+(F84-$F$83)*($G$88-$G$83)/($F$88-$F$83)</f>
        <v>327.06</v>
      </c>
      <c r="H84" s="16">
        <f t="shared" si="30"/>
        <v>260.20893600000005</v>
      </c>
      <c r="I84" s="16">
        <f t="shared" si="26"/>
        <v>62.766912585729685</v>
      </c>
      <c r="J84" s="16">
        <f t="shared" si="27"/>
        <v>562.51626962014586</v>
      </c>
    </row>
    <row r="85" spans="1:19" x14ac:dyDescent="0.25">
      <c r="A85" s="8"/>
      <c r="B85" s="8"/>
      <c r="C85" s="40"/>
      <c r="D85" s="40"/>
      <c r="E85" s="40"/>
      <c r="F85" s="14">
        <f t="shared" si="33"/>
        <v>77</v>
      </c>
      <c r="G85" s="44">
        <f t="shared" ref="G85:G87" si="38">$G$83+(F85-$F$83)*($G$88-$G$83)/($F$88-$F$83)</f>
        <v>330.62</v>
      </c>
      <c r="H85" s="16">
        <f t="shared" si="30"/>
        <v>263.04127199999999</v>
      </c>
      <c r="I85" s="16">
        <f t="shared" si="26"/>
        <v>63.370214823641113</v>
      </c>
      <c r="J85" s="16">
        <f t="shared" si="27"/>
        <v>568.50000621784159</v>
      </c>
    </row>
    <row r="86" spans="1:19" x14ac:dyDescent="0.25">
      <c r="A86" s="8"/>
      <c r="B86" s="8"/>
      <c r="C86" s="40"/>
      <c r="D86" s="40"/>
      <c r="E86" s="40"/>
      <c r="F86" s="14">
        <f t="shared" si="33"/>
        <v>78</v>
      </c>
      <c r="G86" s="44">
        <f t="shared" si="38"/>
        <v>334.18</v>
      </c>
      <c r="H86" s="16">
        <f t="shared" si="30"/>
        <v>265.87360800000005</v>
      </c>
      <c r="I86" s="16">
        <f t="shared" si="26"/>
        <v>63.972761368317492</v>
      </c>
      <c r="J86" s="16">
        <f t="shared" si="27"/>
        <v>574.48242664981979</v>
      </c>
    </row>
    <row r="87" spans="1:19" x14ac:dyDescent="0.25">
      <c r="B87" s="8"/>
      <c r="C87" s="40"/>
      <c r="D87" s="40"/>
      <c r="E87" s="40"/>
      <c r="F87" s="14">
        <f t="shared" si="33"/>
        <v>79</v>
      </c>
      <c r="G87" s="44">
        <f t="shared" si="38"/>
        <v>337.74</v>
      </c>
      <c r="H87" s="16">
        <f t="shared" si="30"/>
        <v>268.70594400000004</v>
      </c>
      <c r="I87" s="16">
        <f t="shared" si="26"/>
        <v>64.574561201947517</v>
      </c>
      <c r="J87" s="16">
        <f t="shared" si="27"/>
        <v>580.46354656005872</v>
      </c>
    </row>
    <row r="88" spans="1:19" x14ac:dyDescent="0.25">
      <c r="B88" s="8"/>
      <c r="C88" s="40"/>
      <c r="D88" s="40"/>
      <c r="E88" s="40"/>
      <c r="F88" s="14">
        <f t="shared" si="33"/>
        <v>80</v>
      </c>
      <c r="G88" s="44">
        <f>319+11.6+10.7</f>
        <v>341.3</v>
      </c>
      <c r="H88" s="16">
        <f t="shared" si="30"/>
        <v>271.53827999999999</v>
      </c>
      <c r="I88" s="16">
        <f t="shared" si="26"/>
        <v>65.17562310645522</v>
      </c>
      <c r="J88" s="16">
        <f t="shared" si="27"/>
        <v>586.44338124374281</v>
      </c>
    </row>
    <row r="89" spans="1:19" x14ac:dyDescent="0.25">
      <c r="B89" s="8"/>
      <c r="C89" s="40"/>
      <c r="D89" s="40"/>
      <c r="E89" s="40"/>
      <c r="F89" s="14">
        <v>80</v>
      </c>
      <c r="G89" s="44">
        <v>0</v>
      </c>
      <c r="H89" s="16">
        <f t="shared" si="30"/>
        <v>0</v>
      </c>
      <c r="I89" s="16">
        <v>0</v>
      </c>
      <c r="J89" s="16">
        <f t="shared" si="27"/>
        <v>0</v>
      </c>
    </row>
    <row r="90" spans="1:19" x14ac:dyDescent="0.25">
      <c r="F90" s="8"/>
    </row>
    <row r="91" spans="1:19" x14ac:dyDescent="0.25">
      <c r="F91" s="8"/>
    </row>
    <row r="92" spans="1:19" x14ac:dyDescent="0.25">
      <c r="F92" s="8"/>
    </row>
    <row r="93" spans="1:19" x14ac:dyDescent="0.25">
      <c r="F93" s="8"/>
    </row>
    <row r="94" spans="1:19" x14ac:dyDescent="0.25">
      <c r="F94" s="8"/>
    </row>
    <row r="95" spans="1:19" x14ac:dyDescent="0.25">
      <c r="F95" s="8"/>
    </row>
    <row r="96" spans="1:19" x14ac:dyDescent="0.25">
      <c r="F96" s="8"/>
    </row>
    <row r="97" spans="6:6" x14ac:dyDescent="0.25">
      <c r="F97" s="8"/>
    </row>
    <row r="98" spans="6:6" x14ac:dyDescent="0.25">
      <c r="F98" s="8"/>
    </row>
    <row r="99" spans="6:6" x14ac:dyDescent="0.25">
      <c r="F99" s="8"/>
    </row>
    <row r="100" spans="6:6" x14ac:dyDescent="0.25">
      <c r="F100" s="8"/>
    </row>
    <row r="101" spans="6:6" x14ac:dyDescent="0.25">
      <c r="F101" s="8"/>
    </row>
    <row r="102" spans="6:6" x14ac:dyDescent="0.25">
      <c r="F102" s="8"/>
    </row>
    <row r="103" spans="6:6" x14ac:dyDescent="0.25">
      <c r="F103" s="8"/>
    </row>
    <row r="104" spans="6:6" x14ac:dyDescent="0.25">
      <c r="F104" s="8"/>
    </row>
    <row r="105" spans="6:6" x14ac:dyDescent="0.25">
      <c r="F105" s="8"/>
    </row>
    <row r="106" spans="6:6" x14ac:dyDescent="0.25">
      <c r="F106" s="8"/>
    </row>
    <row r="107" spans="6:6" x14ac:dyDescent="0.25">
      <c r="F107" s="8"/>
    </row>
    <row r="108" spans="6:6" x14ac:dyDescent="0.25">
      <c r="F108" s="8"/>
    </row>
    <row r="109" spans="6:6" x14ac:dyDescent="0.25">
      <c r="F109" s="8"/>
    </row>
    <row r="110" spans="6:6" x14ac:dyDescent="0.25">
      <c r="F110" s="8"/>
    </row>
    <row r="111" spans="6:6" x14ac:dyDescent="0.25">
      <c r="F111" s="8"/>
    </row>
    <row r="112" spans="6:6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17"/>
    </row>
    <row r="245" spans="6:6" x14ac:dyDescent="0.25">
      <c r="F245" s="17"/>
    </row>
    <row r="246" spans="6:6" x14ac:dyDescent="0.25">
      <c r="F246" s="17"/>
    </row>
    <row r="247" spans="6:6" x14ac:dyDescent="0.25">
      <c r="F247" s="17"/>
    </row>
    <row r="248" spans="6:6" x14ac:dyDescent="0.25">
      <c r="F248" s="17"/>
    </row>
    <row r="249" spans="6:6" x14ac:dyDescent="0.25">
      <c r="F249" s="17"/>
    </row>
    <row r="250" spans="6:6" x14ac:dyDescent="0.25">
      <c r="F250" s="17"/>
    </row>
    <row r="251" spans="6:6" x14ac:dyDescent="0.25">
      <c r="F251" s="17"/>
    </row>
    <row r="252" spans="6:6" x14ac:dyDescent="0.25">
      <c r="F252" s="17"/>
    </row>
    <row r="253" spans="6:6" x14ac:dyDescent="0.25">
      <c r="F253" s="17"/>
    </row>
    <row r="254" spans="6:6" x14ac:dyDescent="0.25">
      <c r="F254" s="17"/>
    </row>
    <row r="255" spans="6:6" x14ac:dyDescent="0.25">
      <c r="F255" s="17"/>
    </row>
    <row r="256" spans="6:6" x14ac:dyDescent="0.25">
      <c r="F256" s="17"/>
    </row>
    <row r="257" spans="6:6" x14ac:dyDescent="0.25">
      <c r="F257" s="17"/>
    </row>
    <row r="258" spans="6:6" x14ac:dyDescent="0.25">
      <c r="F258" s="17"/>
    </row>
    <row r="259" spans="6:6" x14ac:dyDescent="0.25">
      <c r="F259" s="17"/>
    </row>
    <row r="260" spans="6:6" x14ac:dyDescent="0.25">
      <c r="F260" s="17"/>
    </row>
    <row r="261" spans="6:6" x14ac:dyDescent="0.25">
      <c r="F261" s="17"/>
    </row>
    <row r="262" spans="6:6" x14ac:dyDescent="0.25">
      <c r="F262" s="17"/>
    </row>
    <row r="263" spans="6:6" x14ac:dyDescent="0.25">
      <c r="F263" s="17"/>
    </row>
    <row r="264" spans="6:6" x14ac:dyDescent="0.25">
      <c r="F264" s="17"/>
    </row>
    <row r="265" spans="6:6" x14ac:dyDescent="0.25">
      <c r="F265" s="17"/>
    </row>
    <row r="266" spans="6:6" x14ac:dyDescent="0.25">
      <c r="F266" s="17"/>
    </row>
    <row r="267" spans="6:6" x14ac:dyDescent="0.25">
      <c r="F267" s="17"/>
    </row>
    <row r="268" spans="6:6" x14ac:dyDescent="0.25">
      <c r="F268" s="17"/>
    </row>
    <row r="269" spans="6:6" x14ac:dyDescent="0.25">
      <c r="F269" s="17"/>
    </row>
    <row r="270" spans="6:6" x14ac:dyDescent="0.25">
      <c r="F270" s="17"/>
    </row>
    <row r="271" spans="6:6" x14ac:dyDescent="0.25">
      <c r="F271" s="17"/>
    </row>
    <row r="272" spans="6:6" x14ac:dyDescent="0.25">
      <c r="F272" s="17"/>
    </row>
    <row r="273" spans="6:6" x14ac:dyDescent="0.25">
      <c r="F273" s="17"/>
    </row>
    <row r="274" spans="6:6" x14ac:dyDescent="0.25">
      <c r="F274" s="17"/>
    </row>
    <row r="275" spans="6:6" x14ac:dyDescent="0.25">
      <c r="F275" s="17"/>
    </row>
    <row r="276" spans="6:6" x14ac:dyDescent="0.25">
      <c r="F276" s="17"/>
    </row>
    <row r="277" spans="6:6" x14ac:dyDescent="0.25">
      <c r="F277" s="17"/>
    </row>
    <row r="278" spans="6:6" x14ac:dyDescent="0.25">
      <c r="F278" s="17"/>
    </row>
    <row r="279" spans="6:6" x14ac:dyDescent="0.25">
      <c r="F279" s="17"/>
    </row>
    <row r="280" spans="6:6" x14ac:dyDescent="0.25">
      <c r="F280" s="17"/>
    </row>
    <row r="281" spans="6:6" x14ac:dyDescent="0.25">
      <c r="F281" s="17"/>
    </row>
    <row r="282" spans="6:6" x14ac:dyDescent="0.25">
      <c r="F282" s="17"/>
    </row>
    <row r="283" spans="6:6" x14ac:dyDescent="0.25">
      <c r="F283" s="17"/>
    </row>
    <row r="284" spans="6:6" x14ac:dyDescent="0.25">
      <c r="F284" s="17"/>
    </row>
    <row r="285" spans="6:6" x14ac:dyDescent="0.25">
      <c r="F285" s="17"/>
    </row>
    <row r="286" spans="6:6" x14ac:dyDescent="0.25">
      <c r="F286" s="17"/>
    </row>
    <row r="287" spans="6:6" x14ac:dyDescent="0.25">
      <c r="F287" s="17"/>
    </row>
    <row r="288" spans="6:6" x14ac:dyDescent="0.25">
      <c r="F288" s="17"/>
    </row>
    <row r="289" spans="6:6" x14ac:dyDescent="0.25">
      <c r="F289" s="17"/>
    </row>
    <row r="290" spans="6:6" x14ac:dyDescent="0.25">
      <c r="F290" s="17"/>
    </row>
    <row r="291" spans="6:6" x14ac:dyDescent="0.25">
      <c r="F291" s="17"/>
    </row>
    <row r="292" spans="6:6" x14ac:dyDescent="0.25">
      <c r="F292" s="17"/>
    </row>
    <row r="293" spans="6:6" x14ac:dyDescent="0.25">
      <c r="F293" s="17"/>
    </row>
    <row r="294" spans="6:6" x14ac:dyDescent="0.25">
      <c r="F294" s="17"/>
    </row>
    <row r="295" spans="6:6" x14ac:dyDescent="0.25">
      <c r="F295" s="17"/>
    </row>
    <row r="296" spans="6:6" x14ac:dyDescent="0.25">
      <c r="F296" s="17"/>
    </row>
    <row r="297" spans="6:6" x14ac:dyDescent="0.25">
      <c r="F297" s="17"/>
    </row>
    <row r="298" spans="6:6" x14ac:dyDescent="0.25">
      <c r="F298" s="17"/>
    </row>
    <row r="299" spans="6:6" x14ac:dyDescent="0.25">
      <c r="F299" s="17"/>
    </row>
    <row r="300" spans="6:6" x14ac:dyDescent="0.25">
      <c r="F300" s="17"/>
    </row>
    <row r="301" spans="6:6" x14ac:dyDescent="0.25">
      <c r="F301" s="17"/>
    </row>
    <row r="302" spans="6:6" x14ac:dyDescent="0.25">
      <c r="F302" s="17"/>
    </row>
    <row r="303" spans="6:6" x14ac:dyDescent="0.25">
      <c r="F303" s="17"/>
    </row>
    <row r="304" spans="6:6" x14ac:dyDescent="0.25">
      <c r="F304" s="17"/>
    </row>
    <row r="305" spans="6:6" x14ac:dyDescent="0.25">
      <c r="F305" s="17"/>
    </row>
    <row r="306" spans="6:6" x14ac:dyDescent="0.25">
      <c r="F306" s="17"/>
    </row>
    <row r="307" spans="6:6" x14ac:dyDescent="0.25">
      <c r="F307" s="17"/>
    </row>
    <row r="308" spans="6:6" x14ac:dyDescent="0.25">
      <c r="F308" s="17"/>
    </row>
    <row r="309" spans="6:6" x14ac:dyDescent="0.25">
      <c r="F309" s="17"/>
    </row>
    <row r="310" spans="6:6" x14ac:dyDescent="0.25">
      <c r="F310" s="17"/>
    </row>
    <row r="311" spans="6:6" x14ac:dyDescent="0.25">
      <c r="F311" s="17"/>
    </row>
    <row r="312" spans="6:6" x14ac:dyDescent="0.25">
      <c r="F312" s="17"/>
    </row>
    <row r="313" spans="6:6" x14ac:dyDescent="0.25">
      <c r="F313" s="17"/>
    </row>
    <row r="314" spans="6:6" x14ac:dyDescent="0.25">
      <c r="F314" s="17"/>
    </row>
    <row r="315" spans="6:6" x14ac:dyDescent="0.25">
      <c r="F315" s="17"/>
    </row>
    <row r="316" spans="6:6" x14ac:dyDescent="0.25">
      <c r="F316" s="17"/>
    </row>
    <row r="317" spans="6:6" x14ac:dyDescent="0.25">
      <c r="F317" s="17"/>
    </row>
    <row r="318" spans="6:6" x14ac:dyDescent="0.25">
      <c r="F318" s="17"/>
    </row>
    <row r="319" spans="6:6" x14ac:dyDescent="0.25">
      <c r="F319" s="17"/>
    </row>
    <row r="320" spans="6:6" x14ac:dyDescent="0.25">
      <c r="F320" s="17"/>
    </row>
    <row r="321" spans="6:6" x14ac:dyDescent="0.25">
      <c r="F321" s="17"/>
    </row>
    <row r="322" spans="6:6" x14ac:dyDescent="0.25">
      <c r="F322" s="17"/>
    </row>
    <row r="323" spans="6:6" x14ac:dyDescent="0.25">
      <c r="F323" s="17"/>
    </row>
    <row r="324" spans="6:6" x14ac:dyDescent="0.25">
      <c r="F324" s="17"/>
    </row>
    <row r="325" spans="6:6" x14ac:dyDescent="0.25">
      <c r="F325" s="17"/>
    </row>
    <row r="326" spans="6:6" x14ac:dyDescent="0.25">
      <c r="F326" s="17"/>
    </row>
    <row r="327" spans="6:6" x14ac:dyDescent="0.25">
      <c r="F327" s="17"/>
    </row>
    <row r="328" spans="6:6" x14ac:dyDescent="0.25">
      <c r="F328" s="17"/>
    </row>
    <row r="329" spans="6:6" x14ac:dyDescent="0.25">
      <c r="F329" s="17"/>
    </row>
    <row r="330" spans="6:6" x14ac:dyDescent="0.25">
      <c r="F330" s="17"/>
    </row>
    <row r="331" spans="6:6" x14ac:dyDescent="0.25">
      <c r="F331" s="17"/>
    </row>
    <row r="332" spans="6:6" x14ac:dyDescent="0.25">
      <c r="F332" s="17"/>
    </row>
    <row r="333" spans="6:6" x14ac:dyDescent="0.25">
      <c r="F333" s="17"/>
    </row>
    <row r="334" spans="6:6" x14ac:dyDescent="0.25">
      <c r="F334" s="17"/>
    </row>
    <row r="335" spans="6:6" x14ac:dyDescent="0.25">
      <c r="F335" s="17"/>
    </row>
    <row r="336" spans="6:6" x14ac:dyDescent="0.25">
      <c r="F336" s="17"/>
    </row>
    <row r="337" spans="6:6" x14ac:dyDescent="0.25">
      <c r="F337" s="17"/>
    </row>
    <row r="338" spans="6:6" x14ac:dyDescent="0.25">
      <c r="F338" s="17"/>
    </row>
    <row r="339" spans="6:6" x14ac:dyDescent="0.25">
      <c r="F339" s="17"/>
    </row>
    <row r="340" spans="6:6" x14ac:dyDescent="0.25">
      <c r="F340" s="17"/>
    </row>
    <row r="341" spans="6:6" x14ac:dyDescent="0.25">
      <c r="F341" s="17"/>
    </row>
    <row r="342" spans="6:6" x14ac:dyDescent="0.25">
      <c r="F342" s="17"/>
    </row>
    <row r="343" spans="6:6" x14ac:dyDescent="0.25">
      <c r="F343" s="17"/>
    </row>
    <row r="344" spans="6:6" x14ac:dyDescent="0.25">
      <c r="F344" s="17"/>
    </row>
    <row r="345" spans="6:6" x14ac:dyDescent="0.25">
      <c r="F345" s="17"/>
    </row>
    <row r="346" spans="6:6" x14ac:dyDescent="0.25">
      <c r="F346" s="17"/>
    </row>
    <row r="347" spans="6:6" x14ac:dyDescent="0.25">
      <c r="F347" s="17"/>
    </row>
    <row r="348" spans="6:6" x14ac:dyDescent="0.25">
      <c r="F348" s="17"/>
    </row>
    <row r="349" spans="6:6" x14ac:dyDescent="0.25">
      <c r="F349" s="17"/>
    </row>
    <row r="350" spans="6:6" x14ac:dyDescent="0.25">
      <c r="F350" s="17"/>
    </row>
    <row r="351" spans="6:6" x14ac:dyDescent="0.25">
      <c r="F351" s="17"/>
    </row>
    <row r="352" spans="6:6" x14ac:dyDescent="0.25">
      <c r="F352" s="17"/>
    </row>
    <row r="353" spans="6:6" x14ac:dyDescent="0.25">
      <c r="F353" s="17"/>
    </row>
    <row r="354" spans="6:6" x14ac:dyDescent="0.25">
      <c r="F354" s="17"/>
    </row>
    <row r="355" spans="6:6" x14ac:dyDescent="0.25">
      <c r="F355" s="17"/>
    </row>
    <row r="356" spans="6:6" x14ac:dyDescent="0.25">
      <c r="F356" s="17"/>
    </row>
    <row r="357" spans="6:6" x14ac:dyDescent="0.25">
      <c r="F357" s="17"/>
    </row>
    <row r="358" spans="6:6" x14ac:dyDescent="0.25">
      <c r="F358" s="17"/>
    </row>
    <row r="359" spans="6:6" x14ac:dyDescent="0.25">
      <c r="F359" s="17"/>
    </row>
    <row r="360" spans="6:6" x14ac:dyDescent="0.25">
      <c r="F360" s="17"/>
    </row>
    <row r="361" spans="6:6" x14ac:dyDescent="0.25">
      <c r="F361" s="17"/>
    </row>
    <row r="362" spans="6:6" x14ac:dyDescent="0.25">
      <c r="F362" s="17"/>
    </row>
    <row r="363" spans="6:6" x14ac:dyDescent="0.25">
      <c r="F363" s="17"/>
    </row>
    <row r="364" spans="6:6" x14ac:dyDescent="0.25">
      <c r="F364" s="17"/>
    </row>
    <row r="365" spans="6:6" x14ac:dyDescent="0.25">
      <c r="F365" s="17"/>
    </row>
    <row r="366" spans="6:6" x14ac:dyDescent="0.25">
      <c r="F366" s="17"/>
    </row>
    <row r="367" spans="6:6" x14ac:dyDescent="0.25">
      <c r="F367" s="17"/>
    </row>
    <row r="368" spans="6:6" x14ac:dyDescent="0.25">
      <c r="F368" s="17"/>
    </row>
    <row r="369" spans="6:6" x14ac:dyDescent="0.25">
      <c r="F369" s="17"/>
    </row>
    <row r="370" spans="6:6" x14ac:dyDescent="0.25">
      <c r="F370" s="17"/>
    </row>
    <row r="371" spans="6:6" x14ac:dyDescent="0.25">
      <c r="F371" s="17"/>
    </row>
    <row r="372" spans="6:6" x14ac:dyDescent="0.25">
      <c r="F372" s="17"/>
    </row>
    <row r="373" spans="6:6" x14ac:dyDescent="0.25">
      <c r="F373" s="17"/>
    </row>
    <row r="374" spans="6:6" x14ac:dyDescent="0.25">
      <c r="F374" s="17"/>
    </row>
    <row r="375" spans="6:6" x14ac:dyDescent="0.25">
      <c r="F375" s="17"/>
    </row>
    <row r="376" spans="6:6" x14ac:dyDescent="0.25">
      <c r="F376" s="17"/>
    </row>
    <row r="377" spans="6:6" x14ac:dyDescent="0.25">
      <c r="F377" s="1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L26" sqref="L26"/>
    </sheetView>
  </sheetViews>
  <sheetFormatPr baseColWidth="10" defaultRowHeight="15" x14ac:dyDescent="0.25"/>
  <sheetData>
    <row r="1" spans="1:15" ht="21" x14ac:dyDescent="0.25">
      <c r="A1" s="48" t="s">
        <v>30</v>
      </c>
      <c r="B1" s="48" t="s">
        <v>31</v>
      </c>
      <c r="C1" s="48" t="s">
        <v>32</v>
      </c>
      <c r="D1" s="48" t="s">
        <v>33</v>
      </c>
      <c r="E1" s="48" t="s">
        <v>34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21" x14ac:dyDescent="0.25">
      <c r="A2" s="49" t="s">
        <v>35</v>
      </c>
      <c r="B2" s="50">
        <v>10</v>
      </c>
      <c r="C2" s="49" t="s">
        <v>36</v>
      </c>
      <c r="D2" s="50">
        <v>1.5</v>
      </c>
      <c r="E2" s="50">
        <v>0</v>
      </c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21" x14ac:dyDescent="0.25">
      <c r="A3" s="48" t="s">
        <v>37</v>
      </c>
      <c r="B3" s="48" t="s">
        <v>38</v>
      </c>
      <c r="C3" s="48" t="s">
        <v>39</v>
      </c>
      <c r="D3" s="48" t="s">
        <v>40</v>
      </c>
      <c r="E3" s="48" t="s">
        <v>41</v>
      </c>
      <c r="F3" s="48" t="s">
        <v>42</v>
      </c>
      <c r="G3" s="48" t="s">
        <v>43</v>
      </c>
      <c r="H3" s="48" t="s">
        <v>44</v>
      </c>
      <c r="I3" s="49"/>
      <c r="J3" s="49"/>
      <c r="K3" s="49"/>
      <c r="L3" s="49"/>
      <c r="M3" s="49"/>
      <c r="N3" s="49"/>
      <c r="O3" s="49"/>
    </row>
    <row r="4" spans="1:15" ht="21" x14ac:dyDescent="0.25">
      <c r="A4" s="49" t="s">
        <v>45</v>
      </c>
      <c r="B4" s="49" t="s">
        <v>46</v>
      </c>
      <c r="C4" s="49" t="s">
        <v>47</v>
      </c>
      <c r="D4" s="49" t="s">
        <v>48</v>
      </c>
      <c r="E4" s="49" t="s">
        <v>49</v>
      </c>
      <c r="F4" s="49" t="s">
        <v>46</v>
      </c>
      <c r="G4" s="49" t="s">
        <v>50</v>
      </c>
      <c r="H4" s="49" t="s">
        <v>50</v>
      </c>
      <c r="I4" s="49"/>
      <c r="J4" s="49"/>
      <c r="K4" s="49"/>
      <c r="L4" s="49"/>
      <c r="M4" s="49"/>
      <c r="N4" s="49"/>
      <c r="O4" s="49"/>
    </row>
    <row r="5" spans="1:15" x14ac:dyDescent="0.25">
      <c r="A5" s="48"/>
      <c r="B5" s="48"/>
      <c r="C5" s="51" t="s">
        <v>51</v>
      </c>
      <c r="D5" s="51"/>
      <c r="E5" s="51"/>
      <c r="F5" s="51"/>
      <c r="G5" s="51"/>
      <c r="H5" s="51" t="s">
        <v>52</v>
      </c>
      <c r="I5" s="51"/>
      <c r="J5" s="51"/>
      <c r="K5" s="51"/>
      <c r="L5" s="51"/>
      <c r="M5" s="51" t="s">
        <v>53</v>
      </c>
      <c r="N5" s="51"/>
      <c r="O5" s="52" t="s">
        <v>54</v>
      </c>
    </row>
    <row r="6" spans="1:15" ht="21" x14ac:dyDescent="0.25">
      <c r="A6" s="52" t="s">
        <v>55</v>
      </c>
      <c r="B6" s="52" t="s">
        <v>56</v>
      </c>
      <c r="C6" s="52" t="s">
        <v>57</v>
      </c>
      <c r="D6" s="52" t="s">
        <v>58</v>
      </c>
      <c r="E6" s="52" t="s">
        <v>59</v>
      </c>
      <c r="F6" s="52" t="s">
        <v>60</v>
      </c>
      <c r="G6" s="52" t="s">
        <v>61</v>
      </c>
      <c r="H6" s="52" t="s">
        <v>57</v>
      </c>
      <c r="I6" s="52" t="s">
        <v>58</v>
      </c>
      <c r="J6" s="52" t="s">
        <v>59</v>
      </c>
      <c r="K6" s="52" t="s">
        <v>60</v>
      </c>
      <c r="L6" s="52" t="s">
        <v>61</v>
      </c>
      <c r="M6" s="52" t="s">
        <v>59</v>
      </c>
      <c r="N6" s="52" t="s">
        <v>61</v>
      </c>
      <c r="O6" s="52" t="s">
        <v>62</v>
      </c>
    </row>
    <row r="7" spans="1:15" x14ac:dyDescent="0.25">
      <c r="A7" s="53">
        <v>10</v>
      </c>
      <c r="B7" s="53">
        <v>8.31</v>
      </c>
      <c r="C7" s="53">
        <v>2949</v>
      </c>
      <c r="D7" s="53">
        <v>6.4</v>
      </c>
      <c r="E7" s="53">
        <v>9.4870000000000001</v>
      </c>
      <c r="F7" s="53">
        <v>4.0000000000000001E-3</v>
      </c>
      <c r="G7" s="53">
        <v>11.1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9.4870000000000001</v>
      </c>
      <c r="N7" s="53">
        <v>11.1</v>
      </c>
      <c r="O7" s="50">
        <v>1.1100000000000001</v>
      </c>
    </row>
    <row r="8" spans="1:15" x14ac:dyDescent="0.25">
      <c r="A8" s="53">
        <v>15</v>
      </c>
      <c r="B8" s="53">
        <v>11.25</v>
      </c>
      <c r="C8" s="53">
        <v>1121</v>
      </c>
      <c r="D8" s="53">
        <v>9.84</v>
      </c>
      <c r="E8" s="53">
        <v>8.5250000000000004</v>
      </c>
      <c r="F8" s="53">
        <v>2.9000000000000001E-2</v>
      </c>
      <c r="G8" s="53">
        <v>33</v>
      </c>
      <c r="H8" s="53">
        <v>1827</v>
      </c>
      <c r="I8" s="53">
        <v>8.58</v>
      </c>
      <c r="J8" s="53">
        <v>10.563000000000001</v>
      </c>
      <c r="K8" s="53">
        <v>1.7000000000000001E-2</v>
      </c>
      <c r="L8" s="53">
        <v>31.5</v>
      </c>
      <c r="M8" s="53">
        <v>19.088000000000001</v>
      </c>
      <c r="N8" s="53">
        <v>64.5</v>
      </c>
      <c r="O8" s="50">
        <v>4.3</v>
      </c>
    </row>
    <row r="9" spans="1:15" x14ac:dyDescent="0.25">
      <c r="A9" s="53">
        <v>20</v>
      </c>
      <c r="B9" s="53">
        <v>13.81</v>
      </c>
      <c r="C9" s="53">
        <v>664</v>
      </c>
      <c r="D9" s="53">
        <v>14.92</v>
      </c>
      <c r="E9" s="53">
        <v>11.606999999999999</v>
      </c>
      <c r="F9" s="53">
        <v>0.10100000000000001</v>
      </c>
      <c r="G9" s="53">
        <v>66.8</v>
      </c>
      <c r="H9" s="53">
        <v>457</v>
      </c>
      <c r="I9" s="53">
        <v>12.74</v>
      </c>
      <c r="J9" s="53">
        <v>5.8230000000000004</v>
      </c>
      <c r="K9" s="53">
        <v>7.6999999999999999E-2</v>
      </c>
      <c r="L9" s="53">
        <v>35</v>
      </c>
      <c r="M9" s="53">
        <v>27.994</v>
      </c>
      <c r="N9" s="53">
        <v>133.30000000000001</v>
      </c>
      <c r="O9" s="50">
        <v>6.665</v>
      </c>
    </row>
    <row r="10" spans="1:15" x14ac:dyDescent="0.25">
      <c r="A10" s="53">
        <v>25</v>
      </c>
      <c r="B10" s="53">
        <v>16.04</v>
      </c>
      <c r="C10" s="53">
        <v>455</v>
      </c>
      <c r="D10" s="53">
        <v>20.57</v>
      </c>
      <c r="E10" s="53">
        <v>15.124000000000001</v>
      </c>
      <c r="F10" s="53">
        <v>0.23200000000000001</v>
      </c>
      <c r="G10" s="53">
        <v>105.5</v>
      </c>
      <c r="H10" s="53">
        <v>208</v>
      </c>
      <c r="I10" s="53">
        <v>17.87</v>
      </c>
      <c r="J10" s="53">
        <v>5.2270000000000003</v>
      </c>
      <c r="K10" s="53">
        <v>0.16800000000000001</v>
      </c>
      <c r="L10" s="53">
        <v>35</v>
      </c>
      <c r="M10" s="53">
        <v>36.737000000000002</v>
      </c>
      <c r="N10" s="53">
        <v>207</v>
      </c>
      <c r="O10" s="50">
        <v>8.2799999999999994</v>
      </c>
    </row>
    <row r="11" spans="1:15" x14ac:dyDescent="0.25">
      <c r="A11" s="53">
        <v>30</v>
      </c>
      <c r="B11" s="53">
        <v>17.89</v>
      </c>
      <c r="C11" s="53">
        <v>339</v>
      </c>
      <c r="D11" s="53">
        <v>26.45</v>
      </c>
      <c r="E11" s="53">
        <v>18.626999999999999</v>
      </c>
      <c r="F11" s="53">
        <v>0.41799999999999998</v>
      </c>
      <c r="G11" s="53">
        <v>141.80000000000001</v>
      </c>
      <c r="H11" s="53">
        <v>116</v>
      </c>
      <c r="I11" s="53">
        <v>23.71</v>
      </c>
      <c r="J11" s="53">
        <v>5.1040000000000001</v>
      </c>
      <c r="K11" s="53">
        <v>0.30299999999999999</v>
      </c>
      <c r="L11" s="53">
        <v>35</v>
      </c>
      <c r="M11" s="53">
        <v>45.344000000000001</v>
      </c>
      <c r="N11" s="53">
        <v>278.3</v>
      </c>
      <c r="O11" s="50">
        <v>9.2769999999999992</v>
      </c>
    </row>
    <row r="12" spans="1:15" x14ac:dyDescent="0.25">
      <c r="A12" s="53">
        <v>35</v>
      </c>
      <c r="B12" s="53">
        <v>19.36</v>
      </c>
      <c r="C12" s="53">
        <v>270</v>
      </c>
      <c r="D12" s="53">
        <v>31.54</v>
      </c>
      <c r="E12" s="53">
        <v>21.056000000000001</v>
      </c>
      <c r="F12" s="53">
        <v>0.63600000000000001</v>
      </c>
      <c r="G12" s="53">
        <v>171.4</v>
      </c>
      <c r="H12" s="53">
        <v>69</v>
      </c>
      <c r="I12" s="53">
        <v>29.1</v>
      </c>
      <c r="J12" s="53">
        <v>4.5890000000000004</v>
      </c>
      <c r="K12" s="53">
        <v>0.50700000000000001</v>
      </c>
      <c r="L12" s="53">
        <v>35</v>
      </c>
      <c r="M12" s="53">
        <v>52.362000000000002</v>
      </c>
      <c r="N12" s="53">
        <v>342.9</v>
      </c>
      <c r="O12" s="50">
        <v>9.7970000000000006</v>
      </c>
    </row>
    <row r="13" spans="1:15" x14ac:dyDescent="0.25">
      <c r="A13" s="53">
        <v>40</v>
      </c>
      <c r="B13" s="53">
        <v>20.51</v>
      </c>
      <c r="C13" s="53">
        <v>223</v>
      </c>
      <c r="D13" s="53">
        <v>36.07</v>
      </c>
      <c r="E13" s="53">
        <v>22.777000000000001</v>
      </c>
      <c r="F13" s="53">
        <v>0.86599999999999999</v>
      </c>
      <c r="G13" s="53">
        <v>193.1</v>
      </c>
      <c r="H13" s="53">
        <v>47</v>
      </c>
      <c r="I13" s="53">
        <v>34.04</v>
      </c>
      <c r="J13" s="53">
        <v>4.25</v>
      </c>
      <c r="K13" s="53">
        <v>0.749</v>
      </c>
      <c r="L13" s="53">
        <v>35</v>
      </c>
      <c r="M13" s="53">
        <v>58.332999999999998</v>
      </c>
      <c r="N13" s="53">
        <v>399.6</v>
      </c>
      <c r="O13" s="50">
        <v>9.99</v>
      </c>
    </row>
    <row r="14" spans="1:15" x14ac:dyDescent="0.25">
      <c r="A14" s="53">
        <v>45</v>
      </c>
      <c r="B14" s="53">
        <v>21.41</v>
      </c>
      <c r="C14" s="53">
        <v>199</v>
      </c>
      <c r="D14" s="53">
        <v>39.99</v>
      </c>
      <c r="E14" s="53">
        <v>25.045000000000002</v>
      </c>
      <c r="F14" s="53">
        <v>1.093</v>
      </c>
      <c r="G14" s="53">
        <v>218</v>
      </c>
      <c r="H14" s="53">
        <v>24</v>
      </c>
      <c r="I14" s="53">
        <v>38.43</v>
      </c>
      <c r="J14" s="53">
        <v>2.7949999999999999</v>
      </c>
      <c r="K14" s="53">
        <v>1.004</v>
      </c>
      <c r="L14" s="53">
        <v>24.2</v>
      </c>
      <c r="M14" s="53">
        <v>63.396999999999998</v>
      </c>
      <c r="N14" s="53">
        <v>448.7</v>
      </c>
      <c r="O14" s="50">
        <v>9.9710000000000001</v>
      </c>
    </row>
    <row r="15" spans="1:15" x14ac:dyDescent="0.25">
      <c r="A15" s="53">
        <v>50</v>
      </c>
      <c r="B15" s="53">
        <v>22.14</v>
      </c>
      <c r="C15" s="53">
        <v>184</v>
      </c>
      <c r="D15" s="53">
        <v>43.35</v>
      </c>
      <c r="E15" s="53">
        <v>27.202000000000002</v>
      </c>
      <c r="F15" s="53">
        <v>1.3120000000000001</v>
      </c>
      <c r="G15" s="53">
        <v>241.8</v>
      </c>
      <c r="H15" s="53">
        <v>15</v>
      </c>
      <c r="I15" s="53">
        <v>42.27</v>
      </c>
      <c r="J15" s="53">
        <v>2.1190000000000002</v>
      </c>
      <c r="K15" s="53">
        <v>1.252</v>
      </c>
      <c r="L15" s="53">
        <v>18.899999999999999</v>
      </c>
      <c r="M15" s="53">
        <v>67.671999999999997</v>
      </c>
      <c r="N15" s="53">
        <v>491.4</v>
      </c>
      <c r="O15" s="50">
        <v>9.8279999999999994</v>
      </c>
    </row>
    <row r="16" spans="1:15" x14ac:dyDescent="0.25">
      <c r="A16" s="53">
        <v>55</v>
      </c>
      <c r="B16" s="53">
        <v>22.75</v>
      </c>
      <c r="C16" s="53">
        <v>173</v>
      </c>
      <c r="D16" s="53">
        <v>46.18</v>
      </c>
      <c r="E16" s="53">
        <v>29.042999999999999</v>
      </c>
      <c r="F16" s="53">
        <v>1.514</v>
      </c>
      <c r="G16" s="53">
        <v>262.60000000000002</v>
      </c>
      <c r="H16" s="53">
        <v>11</v>
      </c>
      <c r="I16" s="53">
        <v>45.54</v>
      </c>
      <c r="J16" s="53">
        <v>1.8080000000000001</v>
      </c>
      <c r="K16" s="53">
        <v>1.4410000000000001</v>
      </c>
      <c r="L16" s="53">
        <v>16</v>
      </c>
      <c r="M16" s="53">
        <v>71.322000000000003</v>
      </c>
      <c r="N16" s="53">
        <v>528.20000000000005</v>
      </c>
      <c r="O16" s="50">
        <v>9.6039999999999992</v>
      </c>
    </row>
    <row r="17" spans="1:15" x14ac:dyDescent="0.25">
      <c r="A17" s="53">
        <v>60</v>
      </c>
      <c r="B17" s="53">
        <v>23.25</v>
      </c>
      <c r="C17" s="53">
        <v>165</v>
      </c>
      <c r="D17" s="53">
        <v>48.54</v>
      </c>
      <c r="E17" s="53">
        <v>30.478000000000002</v>
      </c>
      <c r="F17" s="53">
        <v>1.6990000000000001</v>
      </c>
      <c r="G17" s="53">
        <v>279.8</v>
      </c>
      <c r="H17" s="53">
        <v>9</v>
      </c>
      <c r="I17" s="53">
        <v>48.28</v>
      </c>
      <c r="J17" s="53">
        <v>1.611</v>
      </c>
      <c r="K17" s="53">
        <v>1.6140000000000001</v>
      </c>
      <c r="L17" s="53">
        <v>14.2</v>
      </c>
      <c r="M17" s="53">
        <v>74.367999999999995</v>
      </c>
      <c r="N17" s="53">
        <v>559.6</v>
      </c>
      <c r="O17" s="50">
        <v>9.327</v>
      </c>
    </row>
    <row r="18" spans="1:15" x14ac:dyDescent="0.25">
      <c r="A18" s="53">
        <v>65</v>
      </c>
      <c r="B18" s="53">
        <v>23.66</v>
      </c>
      <c r="C18" s="53">
        <v>158</v>
      </c>
      <c r="D18" s="53">
        <v>50.38</v>
      </c>
      <c r="E18" s="53">
        <v>31.417000000000002</v>
      </c>
      <c r="F18" s="53">
        <v>1.857</v>
      </c>
      <c r="G18" s="53">
        <v>292.60000000000002</v>
      </c>
      <c r="H18" s="53">
        <v>8</v>
      </c>
      <c r="I18" s="53">
        <v>50.44</v>
      </c>
      <c r="J18" s="53">
        <v>1.5589999999999999</v>
      </c>
      <c r="K18" s="53">
        <v>1.718</v>
      </c>
      <c r="L18" s="53">
        <v>13.4</v>
      </c>
      <c r="M18" s="53">
        <v>76.864999999999995</v>
      </c>
      <c r="N18" s="53">
        <v>585.79999999999995</v>
      </c>
      <c r="O18" s="50">
        <v>9.0120000000000005</v>
      </c>
    </row>
    <row r="19" spans="1:15" x14ac:dyDescent="0.25">
      <c r="A19" s="53">
        <v>70</v>
      </c>
      <c r="B19" s="53">
        <v>24</v>
      </c>
      <c r="C19" s="53">
        <v>152</v>
      </c>
      <c r="D19" s="53">
        <v>51.93</v>
      </c>
      <c r="E19" s="53">
        <v>32.130000000000003</v>
      </c>
      <c r="F19" s="53">
        <v>1.9950000000000001</v>
      </c>
      <c r="G19" s="53">
        <v>302.60000000000002</v>
      </c>
      <c r="H19" s="53">
        <v>7</v>
      </c>
      <c r="I19" s="53">
        <v>52.22</v>
      </c>
      <c r="J19" s="53">
        <v>1.456</v>
      </c>
      <c r="K19" s="53">
        <v>1.8380000000000001</v>
      </c>
      <c r="L19" s="53">
        <v>12.5</v>
      </c>
      <c r="M19" s="53">
        <v>79.034999999999997</v>
      </c>
      <c r="N19" s="53">
        <v>608.29999999999995</v>
      </c>
      <c r="O19" s="50">
        <v>8.69</v>
      </c>
    </row>
    <row r="20" spans="1:15" x14ac:dyDescent="0.25">
      <c r="A20" s="53">
        <v>75</v>
      </c>
      <c r="B20" s="53">
        <v>24.31</v>
      </c>
      <c r="C20" s="53">
        <v>146</v>
      </c>
      <c r="D20" s="53">
        <v>53.6</v>
      </c>
      <c r="E20" s="53">
        <v>33.011000000000003</v>
      </c>
      <c r="F20" s="53">
        <v>2.1320000000000001</v>
      </c>
      <c r="G20" s="53">
        <v>311.89999999999998</v>
      </c>
      <c r="H20" s="53">
        <v>6</v>
      </c>
      <c r="I20" s="53">
        <v>53.5</v>
      </c>
      <c r="J20" s="53">
        <v>1.304</v>
      </c>
      <c r="K20" s="53">
        <v>2</v>
      </c>
      <c r="L20" s="53">
        <v>11.6</v>
      </c>
      <c r="M20" s="53">
        <v>81.22</v>
      </c>
      <c r="N20" s="53">
        <v>629.20000000000005</v>
      </c>
      <c r="O20" s="50">
        <v>8.3889999999999993</v>
      </c>
    </row>
    <row r="21" spans="1:15" x14ac:dyDescent="0.25">
      <c r="A21" s="53">
        <v>80</v>
      </c>
      <c r="B21" s="53">
        <v>24.58</v>
      </c>
      <c r="C21" s="53">
        <v>141</v>
      </c>
      <c r="D21" s="53">
        <v>54.75</v>
      </c>
      <c r="E21" s="53">
        <v>33.29</v>
      </c>
      <c r="F21" s="53">
        <v>2.2559999999999998</v>
      </c>
      <c r="G21" s="53">
        <v>319</v>
      </c>
      <c r="H21" s="53">
        <v>5</v>
      </c>
      <c r="I21" s="53">
        <v>55.36</v>
      </c>
      <c r="J21" s="53">
        <v>1.155</v>
      </c>
      <c r="K21" s="53">
        <v>2.2290000000000001</v>
      </c>
      <c r="L21" s="53">
        <v>10.7</v>
      </c>
      <c r="M21" s="53">
        <v>82.653999999999996</v>
      </c>
      <c r="N21" s="53">
        <v>647</v>
      </c>
      <c r="O21" s="50">
        <v>8.0879999999999992</v>
      </c>
    </row>
  </sheetData>
  <mergeCells count="3">
    <mergeCell ref="C5:G5"/>
    <mergeCell ref="H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Quantification C</vt:lpstr>
      <vt:lpstr>Table de production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2021-01-18T19:02:33Z</dcterms:modified>
</cp:coreProperties>
</file>