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Ethic Drinks\Dossier labellisation\"/>
    </mc:Choice>
  </mc:AlternateContent>
  <bookViews>
    <workbookView xWindow="0" yWindow="0" windowWidth="20490" windowHeight="7155" activeTab="1"/>
  </bookViews>
  <sheets>
    <sheet name="Quantification" sheetId="1" r:id="rId1"/>
    <sheet name="Calcul RE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2" l="1"/>
  <c r="B10" i="2" l="1"/>
  <c r="B9" i="2"/>
  <c r="B5" i="2"/>
  <c r="B6" i="2" s="1"/>
  <c r="B11" i="2" s="1"/>
  <c r="F3" i="2"/>
  <c r="G3" i="2"/>
  <c r="E3" i="2"/>
  <c r="D3" i="2"/>
  <c r="C3" i="2"/>
  <c r="B3" i="2"/>
  <c r="H3" i="2" s="1"/>
  <c r="C2" i="1" l="1"/>
  <c r="H51" i="1"/>
  <c r="T11" i="1"/>
  <c r="H3" i="1"/>
  <c r="H4" i="1"/>
  <c r="I4" i="1" s="1"/>
  <c r="H5" i="1"/>
  <c r="H6" i="1"/>
  <c r="H7" i="1"/>
  <c r="H12" i="1"/>
  <c r="H18" i="1"/>
  <c r="I18" i="1" s="1"/>
  <c r="H34" i="1"/>
  <c r="I34" i="1" s="1"/>
  <c r="H45" i="1"/>
  <c r="H2" i="1"/>
  <c r="I12" i="1"/>
  <c r="I45" i="1"/>
  <c r="G50" i="1"/>
  <c r="L47" i="1" s="1"/>
  <c r="G40" i="1"/>
  <c r="H40" i="1" s="1"/>
  <c r="I40" i="1" s="1"/>
  <c r="L37" i="1"/>
  <c r="G39" i="1"/>
  <c r="H39" i="1" s="1"/>
  <c r="I39" i="1" s="1"/>
  <c r="L27" i="1"/>
  <c r="G28" i="1"/>
  <c r="G17" i="1"/>
  <c r="G18" i="1" s="1"/>
  <c r="F41" i="1"/>
  <c r="F42" i="1" s="1"/>
  <c r="F43" i="1" s="1"/>
  <c r="F44" i="1" s="1"/>
  <c r="F45" i="1" s="1"/>
  <c r="F46" i="1" s="1"/>
  <c r="F47" i="1" s="1"/>
  <c r="F48" i="1" s="1"/>
  <c r="F49" i="1" s="1"/>
  <c r="G23" i="1"/>
  <c r="H23" i="1" s="1"/>
  <c r="I23" i="1" s="1"/>
  <c r="L17" i="1"/>
  <c r="K3" i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H17" i="1" l="1"/>
  <c r="G29" i="1"/>
  <c r="H29" i="1" s="1"/>
  <c r="I29" i="1" s="1"/>
  <c r="H50" i="1"/>
  <c r="I50" i="1" s="1"/>
  <c r="J51" i="1"/>
  <c r="H28" i="1"/>
  <c r="I28" i="1" s="1"/>
  <c r="J28" i="1" s="1"/>
  <c r="F50" i="1"/>
  <c r="G46" i="1" s="1"/>
  <c r="H46" i="1" s="1"/>
  <c r="I46" i="1" s="1"/>
  <c r="G44" i="1"/>
  <c r="H44" i="1" s="1"/>
  <c r="I44" i="1" s="1"/>
  <c r="J44" i="1" s="1"/>
  <c r="G41" i="1"/>
  <c r="H41" i="1" s="1"/>
  <c r="I41" i="1" s="1"/>
  <c r="G43" i="1"/>
  <c r="H43" i="1" s="1"/>
  <c r="I43" i="1" s="1"/>
  <c r="G42" i="1"/>
  <c r="H42" i="1" s="1"/>
  <c r="I42" i="1" s="1"/>
  <c r="J34" i="1"/>
  <c r="J40" i="1"/>
  <c r="J39" i="1"/>
  <c r="J45" i="1"/>
  <c r="J50" i="1"/>
  <c r="J18" i="1"/>
  <c r="J23" i="1"/>
  <c r="J12" i="1"/>
  <c r="J4" i="1"/>
  <c r="J2" i="1"/>
  <c r="J43" i="1" l="1"/>
  <c r="J29" i="1"/>
  <c r="J41" i="1"/>
  <c r="J42" i="1"/>
  <c r="J46" i="1"/>
  <c r="G47" i="1"/>
  <c r="H47" i="1" s="1"/>
  <c r="G48" i="1"/>
  <c r="H48" i="1" s="1"/>
  <c r="G49" i="1"/>
  <c r="H49" i="1" s="1"/>
  <c r="I49" i="1" l="1"/>
  <c r="J49" i="1" s="1"/>
  <c r="I48" i="1"/>
  <c r="J48" i="1" s="1"/>
  <c r="I47" i="1"/>
  <c r="J47" i="1" s="1"/>
  <c r="F3" i="1" l="1"/>
  <c r="F4" i="1" s="1"/>
  <c r="F5" i="1" s="1"/>
  <c r="F6" i="1" s="1"/>
  <c r="F7" i="1" s="1"/>
  <c r="F8" i="1" s="1"/>
  <c r="T13" i="1"/>
  <c r="T8" i="1"/>
  <c r="I6" i="1"/>
  <c r="I3" i="1"/>
  <c r="F9" i="1" l="1"/>
  <c r="J6" i="1"/>
  <c r="J3" i="1"/>
  <c r="F10" i="1" l="1"/>
  <c r="I5" i="1"/>
  <c r="B3" i="1"/>
  <c r="E2" i="1"/>
  <c r="B4" i="1" l="1"/>
  <c r="C4" i="1" s="1"/>
  <c r="C3" i="1"/>
  <c r="F11" i="1"/>
  <c r="J5" i="1"/>
  <c r="I7" i="1"/>
  <c r="B5" i="1"/>
  <c r="C5" i="1" s="1"/>
  <c r="F12" i="1" l="1"/>
  <c r="G11" i="1" s="1"/>
  <c r="H11" i="1" s="1"/>
  <c r="I11" i="1" s="1"/>
  <c r="J7" i="1"/>
  <c r="B6" i="1"/>
  <c r="C6" i="1" s="1"/>
  <c r="D3" i="1"/>
  <c r="E3" i="1" s="1"/>
  <c r="D4" i="1"/>
  <c r="E4" i="1" s="1"/>
  <c r="F13" i="1" l="1"/>
  <c r="G8" i="1"/>
  <c r="G9" i="1"/>
  <c r="H9" i="1" s="1"/>
  <c r="G10" i="1"/>
  <c r="H10" i="1" s="1"/>
  <c r="J11" i="1"/>
  <c r="D5" i="1"/>
  <c r="E5" i="1" s="1"/>
  <c r="B7" i="1"/>
  <c r="C7" i="1" s="1"/>
  <c r="H8" i="1" l="1"/>
  <c r="I10" i="1"/>
  <c r="J10" i="1" s="1"/>
  <c r="I9" i="1"/>
  <c r="J9" i="1" s="1"/>
  <c r="F14" i="1"/>
  <c r="D6" i="1"/>
  <c r="E6" i="1" s="1"/>
  <c r="B8" i="1"/>
  <c r="C8" i="1" s="1"/>
  <c r="F15" i="1" l="1"/>
  <c r="I8" i="1"/>
  <c r="J8" i="1" s="1"/>
  <c r="B9" i="1"/>
  <c r="C9" i="1" s="1"/>
  <c r="D7" i="1"/>
  <c r="E7" i="1" s="1"/>
  <c r="F16" i="1" l="1"/>
  <c r="B10" i="1"/>
  <c r="C10" i="1" s="1"/>
  <c r="D8" i="1"/>
  <c r="E8" i="1" s="1"/>
  <c r="F17" i="1" l="1"/>
  <c r="D9" i="1"/>
  <c r="E9" i="1" s="1"/>
  <c r="B11" i="1"/>
  <c r="C11" i="1" s="1"/>
  <c r="F19" i="1" l="1"/>
  <c r="G13" i="1"/>
  <c r="H13" i="1" s="1"/>
  <c r="G14" i="1"/>
  <c r="H14" i="1" s="1"/>
  <c r="G15" i="1"/>
  <c r="H15" i="1" s="1"/>
  <c r="G16" i="1"/>
  <c r="H16" i="1" s="1"/>
  <c r="D10" i="1"/>
  <c r="E10" i="1" s="1"/>
  <c r="B12" i="1"/>
  <c r="C12" i="1" s="1"/>
  <c r="I15" i="1" l="1"/>
  <c r="J15" i="1" s="1"/>
  <c r="F20" i="1"/>
  <c r="I14" i="1"/>
  <c r="J14" i="1" s="1"/>
  <c r="I16" i="1"/>
  <c r="J16" i="1" s="1"/>
  <c r="I13" i="1"/>
  <c r="J13" i="1" s="1"/>
  <c r="D11" i="1"/>
  <c r="E11" i="1" s="1"/>
  <c r="B13" i="1"/>
  <c r="C13" i="1" s="1"/>
  <c r="F21" i="1" l="1"/>
  <c r="D12" i="1"/>
  <c r="E12" i="1" s="1"/>
  <c r="B14" i="1"/>
  <c r="C14" i="1" s="1"/>
  <c r="F22" i="1" l="1"/>
  <c r="D13" i="1"/>
  <c r="E13" i="1" s="1"/>
  <c r="B15" i="1"/>
  <c r="C15" i="1" s="1"/>
  <c r="F23" i="1" l="1"/>
  <c r="B16" i="1"/>
  <c r="C16" i="1" s="1"/>
  <c r="D14" i="1"/>
  <c r="E14" i="1" s="1"/>
  <c r="F24" i="1" l="1"/>
  <c r="G19" i="1"/>
  <c r="H19" i="1" s="1"/>
  <c r="G20" i="1"/>
  <c r="H20" i="1" s="1"/>
  <c r="G21" i="1"/>
  <c r="H21" i="1" s="1"/>
  <c r="G22" i="1"/>
  <c r="H22" i="1" s="1"/>
  <c r="D15" i="1"/>
  <c r="E15" i="1" s="1"/>
  <c r="B17" i="1"/>
  <c r="C17" i="1" s="1"/>
  <c r="I22" i="1" l="1"/>
  <c r="J22" i="1" s="1"/>
  <c r="I20" i="1"/>
  <c r="J20" i="1" s="1"/>
  <c r="F25" i="1"/>
  <c r="I21" i="1"/>
  <c r="J21" i="1" s="1"/>
  <c r="I19" i="1"/>
  <c r="J19" i="1" s="1"/>
  <c r="B18" i="1"/>
  <c r="C18" i="1" s="1"/>
  <c r="D16" i="1"/>
  <c r="E16" i="1" s="1"/>
  <c r="F26" i="1" l="1"/>
  <c r="D17" i="1"/>
  <c r="E17" i="1" s="1"/>
  <c r="B19" i="1"/>
  <c r="C19" i="1" s="1"/>
  <c r="F27" i="1" l="1"/>
  <c r="D18" i="1"/>
  <c r="E18" i="1" s="1"/>
  <c r="B20" i="1"/>
  <c r="C20" i="1" s="1"/>
  <c r="F28" i="1" l="1"/>
  <c r="G27" i="1" s="1"/>
  <c r="H27" i="1" s="1"/>
  <c r="B21" i="1"/>
  <c r="C21" i="1" s="1"/>
  <c r="D19" i="1"/>
  <c r="E19" i="1" s="1"/>
  <c r="I27" i="1" l="1"/>
  <c r="J27" i="1" s="1"/>
  <c r="F30" i="1"/>
  <c r="G24" i="1"/>
  <c r="H24" i="1" s="1"/>
  <c r="G25" i="1"/>
  <c r="H25" i="1" s="1"/>
  <c r="G26" i="1"/>
  <c r="H26" i="1" s="1"/>
  <c r="D20" i="1"/>
  <c r="E20" i="1" s="1"/>
  <c r="B22" i="1"/>
  <c r="C22" i="1" s="1"/>
  <c r="I25" i="1" l="1"/>
  <c r="J25" i="1" s="1"/>
  <c r="I26" i="1"/>
  <c r="J26" i="1" s="1"/>
  <c r="I24" i="1"/>
  <c r="J24" i="1" s="1"/>
  <c r="F31" i="1"/>
  <c r="D21" i="1"/>
  <c r="E21" i="1" s="1"/>
  <c r="B23" i="1"/>
  <c r="C23" i="1" s="1"/>
  <c r="F32" i="1" l="1"/>
  <c r="B24" i="1"/>
  <c r="C24" i="1" s="1"/>
  <c r="D22" i="1"/>
  <c r="E22" i="1" s="1"/>
  <c r="F33" i="1" l="1"/>
  <c r="B25" i="1"/>
  <c r="C25" i="1" s="1"/>
  <c r="D23" i="1"/>
  <c r="E23" i="1" s="1"/>
  <c r="F34" i="1" l="1"/>
  <c r="D24" i="1"/>
  <c r="E24" i="1" s="1"/>
  <c r="B26" i="1"/>
  <c r="C26" i="1" s="1"/>
  <c r="F35" i="1" l="1"/>
  <c r="G30" i="1"/>
  <c r="H30" i="1" s="1"/>
  <c r="G31" i="1"/>
  <c r="H31" i="1" s="1"/>
  <c r="G32" i="1"/>
  <c r="H32" i="1" s="1"/>
  <c r="G33" i="1"/>
  <c r="H33" i="1" s="1"/>
  <c r="B27" i="1"/>
  <c r="C27" i="1" s="1"/>
  <c r="D25" i="1"/>
  <c r="E25" i="1" s="1"/>
  <c r="I32" i="1" l="1"/>
  <c r="J32" i="1" s="1"/>
  <c r="B28" i="1"/>
  <c r="C28" i="1" s="1"/>
  <c r="I33" i="1"/>
  <c r="J33" i="1" s="1"/>
  <c r="I31" i="1"/>
  <c r="J31" i="1" s="1"/>
  <c r="I30" i="1"/>
  <c r="J30" i="1" s="1"/>
  <c r="F36" i="1"/>
  <c r="D27" i="1"/>
  <c r="E27" i="1" s="1"/>
  <c r="D26" i="1"/>
  <c r="E26" i="1" s="1"/>
  <c r="B29" i="1" l="1"/>
  <c r="C29" i="1" s="1"/>
  <c r="F37" i="1"/>
  <c r="B30" i="1" l="1"/>
  <c r="C30" i="1" s="1"/>
  <c r="F38" i="1"/>
  <c r="D28" i="1"/>
  <c r="E28" i="1" s="1"/>
  <c r="F39" i="1" l="1"/>
  <c r="G38" i="1"/>
  <c r="H38" i="1" s="1"/>
  <c r="D29" i="1"/>
  <c r="E29" i="1" s="1"/>
  <c r="B31" i="1"/>
  <c r="C31" i="1" s="1"/>
  <c r="B32" i="1" l="1"/>
  <c r="C32" i="1" s="1"/>
  <c r="D30" i="1"/>
  <c r="E30" i="1" s="1"/>
  <c r="I38" i="1"/>
  <c r="J38" i="1" s="1"/>
  <c r="G35" i="1"/>
  <c r="H35" i="1" s="1"/>
  <c r="G36" i="1"/>
  <c r="H36" i="1" s="1"/>
  <c r="G37" i="1"/>
  <c r="H37" i="1" s="1"/>
  <c r="B33" i="1" l="1"/>
  <c r="C33" i="1" s="1"/>
  <c r="I36" i="1"/>
  <c r="J36" i="1" s="1"/>
  <c r="I37" i="1"/>
  <c r="J37" i="1" s="1"/>
  <c r="I35" i="1"/>
  <c r="J35" i="1" s="1"/>
  <c r="D31" i="1"/>
  <c r="E31" i="1" s="1"/>
  <c r="D32" i="1" l="1"/>
  <c r="E32" i="1" s="1"/>
  <c r="T5" i="1" s="1"/>
  <c r="B34" i="1"/>
  <c r="C34" i="1" s="1"/>
  <c r="D33" i="1"/>
  <c r="E33" i="1" s="1"/>
  <c r="B35" i="1" l="1"/>
  <c r="C35" i="1" s="1"/>
  <c r="D34" i="1"/>
  <c r="E34" i="1" s="1"/>
  <c r="B36" i="1" l="1"/>
  <c r="C36" i="1" s="1"/>
  <c r="D35" i="1"/>
  <c r="E35" i="1" s="1"/>
  <c r="B37" i="1" l="1"/>
  <c r="C37" i="1" s="1"/>
  <c r="D36" i="1" l="1"/>
  <c r="E36" i="1" s="1"/>
  <c r="B38" i="1"/>
  <c r="C38" i="1" s="1"/>
  <c r="D37" i="1"/>
  <c r="E37" i="1" s="1"/>
  <c r="B39" i="1" l="1"/>
  <c r="C39" i="1" s="1"/>
  <c r="D38" i="1"/>
  <c r="E38" i="1" s="1"/>
  <c r="B40" i="1" l="1"/>
  <c r="C40" i="1" s="1"/>
  <c r="D39" i="1"/>
  <c r="E39" i="1" s="1"/>
  <c r="B41" i="1" l="1"/>
  <c r="C41" i="1" s="1"/>
  <c r="D40" i="1" l="1"/>
  <c r="E40" i="1" s="1"/>
  <c r="B42" i="1"/>
  <c r="C42" i="1" s="1"/>
  <c r="D41" i="1"/>
  <c r="E41" i="1" s="1"/>
  <c r="B43" i="1" l="1"/>
  <c r="C43" i="1" s="1"/>
  <c r="D42" i="1"/>
  <c r="E42" i="1" s="1"/>
  <c r="B44" i="1" l="1"/>
  <c r="C44" i="1" s="1"/>
  <c r="D43" i="1"/>
  <c r="E43" i="1" s="1"/>
  <c r="B45" i="1" l="1"/>
  <c r="C45" i="1" s="1"/>
  <c r="B46" i="1" l="1"/>
  <c r="C46" i="1" s="1"/>
  <c r="D45" i="1"/>
  <c r="E45" i="1" s="1"/>
  <c r="D44" i="1"/>
  <c r="E44" i="1" s="1"/>
  <c r="B47" i="1" l="1"/>
  <c r="D46" i="1"/>
  <c r="E46" i="1" s="1"/>
  <c r="I17" i="1"/>
  <c r="J17" i="1" s="1"/>
  <c r="T2" i="1" s="1"/>
  <c r="C47" i="1" l="1"/>
  <c r="D47" i="1" s="1"/>
  <c r="E47" i="1" s="1"/>
  <c r="T3" i="1" s="1"/>
  <c r="T4" i="1" s="1"/>
  <c r="T6" i="1" s="1"/>
  <c r="T10" i="1" s="1"/>
  <c r="T16" i="1" s="1"/>
</calcChain>
</file>

<file path=xl/sharedStrings.xml><?xml version="1.0" encoding="utf-8"?>
<sst xmlns="http://schemas.openxmlformats.org/spreadsheetml/2006/main" count="53" uniqueCount="49">
  <si>
    <t>Année</t>
  </si>
  <si>
    <t>V (m³/ha)</t>
  </si>
  <si>
    <t>Bipomasse aérienne 
(tMS/ha)</t>
  </si>
  <si>
    <t>Biomasse racinaire 
(tMS/ha)</t>
  </si>
  <si>
    <t>Biomasse 
totale accrus (tCO₂/ha)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</si>
  <si>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</si>
  <si>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Biomasse aérienne 
(tMS/ha)</t>
  </si>
  <si>
    <t>V éclairci 
(m³/ha)</t>
  </si>
  <si>
    <t>% Sciages</t>
  </si>
  <si>
    <t>% BE</t>
  </si>
  <si>
    <t>Stock 
sciages (tCO₂/ha)</t>
  </si>
  <si>
    <t>Stocks BE (tCO₂/ha)</t>
  </si>
  <si>
    <r>
      <t>Biomasse totale robinier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</si>
  <si>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Stock produits 
bois robinier (tCO₂/ha)</t>
  </si>
  <si>
    <t>Infradensité feuillus</t>
  </si>
  <si>
    <t>Gain CO₂ moyen de long terme</t>
  </si>
  <si>
    <t>Différence de stock moyen de long terme</t>
  </si>
  <si>
    <t>Différence de stock à 30 ans</t>
  </si>
  <si>
    <t>Gain en CO₂ (Ba + Br)</t>
  </si>
  <si>
    <t>Gain dans le sol</t>
  </si>
  <si>
    <t>Gain dans la litière</t>
  </si>
  <si>
    <t>Gain dans le bois mort</t>
  </si>
  <si>
    <t>REA générables forêt</t>
  </si>
  <si>
    <t>Récolte finale (m³/ha)</t>
  </si>
  <si>
    <t>Coefficient de substitution</t>
  </si>
  <si>
    <t>REI</t>
  </si>
  <si>
    <t>REA produits bois</t>
  </si>
  <si>
    <t>REE</t>
  </si>
  <si>
    <t>Gain CO₂ moyen long terme lande</t>
  </si>
  <si>
    <t>Infradensité robinier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</si>
  <si>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</si>
  <si>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</si>
  <si>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</si>
  <si>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</si>
  <si>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</si>
  <si>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</si>
  <si>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</si>
  <si>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REE (tCO₂)</t>
  </si>
  <si>
    <t>Biomasse</t>
  </si>
  <si>
    <t>Sol</t>
  </si>
  <si>
    <t>Litière</t>
  </si>
  <si>
    <t>Bois mort</t>
  </si>
  <si>
    <t>REA forêt</t>
  </si>
  <si>
    <t>REA forêts générables</t>
  </si>
  <si>
    <t>REA produits</t>
  </si>
  <si>
    <t>REA produits générables</t>
  </si>
  <si>
    <t>REI substitution</t>
  </si>
  <si>
    <t>REI substitution générables</t>
  </si>
  <si>
    <t>Rabais risque incendie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</si>
</sst>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CFE7F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rgb="FFCFE7F5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" fontId="1" fillId="8" borderId="0" xfId="0" applyNumberFormat="1" applyFont="1" applyFill="1" applyAlignment="1">
      <alignment horizontal="center"/>
    </xf>
    <xf numFmtId="1" fontId="0" fillId="0" borderId="0" xfId="0" applyNumberFormat="1"/>
    <xf numFmtId="0" fontId="4" fillId="8" borderId="0" xfId="0" applyFont="1" applyFill="1" applyAlignment="1">
      <alignment horizontal="center"/>
    </xf>
    <xf numFmtId="1" fontId="4" fillId="8" borderId="0" xfId="0" applyNumberFormat="1" applyFont="1" applyFill="1" applyAlignment="1">
      <alignment horizontal="center"/>
    </xf>
    <xf numFmtId="1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/>
    <xf numFmtId="9" fontId="0" fillId="7" borderId="0" xfId="0" applyNumberFormat="1" applyFill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" fontId="0" fillId="10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11" borderId="1" xfId="0" applyNumberFormat="1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8705161854769E-2"/>
          <c:y val="0.1111111111111111"/>
          <c:w val="0.94384033245844268"/>
          <c:h val="0.743503207932341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Quantification!$J$1</c:f>
              <c:strCache>
                <c:ptCount val="1"/>
                <c:pt idx="0">
                  <c:v>Biomasse totale robinier
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Quantification!$F$2:$F$51</c:f>
              <c:numCache>
                <c:formatCode>0</c:formatCode>
                <c:ptCount val="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31</c:v>
                </c:pt>
                <c:pt idx="34">
                  <c:v>32</c:v>
                </c:pt>
                <c:pt idx="35">
                  <c:v>33</c:v>
                </c:pt>
                <c:pt idx="36">
                  <c:v>34</c:v>
                </c:pt>
                <c:pt idx="37">
                  <c:v>35</c:v>
                </c:pt>
                <c:pt idx="38">
                  <c:v>35</c:v>
                </c:pt>
                <c:pt idx="39">
                  <c:v>36</c:v>
                </c:pt>
                <c:pt idx="40">
                  <c:v>37</c:v>
                </c:pt>
                <c:pt idx="41">
                  <c:v>38</c:v>
                </c:pt>
                <c:pt idx="42">
                  <c:v>39</c:v>
                </c:pt>
                <c:pt idx="43">
                  <c:v>40</c:v>
                </c:pt>
                <c:pt idx="44">
                  <c:v>41</c:v>
                </c:pt>
                <c:pt idx="45">
                  <c:v>42</c:v>
                </c:pt>
                <c:pt idx="46">
                  <c:v>43</c:v>
                </c:pt>
                <c:pt idx="47">
                  <c:v>44</c:v>
                </c:pt>
                <c:pt idx="48">
                  <c:v>45</c:v>
                </c:pt>
                <c:pt idx="49">
                  <c:v>45</c:v>
                </c:pt>
              </c:numCache>
            </c:numRef>
          </c:xVal>
          <c:yVal>
            <c:numRef>
              <c:f>Quantification!$J$2:$J$51</c:f>
              <c:numCache>
                <c:formatCode>0.0</c:formatCode>
                <c:ptCount val="50"/>
                <c:pt idx="0">
                  <c:v>0</c:v>
                </c:pt>
                <c:pt idx="1">
                  <c:v>1.4773196851227413</c:v>
                </c:pt>
                <c:pt idx="2">
                  <c:v>4.4221397911288767</c:v>
                </c:pt>
                <c:pt idx="3">
                  <c:v>11.769150404892637</c:v>
                </c:pt>
                <c:pt idx="4">
                  <c:v>22.039394567149071</c:v>
                </c:pt>
                <c:pt idx="5">
                  <c:v>41.088953055226661</c:v>
                </c:pt>
                <c:pt idx="6">
                  <c:v>56.02237770914163</c:v>
                </c:pt>
                <c:pt idx="7">
                  <c:v>70.947800427147641</c:v>
                </c:pt>
                <c:pt idx="8">
                  <c:v>85.866946680112903</c:v>
                </c:pt>
                <c:pt idx="9">
                  <c:v>100.78092788213699</c:v>
                </c:pt>
                <c:pt idx="10">
                  <c:v>115.69052054842291</c:v>
                </c:pt>
                <c:pt idx="11">
                  <c:v>132.93414334068834</c:v>
                </c:pt>
                <c:pt idx="12">
                  <c:v>150.17332761482501</c:v>
                </c:pt>
                <c:pt idx="13">
                  <c:v>167.40858935473329</c:v>
                </c:pt>
                <c:pt idx="14">
                  <c:v>184.64033714993084</c:v>
                </c:pt>
                <c:pt idx="15">
                  <c:v>201.86890258531386</c:v>
                </c:pt>
                <c:pt idx="16">
                  <c:v>140.53158553276924</c:v>
                </c:pt>
                <c:pt idx="17">
                  <c:v>154.84766578133306</c:v>
                </c:pt>
                <c:pt idx="18">
                  <c:v>169.16112489596489</c:v>
                </c:pt>
                <c:pt idx="19">
                  <c:v>183.47218700797487</c:v>
                </c:pt>
                <c:pt idx="20">
                  <c:v>197.78104099619608</c:v>
                </c:pt>
                <c:pt idx="21">
                  <c:v>212.08784819798007</c:v>
                </c:pt>
                <c:pt idx="22">
                  <c:v>224.34930290165335</c:v>
                </c:pt>
                <c:pt idx="23">
                  <c:v>236.60943383090944</c:v>
                </c:pt>
                <c:pt idx="24">
                  <c:v>248.86831020303308</c:v>
                </c:pt>
                <c:pt idx="25">
                  <c:v>261.12599437346569</c:v>
                </c:pt>
                <c:pt idx="26">
                  <c:v>273.38254280745849</c:v>
                </c:pt>
                <c:pt idx="27">
                  <c:v>236.90132615947596</c:v>
                </c:pt>
                <c:pt idx="28">
                  <c:v>246.82524853915254</c:v>
                </c:pt>
                <c:pt idx="29">
                  <c:v>256.7483832211405</c:v>
                </c:pt>
                <c:pt idx="30">
                  <c:v>266.67076091562075</c:v>
                </c:pt>
                <c:pt idx="31">
                  <c:v>276.59241003426695</c:v>
                </c:pt>
                <c:pt idx="32">
                  <c:v>286.51335693880321</c:v>
                </c:pt>
                <c:pt idx="33">
                  <c:v>294.97480463367009</c:v>
                </c:pt>
                <c:pt idx="34">
                  <c:v>303.43577359436387</c:v>
                </c:pt>
                <c:pt idx="35">
                  <c:v>311.89627728387461</c:v>
                </c:pt>
                <c:pt idx="36">
                  <c:v>320.35632843081436</c:v>
                </c:pt>
                <c:pt idx="37">
                  <c:v>328.81593908785987</c:v>
                </c:pt>
                <c:pt idx="38">
                  <c:v>305.47800624524399</c:v>
                </c:pt>
                <c:pt idx="39">
                  <c:v>312.47974347434263</c:v>
                </c:pt>
                <c:pt idx="40">
                  <c:v>319.48117135332632</c:v>
                </c:pt>
                <c:pt idx="41">
                  <c:v>326.48229671898292</c:v>
                </c:pt>
                <c:pt idx="42">
                  <c:v>333.48312611331761</c:v>
                </c:pt>
                <c:pt idx="43">
                  <c:v>340.48366580220045</c:v>
                </c:pt>
                <c:pt idx="44">
                  <c:v>347.77559305469646</c:v>
                </c:pt>
                <c:pt idx="45">
                  <c:v>355.06721898165955</c:v>
                </c:pt>
                <c:pt idx="46">
                  <c:v>362.35854982336338</c:v>
                </c:pt>
                <c:pt idx="47">
                  <c:v>369.64959156761648</c:v>
                </c:pt>
                <c:pt idx="48">
                  <c:v>376.94034996476574</c:v>
                </c:pt>
                <c:pt idx="49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Quantification!$E$1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Quantification!$A$2:$A$47</c:f>
              <c:numCache>
                <c:formatCode>General</c:formatCode>
                <c:ptCount val="4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</c:numCache>
            </c:numRef>
          </c:xVal>
          <c:yVal>
            <c:numRef>
              <c:f>Quantification!$E$2:$E$47</c:f>
              <c:numCache>
                <c:formatCode>0.0</c:formatCode>
                <c:ptCount val="46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12.816071577640272</c:v>
                </c:pt>
                <c:pt idx="7">
                  <c:v>14.878972594730007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35.172319671970534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55.125487819385434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76.853424242090881</c:v>
                </c:pt>
                <c:pt idx="39">
                  <c:v>78.820101157900652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1456992"/>
        <c:axId val="2101462976"/>
      </c:scatterChart>
      <c:valAx>
        <c:axId val="2101456992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8590157480314957"/>
              <c:y val="0.9157174103237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1462976"/>
        <c:crosses val="autoZero"/>
        <c:crossBetween val="midCat"/>
      </c:valAx>
      <c:valAx>
        <c:axId val="2101462976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b="1"/>
                  <a:t>tCO</a:t>
                </a:r>
                <a:r>
                  <a:rPr lang="fr-FR" b="1">
                    <a:latin typeface="Calibri" panose="020F0502020204030204" pitchFamily="34" charset="0"/>
                    <a:cs typeface="Calibri" panose="020F0502020204030204" pitchFamily="34" charset="0"/>
                  </a:rPr>
                  <a:t>₂</a:t>
                </a:r>
                <a:r>
                  <a:rPr lang="fr-FR" b="1"/>
                  <a:t>/ha</a:t>
                </a:r>
              </a:p>
            </c:rich>
          </c:tx>
          <c:layout>
            <c:manualLayout>
              <c:xMode val="edge"/>
              <c:yMode val="edge"/>
              <c:x val="1.1111111111111112E-2"/>
              <c:y val="1.24806794983960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1456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16</xdr:row>
      <xdr:rowOff>147637</xdr:rowOff>
    </xdr:from>
    <xdr:to>
      <xdr:col>21</xdr:col>
      <xdr:colOff>9525</xdr:colOff>
      <xdr:row>31</xdr:row>
      <xdr:rowOff>33337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opLeftCell="O1" workbookViewId="0">
      <selection activeCell="X19" sqref="X19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3" max="3" width="10.5703125" bestFit="1" customWidth="1"/>
    <col min="4" max="5" width="9.42578125" bestFit="1" customWidth="1"/>
    <col min="6" max="6" width="6.85546875" bestFit="1" customWidth="1"/>
    <col min="9" max="10" width="10.5703125" bestFit="1" customWidth="1"/>
    <col min="17" max="17" width="13.7109375" customWidth="1"/>
    <col min="19" max="19" width="38.28515625" bestFit="1" customWidth="1"/>
    <col min="21" max="21" width="19.140625" bestFit="1" customWidth="1"/>
  </cols>
  <sheetData>
    <row r="1" spans="1:22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6" t="s">
        <v>0</v>
      </c>
      <c r="G1" s="7" t="s">
        <v>5</v>
      </c>
      <c r="H1" s="8" t="s">
        <v>6</v>
      </c>
      <c r="I1" s="8" t="s">
        <v>3</v>
      </c>
      <c r="J1" s="8" t="s">
        <v>12</v>
      </c>
      <c r="K1" s="9" t="s">
        <v>0</v>
      </c>
      <c r="L1" s="10" t="s">
        <v>7</v>
      </c>
      <c r="M1" s="11" t="s">
        <v>8</v>
      </c>
      <c r="N1" s="10" t="s">
        <v>9</v>
      </c>
      <c r="O1" s="10" t="s">
        <v>10</v>
      </c>
      <c r="P1" s="10" t="s">
        <v>11</v>
      </c>
      <c r="Q1" s="10" t="s">
        <v>13</v>
      </c>
      <c r="S1" s="10" t="s">
        <v>29</v>
      </c>
      <c r="T1" s="12">
        <v>0.57999999999999996</v>
      </c>
      <c r="U1" s="2" t="s">
        <v>14</v>
      </c>
      <c r="V1" s="13">
        <v>0.56999999999999995</v>
      </c>
    </row>
    <row r="2" spans="1:22" x14ac:dyDescent="0.25">
      <c r="A2" s="3">
        <v>0</v>
      </c>
      <c r="B2" s="4">
        <v>0</v>
      </c>
      <c r="C2" s="5">
        <f>B2*1.56*$V$1</f>
        <v>0</v>
      </c>
      <c r="D2" s="5">
        <v>0</v>
      </c>
      <c r="E2" s="5">
        <f>(C2+D2)*0.475*44/12</f>
        <v>0</v>
      </c>
      <c r="F2" s="25">
        <v>0</v>
      </c>
      <c r="G2" s="28">
        <v>0</v>
      </c>
      <c r="H2" s="30">
        <f>G2*$T$1</f>
        <v>0</v>
      </c>
      <c r="I2" s="30">
        <v>0</v>
      </c>
      <c r="J2" s="30">
        <f>(H2+I2)*0.475*44/12</f>
        <v>0</v>
      </c>
      <c r="K2" s="33">
        <v>0</v>
      </c>
      <c r="L2" s="33"/>
      <c r="M2" s="33"/>
      <c r="N2" s="34"/>
      <c r="O2" s="34"/>
      <c r="P2" s="34"/>
      <c r="Q2" s="34"/>
      <c r="S2" s="14" t="s">
        <v>15</v>
      </c>
      <c r="T2" s="15">
        <f>AVERAGE(J2:J50)</f>
        <v>214.87260794414843</v>
      </c>
    </row>
    <row r="3" spans="1:22" x14ac:dyDescent="0.25">
      <c r="A3" s="3">
        <v>1</v>
      </c>
      <c r="B3" s="4">
        <f>B2+1</f>
        <v>1</v>
      </c>
      <c r="C3" s="5">
        <f t="shared" ref="C3:C47" si="0">B3*1.56*$V$1</f>
        <v>0.88919999999999999</v>
      </c>
      <c r="D3" s="5">
        <f t="shared" ref="D3:D32" si="1">EXP(-1.0587+0.8836*LN(C3)+0.284)</f>
        <v>0.41542055579923082</v>
      </c>
      <c r="E3" s="5">
        <f t="shared" ref="E3:E32" si="2">(C3+D3)*0.475*44/12</f>
        <v>2.2722141346836602</v>
      </c>
      <c r="F3" s="26">
        <f>F2+1</f>
        <v>1</v>
      </c>
      <c r="G3" s="28">
        <v>1</v>
      </c>
      <c r="H3" s="30">
        <f t="shared" ref="H3:H51" si="3">G3*$T$1</f>
        <v>0.57999999999999996</v>
      </c>
      <c r="I3" s="30">
        <f t="shared" ref="I3:I50" si="4">EXP(-1.0587+0.9936*LN(H3)+0.284)</f>
        <v>0.26822182877860756</v>
      </c>
      <c r="J3" s="30">
        <f t="shared" ref="J3:J50" si="5">(H3+I3)*0.475*44/12</f>
        <v>1.4773196851227413</v>
      </c>
      <c r="K3" s="33">
        <f>K2+1</f>
        <v>1</v>
      </c>
      <c r="L3" s="33"/>
      <c r="M3" s="33"/>
      <c r="N3" s="34"/>
      <c r="O3" s="34"/>
      <c r="P3" s="34"/>
      <c r="Q3" s="34"/>
      <c r="S3" s="14" t="s">
        <v>28</v>
      </c>
      <c r="T3" s="15">
        <f>AVERAGE(E2:E47)</f>
        <v>45.928539278169666</v>
      </c>
    </row>
    <row r="4" spans="1:22" x14ac:dyDescent="0.25">
      <c r="A4" s="3">
        <v>2</v>
      </c>
      <c r="B4" s="4">
        <f t="shared" ref="B4:B47" si="6">B3+1</f>
        <v>2</v>
      </c>
      <c r="C4" s="5">
        <f t="shared" si="0"/>
        <v>1.7784</v>
      </c>
      <c r="D4" s="5">
        <f t="shared" si="1"/>
        <v>0.76643986660078545</v>
      </c>
      <c r="E4" s="5">
        <f t="shared" si="2"/>
        <v>4.4322627676630342</v>
      </c>
      <c r="F4" s="26">
        <f t="shared" ref="F4:F50" si="7">F3+1</f>
        <v>2</v>
      </c>
      <c r="G4" s="28">
        <v>3</v>
      </c>
      <c r="H4" s="30">
        <f t="shared" si="3"/>
        <v>1.7399999999999998</v>
      </c>
      <c r="I4" s="30">
        <f t="shared" si="4"/>
        <v>0.79902763127016851</v>
      </c>
      <c r="J4" s="30">
        <f t="shared" si="5"/>
        <v>4.4221397911288767</v>
      </c>
      <c r="K4" s="33">
        <f t="shared" ref="K4:K47" si="8">K3+1</f>
        <v>2</v>
      </c>
      <c r="L4" s="33"/>
      <c r="M4" s="33"/>
      <c r="N4" s="34"/>
      <c r="O4" s="34"/>
      <c r="P4" s="34"/>
      <c r="Q4" s="34"/>
      <c r="S4" s="16" t="s">
        <v>16</v>
      </c>
      <c r="T4" s="17">
        <f>T2-T3</f>
        <v>168.94406866597876</v>
      </c>
    </row>
    <row r="5" spans="1:22" x14ac:dyDescent="0.25">
      <c r="A5" s="3">
        <v>3</v>
      </c>
      <c r="B5" s="4">
        <f t="shared" si="6"/>
        <v>3</v>
      </c>
      <c r="C5" s="5">
        <f t="shared" si="0"/>
        <v>2.6675999999999997</v>
      </c>
      <c r="D5" s="5">
        <f t="shared" si="1"/>
        <v>1.0966608080083624</v>
      </c>
      <c r="E5" s="5">
        <f t="shared" si="2"/>
        <v>6.5560875739478979</v>
      </c>
      <c r="F5" s="26">
        <f t="shared" si="7"/>
        <v>3</v>
      </c>
      <c r="G5" s="28">
        <v>8</v>
      </c>
      <c r="H5" s="30">
        <f t="shared" si="3"/>
        <v>4.6399999999999997</v>
      </c>
      <c r="I5" s="30">
        <f t="shared" si="4"/>
        <v>2.1174069310388361</v>
      </c>
      <c r="J5" s="30">
        <f t="shared" si="5"/>
        <v>11.769150404892637</v>
      </c>
      <c r="K5" s="33">
        <f t="shared" si="8"/>
        <v>3</v>
      </c>
      <c r="L5" s="33"/>
      <c r="M5" s="33"/>
      <c r="N5" s="34"/>
      <c r="O5" s="34"/>
      <c r="P5" s="34"/>
      <c r="Q5" s="34"/>
      <c r="S5" s="16" t="s">
        <v>17</v>
      </c>
      <c r="T5" s="17">
        <f>J34-E32</f>
        <v>225.44308930888332</v>
      </c>
    </row>
    <row r="6" spans="1:22" x14ac:dyDescent="0.25">
      <c r="A6" s="3">
        <v>4</v>
      </c>
      <c r="B6" s="4">
        <f t="shared" si="6"/>
        <v>4</v>
      </c>
      <c r="C6" s="5">
        <f t="shared" si="0"/>
        <v>3.5568</v>
      </c>
      <c r="D6" s="5">
        <f t="shared" si="1"/>
        <v>1.4140611505968179</v>
      </c>
      <c r="E6" s="5">
        <f t="shared" si="2"/>
        <v>8.6575831706227913</v>
      </c>
      <c r="F6" s="26">
        <f t="shared" si="7"/>
        <v>4</v>
      </c>
      <c r="G6" s="28">
        <v>15</v>
      </c>
      <c r="H6" s="30">
        <f t="shared" si="3"/>
        <v>8.6999999999999993</v>
      </c>
      <c r="I6" s="30">
        <f t="shared" si="4"/>
        <v>3.9541978375975551</v>
      </c>
      <c r="J6" s="30">
        <f t="shared" si="5"/>
        <v>22.039394567149071</v>
      </c>
      <c r="K6" s="33">
        <f t="shared" si="8"/>
        <v>4</v>
      </c>
      <c r="L6" s="33"/>
      <c r="M6" s="33"/>
      <c r="N6" s="34"/>
      <c r="O6" s="34"/>
      <c r="P6" s="34"/>
      <c r="Q6" s="34"/>
      <c r="S6" s="18" t="s">
        <v>18</v>
      </c>
      <c r="T6" s="19">
        <f>T4</f>
        <v>168.94406866597876</v>
      </c>
    </row>
    <row r="7" spans="1:22" x14ac:dyDescent="0.25">
      <c r="A7" s="3">
        <v>5</v>
      </c>
      <c r="B7" s="4">
        <f t="shared" si="6"/>
        <v>5</v>
      </c>
      <c r="C7" s="5">
        <f t="shared" si="0"/>
        <v>4.4459999999999997</v>
      </c>
      <c r="D7" s="5">
        <f t="shared" si="1"/>
        <v>1.7222566815192897</v>
      </c>
      <c r="E7" s="5">
        <f t="shared" si="2"/>
        <v>10.743047053646096</v>
      </c>
      <c r="F7" s="26">
        <f t="shared" si="7"/>
        <v>5</v>
      </c>
      <c r="G7" s="28">
        <v>28</v>
      </c>
      <c r="H7" s="30">
        <f t="shared" si="3"/>
        <v>16.239999999999998</v>
      </c>
      <c r="I7" s="30">
        <f t="shared" si="4"/>
        <v>7.3517433809913868</v>
      </c>
      <c r="J7" s="30">
        <f t="shared" si="5"/>
        <v>41.088953055226661</v>
      </c>
      <c r="K7" s="33">
        <f t="shared" si="8"/>
        <v>5</v>
      </c>
      <c r="L7" s="33"/>
      <c r="M7" s="33"/>
      <c r="N7" s="34"/>
      <c r="O7" s="34"/>
      <c r="P7" s="34"/>
      <c r="Q7" s="34"/>
      <c r="S7" s="18" t="s">
        <v>19</v>
      </c>
      <c r="T7" s="18">
        <v>0</v>
      </c>
    </row>
    <row r="8" spans="1:22" x14ac:dyDescent="0.25">
      <c r="A8" s="3">
        <v>6</v>
      </c>
      <c r="B8" s="4">
        <f t="shared" si="6"/>
        <v>6</v>
      </c>
      <c r="C8" s="5">
        <f t="shared" si="0"/>
        <v>5.3351999999999995</v>
      </c>
      <c r="D8" s="5">
        <f t="shared" si="1"/>
        <v>2.0233099967312578</v>
      </c>
      <c r="E8" s="5">
        <f t="shared" si="2"/>
        <v>12.816071577640272</v>
      </c>
      <c r="F8" s="26">
        <f t="shared" si="7"/>
        <v>6</v>
      </c>
      <c r="G8" s="28">
        <f>$G$7+(F8-$F$7)*($G$12-$G$7)/($F$12-$F$7)</f>
        <v>38.200000000000003</v>
      </c>
      <c r="H8" s="30">
        <f t="shared" si="3"/>
        <v>22.155999999999999</v>
      </c>
      <c r="I8" s="30">
        <f t="shared" si="4"/>
        <v>10.009958493287067</v>
      </c>
      <c r="J8" s="30">
        <f t="shared" si="5"/>
        <v>56.02237770914163</v>
      </c>
      <c r="K8" s="33">
        <f t="shared" si="8"/>
        <v>6</v>
      </c>
      <c r="L8" s="33"/>
      <c r="M8" s="33"/>
      <c r="N8" s="34"/>
      <c r="O8" s="34"/>
      <c r="P8" s="34"/>
      <c r="Q8" s="34"/>
      <c r="S8" s="18" t="s">
        <v>20</v>
      </c>
      <c r="T8" s="19">
        <f>30*10/30*44/12</f>
        <v>36.666666666666664</v>
      </c>
    </row>
    <row r="9" spans="1:22" x14ac:dyDescent="0.25">
      <c r="A9" s="3">
        <v>7</v>
      </c>
      <c r="B9" s="4">
        <f t="shared" si="6"/>
        <v>7</v>
      </c>
      <c r="C9" s="5">
        <f t="shared" si="0"/>
        <v>6.2243999999999993</v>
      </c>
      <c r="D9" s="5">
        <f t="shared" si="1"/>
        <v>2.3185507720937846</v>
      </c>
      <c r="E9" s="5">
        <f t="shared" si="2"/>
        <v>14.878972594730007</v>
      </c>
      <c r="F9" s="26">
        <f t="shared" si="7"/>
        <v>7</v>
      </c>
      <c r="G9" s="28">
        <f t="shared" ref="G9:G11" si="9">$G$7+(F9-$F$7)*($G$12-$G$7)/($F$12-$F$7)</f>
        <v>48.4</v>
      </c>
      <c r="H9" s="30">
        <f t="shared" si="3"/>
        <v>28.071999999999996</v>
      </c>
      <c r="I9" s="30">
        <f t="shared" si="4"/>
        <v>12.663579192620666</v>
      </c>
      <c r="J9" s="30">
        <f t="shared" si="5"/>
        <v>70.947800427147641</v>
      </c>
      <c r="K9" s="33">
        <f t="shared" si="8"/>
        <v>7</v>
      </c>
      <c r="L9" s="33"/>
      <c r="M9" s="33"/>
      <c r="N9" s="34"/>
      <c r="O9" s="34"/>
      <c r="P9" s="34"/>
      <c r="Q9" s="34"/>
      <c r="S9" s="18" t="s">
        <v>21</v>
      </c>
      <c r="T9" s="18">
        <v>0</v>
      </c>
    </row>
    <row r="10" spans="1:22" x14ac:dyDescent="0.25">
      <c r="A10" s="3">
        <v>8</v>
      </c>
      <c r="B10" s="4">
        <f t="shared" si="6"/>
        <v>8</v>
      </c>
      <c r="C10" s="5">
        <f t="shared" si="0"/>
        <v>7.1135999999999999</v>
      </c>
      <c r="D10" s="5">
        <f t="shared" si="1"/>
        <v>2.6089051793396725</v>
      </c>
      <c r="E10" s="5">
        <f t="shared" si="2"/>
        <v>16.933363187349929</v>
      </c>
      <c r="F10" s="26">
        <f t="shared" si="7"/>
        <v>8</v>
      </c>
      <c r="G10" s="28">
        <f t="shared" si="9"/>
        <v>58.6</v>
      </c>
      <c r="H10" s="30">
        <f t="shared" si="3"/>
        <v>33.988</v>
      </c>
      <c r="I10" s="30">
        <f t="shared" si="4"/>
        <v>15.313596179969137</v>
      </c>
      <c r="J10" s="30">
        <f t="shared" si="5"/>
        <v>85.866946680112903</v>
      </c>
      <c r="K10" s="33">
        <f t="shared" si="8"/>
        <v>8</v>
      </c>
      <c r="L10" s="33"/>
      <c r="M10" s="33"/>
      <c r="N10" s="34"/>
      <c r="O10" s="34"/>
      <c r="P10" s="34"/>
      <c r="Q10" s="34"/>
      <c r="S10" s="20" t="s">
        <v>22</v>
      </c>
      <c r="T10" s="21">
        <f>SUM(T6:T9)</f>
        <v>205.61073533264542</v>
      </c>
    </row>
    <row r="11" spans="1:22" x14ac:dyDescent="0.25">
      <c r="A11" s="3">
        <v>9</v>
      </c>
      <c r="B11" s="4">
        <f t="shared" si="6"/>
        <v>9</v>
      </c>
      <c r="C11" s="5">
        <f t="shared" si="0"/>
        <v>8.0028000000000006</v>
      </c>
      <c r="D11" s="5">
        <f t="shared" si="1"/>
        <v>2.8950539664743791</v>
      </c>
      <c r="E11" s="5">
        <f t="shared" si="2"/>
        <v>18.980428991609543</v>
      </c>
      <c r="F11" s="26">
        <f t="shared" si="7"/>
        <v>9</v>
      </c>
      <c r="G11" s="28">
        <f t="shared" si="9"/>
        <v>68.8</v>
      </c>
      <c r="H11" s="30">
        <f t="shared" si="3"/>
        <v>39.903999999999996</v>
      </c>
      <c r="I11" s="30">
        <f t="shared" si="4"/>
        <v>17.960647587829854</v>
      </c>
      <c r="J11" s="30">
        <f t="shared" si="5"/>
        <v>100.78092788213699</v>
      </c>
      <c r="K11" s="33">
        <f t="shared" si="8"/>
        <v>9</v>
      </c>
      <c r="L11" s="33"/>
      <c r="M11" s="33"/>
      <c r="N11" s="34"/>
      <c r="O11" s="34"/>
      <c r="P11" s="34"/>
      <c r="Q11" s="34"/>
      <c r="S11" s="14" t="s">
        <v>23</v>
      </c>
      <c r="T11" s="17">
        <f>SUM(L2:L32)</f>
        <v>67</v>
      </c>
      <c r="U11" s="22"/>
    </row>
    <row r="12" spans="1:22" x14ac:dyDescent="0.25">
      <c r="A12" s="3">
        <v>10</v>
      </c>
      <c r="B12" s="4">
        <f t="shared" si="6"/>
        <v>10</v>
      </c>
      <c r="C12" s="5">
        <f t="shared" si="0"/>
        <v>8.8919999999999995</v>
      </c>
      <c r="D12" s="5">
        <f t="shared" si="1"/>
        <v>3.177517729464268</v>
      </c>
      <c r="E12" s="5">
        <f t="shared" si="2"/>
        <v>21.021076712150265</v>
      </c>
      <c r="F12" s="26">
        <f t="shared" si="7"/>
        <v>10</v>
      </c>
      <c r="G12" s="28">
        <v>79</v>
      </c>
      <c r="H12" s="30">
        <f t="shared" si="3"/>
        <v>45.82</v>
      </c>
      <c r="I12" s="30">
        <f t="shared" si="4"/>
        <v>20.605179262252388</v>
      </c>
      <c r="J12" s="30">
        <f t="shared" si="5"/>
        <v>115.69052054842291</v>
      </c>
      <c r="K12" s="33">
        <f t="shared" si="8"/>
        <v>10</v>
      </c>
      <c r="L12" s="33"/>
      <c r="M12" s="33"/>
      <c r="N12" s="34"/>
      <c r="O12" s="34"/>
      <c r="P12" s="34"/>
      <c r="Q12" s="34"/>
      <c r="S12" s="14" t="s">
        <v>24</v>
      </c>
      <c r="T12" s="16">
        <v>0.25</v>
      </c>
    </row>
    <row r="13" spans="1:22" x14ac:dyDescent="0.25">
      <c r="A13" s="3">
        <v>11</v>
      </c>
      <c r="B13" s="4">
        <f t="shared" si="6"/>
        <v>11</v>
      </c>
      <c r="C13" s="5">
        <f t="shared" si="0"/>
        <v>9.7812000000000001</v>
      </c>
      <c r="D13" s="5">
        <f t="shared" si="1"/>
        <v>3.4567069199829903</v>
      </c>
      <c r="E13" s="5">
        <f t="shared" si="2"/>
        <v>23.056021218970372</v>
      </c>
      <c r="F13" s="26">
        <f t="shared" si="7"/>
        <v>11</v>
      </c>
      <c r="G13" s="28">
        <f>$G$12+(F13-$F$12)*($G$17-$G$12)/($F$17-$F$12)</f>
        <v>90.8</v>
      </c>
      <c r="H13" s="30">
        <f t="shared" si="3"/>
        <v>52.663999999999994</v>
      </c>
      <c r="I13" s="30">
        <f t="shared" si="4"/>
        <v>23.661823927667953</v>
      </c>
      <c r="J13" s="30">
        <f t="shared" si="5"/>
        <v>132.93414334068834</v>
      </c>
      <c r="K13" s="33">
        <f t="shared" si="8"/>
        <v>11</v>
      </c>
      <c r="L13" s="33"/>
      <c r="M13" s="33"/>
      <c r="N13" s="34"/>
      <c r="O13" s="34"/>
      <c r="P13" s="34"/>
      <c r="Q13" s="34"/>
      <c r="S13" s="20" t="s">
        <v>25</v>
      </c>
      <c r="T13" s="21">
        <f>T11*T12</f>
        <v>16.75</v>
      </c>
    </row>
    <row r="14" spans="1:22" x14ac:dyDescent="0.25">
      <c r="A14" s="3">
        <v>12</v>
      </c>
      <c r="B14" s="4">
        <f t="shared" si="6"/>
        <v>12</v>
      </c>
      <c r="C14" s="5">
        <f t="shared" si="0"/>
        <v>10.670399999999999</v>
      </c>
      <c r="D14" s="5">
        <f t="shared" si="1"/>
        <v>3.7329530817348457</v>
      </c>
      <c r="E14" s="5">
        <f t="shared" si="2"/>
        <v>25.085839950688193</v>
      </c>
      <c r="F14" s="26">
        <f t="shared" si="7"/>
        <v>12</v>
      </c>
      <c r="G14" s="28">
        <f t="shared" ref="G14:G16" si="10">$G$12+(F14-$F$12)*($G$17-$G$12)/($F$17-$F$12)</f>
        <v>102.6</v>
      </c>
      <c r="H14" s="30">
        <f t="shared" si="3"/>
        <v>59.507999999999996</v>
      </c>
      <c r="I14" s="30">
        <f t="shared" si="4"/>
        <v>26.715920161622009</v>
      </c>
      <c r="J14" s="30">
        <f t="shared" si="5"/>
        <v>150.17332761482501</v>
      </c>
      <c r="K14" s="33">
        <f t="shared" si="8"/>
        <v>12</v>
      </c>
      <c r="L14" s="33"/>
      <c r="M14" s="33"/>
      <c r="N14" s="34"/>
      <c r="O14" s="34"/>
      <c r="P14" s="34"/>
      <c r="Q14" s="34"/>
      <c r="S14" s="20" t="s">
        <v>26</v>
      </c>
      <c r="T14" s="21">
        <v>0</v>
      </c>
    </row>
    <row r="15" spans="1:22" x14ac:dyDescent="0.25">
      <c r="A15" s="3">
        <v>13</v>
      </c>
      <c r="B15" s="4">
        <f t="shared" si="6"/>
        <v>13</v>
      </c>
      <c r="C15" s="5">
        <f t="shared" si="0"/>
        <v>11.5596</v>
      </c>
      <c r="D15" s="5">
        <f t="shared" si="1"/>
        <v>4.0065293501366055</v>
      </c>
      <c r="E15" s="5">
        <f t="shared" si="2"/>
        <v>27.111008618154589</v>
      </c>
      <c r="F15" s="26">
        <f t="shared" si="7"/>
        <v>13</v>
      </c>
      <c r="G15" s="28">
        <f t="shared" si="10"/>
        <v>114.4</v>
      </c>
      <c r="H15" s="30">
        <f t="shared" si="3"/>
        <v>66.352000000000004</v>
      </c>
      <c r="I15" s="30">
        <f t="shared" si="4"/>
        <v>29.767764222813369</v>
      </c>
      <c r="J15" s="30">
        <f t="shared" si="5"/>
        <v>167.40858935473329</v>
      </c>
      <c r="K15" s="33">
        <f t="shared" si="8"/>
        <v>13</v>
      </c>
      <c r="L15" s="33"/>
      <c r="M15" s="33"/>
      <c r="N15" s="34"/>
      <c r="O15" s="34"/>
      <c r="P15" s="34"/>
      <c r="Q15" s="34"/>
    </row>
    <row r="16" spans="1:22" x14ac:dyDescent="0.25">
      <c r="A16" s="3">
        <v>14</v>
      </c>
      <c r="B16" s="4">
        <f t="shared" si="6"/>
        <v>14</v>
      </c>
      <c r="C16" s="5">
        <f t="shared" si="0"/>
        <v>12.448799999999999</v>
      </c>
      <c r="D16" s="5">
        <f t="shared" si="1"/>
        <v>4.2776644527179633</v>
      </c>
      <c r="E16" s="5">
        <f t="shared" si="2"/>
        <v>29.131925588483782</v>
      </c>
      <c r="F16" s="26">
        <f t="shared" si="7"/>
        <v>14</v>
      </c>
      <c r="G16" s="28">
        <f t="shared" si="10"/>
        <v>126.2</v>
      </c>
      <c r="H16" s="30">
        <f t="shared" si="3"/>
        <v>73.195999999999998</v>
      </c>
      <c r="I16" s="30">
        <f t="shared" si="4"/>
        <v>32.817590708094279</v>
      </c>
      <c r="J16" s="30">
        <f t="shared" si="5"/>
        <v>184.64033714993084</v>
      </c>
      <c r="K16" s="33">
        <f t="shared" si="8"/>
        <v>14</v>
      </c>
      <c r="L16" s="33"/>
      <c r="M16" s="33"/>
      <c r="N16" s="34"/>
      <c r="O16" s="34"/>
      <c r="P16" s="34"/>
      <c r="Q16" s="34"/>
      <c r="S16" s="23" t="s">
        <v>27</v>
      </c>
      <c r="T16" s="24">
        <f>T10+T13+T14</f>
        <v>222.36073533264542</v>
      </c>
    </row>
    <row r="17" spans="1:17" x14ac:dyDescent="0.25">
      <c r="A17" s="3">
        <v>15</v>
      </c>
      <c r="B17" s="4">
        <f t="shared" si="6"/>
        <v>15</v>
      </c>
      <c r="C17" s="5">
        <f t="shared" si="0"/>
        <v>13.337999999999999</v>
      </c>
      <c r="D17" s="5">
        <f t="shared" si="1"/>
        <v>4.5465525901071517</v>
      </c>
      <c r="E17" s="5">
        <f t="shared" si="2"/>
        <v>31.148929094436621</v>
      </c>
      <c r="F17" s="26">
        <f t="shared" si="7"/>
        <v>15</v>
      </c>
      <c r="G17" s="28">
        <f>113+4+21</f>
        <v>138</v>
      </c>
      <c r="H17" s="30">
        <f t="shared" si="3"/>
        <v>80.039999999999992</v>
      </c>
      <c r="I17" s="30">
        <f t="shared" si="4"/>
        <v>35.865590001137143</v>
      </c>
      <c r="J17" s="30">
        <f t="shared" si="5"/>
        <v>201.86890258531386</v>
      </c>
      <c r="K17" s="33">
        <f t="shared" si="8"/>
        <v>15</v>
      </c>
      <c r="L17" s="33">
        <f>4+21+17</f>
        <v>42</v>
      </c>
      <c r="M17" s="33"/>
      <c r="N17" s="35">
        <v>1</v>
      </c>
      <c r="O17" s="34"/>
      <c r="P17" s="34"/>
      <c r="Q17" s="34"/>
    </row>
    <row r="18" spans="1:17" x14ac:dyDescent="0.25">
      <c r="A18" s="3">
        <v>16</v>
      </c>
      <c r="B18" s="4">
        <f t="shared" si="6"/>
        <v>16</v>
      </c>
      <c r="C18" s="5">
        <f t="shared" si="0"/>
        <v>14.2272</v>
      </c>
      <c r="D18" s="5">
        <f t="shared" si="1"/>
        <v>4.81336060460516</v>
      </c>
      <c r="E18" s="5">
        <f t="shared" si="2"/>
        <v>33.162309719687322</v>
      </c>
      <c r="F18" s="26">
        <v>15</v>
      </c>
      <c r="G18" s="28">
        <f>G17-L17</f>
        <v>96</v>
      </c>
      <c r="H18" s="30">
        <f t="shared" si="3"/>
        <v>55.679999999999993</v>
      </c>
      <c r="I18" s="30">
        <f t="shared" si="4"/>
        <v>25.007991693456034</v>
      </c>
      <c r="J18" s="30">
        <f t="shared" si="5"/>
        <v>140.53158553276924</v>
      </c>
      <c r="K18" s="33">
        <f t="shared" si="8"/>
        <v>16</v>
      </c>
      <c r="L18" s="33"/>
      <c r="M18" s="33"/>
      <c r="N18" s="34"/>
      <c r="O18" s="34"/>
      <c r="P18" s="34"/>
      <c r="Q18" s="34"/>
    </row>
    <row r="19" spans="1:17" x14ac:dyDescent="0.25">
      <c r="A19" s="3">
        <v>17</v>
      </c>
      <c r="B19" s="4">
        <f t="shared" si="6"/>
        <v>17</v>
      </c>
      <c r="C19" s="5">
        <f t="shared" si="0"/>
        <v>15.116399999999999</v>
      </c>
      <c r="D19" s="5">
        <f t="shared" si="1"/>
        <v>5.0782333044806913</v>
      </c>
      <c r="E19" s="5">
        <f t="shared" si="2"/>
        <v>35.172319671970534</v>
      </c>
      <c r="F19" s="26">
        <f t="shared" si="7"/>
        <v>16</v>
      </c>
      <c r="G19" s="28">
        <f>$G$18+(F19-$F$18)*($G$23-$G$18)/($F$23-$F$18)</f>
        <v>105.8</v>
      </c>
      <c r="H19" s="30">
        <f t="shared" si="3"/>
        <v>61.363999999999997</v>
      </c>
      <c r="I19" s="30">
        <f t="shared" si="4"/>
        <v>27.543750687846728</v>
      </c>
      <c r="J19" s="30">
        <f t="shared" si="5"/>
        <v>154.84766578133306</v>
      </c>
      <c r="K19" s="33">
        <f t="shared" si="8"/>
        <v>17</v>
      </c>
      <c r="L19" s="33"/>
      <c r="M19" s="33"/>
      <c r="N19" s="34"/>
      <c r="O19" s="34"/>
      <c r="P19" s="34"/>
      <c r="Q19" s="34"/>
    </row>
    <row r="20" spans="1:17" x14ac:dyDescent="0.25">
      <c r="A20" s="3">
        <v>18</v>
      </c>
      <c r="B20" s="4">
        <f t="shared" si="6"/>
        <v>18</v>
      </c>
      <c r="C20" s="5">
        <f t="shared" si="0"/>
        <v>16.005600000000001</v>
      </c>
      <c r="D20" s="5">
        <f t="shared" si="1"/>
        <v>5.3412974993444156</v>
      </c>
      <c r="E20" s="5">
        <f t="shared" si="2"/>
        <v>37.179179811358189</v>
      </c>
      <c r="F20" s="26">
        <f t="shared" si="7"/>
        <v>17</v>
      </c>
      <c r="G20" s="28">
        <f t="shared" ref="G20:G22" si="11">$G$18+(F20-$F$18)*($G$23-$G$18)/($F$23-$F$18)</f>
        <v>115.6</v>
      </c>
      <c r="H20" s="30">
        <f t="shared" si="3"/>
        <v>67.047999999999988</v>
      </c>
      <c r="I20" s="30">
        <f t="shared" si="4"/>
        <v>30.078004724955939</v>
      </c>
      <c r="J20" s="30">
        <f t="shared" si="5"/>
        <v>169.16112489596489</v>
      </c>
      <c r="K20" s="33">
        <f t="shared" si="8"/>
        <v>18</v>
      </c>
      <c r="L20" s="33"/>
      <c r="M20" s="33"/>
      <c r="N20" s="34"/>
      <c r="O20" s="34"/>
      <c r="P20" s="34"/>
      <c r="Q20" s="34"/>
    </row>
    <row r="21" spans="1:17" x14ac:dyDescent="0.25">
      <c r="A21" s="3">
        <v>19</v>
      </c>
      <c r="B21" s="4">
        <f t="shared" si="6"/>
        <v>19</v>
      </c>
      <c r="C21" s="5">
        <f t="shared" si="0"/>
        <v>16.8948</v>
      </c>
      <c r="D21" s="5">
        <f t="shared" si="1"/>
        <v>5.6026651130643454</v>
      </c>
      <c r="E21" s="5">
        <f t="shared" si="2"/>
        <v>39.183085071920395</v>
      </c>
      <c r="F21" s="26">
        <f t="shared" si="7"/>
        <v>18</v>
      </c>
      <c r="G21" s="28">
        <f t="shared" si="11"/>
        <v>125.4</v>
      </c>
      <c r="H21" s="30">
        <f t="shared" si="3"/>
        <v>72.731999999999999</v>
      </c>
      <c r="I21" s="30">
        <f t="shared" si="4"/>
        <v>32.610882492617158</v>
      </c>
      <c r="J21" s="30">
        <f t="shared" si="5"/>
        <v>183.47218700797487</v>
      </c>
      <c r="K21" s="33">
        <f t="shared" si="8"/>
        <v>19</v>
      </c>
      <c r="L21" s="33"/>
      <c r="M21" s="33"/>
      <c r="N21" s="34"/>
      <c r="O21" s="34"/>
      <c r="P21" s="34"/>
      <c r="Q21" s="34"/>
    </row>
    <row r="22" spans="1:17" x14ac:dyDescent="0.25">
      <c r="A22" s="3">
        <v>20</v>
      </c>
      <c r="B22" s="4">
        <f t="shared" si="6"/>
        <v>20</v>
      </c>
      <c r="C22" s="5">
        <f t="shared" si="0"/>
        <v>17.783999999999999</v>
      </c>
      <c r="D22" s="5">
        <f t="shared" si="1"/>
        <v>5.862435622634961</v>
      </c>
      <c r="E22" s="5">
        <f t="shared" si="2"/>
        <v>41.184208709422556</v>
      </c>
      <c r="F22" s="26">
        <f t="shared" si="7"/>
        <v>19</v>
      </c>
      <c r="G22" s="28">
        <f t="shared" si="11"/>
        <v>135.19999999999999</v>
      </c>
      <c r="H22" s="30">
        <f t="shared" si="3"/>
        <v>78.415999999999983</v>
      </c>
      <c r="I22" s="30">
        <f t="shared" si="4"/>
        <v>35.142492438007338</v>
      </c>
      <c r="J22" s="30">
        <f t="shared" si="5"/>
        <v>197.78104099619608</v>
      </c>
      <c r="K22" s="33">
        <f t="shared" si="8"/>
        <v>20</v>
      </c>
      <c r="L22" s="33"/>
      <c r="M22" s="33"/>
      <c r="N22" s="34"/>
      <c r="O22" s="34"/>
      <c r="P22" s="34"/>
      <c r="Q22" s="34"/>
    </row>
    <row r="23" spans="1:17" x14ac:dyDescent="0.25">
      <c r="A23" s="3">
        <v>21</v>
      </c>
      <c r="B23" s="4">
        <f t="shared" si="6"/>
        <v>21</v>
      </c>
      <c r="C23" s="5">
        <f t="shared" si="0"/>
        <v>18.673199999999998</v>
      </c>
      <c r="D23" s="5">
        <f t="shared" si="1"/>
        <v>6.120697995410775</v>
      </c>
      <c r="E23" s="5">
        <f t="shared" si="2"/>
        <v>43.182705675340429</v>
      </c>
      <c r="F23" s="26">
        <f t="shared" si="7"/>
        <v>20</v>
      </c>
      <c r="G23" s="28">
        <f>131+14</f>
        <v>145</v>
      </c>
      <c r="H23" s="30">
        <f t="shared" si="3"/>
        <v>84.1</v>
      </c>
      <c r="I23" s="30">
        <f t="shared" si="4"/>
        <v>37.672927195012477</v>
      </c>
      <c r="J23" s="30">
        <f t="shared" si="5"/>
        <v>212.08784819798007</v>
      </c>
      <c r="K23" s="33">
        <f t="shared" si="8"/>
        <v>21</v>
      </c>
      <c r="L23" s="33"/>
      <c r="M23" s="33"/>
      <c r="N23" s="34"/>
      <c r="O23" s="34"/>
      <c r="P23" s="34"/>
      <c r="Q23" s="34"/>
    </row>
    <row r="24" spans="1:17" x14ac:dyDescent="0.25">
      <c r="A24" s="3">
        <v>22</v>
      </c>
      <c r="B24" s="4">
        <f t="shared" si="6"/>
        <v>22</v>
      </c>
      <c r="C24" s="5">
        <f t="shared" si="0"/>
        <v>19.5624</v>
      </c>
      <c r="D24" s="5">
        <f t="shared" si="1"/>
        <v>6.3775322468881095</v>
      </c>
      <c r="E24" s="5">
        <f t="shared" si="2"/>
        <v>45.178715329996784</v>
      </c>
      <c r="F24" s="26">
        <f t="shared" si="7"/>
        <v>21</v>
      </c>
      <c r="G24" s="28">
        <f>$G$23+(F24-$F$23)*($G$28-$G$23)/($F$28-$F$23)</f>
        <v>153.4</v>
      </c>
      <c r="H24" s="30">
        <f t="shared" si="3"/>
        <v>88.971999999999994</v>
      </c>
      <c r="I24" s="30">
        <f t="shared" si="4"/>
        <v>39.840996881332082</v>
      </c>
      <c r="J24" s="30">
        <f t="shared" si="5"/>
        <v>224.34930290165335</v>
      </c>
      <c r="K24" s="33">
        <f t="shared" si="8"/>
        <v>22</v>
      </c>
      <c r="L24" s="33"/>
      <c r="M24" s="33"/>
      <c r="N24" s="34"/>
      <c r="O24" s="34"/>
      <c r="P24" s="34"/>
      <c r="Q24" s="34"/>
    </row>
    <row r="25" spans="1:17" x14ac:dyDescent="0.25">
      <c r="A25" s="3">
        <v>23</v>
      </c>
      <c r="B25" s="4">
        <f t="shared" si="6"/>
        <v>23</v>
      </c>
      <c r="C25" s="5">
        <f t="shared" si="0"/>
        <v>20.451599999999999</v>
      </c>
      <c r="D25" s="5">
        <f t="shared" si="1"/>
        <v>6.6330107072474558</v>
      </c>
      <c r="E25" s="5">
        <f t="shared" si="2"/>
        <v>47.172363648455985</v>
      </c>
      <c r="F25" s="26">
        <f t="shared" si="7"/>
        <v>22</v>
      </c>
      <c r="G25" s="28">
        <f t="shared" ref="G25:G27" si="12">$G$23+(F25-$F$23)*($G$28-$G$23)/($F$28-$F$23)</f>
        <v>161.80000000000001</v>
      </c>
      <c r="H25" s="30">
        <f t="shared" si="3"/>
        <v>93.843999999999994</v>
      </c>
      <c r="I25" s="30">
        <f t="shared" si="4"/>
        <v>42.008306505785335</v>
      </c>
      <c r="J25" s="30">
        <f t="shared" si="5"/>
        <v>236.60943383090944</v>
      </c>
      <c r="K25" s="33">
        <f t="shared" si="8"/>
        <v>23</v>
      </c>
      <c r="L25" s="33"/>
      <c r="M25" s="33"/>
      <c r="N25" s="34"/>
      <c r="O25" s="34"/>
      <c r="P25" s="34"/>
      <c r="Q25" s="34"/>
    </row>
    <row r="26" spans="1:17" x14ac:dyDescent="0.25">
      <c r="A26" s="3">
        <v>24</v>
      </c>
      <c r="B26" s="4">
        <f t="shared" si="6"/>
        <v>24</v>
      </c>
      <c r="C26" s="5">
        <f t="shared" si="0"/>
        <v>21.340799999999998</v>
      </c>
      <c r="D26" s="5">
        <f t="shared" si="1"/>
        <v>6.8871990614123195</v>
      </c>
      <c r="E26" s="5">
        <f t="shared" si="2"/>
        <v>49.163765031959791</v>
      </c>
      <c r="F26" s="26">
        <f t="shared" si="7"/>
        <v>23</v>
      </c>
      <c r="G26" s="28">
        <f t="shared" si="12"/>
        <v>170.2</v>
      </c>
      <c r="H26" s="30">
        <f t="shared" si="3"/>
        <v>98.71599999999998</v>
      </c>
      <c r="I26" s="30">
        <f t="shared" si="4"/>
        <v>44.174895810353931</v>
      </c>
      <c r="J26" s="30">
        <f t="shared" si="5"/>
        <v>248.86831020303308</v>
      </c>
      <c r="K26" s="33">
        <f t="shared" si="8"/>
        <v>24</v>
      </c>
      <c r="L26" s="33"/>
      <c r="M26" s="33"/>
      <c r="N26" s="34"/>
      <c r="O26" s="34"/>
      <c r="P26" s="34"/>
      <c r="Q26" s="34"/>
    </row>
    <row r="27" spans="1:17" x14ac:dyDescent="0.25">
      <c r="A27" s="3">
        <v>25</v>
      </c>
      <c r="B27" s="4">
        <f t="shared" si="6"/>
        <v>25</v>
      </c>
      <c r="C27" s="5">
        <f t="shared" si="0"/>
        <v>22.229999999999997</v>
      </c>
      <c r="D27" s="5">
        <f t="shared" si="1"/>
        <v>7.140157210880437</v>
      </c>
      <c r="E27" s="5">
        <f t="shared" si="2"/>
        <v>51.153023808950088</v>
      </c>
      <c r="F27" s="26">
        <f t="shared" si="7"/>
        <v>24</v>
      </c>
      <c r="G27" s="28">
        <f t="shared" si="12"/>
        <v>178.6</v>
      </c>
      <c r="H27" s="30">
        <f t="shared" si="3"/>
        <v>103.58799999999999</v>
      </c>
      <c r="I27" s="30">
        <f t="shared" si="4"/>
        <v>46.340800597205167</v>
      </c>
      <c r="J27" s="30">
        <f t="shared" si="5"/>
        <v>261.12599437346569</v>
      </c>
      <c r="K27" s="33">
        <f t="shared" si="8"/>
        <v>25</v>
      </c>
      <c r="L27" s="33">
        <f>14+11</f>
        <v>25</v>
      </c>
      <c r="M27" s="33"/>
      <c r="N27" s="35">
        <v>1</v>
      </c>
      <c r="O27" s="34"/>
      <c r="P27" s="34"/>
      <c r="Q27" s="34"/>
    </row>
    <row r="28" spans="1:17" x14ac:dyDescent="0.25">
      <c r="A28" s="3">
        <v>26</v>
      </c>
      <c r="B28" s="4">
        <f t="shared" si="6"/>
        <v>26</v>
      </c>
      <c r="C28" s="5">
        <f t="shared" si="0"/>
        <v>23.119199999999999</v>
      </c>
      <c r="D28" s="5">
        <f t="shared" si="1"/>
        <v>7.3919399937804329</v>
      </c>
      <c r="E28" s="5">
        <f t="shared" si="2"/>
        <v>53.140235489167587</v>
      </c>
      <c r="F28" s="26">
        <f t="shared" si="7"/>
        <v>25</v>
      </c>
      <c r="G28" s="28">
        <f>173+14</f>
        <v>187</v>
      </c>
      <c r="H28" s="30">
        <f t="shared" si="3"/>
        <v>108.46</v>
      </c>
      <c r="I28" s="30">
        <f t="shared" si="4"/>
        <v>48.506053286579061</v>
      </c>
      <c r="J28" s="30">
        <f t="shared" si="5"/>
        <v>273.38254280745849</v>
      </c>
      <c r="K28" s="33">
        <f t="shared" si="8"/>
        <v>26</v>
      </c>
      <c r="L28" s="33"/>
      <c r="M28" s="33"/>
      <c r="N28" s="34"/>
      <c r="O28" s="34"/>
      <c r="P28" s="34"/>
      <c r="Q28" s="34"/>
    </row>
    <row r="29" spans="1:17" x14ac:dyDescent="0.25">
      <c r="A29" s="3">
        <v>27</v>
      </c>
      <c r="B29" s="4">
        <f t="shared" si="6"/>
        <v>27</v>
      </c>
      <c r="C29" s="5">
        <f t="shared" si="0"/>
        <v>24.008400000000002</v>
      </c>
      <c r="D29" s="5">
        <f t="shared" si="1"/>
        <v>7.6425977910346994</v>
      </c>
      <c r="E29" s="5">
        <f t="shared" si="2"/>
        <v>55.125487819385434</v>
      </c>
      <c r="F29" s="26">
        <v>25</v>
      </c>
      <c r="G29" s="28">
        <f>G28-L27</f>
        <v>162</v>
      </c>
      <c r="H29" s="30">
        <f t="shared" si="3"/>
        <v>93.96</v>
      </c>
      <c r="I29" s="30">
        <f t="shared" si="4"/>
        <v>42.05990018725894</v>
      </c>
      <c r="J29" s="30">
        <f t="shared" si="5"/>
        <v>236.90132615947596</v>
      </c>
      <c r="K29" s="33">
        <f t="shared" si="8"/>
        <v>27</v>
      </c>
      <c r="L29" s="33"/>
      <c r="M29" s="33"/>
      <c r="N29" s="34"/>
      <c r="O29" s="34"/>
      <c r="P29" s="34"/>
      <c r="Q29" s="34"/>
    </row>
    <row r="30" spans="1:17" x14ac:dyDescent="0.25">
      <c r="A30" s="3">
        <v>28</v>
      </c>
      <c r="B30" s="4">
        <f t="shared" si="6"/>
        <v>28</v>
      </c>
      <c r="C30" s="5">
        <f t="shared" si="0"/>
        <v>24.897599999999997</v>
      </c>
      <c r="D30" s="5">
        <f t="shared" si="1"/>
        <v>7.8921770401958238</v>
      </c>
      <c r="E30" s="5">
        <f t="shared" si="2"/>
        <v>57.10886167834105</v>
      </c>
      <c r="F30" s="26">
        <f t="shared" si="7"/>
        <v>26</v>
      </c>
      <c r="G30" s="28">
        <f>$G$29+(F30-$F$29)*($G$34-$G$29)/($F$34-$F$29)</f>
        <v>168.8</v>
      </c>
      <c r="H30" s="30">
        <f t="shared" si="3"/>
        <v>97.903999999999996</v>
      </c>
      <c r="I30" s="30">
        <f t="shared" si="4"/>
        <v>43.813846051188087</v>
      </c>
      <c r="J30" s="30">
        <f t="shared" si="5"/>
        <v>246.82524853915254</v>
      </c>
      <c r="K30" s="33">
        <f t="shared" si="8"/>
        <v>28</v>
      </c>
      <c r="L30" s="33"/>
      <c r="M30" s="33"/>
      <c r="N30" s="34"/>
      <c r="O30" s="34"/>
      <c r="P30" s="34"/>
      <c r="Q30" s="34"/>
    </row>
    <row r="31" spans="1:17" x14ac:dyDescent="0.25">
      <c r="A31" s="3">
        <v>29</v>
      </c>
      <c r="B31" s="4">
        <f t="shared" si="6"/>
        <v>29</v>
      </c>
      <c r="C31" s="5">
        <f t="shared" si="0"/>
        <v>25.786799999999999</v>
      </c>
      <c r="D31" s="5">
        <f t="shared" si="1"/>
        <v>8.1407206738151334</v>
      </c>
      <c r="E31" s="5">
        <f t="shared" si="2"/>
        <v>59.090431840228007</v>
      </c>
      <c r="F31" s="26">
        <f t="shared" si="7"/>
        <v>27</v>
      </c>
      <c r="G31" s="28">
        <f t="shared" ref="G31:G33" si="13">$G$29+(F31-$F$29)*($G$34-$G$29)/($F$34-$F$29)</f>
        <v>175.6</v>
      </c>
      <c r="H31" s="30">
        <f t="shared" si="3"/>
        <v>101.84799999999998</v>
      </c>
      <c r="I31" s="30">
        <f t="shared" si="4"/>
        <v>45.567339648501751</v>
      </c>
      <c r="J31" s="30">
        <f t="shared" si="5"/>
        <v>256.7483832211405</v>
      </c>
      <c r="K31" s="33">
        <f t="shared" si="8"/>
        <v>29</v>
      </c>
      <c r="L31" s="33"/>
      <c r="M31" s="33"/>
      <c r="N31" s="34"/>
      <c r="O31" s="34"/>
      <c r="P31" s="34"/>
      <c r="Q31" s="34"/>
    </row>
    <row r="32" spans="1:17" x14ac:dyDescent="0.25">
      <c r="A32" s="3">
        <v>30</v>
      </c>
      <c r="B32" s="4">
        <f t="shared" si="6"/>
        <v>30</v>
      </c>
      <c r="C32" s="5">
        <f t="shared" si="0"/>
        <v>26.675999999999998</v>
      </c>
      <c r="D32" s="5">
        <f t="shared" si="1"/>
        <v>8.388268495647786</v>
      </c>
      <c r="E32" s="5">
        <f t="shared" si="2"/>
        <v>61.07026762991989</v>
      </c>
      <c r="F32" s="26">
        <f t="shared" si="7"/>
        <v>28</v>
      </c>
      <c r="G32" s="28">
        <f t="shared" si="13"/>
        <v>182.4</v>
      </c>
      <c r="H32" s="30">
        <f t="shared" si="3"/>
        <v>105.792</v>
      </c>
      <c r="I32" s="30">
        <f t="shared" si="4"/>
        <v>47.320398611839664</v>
      </c>
      <c r="J32" s="30">
        <f t="shared" si="5"/>
        <v>266.67076091562075</v>
      </c>
      <c r="K32" s="33">
        <f t="shared" si="8"/>
        <v>30</v>
      </c>
      <c r="L32" s="33"/>
      <c r="M32" s="33"/>
      <c r="N32" s="34"/>
      <c r="O32" s="34"/>
      <c r="P32" s="34"/>
      <c r="Q32" s="34"/>
    </row>
    <row r="33" spans="1:17" x14ac:dyDescent="0.25">
      <c r="A33" s="3">
        <v>31</v>
      </c>
      <c r="B33" s="4">
        <f t="shared" si="6"/>
        <v>31</v>
      </c>
      <c r="C33" s="5">
        <f t="shared" si="0"/>
        <v>27.565199999999997</v>
      </c>
      <c r="D33" s="5">
        <f t="shared" ref="D33:D47" si="14">EXP(-1.0587+0.8836*LN(C33)+0.284)</f>
        <v>8.6348575052881742</v>
      </c>
      <c r="E33" s="5">
        <f t="shared" ref="E33:E47" si="15">(C33+D33)*0.475*44/12</f>
        <v>63.048433488376901</v>
      </c>
      <c r="F33" s="26">
        <f t="shared" si="7"/>
        <v>29</v>
      </c>
      <c r="G33" s="28">
        <f t="shared" si="13"/>
        <v>189.2</v>
      </c>
      <c r="H33" s="30">
        <f t="shared" si="3"/>
        <v>109.73599999999999</v>
      </c>
      <c r="I33" s="30">
        <f t="shared" si="4"/>
        <v>49.073039254124609</v>
      </c>
      <c r="J33" s="30">
        <f t="shared" si="5"/>
        <v>276.59241003426695</v>
      </c>
      <c r="K33" s="33">
        <f t="shared" si="8"/>
        <v>31</v>
      </c>
      <c r="L33" s="33"/>
      <c r="M33" s="33"/>
      <c r="N33" s="34"/>
      <c r="O33" s="34"/>
      <c r="P33" s="34"/>
      <c r="Q33" s="34"/>
    </row>
    <row r="34" spans="1:17" x14ac:dyDescent="0.25">
      <c r="A34" s="3">
        <v>32</v>
      </c>
      <c r="B34" s="4">
        <f t="shared" si="6"/>
        <v>32</v>
      </c>
      <c r="C34" s="5">
        <f t="shared" si="0"/>
        <v>28.4544</v>
      </c>
      <c r="D34" s="5">
        <f t="shared" si="14"/>
        <v>8.8805221797401614</v>
      </c>
      <c r="E34" s="5">
        <f t="shared" si="15"/>
        <v>65.024989463047447</v>
      </c>
      <c r="F34" s="26">
        <f t="shared" si="7"/>
        <v>30</v>
      </c>
      <c r="G34" s="28">
        <v>196</v>
      </c>
      <c r="H34" s="30">
        <f t="shared" si="3"/>
        <v>113.67999999999999</v>
      </c>
      <c r="I34" s="30">
        <f t="shared" si="4"/>
        <v>50.825276711274583</v>
      </c>
      <c r="J34" s="30">
        <f t="shared" si="5"/>
        <v>286.51335693880321</v>
      </c>
      <c r="K34" s="33">
        <f t="shared" si="8"/>
        <v>32</v>
      </c>
      <c r="L34" s="33"/>
      <c r="M34" s="33"/>
      <c r="N34" s="34"/>
      <c r="O34" s="34"/>
      <c r="P34" s="34"/>
      <c r="Q34" s="34"/>
    </row>
    <row r="35" spans="1:17" x14ac:dyDescent="0.25">
      <c r="A35" s="3">
        <v>33</v>
      </c>
      <c r="B35" s="4">
        <f t="shared" si="6"/>
        <v>33</v>
      </c>
      <c r="C35" s="5">
        <f t="shared" si="0"/>
        <v>29.343599999999999</v>
      </c>
      <c r="D35" s="5">
        <f t="shared" si="14"/>
        <v>9.1252947188023139</v>
      </c>
      <c r="E35" s="5">
        <f t="shared" si="15"/>
        <v>66.999991635247355</v>
      </c>
      <c r="F35" s="26">
        <f t="shared" si="7"/>
        <v>31</v>
      </c>
      <c r="G35" s="28">
        <f>$G$34+(F35-$F$34)*($G$39-$G$34)/($F$39-$F$34)</f>
        <v>201.8</v>
      </c>
      <c r="H35" s="30">
        <f t="shared" si="3"/>
        <v>117.044</v>
      </c>
      <c r="I35" s="30">
        <f t="shared" si="4"/>
        <v>52.319524191580889</v>
      </c>
      <c r="J35" s="30">
        <f t="shared" si="5"/>
        <v>294.97480463367009</v>
      </c>
      <c r="K35" s="33">
        <f t="shared" si="8"/>
        <v>33</v>
      </c>
      <c r="L35" s="33"/>
      <c r="M35" s="33"/>
      <c r="N35" s="34"/>
      <c r="O35" s="34"/>
      <c r="P35" s="34"/>
      <c r="Q35" s="34"/>
    </row>
    <row r="36" spans="1:17" x14ac:dyDescent="0.25">
      <c r="A36" s="3">
        <v>34</v>
      </c>
      <c r="B36" s="4">
        <f t="shared" si="6"/>
        <v>34</v>
      </c>
      <c r="C36" s="5">
        <f t="shared" si="0"/>
        <v>30.232799999999997</v>
      </c>
      <c r="D36" s="5">
        <f t="shared" si="14"/>
        <v>9.3692052598737945</v>
      </c>
      <c r="E36" s="5">
        <f t="shared" si="15"/>
        <v>68.97349249428018</v>
      </c>
      <c r="F36" s="26">
        <f t="shared" si="7"/>
        <v>32</v>
      </c>
      <c r="G36" s="28">
        <f t="shared" ref="G36:G38" si="16">$G$34+(F36-$F$34)*($G$39-$G$34)/($F$39-$F$34)</f>
        <v>207.6</v>
      </c>
      <c r="H36" s="30">
        <f t="shared" si="3"/>
        <v>120.40799999999999</v>
      </c>
      <c r="I36" s="30">
        <f t="shared" si="4"/>
        <v>53.813496800591707</v>
      </c>
      <c r="J36" s="30">
        <f t="shared" si="5"/>
        <v>303.43577359436387</v>
      </c>
      <c r="K36" s="33">
        <f t="shared" si="8"/>
        <v>34</v>
      </c>
      <c r="L36" s="33"/>
      <c r="M36" s="33"/>
      <c r="N36" s="34"/>
      <c r="O36" s="34"/>
      <c r="P36" s="34"/>
      <c r="Q36" s="34"/>
    </row>
    <row r="37" spans="1:17" x14ac:dyDescent="0.25">
      <c r="A37" s="3">
        <v>35</v>
      </c>
      <c r="B37" s="4">
        <f t="shared" si="6"/>
        <v>35</v>
      </c>
      <c r="C37" s="5">
        <f t="shared" si="0"/>
        <v>31.122</v>
      </c>
      <c r="D37" s="5">
        <f t="shared" si="14"/>
        <v>9.6122820667788016</v>
      </c>
      <c r="E37" s="5">
        <f t="shared" si="15"/>
        <v>70.945541266306407</v>
      </c>
      <c r="F37" s="26">
        <f t="shared" si="7"/>
        <v>33</v>
      </c>
      <c r="G37" s="28">
        <f t="shared" si="16"/>
        <v>213.4</v>
      </c>
      <c r="H37" s="30">
        <f t="shared" si="3"/>
        <v>123.77199999999999</v>
      </c>
      <c r="I37" s="30">
        <f t="shared" si="4"/>
        <v>55.307202268253384</v>
      </c>
      <c r="J37" s="30">
        <f t="shared" si="5"/>
        <v>311.89627728387461</v>
      </c>
      <c r="K37" s="33">
        <f t="shared" si="8"/>
        <v>35</v>
      </c>
      <c r="L37" s="33">
        <f>7+9</f>
        <v>16</v>
      </c>
      <c r="M37" s="33"/>
      <c r="N37" s="34"/>
      <c r="O37" s="34"/>
      <c r="P37" s="34"/>
      <c r="Q37" s="34"/>
    </row>
    <row r="38" spans="1:17" x14ac:dyDescent="0.25">
      <c r="A38" s="3">
        <v>36</v>
      </c>
      <c r="B38" s="4">
        <f t="shared" si="6"/>
        <v>36</v>
      </c>
      <c r="C38" s="5">
        <f t="shared" si="0"/>
        <v>32.011200000000002</v>
      </c>
      <c r="D38" s="5">
        <f t="shared" si="14"/>
        <v>9.8545516964045792</v>
      </c>
      <c r="E38" s="5">
        <f t="shared" si="15"/>
        <v>72.916184204571309</v>
      </c>
      <c r="F38" s="26">
        <f t="shared" si="7"/>
        <v>34</v>
      </c>
      <c r="G38" s="28">
        <f t="shared" si="16"/>
        <v>219.2</v>
      </c>
      <c r="H38" s="30">
        <f t="shared" si="3"/>
        <v>127.13599999999998</v>
      </c>
      <c r="I38" s="30">
        <f t="shared" si="4"/>
        <v>56.800647902859986</v>
      </c>
      <c r="J38" s="30">
        <f t="shared" si="5"/>
        <v>320.35632843081436</v>
      </c>
      <c r="K38" s="33">
        <f t="shared" si="8"/>
        <v>36</v>
      </c>
      <c r="L38" s="33"/>
      <c r="M38" s="33"/>
      <c r="N38" s="34"/>
      <c r="O38" s="34"/>
      <c r="P38" s="34"/>
      <c r="Q38" s="34"/>
    </row>
    <row r="39" spans="1:17" x14ac:dyDescent="0.25">
      <c r="A39" s="3">
        <v>37</v>
      </c>
      <c r="B39" s="4">
        <f t="shared" si="6"/>
        <v>37</v>
      </c>
      <c r="C39" s="5">
        <f t="shared" si="0"/>
        <v>32.900399999999998</v>
      </c>
      <c r="D39" s="5">
        <f t="shared" si="14"/>
        <v>10.096039146303504</v>
      </c>
      <c r="E39" s="5">
        <f t="shared" si="15"/>
        <v>74.885464846478598</v>
      </c>
      <c r="F39" s="26">
        <f t="shared" si="7"/>
        <v>35</v>
      </c>
      <c r="G39" s="28">
        <f>216+9</f>
        <v>225</v>
      </c>
      <c r="H39" s="30">
        <f t="shared" si="3"/>
        <v>130.5</v>
      </c>
      <c r="I39" s="30">
        <f t="shared" si="4"/>
        <v>58.293840624608549</v>
      </c>
      <c r="J39" s="30">
        <f t="shared" si="5"/>
        <v>328.81593908785987</v>
      </c>
      <c r="K39" s="33">
        <f t="shared" si="8"/>
        <v>37</v>
      </c>
      <c r="L39" s="33"/>
      <c r="M39" s="33"/>
      <c r="N39" s="34"/>
      <c r="O39" s="34"/>
      <c r="P39" s="34"/>
      <c r="Q39" s="34"/>
    </row>
    <row r="40" spans="1:17" x14ac:dyDescent="0.25">
      <c r="A40" s="3">
        <v>38</v>
      </c>
      <c r="B40" s="4">
        <f t="shared" si="6"/>
        <v>38</v>
      </c>
      <c r="C40" s="5">
        <f t="shared" si="0"/>
        <v>33.7896</v>
      </c>
      <c r="D40" s="5">
        <f t="shared" si="14"/>
        <v>10.3367679858895</v>
      </c>
      <c r="E40" s="5">
        <f t="shared" si="15"/>
        <v>76.853424242090881</v>
      </c>
      <c r="F40" s="26">
        <v>35</v>
      </c>
      <c r="G40" s="28">
        <f>G39-L37</f>
        <v>209</v>
      </c>
      <c r="H40" s="30">
        <f t="shared" si="3"/>
        <v>121.21999999999998</v>
      </c>
      <c r="I40" s="30">
        <f t="shared" si="4"/>
        <v>54.174070571431969</v>
      </c>
      <c r="J40" s="30">
        <f t="shared" si="5"/>
        <v>305.47800624524399</v>
      </c>
      <c r="K40" s="33">
        <f t="shared" si="8"/>
        <v>38</v>
      </c>
      <c r="L40" s="33"/>
      <c r="M40" s="33"/>
      <c r="N40" s="34"/>
      <c r="O40" s="34"/>
      <c r="P40" s="34"/>
      <c r="Q40" s="34"/>
    </row>
    <row r="41" spans="1:17" x14ac:dyDescent="0.25">
      <c r="A41" s="3">
        <v>39</v>
      </c>
      <c r="B41" s="4">
        <f t="shared" si="6"/>
        <v>39</v>
      </c>
      <c r="C41" s="5">
        <f t="shared" si="0"/>
        <v>34.678800000000003</v>
      </c>
      <c r="D41" s="5">
        <f t="shared" si="14"/>
        <v>10.576760473435781</v>
      </c>
      <c r="E41" s="5">
        <f t="shared" si="15"/>
        <v>78.820101157900652</v>
      </c>
      <c r="F41" s="26">
        <f t="shared" si="7"/>
        <v>36</v>
      </c>
      <c r="G41" s="28">
        <f>$G$40+(F41-$F$40)*($G$45-$G$40)/($F$45-$F$40)</f>
        <v>213.8</v>
      </c>
      <c r="H41" s="30">
        <f t="shared" si="3"/>
        <v>124.004</v>
      </c>
      <c r="I41" s="30">
        <f t="shared" si="4"/>
        <v>55.410206779526852</v>
      </c>
      <c r="J41" s="30">
        <f t="shared" si="5"/>
        <v>312.47974347434263</v>
      </c>
      <c r="K41" s="33">
        <f t="shared" si="8"/>
        <v>39</v>
      </c>
      <c r="L41" s="33"/>
      <c r="M41" s="33"/>
      <c r="N41" s="34"/>
      <c r="O41" s="34"/>
      <c r="P41" s="34"/>
      <c r="Q41" s="34"/>
    </row>
    <row r="42" spans="1:17" x14ac:dyDescent="0.25">
      <c r="A42" s="3">
        <v>40</v>
      </c>
      <c r="B42" s="4">
        <f t="shared" si="6"/>
        <v>40</v>
      </c>
      <c r="C42" s="5">
        <f t="shared" si="0"/>
        <v>35.567999999999998</v>
      </c>
      <c r="D42" s="5">
        <f t="shared" si="14"/>
        <v>10.816037660735208</v>
      </c>
      <c r="E42" s="5">
        <f t="shared" si="15"/>
        <v>80.785532259113808</v>
      </c>
      <c r="F42" s="26">
        <f t="shared" si="7"/>
        <v>37</v>
      </c>
      <c r="G42" s="28">
        <f t="shared" ref="G42:G44" si="17">$G$40+(F42-$F$40)*($G$45-$G$40)/($F$45-$F$40)</f>
        <v>218.6</v>
      </c>
      <c r="H42" s="30">
        <f t="shared" si="3"/>
        <v>126.78799999999998</v>
      </c>
      <c r="I42" s="30">
        <f t="shared" si="4"/>
        <v>56.646165370330955</v>
      </c>
      <c r="J42" s="30">
        <f t="shared" si="5"/>
        <v>319.48117135332632</v>
      </c>
      <c r="K42" s="33">
        <f t="shared" si="8"/>
        <v>40</v>
      </c>
      <c r="L42" s="33"/>
      <c r="M42" s="33"/>
      <c r="N42" s="34"/>
      <c r="O42" s="34"/>
      <c r="P42" s="34"/>
      <c r="Q42" s="34"/>
    </row>
    <row r="43" spans="1:17" x14ac:dyDescent="0.25">
      <c r="A43" s="3">
        <v>41</v>
      </c>
      <c r="B43" s="4">
        <f t="shared" si="6"/>
        <v>41</v>
      </c>
      <c r="C43" s="5">
        <f t="shared" si="0"/>
        <v>36.4572</v>
      </c>
      <c r="D43" s="5">
        <f t="shared" si="14"/>
        <v>11.054619486999963</v>
      </c>
      <c r="E43" s="5">
        <f t="shared" si="15"/>
        <v>82.749752273191604</v>
      </c>
      <c r="F43" s="26">
        <f t="shared" si="7"/>
        <v>38</v>
      </c>
      <c r="G43" s="28">
        <f t="shared" si="17"/>
        <v>223.4</v>
      </c>
      <c r="H43" s="30">
        <f t="shared" si="3"/>
        <v>129.572</v>
      </c>
      <c r="I43" s="30">
        <f t="shared" si="4"/>
        <v>57.881950269272487</v>
      </c>
      <c r="J43" s="30">
        <f t="shared" si="5"/>
        <v>326.48229671898292</v>
      </c>
      <c r="K43" s="33">
        <f t="shared" si="8"/>
        <v>41</v>
      </c>
      <c r="L43" s="33"/>
      <c r="M43" s="33"/>
      <c r="N43" s="34"/>
      <c r="O43" s="34"/>
      <c r="P43" s="34"/>
      <c r="Q43" s="34"/>
    </row>
    <row r="44" spans="1:17" x14ac:dyDescent="0.25">
      <c r="A44" s="3">
        <v>42</v>
      </c>
      <c r="B44" s="4">
        <f t="shared" si="6"/>
        <v>42</v>
      </c>
      <c r="C44" s="5">
        <f t="shared" si="0"/>
        <v>37.346399999999996</v>
      </c>
      <c r="D44" s="5">
        <f t="shared" si="14"/>
        <v>11.292524863342392</v>
      </c>
      <c r="E44" s="5">
        <f t="shared" si="15"/>
        <v>84.712794136987995</v>
      </c>
      <c r="F44" s="26">
        <f t="shared" si="7"/>
        <v>39</v>
      </c>
      <c r="G44" s="28">
        <f t="shared" si="17"/>
        <v>228.2</v>
      </c>
      <c r="H44" s="30">
        <f t="shared" si="3"/>
        <v>132.35599999999999</v>
      </c>
      <c r="I44" s="30">
        <f t="shared" si="4"/>
        <v>59.117565232526864</v>
      </c>
      <c r="J44" s="30">
        <f t="shared" si="5"/>
        <v>333.48312611331761</v>
      </c>
      <c r="K44" s="33">
        <f t="shared" si="8"/>
        <v>42</v>
      </c>
      <c r="L44" s="33"/>
      <c r="M44" s="33"/>
      <c r="N44" s="34"/>
      <c r="O44" s="34"/>
      <c r="P44" s="34"/>
      <c r="Q44" s="34"/>
    </row>
    <row r="45" spans="1:17" x14ac:dyDescent="0.25">
      <c r="A45" s="3">
        <v>43</v>
      </c>
      <c r="B45" s="4">
        <f t="shared" si="6"/>
        <v>43</v>
      </c>
      <c r="C45" s="5">
        <f t="shared" si="0"/>
        <v>38.235599999999998</v>
      </c>
      <c r="D45" s="5">
        <f t="shared" si="14"/>
        <v>11.529771748983352</v>
      </c>
      <c r="E45" s="5">
        <f t="shared" si="15"/>
        <v>86.674689129479319</v>
      </c>
      <c r="F45" s="26">
        <f t="shared" si="7"/>
        <v>40</v>
      </c>
      <c r="G45" s="28">
        <v>233</v>
      </c>
      <c r="H45" s="30">
        <f t="shared" si="3"/>
        <v>135.13999999999999</v>
      </c>
      <c r="I45" s="30">
        <f t="shared" si="4"/>
        <v>60.353013857722786</v>
      </c>
      <c r="J45" s="30">
        <f t="shared" si="5"/>
        <v>340.48366580220045</v>
      </c>
      <c r="K45" s="33">
        <f t="shared" si="8"/>
        <v>43</v>
      </c>
      <c r="L45" s="33"/>
      <c r="M45" s="33"/>
      <c r="N45" s="34"/>
      <c r="O45" s="34"/>
      <c r="P45" s="34"/>
      <c r="Q45" s="34"/>
    </row>
    <row r="46" spans="1:17" x14ac:dyDescent="0.25">
      <c r="A46" s="3">
        <v>44</v>
      </c>
      <c r="B46" s="4">
        <f t="shared" si="6"/>
        <v>44</v>
      </c>
      <c r="C46" s="5">
        <f t="shared" si="0"/>
        <v>39.1248</v>
      </c>
      <c r="D46" s="5">
        <f t="shared" si="14"/>
        <v>11.766377220171686</v>
      </c>
      <c r="E46" s="5">
        <f t="shared" si="15"/>
        <v>88.635466991799021</v>
      </c>
      <c r="F46" s="26">
        <f t="shared" si="7"/>
        <v>41</v>
      </c>
      <c r="G46" s="28">
        <f>$G$45+(F46-$F$45)*($G$50-$G$45)/($F$50-$F$45)</f>
        <v>238</v>
      </c>
      <c r="H46" s="30">
        <f t="shared" si="3"/>
        <v>138.04</v>
      </c>
      <c r="I46" s="30">
        <f t="shared" si="4"/>
        <v>61.639766347194168</v>
      </c>
      <c r="J46" s="30">
        <f t="shared" si="5"/>
        <v>347.77559305469646</v>
      </c>
      <c r="K46" s="33">
        <f t="shared" si="8"/>
        <v>44</v>
      </c>
      <c r="L46" s="33"/>
      <c r="M46" s="33"/>
      <c r="N46" s="34"/>
      <c r="O46" s="34"/>
      <c r="P46" s="34"/>
      <c r="Q46" s="34"/>
    </row>
    <row r="47" spans="1:17" x14ac:dyDescent="0.25">
      <c r="A47" s="3">
        <v>45</v>
      </c>
      <c r="B47" s="4">
        <f t="shared" si="6"/>
        <v>45</v>
      </c>
      <c r="C47" s="5">
        <f t="shared" si="0"/>
        <v>40.013999999999996</v>
      </c>
      <c r="D47" s="5">
        <f t="shared" si="14"/>
        <v>12.002357532661732</v>
      </c>
      <c r="E47" s="5">
        <f t="shared" si="15"/>
        <v>90.595156036052515</v>
      </c>
      <c r="F47" s="26">
        <f t="shared" si="7"/>
        <v>42</v>
      </c>
      <c r="G47" s="28">
        <f t="shared" ref="G47:G49" si="18">$G$45+(F47-$F$45)*($G$50-$G$45)/($F$50-$F$45)</f>
        <v>243</v>
      </c>
      <c r="H47" s="30">
        <f t="shared" si="3"/>
        <v>140.94</v>
      </c>
      <c r="I47" s="30">
        <f t="shared" si="4"/>
        <v>62.926345826790197</v>
      </c>
      <c r="J47" s="30">
        <f t="shared" si="5"/>
        <v>355.06721898165955</v>
      </c>
      <c r="K47" s="33">
        <f t="shared" si="8"/>
        <v>45</v>
      </c>
      <c r="L47" s="33">
        <f>G50</f>
        <v>258</v>
      </c>
      <c r="M47" s="33"/>
      <c r="N47" s="34"/>
      <c r="O47" s="34"/>
      <c r="P47" s="34"/>
      <c r="Q47" s="34"/>
    </row>
    <row r="48" spans="1:17" x14ac:dyDescent="0.25">
      <c r="B48" s="31"/>
      <c r="C48" s="32"/>
      <c r="D48" s="32"/>
      <c r="E48" s="32"/>
      <c r="F48" s="26">
        <f t="shared" si="7"/>
        <v>43</v>
      </c>
      <c r="G48" s="28">
        <f t="shared" si="18"/>
        <v>248</v>
      </c>
      <c r="H48" s="30">
        <f t="shared" si="3"/>
        <v>143.84</v>
      </c>
      <c r="I48" s="30">
        <f t="shared" si="4"/>
        <v>64.212755879443108</v>
      </c>
      <c r="J48" s="30">
        <f t="shared" si="5"/>
        <v>362.35854982336338</v>
      </c>
      <c r="K48" s="29"/>
      <c r="L48" s="29"/>
      <c r="M48" s="29"/>
    </row>
    <row r="49" spans="2:13" x14ac:dyDescent="0.25">
      <c r="B49" s="31"/>
      <c r="C49" s="32"/>
      <c r="D49" s="32"/>
      <c r="E49" s="32"/>
      <c r="F49" s="26">
        <f t="shared" si="7"/>
        <v>44</v>
      </c>
      <c r="G49" s="28">
        <f t="shared" si="18"/>
        <v>253</v>
      </c>
      <c r="H49" s="30">
        <f t="shared" si="3"/>
        <v>146.73999999999998</v>
      </c>
      <c r="I49" s="30">
        <f t="shared" si="4"/>
        <v>65.498999943129121</v>
      </c>
      <c r="J49" s="30">
        <f t="shared" si="5"/>
        <v>369.64959156761648</v>
      </c>
      <c r="K49" s="29"/>
      <c r="L49" s="29"/>
      <c r="M49" s="29"/>
    </row>
    <row r="50" spans="2:13" x14ac:dyDescent="0.25">
      <c r="B50" s="31"/>
      <c r="C50" s="32"/>
      <c r="D50" s="32"/>
      <c r="E50" s="32"/>
      <c r="F50" s="26">
        <f t="shared" si="7"/>
        <v>45</v>
      </c>
      <c r="G50" s="27">
        <f>252+6</f>
        <v>258</v>
      </c>
      <c r="H50" s="30">
        <f t="shared" si="3"/>
        <v>149.63999999999999</v>
      </c>
      <c r="I50" s="30">
        <f t="shared" si="4"/>
        <v>66.785081319482742</v>
      </c>
      <c r="J50" s="30">
        <f t="shared" si="5"/>
        <v>376.94034996476574</v>
      </c>
    </row>
    <row r="51" spans="2:13" x14ac:dyDescent="0.25">
      <c r="F51" s="26">
        <v>45</v>
      </c>
      <c r="G51" s="27">
        <v>0</v>
      </c>
      <c r="H51" s="30">
        <f t="shared" si="3"/>
        <v>0</v>
      </c>
      <c r="I51" s="30">
        <v>0</v>
      </c>
      <c r="J51" s="30">
        <f t="shared" ref="J51" si="19">(H51+I51)*0.475*44/12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M4" sqref="M4"/>
    </sheetView>
  </sheetViews>
  <sheetFormatPr baseColWidth="10" defaultRowHeight="15" x14ac:dyDescent="0.25"/>
  <cols>
    <col min="1" max="1" width="25.42578125" bestFit="1" customWidth="1"/>
    <col min="2" max="2" width="9.42578125" bestFit="1" customWidth="1"/>
    <col min="3" max="3" width="5.85546875" bestFit="1" customWidth="1"/>
    <col min="8" max="8" width="13" bestFit="1" customWidth="1"/>
    <col min="9" max="9" width="16.7109375" bestFit="1" customWidth="1"/>
    <col min="10" max="10" width="16.140625" bestFit="1" customWidth="1"/>
    <col min="11" max="11" width="13" customWidth="1"/>
  </cols>
  <sheetData>
    <row r="1" spans="1:13" x14ac:dyDescent="0.25">
      <c r="B1" s="53" t="s">
        <v>30</v>
      </c>
      <c r="C1" s="53"/>
      <c r="D1" s="53"/>
      <c r="E1" s="53"/>
      <c r="F1" s="54" t="s">
        <v>31</v>
      </c>
      <c r="G1" s="56" t="s">
        <v>32</v>
      </c>
      <c r="H1" s="49" t="s">
        <v>33</v>
      </c>
      <c r="I1" s="51" t="s">
        <v>34</v>
      </c>
      <c r="J1" s="58" t="s">
        <v>35</v>
      </c>
      <c r="K1" s="51" t="s">
        <v>48</v>
      </c>
      <c r="L1" s="49" t="s">
        <v>36</v>
      </c>
      <c r="M1" s="50" t="s">
        <v>37</v>
      </c>
    </row>
    <row r="2" spans="1:13" x14ac:dyDescent="0.25">
      <c r="B2" s="36" t="s">
        <v>38</v>
      </c>
      <c r="C2" s="36" t="s">
        <v>39</v>
      </c>
      <c r="D2" s="36" t="s">
        <v>40</v>
      </c>
      <c r="E2" s="36" t="s">
        <v>41</v>
      </c>
      <c r="F2" s="55"/>
      <c r="G2" s="57"/>
      <c r="H2" s="49"/>
      <c r="I2" s="52"/>
      <c r="J2" s="58"/>
      <c r="K2" s="52"/>
      <c r="L2" s="49"/>
      <c r="M2" s="50"/>
    </row>
    <row r="3" spans="1:13" x14ac:dyDescent="0.25">
      <c r="B3" s="37">
        <f>Quantification!T6</f>
        <v>168.94406866597876</v>
      </c>
      <c r="C3" s="38">
        <f>Quantification!T7</f>
        <v>0</v>
      </c>
      <c r="D3" s="37">
        <f>Quantification!T8</f>
        <v>36.666666666666664</v>
      </c>
      <c r="E3" s="38">
        <f>Quantification!T9</f>
        <v>0</v>
      </c>
      <c r="F3" s="44">
        <f>Quantification!T14</f>
        <v>0</v>
      </c>
      <c r="G3" s="39">
        <f>Quantification!T13</f>
        <v>16.75</v>
      </c>
      <c r="H3" s="40">
        <f>SUM(B3:G3)</f>
        <v>222.36073533264542</v>
      </c>
      <c r="I3" s="41">
        <v>0</v>
      </c>
      <c r="J3" s="41">
        <v>0.1</v>
      </c>
      <c r="K3" s="41">
        <v>0.05</v>
      </c>
      <c r="L3" s="42">
        <v>1.6</v>
      </c>
      <c r="M3" s="43">
        <f>H3*(100%-I3)*(100%-J3)*(100%-K3)*L3</f>
        <v>304.18948593505894</v>
      </c>
    </row>
    <row r="5" spans="1:13" x14ac:dyDescent="0.25">
      <c r="A5" s="29" t="s">
        <v>42</v>
      </c>
      <c r="B5" s="45">
        <f>SUM(B2:E3)*L3</f>
        <v>328.9771765322327</v>
      </c>
    </row>
    <row r="6" spans="1:13" x14ac:dyDescent="0.25">
      <c r="A6" s="29" t="s">
        <v>43</v>
      </c>
      <c r="B6" s="45">
        <f>B5*(100%-I3)*(100%-J3)*(100%-K3)</f>
        <v>281.27548593505895</v>
      </c>
    </row>
    <row r="7" spans="1:13" x14ac:dyDescent="0.25">
      <c r="A7" s="29" t="s">
        <v>44</v>
      </c>
      <c r="B7" s="45">
        <v>0</v>
      </c>
    </row>
    <row r="8" spans="1:13" x14ac:dyDescent="0.25">
      <c r="A8" s="29" t="s">
        <v>45</v>
      </c>
      <c r="B8" s="45">
        <v>0</v>
      </c>
    </row>
    <row r="9" spans="1:13" x14ac:dyDescent="0.25">
      <c r="A9" s="29" t="s">
        <v>46</v>
      </c>
      <c r="B9" s="45">
        <f>G3*L3</f>
        <v>26.8</v>
      </c>
    </row>
    <row r="10" spans="1:13" x14ac:dyDescent="0.25">
      <c r="A10" s="29" t="s">
        <v>47</v>
      </c>
      <c r="B10" s="46">
        <f>B9*(100%-I3)*(100%-J3)*(100%-K3)</f>
        <v>22.914000000000001</v>
      </c>
    </row>
    <row r="11" spans="1:13" x14ac:dyDescent="0.25">
      <c r="A11" s="47" t="s">
        <v>27</v>
      </c>
      <c r="B11" s="48">
        <f>B6+B8+B10</f>
        <v>304.18948593505894</v>
      </c>
    </row>
  </sheetData>
  <mergeCells count="9">
    <mergeCell ref="L1:L2"/>
    <mergeCell ref="M1:M2"/>
    <mergeCell ref="K1:K2"/>
    <mergeCell ref="B1:E1"/>
    <mergeCell ref="F1:F2"/>
    <mergeCell ref="G1:G2"/>
    <mergeCell ref="H1:H2"/>
    <mergeCell ref="I1:I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Quantification</vt:lpstr>
      <vt:lpstr>Calcul REE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2021-01-06T14:49:27Z</dcterms:created>
  <dcterms:modified xsi:type="dcterms:W3CDTF">2021-01-06T18:47:08Z</dcterms:modified>
</cp:coreProperties>
</file>